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Emma\Documents\1 UCD\Year 3\Glycan paper\"/>
    </mc:Choice>
  </mc:AlternateContent>
  <xr:revisionPtr revIDLastSave="0" documentId="13_ncr:1_{BA99E0DF-F706-473C-A89A-41992EDC4C00}" xr6:coauthVersionLast="38" xr6:coauthVersionMax="38" xr10:uidLastSave="{00000000-0000-0000-0000-000000000000}"/>
  <bookViews>
    <workbookView xWindow="0" yWindow="0" windowWidth="20490" windowHeight="8325" tabRatio="766" firstSheet="2" activeTab="8" xr2:uid="{00000000-000D-0000-FFFF-FFFF00000000}"/>
  </bookViews>
  <sheets>
    <sheet name="Areas" sheetId="14" r:id="rId1"/>
    <sheet name="WCL CTRL" sheetId="10" r:id="rId2"/>
    <sheet name="WCL Treated" sheetId="11" r:id="rId3"/>
    <sheet name="Membrane CTRL" sheetId="3" r:id="rId4"/>
    <sheet name="Membrane Treated" sheetId="4" r:id="rId5"/>
    <sheet name="EV CTRL" sheetId="6" r:id="rId6"/>
    <sheet name="EV Treated" sheetId="12" r:id="rId7"/>
    <sheet name="Cytoplasm CTRL" sheetId="13" r:id="rId8"/>
    <sheet name="Cytoplasm Treated" sheetId="9" r:id="rId9"/>
  </sheets>
  <definedNames>
    <definedName name="_xlnm.Print_Area" localSheetId="7">'Cytoplasm CTRL'!$A$1:$AH$207</definedName>
    <definedName name="_xlnm.Print_Area" localSheetId="8">'Cytoplasm Treated'!$A$1:$AH$237</definedName>
    <definedName name="_xlnm.Print_Area" localSheetId="5">'EV CTRL'!$A$1:$AH$242</definedName>
    <definedName name="_xlnm.Print_Area" localSheetId="6">'EV Treated'!$A$1:$AH$253</definedName>
    <definedName name="_xlnm.Print_Area" localSheetId="3">'Membrane CTRL'!$A$1:$AH$237</definedName>
    <definedName name="_xlnm.Print_Area" localSheetId="4">'Membrane Treated'!$A$1:$AM$415</definedName>
    <definedName name="_xlnm.Print_Area" localSheetId="1">'WCL CTRL'!$A$1:$AH$274</definedName>
    <definedName name="_xlnm.Print_Area" localSheetId="2">'WCL Treated'!$A$1:$AH$222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40" i="10" l="1"/>
  <c r="AN18" i="10" s="1"/>
  <c r="R125" i="13" l="1"/>
  <c r="AP10" i="9" l="1"/>
  <c r="M190" i="4" l="1"/>
  <c r="AN69" i="9" l="1"/>
  <c r="AN67" i="13"/>
  <c r="AN70" i="12"/>
  <c r="AP87" i="4"/>
  <c r="M211" i="3" l="1"/>
  <c r="AN43" i="11"/>
  <c r="R72" i="6"/>
  <c r="M177" i="6"/>
  <c r="M178" i="6"/>
  <c r="AO54" i="13"/>
  <c r="R121" i="9"/>
  <c r="R110" i="9"/>
  <c r="AN16" i="9"/>
  <c r="AB137" i="9"/>
  <c r="AG137" i="9"/>
  <c r="W137" i="9"/>
  <c r="R137" i="9"/>
  <c r="R105" i="9"/>
  <c r="M118" i="4" l="1"/>
  <c r="M102" i="11"/>
  <c r="D102" i="11"/>
  <c r="M168" i="9" l="1"/>
  <c r="D109" i="9"/>
  <c r="M63" i="13"/>
  <c r="M120" i="13"/>
  <c r="R86" i="13"/>
  <c r="R87" i="13"/>
  <c r="D220" i="12"/>
  <c r="M68" i="12"/>
  <c r="R121" i="12"/>
  <c r="R116" i="6"/>
  <c r="AN66" i="6" s="1"/>
  <c r="W72" i="6"/>
  <c r="R46" i="6"/>
  <c r="R56" i="6" s="1"/>
  <c r="W65" i="4"/>
  <c r="W190" i="3"/>
  <c r="M69" i="11"/>
  <c r="R212" i="10" l="1"/>
  <c r="AM15" i="10" l="1"/>
  <c r="W99" i="10"/>
  <c r="AG26" i="6" l="1"/>
  <c r="R86" i="6"/>
  <c r="M190" i="6"/>
  <c r="M198" i="3" l="1"/>
  <c r="M192" i="9" l="1"/>
  <c r="W138" i="10"/>
  <c r="AB138" i="10"/>
  <c r="AG138" i="10"/>
  <c r="AG112" i="9" l="1"/>
  <c r="AG79" i="9"/>
  <c r="AG75" i="9"/>
  <c r="AG22" i="9"/>
  <c r="AG154" i="3"/>
  <c r="AG104" i="13"/>
  <c r="AG97" i="13"/>
  <c r="AG116" i="13"/>
  <c r="AG21" i="13"/>
  <c r="AG146" i="12"/>
  <c r="AG41" i="12"/>
  <c r="AG119" i="6"/>
  <c r="AL224" i="4" l="1"/>
  <c r="AP15" i="9"/>
  <c r="AP13" i="9"/>
  <c r="AP15" i="12"/>
  <c r="AP13" i="12"/>
  <c r="AP14" i="13"/>
  <c r="AP12" i="13"/>
  <c r="AP14" i="6"/>
  <c r="AP12" i="6"/>
  <c r="AL34" i="4"/>
  <c r="AV22" i="4" s="1"/>
  <c r="AL33" i="4"/>
  <c r="AV20" i="4" s="1"/>
  <c r="AG60" i="12" l="1"/>
  <c r="AG62" i="12" s="1"/>
  <c r="AG13" i="9"/>
  <c r="AP6" i="9" s="1"/>
  <c r="AG12" i="13"/>
  <c r="AG25" i="12"/>
  <c r="AG19" i="12"/>
  <c r="W122" i="12"/>
  <c r="AG63" i="6"/>
  <c r="AG18" i="6"/>
  <c r="AP5" i="6" s="1"/>
  <c r="R337" i="4"/>
  <c r="R197" i="4"/>
  <c r="R157" i="4"/>
  <c r="AL30" i="4"/>
  <c r="AG154" i="11"/>
  <c r="AB154" i="11"/>
  <c r="W88" i="3"/>
  <c r="W87" i="3" s="1"/>
  <c r="AG30" i="3"/>
  <c r="AP14" i="10"/>
  <c r="AP22" i="10"/>
  <c r="R132" i="10"/>
  <c r="W101" i="10" s="1"/>
  <c r="AN17" i="10" s="1"/>
  <c r="AB39" i="10"/>
  <c r="AG39" i="10"/>
  <c r="R18" i="10"/>
  <c r="AB93" i="10" l="1"/>
  <c r="AB85" i="11"/>
  <c r="AB80" i="11" s="1"/>
  <c r="AG133" i="4"/>
  <c r="AU30" i="4" s="1"/>
  <c r="AB118" i="9" l="1"/>
  <c r="R101" i="9"/>
  <c r="R100" i="9"/>
  <c r="AG60" i="9"/>
  <c r="AG63" i="9" s="1"/>
  <c r="AG134" i="13" l="1"/>
  <c r="AG131" i="13"/>
  <c r="M169" i="13"/>
  <c r="R103" i="13"/>
  <c r="AB121" i="12"/>
  <c r="AB98" i="12"/>
  <c r="W98" i="12" s="1"/>
  <c r="W96" i="12" s="1"/>
  <c r="R155" i="12"/>
  <c r="R151" i="12"/>
  <c r="AB115" i="6"/>
  <c r="AB88" i="6"/>
  <c r="AB92" i="6"/>
  <c r="W106" i="6"/>
  <c r="R106" i="6"/>
  <c r="R160" i="3"/>
  <c r="M158" i="3"/>
  <c r="AO40" i="3" l="1"/>
  <c r="AB129" i="3"/>
  <c r="AN40" i="3" s="1"/>
  <c r="W103" i="3"/>
  <c r="W33" i="3"/>
  <c r="W30" i="3"/>
  <c r="AG96" i="3"/>
  <c r="AP12" i="3"/>
  <c r="AG33" i="3"/>
  <c r="AP14" i="3" s="1"/>
  <c r="AG57" i="11" l="1"/>
  <c r="AG17" i="11"/>
  <c r="AG18" i="10"/>
  <c r="R103" i="11"/>
  <c r="AN68" i="11" s="1"/>
  <c r="W69" i="11"/>
  <c r="W82" i="11"/>
  <c r="R69" i="11"/>
  <c r="AM6" i="11"/>
  <c r="AK6" i="11"/>
  <c r="AP10" i="11"/>
  <c r="AP13" i="11"/>
  <c r="AP11" i="11"/>
  <c r="AP12" i="10" l="1"/>
  <c r="AP11" i="10"/>
  <c r="R60" i="10"/>
  <c r="W166" i="10"/>
  <c r="AG82" i="10" l="1"/>
  <c r="AP12" i="9" l="1"/>
  <c r="AG147" i="9"/>
  <c r="AG142" i="9"/>
  <c r="AG139" i="9"/>
  <c r="AG134" i="9"/>
  <c r="AG126" i="9"/>
  <c r="AG122" i="9"/>
  <c r="AG121" i="9"/>
  <c r="AG116" i="9" s="1"/>
  <c r="AG82" i="9"/>
  <c r="AG85" i="9" s="1"/>
  <c r="AG70" i="9"/>
  <c r="AG74" i="9" s="1"/>
  <c r="AP22" i="9" s="1"/>
  <c r="AG59" i="9"/>
  <c r="AG53" i="9"/>
  <c r="AG54" i="9" s="1"/>
  <c r="AP20" i="9" s="1"/>
  <c r="AG30" i="9"/>
  <c r="AP14" i="9" s="1"/>
  <c r="AP22" i="13"/>
  <c r="AP11" i="13"/>
  <c r="AG29" i="13"/>
  <c r="AG31" i="13"/>
  <c r="AP13" i="13" s="1"/>
  <c r="AG38" i="13"/>
  <c r="AP17" i="13" s="1"/>
  <c r="AG64" i="13"/>
  <c r="AP21" i="13" s="1"/>
  <c r="AG66" i="13"/>
  <c r="AG70" i="13"/>
  <c r="AG35" i="13"/>
  <c r="AP5" i="13" s="1"/>
  <c r="AG81" i="13"/>
  <c r="AG78" i="13" s="1"/>
  <c r="AG122" i="13"/>
  <c r="AG121" i="13"/>
  <c r="AG118" i="13"/>
  <c r="AG109" i="13"/>
  <c r="AG113" i="13"/>
  <c r="AG127" i="13"/>
  <c r="AG126" i="13"/>
  <c r="AG141" i="13"/>
  <c r="AG142" i="13" s="1"/>
  <c r="AG22" i="13"/>
  <c r="AP9" i="13" s="1"/>
  <c r="AG15" i="13"/>
  <c r="AP14" i="12"/>
  <c r="AP10" i="12"/>
  <c r="AG175" i="12"/>
  <c r="AG154" i="12"/>
  <c r="AG155" i="12" s="1"/>
  <c r="AG134" i="12"/>
  <c r="AG138" i="12" s="1"/>
  <c r="AG135" i="12"/>
  <c r="AG125" i="12"/>
  <c r="AG89" i="12"/>
  <c r="AG92" i="12" s="1"/>
  <c r="AG75" i="12"/>
  <c r="AG73" i="12"/>
  <c r="AG70" i="12"/>
  <c r="AP22" i="12" s="1"/>
  <c r="AG64" i="12"/>
  <c r="AG53" i="12"/>
  <c r="AP18" i="12" s="1"/>
  <c r="AG46" i="12"/>
  <c r="AG84" i="12"/>
  <c r="AP6" i="12" s="1"/>
  <c r="AG29" i="12"/>
  <c r="AP12" i="12" s="1"/>
  <c r="AG32" i="6"/>
  <c r="AP13" i="6" s="1"/>
  <c r="AG28" i="6"/>
  <c r="AG31" i="6"/>
  <c r="AP11" i="6" s="1"/>
  <c r="AP9" i="6"/>
  <c r="AG170" i="6"/>
  <c r="AG168" i="6" s="1"/>
  <c r="AG148" i="6"/>
  <c r="AG149" i="6" s="1"/>
  <c r="AG142" i="6"/>
  <c r="AG128" i="6"/>
  <c r="AG123" i="6"/>
  <c r="AG73" i="6"/>
  <c r="AG74" i="6"/>
  <c r="AG76" i="6"/>
  <c r="AP21" i="6" s="1"/>
  <c r="AG61" i="6"/>
  <c r="AG65" i="6" s="1"/>
  <c r="AG53" i="6"/>
  <c r="AP17" i="6" s="1"/>
  <c r="AG48" i="6"/>
  <c r="AG125" i="13" l="1"/>
  <c r="AG71" i="9"/>
  <c r="AG33" i="13"/>
  <c r="AP15" i="13" s="1"/>
  <c r="AG40" i="13"/>
  <c r="AP7" i="13"/>
  <c r="AG33" i="6"/>
  <c r="AP15" i="6" s="1"/>
  <c r="AG47" i="12"/>
  <c r="AP16" i="12" s="1"/>
  <c r="AG39" i="13"/>
  <c r="AG73" i="9"/>
  <c r="W117" i="6"/>
  <c r="AP28" i="6" l="1"/>
  <c r="AP84" i="4"/>
  <c r="AL344" i="4"/>
  <c r="AL328" i="4"/>
  <c r="AL327" i="4"/>
  <c r="AL290" i="4"/>
  <c r="AL281" i="4"/>
  <c r="AL269" i="4"/>
  <c r="AL194" i="4"/>
  <c r="AL180" i="4"/>
  <c r="AL176" i="4"/>
  <c r="AL175" i="4"/>
  <c r="AL117" i="4"/>
  <c r="AL119" i="4" s="1"/>
  <c r="AL113" i="4"/>
  <c r="AL112" i="4"/>
  <c r="AL101" i="4"/>
  <c r="AL102" i="4" s="1"/>
  <c r="AL104" i="4"/>
  <c r="AL95" i="4"/>
  <c r="AL96" i="4"/>
  <c r="AV29" i="4" s="1"/>
  <c r="AL79" i="4"/>
  <c r="AV27" i="4" s="1"/>
  <c r="AL77" i="4"/>
  <c r="AL76" i="4"/>
  <c r="AL66" i="4"/>
  <c r="AV25" i="4" s="1"/>
  <c r="AL63" i="4"/>
  <c r="AL46" i="4"/>
  <c r="AV21" i="4" s="1"/>
  <c r="AL35" i="4"/>
  <c r="AV19" i="4" s="1"/>
  <c r="AL31" i="4"/>
  <c r="AV17" i="4" s="1"/>
  <c r="AL20" i="4"/>
  <c r="AV15" i="4" s="1"/>
  <c r="AP19" i="3"/>
  <c r="AP9" i="3"/>
  <c r="AP7" i="3"/>
  <c r="AG18" i="3"/>
  <c r="AG142" i="3"/>
  <c r="AG139" i="3"/>
  <c r="AG132" i="3"/>
  <c r="AG134" i="3"/>
  <c r="AG125" i="3"/>
  <c r="AG82" i="3"/>
  <c r="AG84" i="3" s="1"/>
  <c r="AG80" i="3"/>
  <c r="AG79" i="3"/>
  <c r="AG73" i="3" s="1"/>
  <c r="AG69" i="3"/>
  <c r="AG68" i="3"/>
  <c r="AG57" i="3"/>
  <c r="AP5" i="3" s="1"/>
  <c r="AP13" i="3"/>
  <c r="AG34" i="3"/>
  <c r="AP11" i="3" s="1"/>
  <c r="AG162" i="3"/>
  <c r="AG195" i="3"/>
  <c r="AV13" i="4" l="1"/>
  <c r="AG54" i="3"/>
  <c r="AG55" i="3" s="1"/>
  <c r="AL59" i="4"/>
  <c r="AL60" i="4" s="1"/>
  <c r="AL89" i="4"/>
  <c r="AG41" i="3"/>
  <c r="AP21" i="3"/>
  <c r="AL278" i="4"/>
  <c r="AL233" i="4"/>
  <c r="AL231" i="4"/>
  <c r="AL47" i="4"/>
  <c r="AV23" i="4" s="1"/>
  <c r="AP16" i="11"/>
  <c r="AG18" i="11"/>
  <c r="AP8" i="11" s="1"/>
  <c r="AP12" i="11"/>
  <c r="AG32" i="11"/>
  <c r="AP14" i="11" s="1"/>
  <c r="AG36" i="11"/>
  <c r="AG44" i="11"/>
  <c r="AG46" i="11"/>
  <c r="AG58" i="11"/>
  <c r="AG65" i="11"/>
  <c r="AG77" i="11"/>
  <c r="AG106" i="11"/>
  <c r="AG115" i="11"/>
  <c r="AG111" i="11"/>
  <c r="AG114" i="11"/>
  <c r="AG134" i="11"/>
  <c r="AG135" i="11" s="1"/>
  <c r="AG140" i="11"/>
  <c r="AG158" i="11"/>
  <c r="AG163" i="11"/>
  <c r="AG171" i="11"/>
  <c r="AG11" i="11"/>
  <c r="AG49" i="10"/>
  <c r="AG51" i="10"/>
  <c r="AP19" i="10" s="1"/>
  <c r="AG28" i="10"/>
  <c r="AP13" i="10" s="1"/>
  <c r="AG68" i="10"/>
  <c r="AG67" i="10"/>
  <c r="AP21" i="10" s="1"/>
  <c r="AG77" i="10"/>
  <c r="AG116" i="10"/>
  <c r="AG121" i="10"/>
  <c r="AG140" i="10"/>
  <c r="AG141" i="10" s="1"/>
  <c r="AG147" i="10"/>
  <c r="AG208" i="10"/>
  <c r="AG13" i="10"/>
  <c r="AG12" i="10" s="1"/>
  <c r="AP5" i="10" s="1"/>
  <c r="AG61" i="3" l="1"/>
  <c r="AP17" i="3" s="1"/>
  <c r="AG80" i="11"/>
  <c r="AG61" i="11"/>
  <c r="AP15" i="3"/>
  <c r="AG29" i="10"/>
  <c r="AP15" i="10" s="1"/>
  <c r="AG126" i="11"/>
  <c r="D8" i="10"/>
  <c r="AG60" i="11" l="1"/>
  <c r="AO44" i="11"/>
  <c r="AP17" i="10"/>
  <c r="W191" i="9"/>
  <c r="AB187" i="9"/>
  <c r="AG187" i="9"/>
  <c r="R210" i="9"/>
  <c r="AG168" i="13"/>
  <c r="AB168" i="13"/>
  <c r="AO56" i="13" s="1"/>
  <c r="W168" i="13"/>
  <c r="W166" i="13"/>
  <c r="R221" i="9" l="1"/>
  <c r="AM57" i="9" s="1"/>
  <c r="AB140" i="11"/>
  <c r="W140" i="11"/>
  <c r="AB62" i="11"/>
  <c r="AB204" i="11"/>
  <c r="AO56" i="11" s="1"/>
  <c r="W204" i="11"/>
  <c r="AN56" i="11" s="1"/>
  <c r="M162" i="11"/>
  <c r="W17" i="11"/>
  <c r="AR9" i="10" l="1"/>
  <c r="M94" i="10"/>
  <c r="D259" i="10"/>
  <c r="R50" i="10"/>
  <c r="R45" i="10"/>
  <c r="R36" i="10"/>
  <c r="R42" i="10"/>
  <c r="AB18" i="10"/>
  <c r="AB21" i="10"/>
  <c r="W18" i="10"/>
  <c r="W21" i="10"/>
  <c r="D237" i="10"/>
  <c r="D236" i="10"/>
  <c r="D240" i="10"/>
  <c r="D69" i="10"/>
  <c r="D178" i="10"/>
  <c r="D176" i="10"/>
  <c r="D45" i="10"/>
  <c r="D42" i="10"/>
  <c r="D50" i="10"/>
  <c r="M45" i="10"/>
  <c r="M42" i="10"/>
  <c r="R253" i="10"/>
  <c r="W217" i="10"/>
  <c r="AB249" i="10"/>
  <c r="W249" i="10"/>
  <c r="W151" i="10"/>
  <c r="AB125" i="10"/>
  <c r="AB117" i="10"/>
  <c r="M145" i="10"/>
  <c r="D145" i="10" s="1"/>
  <c r="AN22" i="10" l="1"/>
  <c r="AK74" i="10"/>
  <c r="D82" i="10"/>
  <c r="W60" i="10"/>
  <c r="AG64" i="10"/>
  <c r="M192" i="13" l="1"/>
  <c r="R192" i="13"/>
  <c r="M187" i="13"/>
  <c r="AB25" i="9" l="1"/>
  <c r="AB21" i="13"/>
  <c r="W25" i="13"/>
  <c r="W21" i="13" s="1"/>
  <c r="AO46" i="12"/>
  <c r="M29" i="12"/>
  <c r="M26" i="12" s="1"/>
  <c r="AB53" i="6"/>
  <c r="AB59" i="6"/>
  <c r="R380" i="4"/>
  <c r="R389" i="4"/>
  <c r="AR46" i="4"/>
  <c r="AQ29" i="4"/>
  <c r="R31" i="4"/>
  <c r="R35" i="4"/>
  <c r="R47" i="11"/>
  <c r="AN6" i="11"/>
  <c r="W14" i="11" l="1"/>
  <c r="W12" i="11"/>
  <c r="M390" i="4" l="1"/>
  <c r="M389" i="4"/>
  <c r="AQ64" i="4" s="1"/>
  <c r="AQ46" i="4" l="1"/>
  <c r="AK20" i="10"/>
  <c r="AL20" i="10"/>
  <c r="W212" i="10"/>
  <c r="AN20" i="10" s="1"/>
  <c r="D216" i="10"/>
  <c r="D215" i="10"/>
  <c r="AM20" i="10"/>
  <c r="R93" i="4" l="1"/>
  <c r="M370" i="4"/>
  <c r="M366" i="4"/>
  <c r="AU44" i="4"/>
  <c r="AT44" i="4"/>
  <c r="AS44" i="4"/>
  <c r="AR44" i="4"/>
  <c r="AQ44" i="4"/>
  <c r="AP44" i="4"/>
  <c r="AB60" i="4"/>
  <c r="D403" i="4" l="1"/>
  <c r="D397" i="4"/>
  <c r="AN18" i="9" l="1"/>
  <c r="AM17" i="9"/>
  <c r="AK18" i="6"/>
  <c r="AM19" i="11"/>
  <c r="AK19" i="11"/>
  <c r="AM17" i="10"/>
  <c r="AK18" i="10"/>
  <c r="D207" i="11"/>
  <c r="AK76" i="11" s="1"/>
  <c r="R141" i="3" l="1"/>
  <c r="M137" i="3" l="1"/>
  <c r="AO18" i="3"/>
  <c r="D231" i="3"/>
  <c r="AO21" i="3"/>
  <c r="AB30" i="3"/>
  <c r="AB24" i="3" s="1"/>
  <c r="AO10" i="3" s="1"/>
  <c r="AO13" i="3"/>
  <c r="M72" i="6"/>
  <c r="D72" i="6"/>
  <c r="M45" i="6"/>
  <c r="M46" i="6" s="1"/>
  <c r="W88" i="6"/>
  <c r="AO15" i="6"/>
  <c r="M201" i="6"/>
  <c r="D201" i="6" s="1"/>
  <c r="AO10" i="11"/>
  <c r="M184" i="6"/>
  <c r="M3" i="9"/>
  <c r="M4" i="9"/>
  <c r="AB73" i="9"/>
  <c r="AO50" i="9" s="1"/>
  <c r="AB70" i="9"/>
  <c r="R26" i="9"/>
  <c r="W26" i="9"/>
  <c r="D101" i="9"/>
  <c r="W66" i="9"/>
  <c r="M190" i="3" l="1"/>
  <c r="AB71" i="9"/>
  <c r="D107" i="13"/>
  <c r="W34" i="11"/>
  <c r="W31" i="11"/>
  <c r="W29" i="11" s="1"/>
  <c r="AO53" i="12"/>
  <c r="D138" i="11"/>
  <c r="W168" i="11"/>
  <c r="M253" i="10"/>
  <c r="AO11" i="10"/>
  <c r="D169" i="10"/>
  <c r="AB134" i="9" l="1"/>
  <c r="W146" i="9"/>
  <c r="AB147" i="9"/>
  <c r="R139" i="9"/>
  <c r="M139" i="9" s="1"/>
  <c r="D139" i="9" s="1"/>
  <c r="AB139" i="9"/>
  <c r="AO57" i="9"/>
  <c r="M221" i="9"/>
  <c r="R24" i="9"/>
  <c r="AM13" i="9" s="1"/>
  <c r="D54" i="9"/>
  <c r="M54" i="9"/>
  <c r="AM52" i="9"/>
  <c r="AO53" i="9"/>
  <c r="AN53" i="9"/>
  <c r="W160" i="9"/>
  <c r="R131" i="9"/>
  <c r="AM18" i="9" s="1"/>
  <c r="W38" i="9"/>
  <c r="AO10" i="9"/>
  <c r="AO19" i="9"/>
  <c r="AO20" i="9"/>
  <c r="M181" i="9"/>
  <c r="AO17" i="9"/>
  <c r="M155" i="9"/>
  <c r="AO22" i="9"/>
  <c r="W101" i="9"/>
  <c r="W105" i="9"/>
  <c r="W74" i="9" s="1"/>
  <c r="AM22" i="9"/>
  <c r="AL22" i="9"/>
  <c r="M226" i="9"/>
  <c r="AL37" i="9" s="1"/>
  <c r="W175" i="9"/>
  <c r="AN36" i="9" s="1"/>
  <c r="M205" i="9"/>
  <c r="R175" i="9"/>
  <c r="AM36" i="9" s="1"/>
  <c r="AN22" i="9" l="1"/>
  <c r="W73" i="9"/>
  <c r="AB166" i="9"/>
  <c r="M175" i="9"/>
  <c r="M176" i="9" s="1"/>
  <c r="W46" i="13"/>
  <c r="W31" i="13"/>
  <c r="AB97" i="13"/>
  <c r="W128" i="13"/>
  <c r="W120" i="13"/>
  <c r="AN52" i="13"/>
  <c r="AB125" i="13"/>
  <c r="M175" i="13"/>
  <c r="R175" i="13" s="1"/>
  <c r="R169" i="13" s="1"/>
  <c r="M196" i="13"/>
  <c r="M193" i="13"/>
  <c r="AM54" i="13"/>
  <c r="W147" i="13"/>
  <c r="AN54" i="13" s="1"/>
  <c r="AN16" i="13"/>
  <c r="AL16" i="13"/>
  <c r="AB126" i="13"/>
  <c r="AB127" i="13"/>
  <c r="AK38" i="13"/>
  <c r="AK35" i="13"/>
  <c r="R197" i="13"/>
  <c r="AM36" i="13" s="1"/>
  <c r="M197" i="13"/>
  <c r="D197" i="13" s="1"/>
  <c r="M144" i="13"/>
  <c r="W130" i="13"/>
  <c r="AN39" i="13" s="1"/>
  <c r="M181" i="13"/>
  <c r="AL39" i="13" s="1"/>
  <c r="W137" i="13"/>
  <c r="AN37" i="13"/>
  <c r="M202" i="13"/>
  <c r="M190" i="13"/>
  <c r="AL54" i="13" s="1"/>
  <c r="D187" i="13"/>
  <c r="D192" i="13" s="1"/>
  <c r="AL38" i="13"/>
  <c r="AK37" i="10"/>
  <c r="M155" i="13"/>
  <c r="D155" i="13" s="1"/>
  <c r="W142" i="13"/>
  <c r="AB142" i="13" s="1"/>
  <c r="R160" i="13"/>
  <c r="AM38" i="12"/>
  <c r="M114" i="13"/>
  <c r="W32" i="13"/>
  <c r="AB15" i="13" s="1"/>
  <c r="AO7" i="13" s="1"/>
  <c r="R32" i="13"/>
  <c r="AB50" i="13"/>
  <c r="AM19" i="13"/>
  <c r="AB70" i="13"/>
  <c r="W70" i="13"/>
  <c r="AB20" i="12"/>
  <c r="R40" i="12"/>
  <c r="AR15" i="4"/>
  <c r="W135" i="12"/>
  <c r="D238" i="12"/>
  <c r="M178" i="12"/>
  <c r="D178" i="12" s="1"/>
  <c r="D173" i="12" s="1"/>
  <c r="R146" i="12"/>
  <c r="W148" i="12"/>
  <c r="D87" i="12"/>
  <c r="D125" i="12"/>
  <c r="M125" i="12"/>
  <c r="R98" i="12"/>
  <c r="D147" i="12"/>
  <c r="D148" i="12" s="1"/>
  <c r="M147" i="12"/>
  <c r="AL22" i="12"/>
  <c r="AB68" i="12"/>
  <c r="AO22" i="12"/>
  <c r="AB56" i="12"/>
  <c r="AO21" i="12" s="1"/>
  <c r="W55" i="12"/>
  <c r="W54" i="12" s="1"/>
  <c r="AO12" i="12"/>
  <c r="W80" i="12"/>
  <c r="AN22" i="12" s="1"/>
  <c r="R80" i="12"/>
  <c r="AM22" i="12" s="1"/>
  <c r="AB75" i="12"/>
  <c r="AB46" i="12"/>
  <c r="M169" i="12"/>
  <c r="D201" i="12"/>
  <c r="M201" i="12"/>
  <c r="M236" i="12"/>
  <c r="M167" i="12"/>
  <c r="W93" i="12"/>
  <c r="AM50" i="12"/>
  <c r="D64" i="12"/>
  <c r="M64" i="12"/>
  <c r="AL46" i="12"/>
  <c r="AO55" i="12"/>
  <c r="AB129" i="12"/>
  <c r="AB89" i="12"/>
  <c r="AG69" i="12" s="1"/>
  <c r="AG68" i="12" s="1"/>
  <c r="M222" i="12"/>
  <c r="AK42" i="12"/>
  <c r="M240" i="12"/>
  <c r="R163" i="12"/>
  <c r="AM40" i="12" s="1"/>
  <c r="W163" i="12"/>
  <c r="AO38" i="12"/>
  <c r="AN38" i="12"/>
  <c r="AM18" i="12"/>
  <c r="AK18" i="12"/>
  <c r="AM35" i="13" l="1"/>
  <c r="AM7" i="13"/>
  <c r="AM8" i="12"/>
  <c r="W72" i="9"/>
  <c r="W71" i="9" s="1"/>
  <c r="W70" i="9" s="1"/>
  <c r="AG85" i="13"/>
  <c r="AG86" i="13" s="1"/>
  <c r="AO50" i="13"/>
  <c r="AO8" i="12"/>
  <c r="AG20" i="12"/>
  <c r="AO36" i="9"/>
  <c r="AG166" i="9"/>
  <c r="AG160" i="9" s="1"/>
  <c r="AL56" i="13"/>
  <c r="W47" i="13"/>
  <c r="AM15" i="12"/>
  <c r="AN23" i="12"/>
  <c r="AL36" i="13"/>
  <c r="D181" i="13"/>
  <c r="AN40" i="12"/>
  <c r="R159" i="13"/>
  <c r="AM39" i="13" s="1"/>
  <c r="AB160" i="9"/>
  <c r="AO35" i="13"/>
  <c r="AB141" i="13"/>
  <c r="AN38" i="13"/>
  <c r="W58" i="13"/>
  <c r="D190" i="13"/>
  <c r="D188" i="13"/>
  <c r="D191" i="13"/>
  <c r="AN7" i="13"/>
  <c r="AN35" i="13"/>
  <c r="AM38" i="13"/>
  <c r="D202" i="13"/>
  <c r="W175" i="13"/>
  <c r="AN56" i="13" s="1"/>
  <c r="W45" i="13"/>
  <c r="W40" i="12"/>
  <c r="AN8" i="12" s="1"/>
  <c r="AL36" i="9"/>
  <c r="R47" i="12"/>
  <c r="R82" i="12"/>
  <c r="AB73" i="12"/>
  <c r="W125" i="12"/>
  <c r="R125" i="12"/>
  <c r="M114" i="6"/>
  <c r="M116" i="6" s="1"/>
  <c r="W58" i="6"/>
  <c r="D194" i="6"/>
  <c r="D189" i="6"/>
  <c r="D113" i="6"/>
  <c r="W109" i="6"/>
  <c r="R109" i="6"/>
  <c r="M183" i="6"/>
  <c r="AB148" i="6"/>
  <c r="AB149" i="6" s="1"/>
  <c r="W137" i="6"/>
  <c r="W154" i="6"/>
  <c r="R154" i="6"/>
  <c r="R65" i="6"/>
  <c r="AN42" i="6"/>
  <c r="AB74" i="6"/>
  <c r="AO45" i="6" s="1"/>
  <c r="R177" i="6"/>
  <c r="AO34" i="6"/>
  <c r="AN34" i="6"/>
  <c r="AM34" i="6"/>
  <c r="AB168" i="6"/>
  <c r="W168" i="6"/>
  <c r="R168" i="6" s="1"/>
  <c r="W189" i="6"/>
  <c r="R189" i="6"/>
  <c r="R42" i="6"/>
  <c r="R31" i="6"/>
  <c r="R114" i="3"/>
  <c r="D149" i="3"/>
  <c r="R162" i="3"/>
  <c r="M138" i="3"/>
  <c r="R139" i="3"/>
  <c r="R140" i="3"/>
  <c r="D88" i="3"/>
  <c r="AO14" i="3"/>
  <c r="AM16" i="3"/>
  <c r="W58" i="3"/>
  <c r="W97" i="3"/>
  <c r="R97" i="3" s="1"/>
  <c r="D212" i="3"/>
  <c r="AB136" i="3"/>
  <c r="AO55" i="3"/>
  <c r="AO54" i="3"/>
  <c r="D151" i="3"/>
  <c r="AK21" i="3" s="1"/>
  <c r="M188" i="3"/>
  <c r="AM17" i="3"/>
  <c r="AN7" i="3"/>
  <c r="AM7" i="3"/>
  <c r="AB21" i="3"/>
  <c r="AB22" i="3" s="1"/>
  <c r="M98" i="3"/>
  <c r="M84" i="3"/>
  <c r="AN38" i="3"/>
  <c r="AM38" i="3"/>
  <c r="AL38" i="3"/>
  <c r="AB170" i="3"/>
  <c r="AS45" i="4"/>
  <c r="R183" i="3"/>
  <c r="R219" i="3"/>
  <c r="AM40" i="3" s="1"/>
  <c r="AM18" i="6" l="1"/>
  <c r="W54" i="6"/>
  <c r="AN18" i="6" s="1"/>
  <c r="AG170" i="3"/>
  <c r="AO22" i="3"/>
  <c r="R165" i="3"/>
  <c r="AM38" i="6"/>
  <c r="AP8" i="12"/>
  <c r="D198" i="13"/>
  <c r="AK75" i="13" s="1"/>
  <c r="W98" i="3"/>
  <c r="D180" i="13"/>
  <c r="D179" i="13" s="1"/>
  <c r="R188" i="3"/>
  <c r="D119" i="3"/>
  <c r="AM22" i="3"/>
  <c r="AO38" i="3"/>
  <c r="AM19" i="3"/>
  <c r="AM42" i="3"/>
  <c r="AO7" i="3"/>
  <c r="D150" i="3"/>
  <c r="AO47" i="6"/>
  <c r="W169" i="13"/>
  <c r="AO38" i="13"/>
  <c r="AB58" i="13"/>
  <c r="D84" i="3"/>
  <c r="AK37" i="13"/>
  <c r="R93" i="3"/>
  <c r="M30" i="11"/>
  <c r="AO12" i="11"/>
  <c r="AO17" i="11"/>
  <c r="AK16" i="11"/>
  <c r="AO14" i="11"/>
  <c r="M121" i="11"/>
  <c r="W112" i="11"/>
  <c r="AB65" i="11"/>
  <c r="AN15" i="11" l="1"/>
  <c r="D178" i="13"/>
  <c r="M173" i="11"/>
  <c r="AK35" i="11"/>
  <c r="AB163" i="11"/>
  <c r="W163" i="11"/>
  <c r="W158" i="11"/>
  <c r="AB158" i="11"/>
  <c r="AO35" i="11"/>
  <c r="M136" i="11"/>
  <c r="D136" i="11" s="1"/>
  <c r="D106" i="11"/>
  <c r="AO52" i="11"/>
  <c r="R81" i="10"/>
  <c r="R84" i="10" s="1"/>
  <c r="AM60" i="10" s="1"/>
  <c r="W81" i="10"/>
  <c r="W85" i="10" s="1"/>
  <c r="W3" i="10"/>
  <c r="AO37" i="11"/>
  <c r="AB115" i="11"/>
  <c r="W51" i="10"/>
  <c r="W50" i="10" s="1"/>
  <c r="R136" i="10"/>
  <c r="W136" i="10"/>
  <c r="AO20" i="10"/>
  <c r="AQ20" i="10" s="1"/>
  <c r="AO21" i="10"/>
  <c r="W77" i="10"/>
  <c r="W79" i="10"/>
  <c r="R79" i="10" s="1"/>
  <c r="R77" i="10" s="1"/>
  <c r="R124" i="10"/>
  <c r="AM16" i="10" s="1"/>
  <c r="M124" i="10"/>
  <c r="M205" i="10"/>
  <c r="AL18" i="10" s="1"/>
  <c r="D222" i="10"/>
  <c r="M216" i="10"/>
  <c r="D182" i="10"/>
  <c r="M187" i="10"/>
  <c r="M184" i="10" s="1"/>
  <c r="D172" i="10"/>
  <c r="M203" i="10"/>
  <c r="M202" i="10"/>
  <c r="M173" i="10"/>
  <c r="D173" i="10" s="1"/>
  <c r="D100" i="10"/>
  <c r="AB116" i="10"/>
  <c r="AB77" i="10"/>
  <c r="W154" i="10"/>
  <c r="AB154" i="10"/>
  <c r="AK52" i="10"/>
  <c r="AB82" i="10"/>
  <c r="AB147" i="10"/>
  <c r="AO22" i="10" s="1"/>
  <c r="AB121" i="10"/>
  <c r="W61" i="10"/>
  <c r="AN10" i="10" s="1"/>
  <c r="AB68" i="10"/>
  <c r="AG35" i="10" s="1"/>
  <c r="AB107" i="10"/>
  <c r="D107" i="10"/>
  <c r="M107" i="10" s="1"/>
  <c r="W107" i="10"/>
  <c r="AN36" i="10"/>
  <c r="AL37" i="10"/>
  <c r="D245" i="10"/>
  <c r="M245" i="10" s="1"/>
  <c r="D247" i="10"/>
  <c r="D249" i="10"/>
  <c r="D248" i="10"/>
  <c r="D210" i="10"/>
  <c r="D191" i="10"/>
  <c r="D146" i="10"/>
  <c r="D192" i="9"/>
  <c r="D190" i="9" s="1"/>
  <c r="AK80" i="9" s="1"/>
  <c r="D112" i="9"/>
  <c r="M112" i="9"/>
  <c r="M49" i="9"/>
  <c r="D49" i="9"/>
  <c r="W41" i="9"/>
  <c r="AB41" i="9" s="1"/>
  <c r="R41" i="9"/>
  <c r="R40" i="9" s="1"/>
  <c r="M41" i="9"/>
  <c r="M42" i="9" s="1"/>
  <c r="D41" i="9"/>
  <c r="D40" i="9" s="1"/>
  <c r="D10" i="9"/>
  <c r="R46" i="13"/>
  <c r="M46" i="13"/>
  <c r="D46" i="13"/>
  <c r="R25" i="13"/>
  <c r="R22" i="13"/>
  <c r="AB64" i="12"/>
  <c r="D191" i="12"/>
  <c r="AK67" i="12" s="1"/>
  <c r="D130" i="12"/>
  <c r="W29" i="12"/>
  <c r="R29" i="12"/>
  <c r="D29" i="12"/>
  <c r="D26" i="12" s="1"/>
  <c r="AB63" i="6"/>
  <c r="AB65" i="6" s="1"/>
  <c r="AO20" i="6"/>
  <c r="W188" i="6"/>
  <c r="W175" i="6"/>
  <c r="AN54" i="6" s="1"/>
  <c r="M109" i="6"/>
  <c r="D103" i="6"/>
  <c r="D49" i="6"/>
  <c r="R41" i="6"/>
  <c r="D21" i="6"/>
  <c r="M183" i="3"/>
  <c r="D183" i="3"/>
  <c r="R21" i="11"/>
  <c r="R18" i="11" s="1"/>
  <c r="R17" i="11"/>
  <c r="M21" i="11"/>
  <c r="M18" i="11" s="1"/>
  <c r="D21" i="11"/>
  <c r="D18" i="11" s="1"/>
  <c r="R8" i="11"/>
  <c r="AB8" i="11"/>
  <c r="AB3" i="10"/>
  <c r="M3" i="10"/>
  <c r="AL190" i="4"/>
  <c r="AL139" i="4"/>
  <c r="AL138" i="4"/>
  <c r="AL56" i="4"/>
  <c r="AL41" i="4"/>
  <c r="AL13" i="4"/>
  <c r="AL5" i="4"/>
  <c r="AL4" i="4"/>
  <c r="AG47" i="6" l="1"/>
  <c r="AG46" i="6" s="1"/>
  <c r="AG36" i="10"/>
  <c r="AM11" i="10"/>
  <c r="AB108" i="10"/>
  <c r="AG108" i="10" s="1"/>
  <c r="AG107" i="10"/>
  <c r="W40" i="9"/>
  <c r="AM60" i="6"/>
  <c r="AB39" i="9"/>
  <c r="AG41" i="9"/>
  <c r="AG42" i="9" s="1"/>
  <c r="AG44" i="9" s="1"/>
  <c r="AP18" i="9" s="1"/>
  <c r="AB166" i="10"/>
  <c r="AG154" i="10"/>
  <c r="AV32" i="4"/>
  <c r="D243" i="10"/>
  <c r="AO55" i="10"/>
  <c r="D184" i="10"/>
  <c r="D185" i="10"/>
  <c r="AO45" i="10"/>
  <c r="D48" i="9"/>
  <c r="M48" i="9"/>
  <c r="R188" i="6"/>
  <c r="R186" i="6" s="1"/>
  <c r="AN20" i="6"/>
  <c r="AN13" i="10"/>
  <c r="R45" i="13"/>
  <c r="M47" i="13"/>
  <c r="D168" i="10"/>
  <c r="D108" i="10"/>
  <c r="M108" i="10" s="1"/>
  <c r="D42" i="9"/>
  <c r="D47" i="13"/>
  <c r="AO49" i="10"/>
  <c r="R42" i="9"/>
  <c r="AK55" i="10"/>
  <c r="AO51" i="10"/>
  <c r="AO53" i="10"/>
  <c r="AO52" i="10"/>
  <c r="W42" i="9"/>
  <c r="AN45" i="9"/>
  <c r="AK51" i="10"/>
  <c r="D109" i="6"/>
  <c r="D106" i="6" s="1"/>
  <c r="R26" i="12"/>
  <c r="AM12" i="12"/>
  <c r="R47" i="13"/>
  <c r="M40" i="9"/>
  <c r="R107" i="10"/>
  <c r="R108" i="10" s="1"/>
  <c r="M185" i="10"/>
  <c r="W45" i="10"/>
  <c r="AN19" i="10"/>
  <c r="W84" i="10"/>
  <c r="R85" i="10"/>
  <c r="W108" i="10"/>
  <c r="W113" i="10" s="1"/>
  <c r="AN14" i="10" s="1"/>
  <c r="D106" i="10"/>
  <c r="AK75" i="10" s="1"/>
  <c r="M186" i="10"/>
  <c r="W54" i="9"/>
  <c r="D186" i="10"/>
  <c r="D99" i="10"/>
  <c r="W11" i="9"/>
  <c r="AP23" i="10" l="1"/>
  <c r="AP28" i="10"/>
  <c r="AM20" i="6"/>
  <c r="AG166" i="10"/>
  <c r="AK10" i="10"/>
  <c r="AM47" i="10"/>
  <c r="W184" i="9"/>
  <c r="W136" i="9"/>
  <c r="W144" i="9"/>
  <c r="AN40" i="9" s="1"/>
  <c r="W134" i="9"/>
  <c r="W127" i="9"/>
  <c r="W121" i="9"/>
  <c r="AB121" i="9" s="1"/>
  <c r="AB116" i="9" s="1"/>
  <c r="W86" i="9"/>
  <c r="W87" i="9"/>
  <c r="W89" i="9"/>
  <c r="W57" i="9"/>
  <c r="W51" i="9"/>
  <c r="W48" i="9"/>
  <c r="AN13" i="9" s="1"/>
  <c r="W33" i="9"/>
  <c r="R32" i="9"/>
  <c r="W32" i="9" s="1"/>
  <c r="W34" i="9" s="1"/>
  <c r="R34" i="9"/>
  <c r="W23" i="9"/>
  <c r="W10" i="9"/>
  <c r="M107" i="9"/>
  <c r="M109" i="9" s="1"/>
  <c r="M130" i="9"/>
  <c r="M103" i="9"/>
  <c r="M102" i="9"/>
  <c r="M96" i="9"/>
  <c r="M89" i="9"/>
  <c r="M92" i="9" s="1"/>
  <c r="M84" i="9"/>
  <c r="M81" i="9"/>
  <c r="M66" i="9"/>
  <c r="M63" i="9" s="1"/>
  <c r="M51" i="9"/>
  <c r="M60" i="9"/>
  <c r="M143" i="9"/>
  <c r="M144" i="9" s="1"/>
  <c r="M152" i="9"/>
  <c r="M151" i="9" s="1"/>
  <c r="D151" i="9" s="1"/>
  <c r="M156" i="9"/>
  <c r="M154" i="9"/>
  <c r="M159" i="9"/>
  <c r="M179" i="9"/>
  <c r="M190" i="9"/>
  <c r="M206" i="9"/>
  <c r="D206" i="9" s="1"/>
  <c r="M207" i="9"/>
  <c r="M210" i="9"/>
  <c r="M34" i="9"/>
  <c r="M39" i="9"/>
  <c r="M38" i="9"/>
  <c r="M22" i="9"/>
  <c r="M17" i="9"/>
  <c r="M16" i="9"/>
  <c r="W17" i="9"/>
  <c r="AN11" i="9" s="1"/>
  <c r="W16" i="9"/>
  <c r="M11" i="9"/>
  <c r="M10" i="9"/>
  <c r="W82" i="13"/>
  <c r="AN20" i="13" s="1"/>
  <c r="W81" i="13"/>
  <c r="W78" i="13"/>
  <c r="W85" i="13"/>
  <c r="W93" i="13"/>
  <c r="W124" i="13"/>
  <c r="AN17" i="13" s="1"/>
  <c r="W109" i="13"/>
  <c r="W113" i="13"/>
  <c r="W118" i="13"/>
  <c r="W127" i="13"/>
  <c r="W131" i="13"/>
  <c r="W141" i="13"/>
  <c r="W129" i="13"/>
  <c r="W74" i="13"/>
  <c r="W66" i="13"/>
  <c r="W64" i="13"/>
  <c r="AB64" i="13" s="1"/>
  <c r="AB66" i="13" s="1"/>
  <c r="AG44" i="13" s="1"/>
  <c r="W59" i="13"/>
  <c r="W55" i="13"/>
  <c r="W56" i="13"/>
  <c r="W51" i="13"/>
  <c r="W39" i="13"/>
  <c r="AB39" i="13" s="1"/>
  <c r="W30" i="13"/>
  <c r="W116" i="13"/>
  <c r="W97" i="13"/>
  <c r="W87" i="13"/>
  <c r="W91" i="13" s="1"/>
  <c r="W9" i="13"/>
  <c r="W10" i="13"/>
  <c r="M83" i="13"/>
  <c r="M81" i="13"/>
  <c r="M82" i="13"/>
  <c r="M65" i="13"/>
  <c r="M182" i="13"/>
  <c r="M183" i="13"/>
  <c r="AL22" i="13" s="1"/>
  <c r="M185" i="13"/>
  <c r="M184" i="13"/>
  <c r="M171" i="13"/>
  <c r="M173" i="13"/>
  <c r="M172" i="13"/>
  <c r="M170" i="13"/>
  <c r="M165" i="13"/>
  <c r="M164" i="13"/>
  <c r="M161" i="13"/>
  <c r="M159" i="13"/>
  <c r="M154" i="13"/>
  <c r="D154" i="13" s="1"/>
  <c r="M153" i="13"/>
  <c r="D153" i="13" s="1"/>
  <c r="M92" i="13"/>
  <c r="M96" i="13"/>
  <c r="M93" i="13"/>
  <c r="M89" i="13"/>
  <c r="M117" i="13"/>
  <c r="M119" i="13"/>
  <c r="M115" i="13"/>
  <c r="M112" i="13"/>
  <c r="M111" i="13"/>
  <c r="M121" i="13"/>
  <c r="M113" i="13"/>
  <c r="M109" i="13"/>
  <c r="M123" i="13"/>
  <c r="D126" i="13"/>
  <c r="M129" i="13"/>
  <c r="M132" i="13"/>
  <c r="D132" i="13" s="1"/>
  <c r="M130" i="13"/>
  <c r="M134" i="13"/>
  <c r="M131" i="13"/>
  <c r="M135" i="13"/>
  <c r="M136" i="13" s="1"/>
  <c r="M104" i="13"/>
  <c r="M106" i="13" s="1"/>
  <c r="M195" i="13"/>
  <c r="M194" i="13"/>
  <c r="M58" i="13"/>
  <c r="M59" i="13" s="1"/>
  <c r="M55" i="13"/>
  <c r="M51" i="13"/>
  <c r="M39" i="13"/>
  <c r="M37" i="13"/>
  <c r="M36" i="13"/>
  <c r="M21" i="13"/>
  <c r="M10" i="13"/>
  <c r="M9" i="13"/>
  <c r="W30" i="12"/>
  <c r="W26" i="12"/>
  <c r="W25" i="12" s="1"/>
  <c r="W51" i="12"/>
  <c r="AN15" i="12" s="1"/>
  <c r="W129" i="12"/>
  <c r="W155" i="12"/>
  <c r="W154" i="12"/>
  <c r="W191" i="12"/>
  <c r="W197" i="12"/>
  <c r="W91" i="12"/>
  <c r="W88" i="12"/>
  <c r="W75" i="12"/>
  <c r="W74" i="12" s="1"/>
  <c r="W65" i="12"/>
  <c r="W47" i="12"/>
  <c r="W134" i="12"/>
  <c r="AN42" i="12"/>
  <c r="M108" i="12"/>
  <c r="M109" i="12" s="1"/>
  <c r="M93" i="12"/>
  <c r="M91" i="12"/>
  <c r="M88" i="12"/>
  <c r="M130" i="12"/>
  <c r="M134" i="12"/>
  <c r="AL50" i="12" s="1"/>
  <c r="M140" i="12"/>
  <c r="R135" i="12"/>
  <c r="M158" i="12"/>
  <c r="D158" i="12" s="1"/>
  <c r="M156" i="12"/>
  <c r="D156" i="12" s="1"/>
  <c r="M152" i="12"/>
  <c r="M148" i="12"/>
  <c r="M143" i="12"/>
  <c r="M162" i="12"/>
  <c r="M164" i="12"/>
  <c r="M163" i="12" s="1"/>
  <c r="M172" i="12"/>
  <c r="M181" i="12"/>
  <c r="M183" i="12"/>
  <c r="M182" i="12" s="1"/>
  <c r="M188" i="12"/>
  <c r="M189" i="12"/>
  <c r="M190" i="12"/>
  <c r="M215" i="12"/>
  <c r="M217" i="12"/>
  <c r="M230" i="12"/>
  <c r="M233" i="12"/>
  <c r="M75" i="12"/>
  <c r="M65" i="12"/>
  <c r="M55" i="12"/>
  <c r="M47" i="12"/>
  <c r="M38" i="12"/>
  <c r="W13" i="12"/>
  <c r="W12" i="12"/>
  <c r="AN6" i="12" s="1"/>
  <c r="M13" i="12"/>
  <c r="M12" i="12"/>
  <c r="W151" i="6"/>
  <c r="W166" i="6"/>
  <c r="W127" i="6"/>
  <c r="W123" i="6"/>
  <c r="R123" i="6"/>
  <c r="W119" i="6"/>
  <c r="W112" i="6"/>
  <c r="M157" i="6"/>
  <c r="M156" i="6"/>
  <c r="D156" i="6" s="1"/>
  <c r="M152" i="6"/>
  <c r="D152" i="6" s="1"/>
  <c r="M150" i="6"/>
  <c r="D150" i="6" s="1"/>
  <c r="M148" i="6"/>
  <c r="M149" i="6" s="1"/>
  <c r="M146" i="6"/>
  <c r="M141" i="6"/>
  <c r="M138" i="6"/>
  <c r="M123" i="6"/>
  <c r="M122" i="6" s="1"/>
  <c r="M58" i="6"/>
  <c r="M55" i="6"/>
  <c r="W55" i="6"/>
  <c r="W49" i="6"/>
  <c r="M49" i="6"/>
  <c r="M106" i="6"/>
  <c r="M103" i="6"/>
  <c r="M97" i="6"/>
  <c r="M163" i="6"/>
  <c r="M161" i="6"/>
  <c r="M168" i="6"/>
  <c r="M194" i="6"/>
  <c r="M210" i="6"/>
  <c r="M209" i="6"/>
  <c r="M203" i="6"/>
  <c r="M204" i="6" s="1"/>
  <c r="M216" i="6"/>
  <c r="M219" i="6"/>
  <c r="M222" i="6" s="1"/>
  <c r="M223" i="6"/>
  <c r="AL35" i="6" s="1"/>
  <c r="M226" i="6"/>
  <c r="M228" i="6" s="1"/>
  <c r="M227" i="6"/>
  <c r="D227" i="6" s="1"/>
  <c r="W63" i="6"/>
  <c r="W64" i="6"/>
  <c r="W67" i="6"/>
  <c r="W66" i="6" s="1"/>
  <c r="M67" i="6"/>
  <c r="M66" i="6" s="1"/>
  <c r="M42" i="6"/>
  <c r="D41" i="6"/>
  <c r="M26" i="6"/>
  <c r="D23" i="6"/>
  <c r="M23" i="6"/>
  <c r="M21" i="6"/>
  <c r="M14" i="6"/>
  <c r="W14" i="6"/>
  <c r="W13" i="6"/>
  <c r="W5" i="6"/>
  <c r="W4" i="6" s="1"/>
  <c r="M13" i="6"/>
  <c r="M5" i="6"/>
  <c r="AL8" i="6" l="1"/>
  <c r="AN22" i="13"/>
  <c r="W125" i="13"/>
  <c r="M4" i="6"/>
  <c r="D228" i="6"/>
  <c r="D226" i="6" s="1"/>
  <c r="AN10" i="9"/>
  <c r="W22" i="9"/>
  <c r="AN14" i="9"/>
  <c r="AN5" i="6"/>
  <c r="AG37" i="13"/>
  <c r="D233" i="12"/>
  <c r="M32" i="9"/>
  <c r="AL44" i="9" s="1"/>
  <c r="AB32" i="9"/>
  <c r="AL15" i="13"/>
  <c r="AL10" i="13"/>
  <c r="M38" i="13"/>
  <c r="M54" i="13"/>
  <c r="AL51" i="13" s="1"/>
  <c r="AL19" i="13"/>
  <c r="D162" i="12"/>
  <c r="M145" i="9"/>
  <c r="D207" i="9"/>
  <c r="M61" i="9"/>
  <c r="R61" i="9" s="1"/>
  <c r="R60" i="9"/>
  <c r="M150" i="9"/>
  <c r="D150" i="9" s="1"/>
  <c r="M40" i="13"/>
  <c r="M137" i="13"/>
  <c r="AL18" i="13" s="1"/>
  <c r="W40" i="13"/>
  <c r="AN49" i="13" s="1"/>
  <c r="AN36" i="13"/>
  <c r="W50" i="12"/>
  <c r="AN13" i="12" s="1"/>
  <c r="D157" i="6"/>
  <c r="AL45" i="6"/>
  <c r="M110" i="12"/>
  <c r="M53" i="13"/>
  <c r="W151" i="12"/>
  <c r="M52" i="13"/>
  <c r="AL43" i="13" s="1"/>
  <c r="D127" i="13"/>
  <c r="D129" i="13" s="1"/>
  <c r="W118" i="9"/>
  <c r="W53" i="12"/>
  <c r="AL35" i="13"/>
  <c r="AN46" i="13"/>
  <c r="AB62" i="13"/>
  <c r="AO46" i="13" s="1"/>
  <c r="AN48" i="13"/>
  <c r="W65" i="6"/>
  <c r="AL36" i="6"/>
  <c r="M56" i="6"/>
  <c r="M74" i="12"/>
  <c r="M107" i="12"/>
  <c r="AO52" i="12"/>
  <c r="AN10" i="12"/>
  <c r="AB40" i="13"/>
  <c r="AO47" i="13"/>
  <c r="W38" i="13"/>
  <c r="AO21" i="13"/>
  <c r="W95" i="13"/>
  <c r="AN38" i="9"/>
  <c r="AL23" i="12"/>
  <c r="AL40" i="12"/>
  <c r="M41" i="6"/>
  <c r="AN52" i="9"/>
  <c r="AN21" i="9"/>
  <c r="AN9" i="9"/>
  <c r="AL57" i="9"/>
  <c r="AL53" i="9"/>
  <c r="AL52" i="9"/>
  <c r="AL38" i="9"/>
  <c r="AN47" i="13"/>
  <c r="AN21" i="13"/>
  <c r="AN19" i="13"/>
  <c r="AN5" i="13"/>
  <c r="AL47" i="13"/>
  <c r="AL37" i="13"/>
  <c r="AL7" i="13"/>
  <c r="AL55" i="12"/>
  <c r="AL42" i="12"/>
  <c r="AL38" i="12"/>
  <c r="AN21" i="12"/>
  <c r="AL18" i="12"/>
  <c r="AL10" i="12"/>
  <c r="AL8" i="12"/>
  <c r="AL6" i="12"/>
  <c r="AN51" i="6"/>
  <c r="R71" i="3"/>
  <c r="M69" i="3"/>
  <c r="AL54" i="3" s="1"/>
  <c r="M68" i="3"/>
  <c r="M182" i="3"/>
  <c r="M192" i="3"/>
  <c r="M193" i="3"/>
  <c r="M213" i="3"/>
  <c r="M202" i="3"/>
  <c r="R195" i="3"/>
  <c r="D203" i="3"/>
  <c r="M203" i="3"/>
  <c r="M205" i="3"/>
  <c r="M169" i="3"/>
  <c r="M172" i="3"/>
  <c r="M173" i="3"/>
  <c r="M164" i="3"/>
  <c r="M161" i="3"/>
  <c r="M163" i="3"/>
  <c r="M150" i="3"/>
  <c r="M97" i="3"/>
  <c r="AL21" i="3"/>
  <c r="AL59" i="3"/>
  <c r="AL47" i="3"/>
  <c r="M219" i="3"/>
  <c r="M220" i="3"/>
  <c r="M140" i="3"/>
  <c r="M146" i="3"/>
  <c r="M133" i="3"/>
  <c r="M125" i="3"/>
  <c r="M127" i="3" s="1"/>
  <c r="M113" i="3"/>
  <c r="M114" i="3"/>
  <c r="M111" i="3"/>
  <c r="M110" i="3"/>
  <c r="D104" i="3"/>
  <c r="M108" i="3"/>
  <c r="M104" i="3" s="1"/>
  <c r="M76" i="3"/>
  <c r="M212" i="3"/>
  <c r="M66" i="3"/>
  <c r="M58" i="3"/>
  <c r="M61" i="3"/>
  <c r="M57" i="3"/>
  <c r="M54" i="3"/>
  <c r="M51" i="3"/>
  <c r="M52" i="3"/>
  <c r="M48" i="3"/>
  <c r="AL8" i="3" s="1"/>
  <c r="M47" i="3"/>
  <c r="M30" i="3"/>
  <c r="M13" i="3"/>
  <c r="M12" i="3"/>
  <c r="M5" i="3"/>
  <c r="M4" i="3"/>
  <c r="W133" i="3"/>
  <c r="W124" i="3"/>
  <c r="W117" i="3"/>
  <c r="AN21" i="3" s="1"/>
  <c r="W114" i="3"/>
  <c r="W104" i="3"/>
  <c r="W109" i="3" s="1"/>
  <c r="W100" i="3"/>
  <c r="W92" i="3"/>
  <c r="W132" i="3"/>
  <c r="W157" i="3"/>
  <c r="AN58" i="3" s="1"/>
  <c r="W175" i="3"/>
  <c r="W195" i="3"/>
  <c r="W187" i="3"/>
  <c r="W173" i="3"/>
  <c r="W172" i="3"/>
  <c r="AN53" i="3" s="1"/>
  <c r="AG174" i="3"/>
  <c r="W165" i="3"/>
  <c r="W77" i="3"/>
  <c r="W68" i="3"/>
  <c r="W69" i="3"/>
  <c r="W67" i="3"/>
  <c r="AN46" i="3" s="1"/>
  <c r="W54" i="3"/>
  <c r="W13" i="3"/>
  <c r="W12" i="3"/>
  <c r="R115" i="3"/>
  <c r="AM15" i="3" s="1"/>
  <c r="R104" i="3"/>
  <c r="R109" i="3" s="1"/>
  <c r="R76" i="3"/>
  <c r="R125" i="3"/>
  <c r="AM48" i="3" s="1"/>
  <c r="M157" i="11"/>
  <c r="M212" i="11"/>
  <c r="M204" i="11"/>
  <c r="AL56" i="11" s="1"/>
  <c r="M202" i="11"/>
  <c r="M190" i="11"/>
  <c r="AL35" i="11"/>
  <c r="M92" i="11"/>
  <c r="M106" i="11"/>
  <c r="M116" i="11"/>
  <c r="M132" i="11"/>
  <c r="M135" i="11"/>
  <c r="M140" i="11"/>
  <c r="AL15" i="11"/>
  <c r="M166" i="11"/>
  <c r="D166" i="11" s="1"/>
  <c r="D168" i="11" s="1"/>
  <c r="M187" i="11"/>
  <c r="AL39" i="11" s="1"/>
  <c r="M210" i="11"/>
  <c r="M207" i="11" s="1"/>
  <c r="M198" i="11"/>
  <c r="M99" i="11"/>
  <c r="M182" i="11"/>
  <c r="AL8" i="11"/>
  <c r="M124" i="11"/>
  <c r="R198" i="11"/>
  <c r="AN67" i="11" s="1"/>
  <c r="R92" i="11"/>
  <c r="AM4" i="11" s="1"/>
  <c r="R86" i="11"/>
  <c r="R91" i="11" s="1"/>
  <c r="M74" i="11"/>
  <c r="AL6" i="11" s="1"/>
  <c r="M81" i="11"/>
  <c r="AL19" i="11" s="1"/>
  <c r="M73" i="11"/>
  <c r="M58" i="11"/>
  <c r="M59" i="11"/>
  <c r="M45" i="11"/>
  <c r="M42" i="11"/>
  <c r="M40" i="11"/>
  <c r="M41" i="11"/>
  <c r="M33" i="11"/>
  <c r="M34" i="11" s="1"/>
  <c r="D34" i="11"/>
  <c r="M9" i="11"/>
  <c r="M8" i="11"/>
  <c r="M4" i="11"/>
  <c r="M3" i="11"/>
  <c r="AN51" i="11"/>
  <c r="W21" i="11"/>
  <c r="W8" i="11"/>
  <c r="W147" i="11"/>
  <c r="W153" i="11"/>
  <c r="AN52" i="11" s="1"/>
  <c r="R96" i="11"/>
  <c r="W96" i="11"/>
  <c r="W104" i="11"/>
  <c r="AN13" i="11" s="1"/>
  <c r="R106" i="11"/>
  <c r="W106" i="11"/>
  <c r="W111" i="11"/>
  <c r="W84" i="11"/>
  <c r="W137" i="11"/>
  <c r="W135" i="11"/>
  <c r="W134" i="11"/>
  <c r="AB134" i="11" s="1"/>
  <c r="W171" i="11"/>
  <c r="W76" i="11"/>
  <c r="W81" i="11"/>
  <c r="AN19" i="11" s="1"/>
  <c r="W74" i="11"/>
  <c r="W75" i="11"/>
  <c r="AB73" i="11"/>
  <c r="AB72" i="11"/>
  <c r="W72" i="11" s="1"/>
  <c r="W59" i="11"/>
  <c r="W58" i="11"/>
  <c r="AN18" i="11"/>
  <c r="W42" i="11"/>
  <c r="W18" i="11"/>
  <c r="W9" i="11"/>
  <c r="AL22" i="3" l="1"/>
  <c r="W27" i="9"/>
  <c r="AN17" i="9" s="1"/>
  <c r="AN20" i="3"/>
  <c r="AN44" i="6"/>
  <c r="AN54" i="3"/>
  <c r="W70" i="3"/>
  <c r="AG32" i="9"/>
  <c r="AB63" i="13"/>
  <c r="W63" i="13" s="1"/>
  <c r="AG62" i="13"/>
  <c r="AG63" i="13" s="1"/>
  <c r="D205" i="9"/>
  <c r="D230" i="12"/>
  <c r="AK81" i="12" s="1"/>
  <c r="AO4" i="11"/>
  <c r="W73" i="11"/>
  <c r="W60" i="11"/>
  <c r="AL11" i="11"/>
  <c r="AB126" i="11"/>
  <c r="W62" i="11"/>
  <c r="R62" i="11" s="1"/>
  <c r="AM9" i="11" s="1"/>
  <c r="AL16" i="3"/>
  <c r="AL4" i="11"/>
  <c r="AL46" i="13"/>
  <c r="M160" i="9"/>
  <c r="AN45" i="11"/>
  <c r="AN50" i="3"/>
  <c r="M162" i="3"/>
  <c r="M187" i="3"/>
  <c r="AN44" i="9"/>
  <c r="W60" i="9"/>
  <c r="AB60" i="9" s="1"/>
  <c r="AN16" i="3"/>
  <c r="AL40" i="3"/>
  <c r="W161" i="3"/>
  <c r="AB174" i="3" s="1"/>
  <c r="M65" i="3"/>
  <c r="AN8" i="11"/>
  <c r="W19" i="11"/>
  <c r="R135" i="11"/>
  <c r="AL37" i="11"/>
  <c r="M59" i="3"/>
  <c r="AN17" i="11"/>
  <c r="R147" i="11"/>
  <c r="AM17" i="11" s="1"/>
  <c r="AN42" i="3"/>
  <c r="M53" i="3"/>
  <c r="AL9" i="3" s="1"/>
  <c r="AL42" i="3"/>
  <c r="R109" i="12"/>
  <c r="W108" i="12"/>
  <c r="W109" i="12" s="1"/>
  <c r="W92" i="11"/>
  <c r="M186" i="11"/>
  <c r="W76" i="3"/>
  <c r="W125" i="3"/>
  <c r="W122" i="3" s="1"/>
  <c r="M55" i="3"/>
  <c r="AN36" i="11"/>
  <c r="AN39" i="11"/>
  <c r="R72" i="11"/>
  <c r="R71" i="11" s="1"/>
  <c r="AK22" i="9"/>
  <c r="AQ22" i="9" s="1"/>
  <c r="AK52" i="9"/>
  <c r="D233" i="9"/>
  <c r="D228" i="9"/>
  <c r="AK77" i="9" s="1"/>
  <c r="D210" i="9"/>
  <c r="D98" i="9"/>
  <c r="M98" i="9" s="1"/>
  <c r="D63" i="9"/>
  <c r="D60" i="9"/>
  <c r="D61" i="9" s="1"/>
  <c r="D22" i="9"/>
  <c r="D11" i="9"/>
  <c r="AM21" i="9"/>
  <c r="AM53" i="9"/>
  <c r="AM45" i="9"/>
  <c r="AM44" i="9"/>
  <c r="AM38" i="9"/>
  <c r="R168" i="9"/>
  <c r="AM40" i="9" s="1"/>
  <c r="R147" i="9"/>
  <c r="R134" i="9"/>
  <c r="R112" i="9"/>
  <c r="W112" i="9" s="1"/>
  <c r="W110" i="9" s="1"/>
  <c r="R93" i="9"/>
  <c r="R79" i="9"/>
  <c r="M79" i="9" s="1"/>
  <c r="R39" i="9"/>
  <c r="R22" i="9"/>
  <c r="R11" i="9"/>
  <c r="R10" i="9"/>
  <c r="AO52" i="9"/>
  <c r="AO16" i="9"/>
  <c r="AO14" i="9"/>
  <c r="AO12" i="9"/>
  <c r="AO38" i="9"/>
  <c r="AB85" i="9"/>
  <c r="AO51" i="9" s="1"/>
  <c r="AB50" i="9"/>
  <c r="AB44" i="9"/>
  <c r="AO18" i="9" s="1"/>
  <c r="AB22" i="9"/>
  <c r="AB17" i="9" s="1"/>
  <c r="AB11" i="9"/>
  <c r="AG93" i="9"/>
  <c r="W93" i="9" s="1"/>
  <c r="AK18" i="13"/>
  <c r="AK7" i="13"/>
  <c r="AQ7" i="13" s="1"/>
  <c r="AK51" i="13"/>
  <c r="AK47" i="13"/>
  <c r="AK54" i="13"/>
  <c r="AK43" i="13"/>
  <c r="D94" i="13"/>
  <c r="AK39" i="13"/>
  <c r="D203" i="13"/>
  <c r="D193" i="13"/>
  <c r="D195" i="13" s="1"/>
  <c r="D135" i="13"/>
  <c r="AK46" i="13" s="1"/>
  <c r="D130" i="13"/>
  <c r="D63" i="13"/>
  <c r="D58" i="13"/>
  <c r="D59" i="13" s="1"/>
  <c r="D55" i="13"/>
  <c r="AK19" i="13" s="1"/>
  <c r="D45" i="13"/>
  <c r="D37" i="13"/>
  <c r="D21" i="13"/>
  <c r="D4" i="13"/>
  <c r="M4" i="13" s="1"/>
  <c r="M3" i="13" s="1"/>
  <c r="D3" i="13"/>
  <c r="AM17" i="13"/>
  <c r="R187" i="13"/>
  <c r="AN66" i="13" s="1"/>
  <c r="R137" i="13"/>
  <c r="R128" i="13"/>
  <c r="R116" i="13"/>
  <c r="M116" i="13" s="1"/>
  <c r="R104" i="13"/>
  <c r="R97" i="13"/>
  <c r="R91" i="13"/>
  <c r="R74" i="13"/>
  <c r="R66" i="13"/>
  <c r="AM49" i="13" s="1"/>
  <c r="R64" i="13"/>
  <c r="AM21" i="13" s="1"/>
  <c r="R58" i="13"/>
  <c r="R51" i="13"/>
  <c r="R39" i="13"/>
  <c r="R30" i="13"/>
  <c r="R21" i="13"/>
  <c r="R10" i="13"/>
  <c r="R9" i="13"/>
  <c r="R4" i="13"/>
  <c r="R3" i="13"/>
  <c r="AO52" i="13"/>
  <c r="AO39" i="13"/>
  <c r="AO19" i="13"/>
  <c r="AB169" i="13"/>
  <c r="AO49" i="13" s="1"/>
  <c r="AB87" i="13"/>
  <c r="AB86" i="13"/>
  <c r="W86" i="13" s="1"/>
  <c r="W84" i="13" s="1"/>
  <c r="AB59" i="13"/>
  <c r="AB29" i="13"/>
  <c r="AB37" i="13"/>
  <c r="W37" i="13" s="1"/>
  <c r="W36" i="13" s="1"/>
  <c r="AB10" i="13"/>
  <c r="AB9" i="13"/>
  <c r="AG151" i="13"/>
  <c r="AG87" i="13"/>
  <c r="AG91" i="13" s="1"/>
  <c r="AG30" i="13"/>
  <c r="AG10" i="13"/>
  <c r="AN40" i="13"/>
  <c r="AL40" i="13"/>
  <c r="AK55" i="12"/>
  <c r="AK50" i="12"/>
  <c r="AK46" i="12"/>
  <c r="AK40" i="12"/>
  <c r="AK38" i="12"/>
  <c r="AK8" i="12"/>
  <c r="AQ8" i="12" s="1"/>
  <c r="AK23" i="12"/>
  <c r="D244" i="12"/>
  <c r="D217" i="12"/>
  <c r="D108" i="12"/>
  <c r="D55" i="12"/>
  <c r="D50" i="12"/>
  <c r="D47" i="12"/>
  <c r="AK10" i="12" s="1"/>
  <c r="D12" i="12"/>
  <c r="AM10" i="12"/>
  <c r="R197" i="12"/>
  <c r="R188" i="12"/>
  <c r="R129" i="12"/>
  <c r="R65" i="12"/>
  <c r="R13" i="12"/>
  <c r="AO40" i="12"/>
  <c r="AB65" i="12"/>
  <c r="AB25" i="12"/>
  <c r="AG13" i="12"/>
  <c r="AN43" i="12"/>
  <c r="AL43" i="12"/>
  <c r="AM23" i="12" l="1"/>
  <c r="AN69" i="12"/>
  <c r="R63" i="13"/>
  <c r="R61" i="13" s="1"/>
  <c r="AQ19" i="13"/>
  <c r="M194" i="12"/>
  <c r="W86" i="12" s="1"/>
  <c r="AN53" i="12" s="1"/>
  <c r="AK77" i="12"/>
  <c r="M167" i="13"/>
  <c r="R167" i="13" s="1"/>
  <c r="R166" i="13" s="1"/>
  <c r="AM6" i="9"/>
  <c r="AK38" i="9"/>
  <c r="M180" i="9"/>
  <c r="R180" i="9" s="1"/>
  <c r="W180" i="9" s="1"/>
  <c r="W183" i="9" s="1"/>
  <c r="R187" i="3"/>
  <c r="AN71" i="3" s="1"/>
  <c r="W71" i="11"/>
  <c r="AN4" i="11"/>
  <c r="R60" i="11"/>
  <c r="AB33" i="13"/>
  <c r="M45" i="13"/>
  <c r="AL12" i="13" s="1"/>
  <c r="AK12" i="13"/>
  <c r="M50" i="12"/>
  <c r="AL13" i="12" s="1"/>
  <c r="AN22" i="3"/>
  <c r="M134" i="9"/>
  <c r="M135" i="9" s="1"/>
  <c r="R132" i="9"/>
  <c r="AB93" i="9"/>
  <c r="W97" i="9"/>
  <c r="W61" i="9"/>
  <c r="W63" i="9" s="1"/>
  <c r="W174" i="3"/>
  <c r="D196" i="13"/>
  <c r="M98" i="12"/>
  <c r="AM42" i="12"/>
  <c r="AM43" i="12" s="1"/>
  <c r="D51" i="12"/>
  <c r="AO37" i="13"/>
  <c r="AM47" i="13"/>
  <c r="AM37" i="13"/>
  <c r="AM40" i="13" s="1"/>
  <c r="AM22" i="13"/>
  <c r="D100" i="9"/>
  <c r="M100" i="9" s="1"/>
  <c r="AL6" i="9" s="1"/>
  <c r="M72" i="11"/>
  <c r="AK43" i="12"/>
  <c r="AM51" i="6"/>
  <c r="AM42" i="6"/>
  <c r="D146" i="6"/>
  <c r="D141" i="6"/>
  <c r="AK45" i="6" s="1"/>
  <c r="D26" i="6"/>
  <c r="D58" i="6"/>
  <c r="D66" i="6"/>
  <c r="D99" i="6"/>
  <c r="M99" i="6" s="1"/>
  <c r="D122" i="6"/>
  <c r="D119" i="6"/>
  <c r="M119" i="6" s="1"/>
  <c r="D232" i="6"/>
  <c r="AK38" i="6"/>
  <c r="R119" i="6"/>
  <c r="R66" i="6"/>
  <c r="R26" i="6"/>
  <c r="R21" i="6"/>
  <c r="R14" i="6"/>
  <c r="R13" i="6"/>
  <c r="AB141" i="6"/>
  <c r="W141" i="6" s="1"/>
  <c r="AB123" i="6"/>
  <c r="AB99" i="6"/>
  <c r="W99" i="6" s="1"/>
  <c r="AB72" i="6"/>
  <c r="AB67" i="6"/>
  <c r="AO17" i="6"/>
  <c r="AB21" i="6"/>
  <c r="AB13" i="6"/>
  <c r="AB14" i="6"/>
  <c r="AB5" i="6"/>
  <c r="AB4" i="6" s="1"/>
  <c r="R4" i="6"/>
  <c r="D4" i="6"/>
  <c r="AM46" i="3"/>
  <c r="AM54" i="3"/>
  <c r="AK16" i="3"/>
  <c r="AK54" i="3"/>
  <c r="AK38" i="3"/>
  <c r="AK42" i="3"/>
  <c r="D219" i="3"/>
  <c r="AK22" i="3" s="1"/>
  <c r="D76" i="3"/>
  <c r="R222" i="3"/>
  <c r="AM59" i="3" s="1"/>
  <c r="R174" i="3"/>
  <c r="R103" i="3"/>
  <c r="AN13" i="3" s="1"/>
  <c r="D103" i="3"/>
  <c r="D52" i="3"/>
  <c r="D30" i="3"/>
  <c r="R30" i="3"/>
  <c r="R13" i="3"/>
  <c r="D13" i="3"/>
  <c r="AO19" i="3"/>
  <c r="AO42" i="3"/>
  <c r="AB195" i="3"/>
  <c r="AO52" i="3" s="1"/>
  <c r="AB104" i="3"/>
  <c r="AB109" i="3" s="1"/>
  <c r="AB103" i="3"/>
  <c r="W51" i="3"/>
  <c r="AB13" i="3"/>
  <c r="AB5" i="3"/>
  <c r="AB4" i="3"/>
  <c r="R4" i="3" s="1"/>
  <c r="AL43" i="3"/>
  <c r="AM43" i="3"/>
  <c r="AM52" i="11"/>
  <c r="AK51" i="11"/>
  <c r="D212" i="11"/>
  <c r="D198" i="11"/>
  <c r="D172" i="11"/>
  <c r="D162" i="11"/>
  <c r="D95" i="11"/>
  <c r="D92" i="11"/>
  <c r="R12" i="11"/>
  <c r="D9" i="11"/>
  <c r="R204" i="11"/>
  <c r="AM56" i="11" s="1"/>
  <c r="R171" i="11"/>
  <c r="M171" i="11" s="1"/>
  <c r="R168" i="11"/>
  <c r="AM65" i="11" s="1"/>
  <c r="R140" i="11"/>
  <c r="R34" i="11"/>
  <c r="AO39" i="11"/>
  <c r="AO36" i="11"/>
  <c r="AM39" i="11"/>
  <c r="AM37" i="11"/>
  <c r="AM36" i="11"/>
  <c r="R173" i="11"/>
  <c r="AM35" i="11" s="1"/>
  <c r="AK43" i="11"/>
  <c r="AK39" i="11"/>
  <c r="AK8" i="11"/>
  <c r="AM8" i="11"/>
  <c r="AL19" i="10"/>
  <c r="AB34" i="11"/>
  <c r="AB9" i="11"/>
  <c r="AB3" i="11"/>
  <c r="AG85" i="11"/>
  <c r="AG9" i="11"/>
  <c r="AK21" i="10"/>
  <c r="AK19" i="10"/>
  <c r="AN10" i="11" l="1"/>
  <c r="AM24" i="6"/>
  <c r="M181" i="11"/>
  <c r="AK79" i="11"/>
  <c r="AM5" i="6"/>
  <c r="W187" i="9"/>
  <c r="AN57" i="9" s="1"/>
  <c r="R183" i="9"/>
  <c r="AM20" i="9" s="1"/>
  <c r="AN20" i="9"/>
  <c r="AO51" i="6"/>
  <c r="AG121" i="6"/>
  <c r="AM44" i="6"/>
  <c r="AK56" i="13"/>
  <c r="AQ22" i="3"/>
  <c r="AN14" i="12"/>
  <c r="AM20" i="3"/>
  <c r="R190" i="3"/>
  <c r="M71" i="11"/>
  <c r="AK37" i="11"/>
  <c r="AK65" i="11"/>
  <c r="M51" i="12"/>
  <c r="M95" i="11"/>
  <c r="M96" i="11" s="1"/>
  <c r="AB61" i="9"/>
  <c r="AB63" i="9" s="1"/>
  <c r="R5" i="3"/>
  <c r="W5" i="3" s="1"/>
  <c r="AM40" i="11"/>
  <c r="AK17" i="11"/>
  <c r="M172" i="11"/>
  <c r="M168" i="11" s="1"/>
  <c r="AL65" i="11" s="1"/>
  <c r="M101" i="9"/>
  <c r="AK40" i="3"/>
  <c r="AK43" i="3" s="1"/>
  <c r="R141" i="6"/>
  <c r="W156" i="6"/>
  <c r="AN36" i="6" s="1"/>
  <c r="AN35" i="6"/>
  <c r="AO35" i="6"/>
  <c r="W21" i="6"/>
  <c r="W23" i="6" s="1"/>
  <c r="AM8" i="6"/>
  <c r="M96" i="12"/>
  <c r="D98" i="12"/>
  <c r="D96" i="12" s="1"/>
  <c r="AM21" i="11"/>
  <c r="AN35" i="11"/>
  <c r="AN37" i="11"/>
  <c r="AN21" i="11"/>
  <c r="AN9" i="11"/>
  <c r="AN7" i="11"/>
  <c r="AO40" i="11"/>
  <c r="AO21" i="11"/>
  <c r="AL17" i="10"/>
  <c r="AL5" i="10"/>
  <c r="M223" i="10"/>
  <c r="M225" i="10"/>
  <c r="M213" i="10"/>
  <c r="AL52" i="10" s="1"/>
  <c r="M211" i="10"/>
  <c r="M208" i="10"/>
  <c r="M190" i="10"/>
  <c r="M193" i="10"/>
  <c r="M192" i="10"/>
  <c r="AL21" i="10" s="1"/>
  <c r="M182" i="10"/>
  <c r="M170" i="10"/>
  <c r="M155" i="10"/>
  <c r="M149" i="10"/>
  <c r="AL16" i="10" s="1"/>
  <c r="R226" i="10"/>
  <c r="R249" i="10"/>
  <c r="M252" i="10"/>
  <c r="D252" i="10" s="1"/>
  <c r="D251" i="10" s="1"/>
  <c r="AK77" i="10" s="1"/>
  <c r="M254" i="10"/>
  <c r="M260" i="10"/>
  <c r="D139" i="10"/>
  <c r="M120" i="10"/>
  <c r="M99" i="10"/>
  <c r="M93" i="10"/>
  <c r="M69" i="10"/>
  <c r="M50" i="10"/>
  <c r="M36" i="10"/>
  <c r="M18" i="10"/>
  <c r="M24" i="10"/>
  <c r="M9" i="10"/>
  <c r="AN47" i="10"/>
  <c r="W206" i="10"/>
  <c r="W197" i="10" s="1"/>
  <c r="W193" i="10"/>
  <c r="AN55" i="10" s="1"/>
  <c r="W192" i="10"/>
  <c r="AN21" i="10" s="1"/>
  <c r="W173" i="10"/>
  <c r="W176" i="10"/>
  <c r="D166" i="10"/>
  <c r="W147" i="10"/>
  <c r="AO47" i="10"/>
  <c r="R151" i="10"/>
  <c r="AM48" i="10" s="1"/>
  <c r="W103" i="10"/>
  <c r="R103" i="10" s="1"/>
  <c r="R112" i="10" s="1"/>
  <c r="AN66" i="10" s="1"/>
  <c r="AN37" i="10"/>
  <c r="W42" i="10"/>
  <c r="W208" i="10"/>
  <c r="AN48" i="10" s="1"/>
  <c r="W4" i="3" l="1"/>
  <c r="AN51" i="10"/>
  <c r="W171" i="10"/>
  <c r="R246" i="10"/>
  <c r="AK14" i="10"/>
  <c r="AK73" i="10"/>
  <c r="AK14" i="12"/>
  <c r="AN65" i="11"/>
  <c r="AB88" i="3"/>
  <c r="AB73" i="3" s="1"/>
  <c r="R118" i="10"/>
  <c r="R113" i="10"/>
  <c r="M222" i="10"/>
  <c r="AN8" i="6"/>
  <c r="M251" i="10"/>
  <c r="AN53" i="10"/>
  <c r="M139" i="10"/>
  <c r="M191" i="10"/>
  <c r="AL53" i="10" s="1"/>
  <c r="AL17" i="11"/>
  <c r="AQ17" i="11" s="1"/>
  <c r="AN12" i="10"/>
  <c r="M210" i="10"/>
  <c r="AL51" i="10"/>
  <c r="R156" i="6"/>
  <c r="AM22" i="6" s="1"/>
  <c r="AM35" i="6"/>
  <c r="AM36" i="10"/>
  <c r="AN40" i="11"/>
  <c r="AN5" i="10"/>
  <c r="W9" i="10"/>
  <c r="W73" i="3" l="1"/>
  <c r="AM14" i="10"/>
  <c r="M146" i="10"/>
  <c r="AM36" i="6"/>
  <c r="AM39" i="6" s="1"/>
  <c r="AM63" i="6"/>
  <c r="AM51" i="10"/>
  <c r="R147" i="10"/>
  <c r="AM53" i="10" s="1"/>
  <c r="D93" i="10"/>
  <c r="D36" i="10"/>
  <c r="D18" i="10"/>
  <c r="D9" i="10"/>
  <c r="AO37" i="10"/>
  <c r="D208" i="10"/>
  <c r="AB208" i="10"/>
  <c r="AO23" i="10" s="1"/>
  <c r="AB197" i="10"/>
  <c r="AO36" i="10"/>
  <c r="AB136" i="10"/>
  <c r="AB103" i="10"/>
  <c r="AO17" i="10"/>
  <c r="AB36" i="10"/>
  <c r="R24" i="10"/>
  <c r="AB9" i="10"/>
  <c r="AB99" i="10"/>
  <c r="AG99" i="10"/>
  <c r="AG9" i="10"/>
  <c r="AB8" i="10"/>
  <c r="W34" i="10" l="1"/>
  <c r="AN11" i="10" s="1"/>
  <c r="W36" i="10"/>
  <c r="AO48" i="10"/>
  <c r="AS19" i="4" l="1"/>
  <c r="D64" i="4"/>
  <c r="AU51" i="4" l="1"/>
  <c r="AG175" i="4"/>
  <c r="AU59" i="4" s="1"/>
  <c r="W56" i="4"/>
  <c r="AS23" i="4"/>
  <c r="W345" i="4"/>
  <c r="AS64" i="4" s="1"/>
  <c r="D383" i="4"/>
  <c r="AB30" i="4"/>
  <c r="AB35" i="4"/>
  <c r="AB34" i="4" s="1"/>
  <c r="AT22" i="4" s="1"/>
  <c r="AT18" i="4"/>
  <c r="AB21" i="4"/>
  <c r="AB13" i="4"/>
  <c r="AG30" i="4"/>
  <c r="AG34" i="4" s="1"/>
  <c r="AU22" i="4" s="1"/>
  <c r="AG21" i="4"/>
  <c r="AU18" i="4"/>
  <c r="AT25" i="4" l="1"/>
  <c r="AT52" i="4"/>
  <c r="AU43" i="4"/>
  <c r="AU20" i="4"/>
  <c r="AP16" i="4" l="1"/>
  <c r="AB104" i="4"/>
  <c r="AP17" i="4"/>
  <c r="AP45" i="4" l="1"/>
  <c r="AP25" i="4"/>
  <c r="AP64" i="4"/>
  <c r="AP62" i="4"/>
  <c r="AP59" i="4"/>
  <c r="AP52" i="4"/>
  <c r="AT21" i="4"/>
  <c r="D151" i="4" l="1"/>
  <c r="AP48" i="4"/>
  <c r="AQ15" i="4"/>
  <c r="AR59" i="4"/>
  <c r="AP15" i="4"/>
  <c r="W31" i="4"/>
  <c r="W30" i="4" s="1"/>
  <c r="D35" i="4" l="1"/>
  <c r="D56" i="4"/>
  <c r="D180" i="4"/>
  <c r="D344" i="4"/>
  <c r="D370" i="4"/>
  <c r="AG328" i="4"/>
  <c r="AB345" i="4"/>
  <c r="AT64" i="4" s="1"/>
  <c r="AR56" i="4"/>
  <c r="AR52" i="4"/>
  <c r="AR55" i="4"/>
  <c r="AS29" i="4"/>
  <c r="AP83" i="4" l="1"/>
  <c r="M343" i="4"/>
  <c r="R343" i="4"/>
  <c r="M358" i="4"/>
  <c r="AR29" i="4"/>
  <c r="AT29" i="4"/>
  <c r="AS25" i="4"/>
  <c r="AR48" i="4" l="1"/>
  <c r="AW29" i="4"/>
  <c r="AQ48" i="4"/>
  <c r="W24" i="4"/>
  <c r="W20" i="4"/>
  <c r="AS15" i="4" s="1"/>
  <c r="AT58" i="4"/>
  <c r="AT27" i="4" l="1"/>
  <c r="AT17" i="4"/>
  <c r="AT45" i="4"/>
  <c r="AT16" i="4"/>
  <c r="AT51" i="4"/>
  <c r="M49" i="4"/>
  <c r="D49" i="4"/>
  <c r="W290" i="4"/>
  <c r="W231" i="4"/>
  <c r="AU61" i="4"/>
  <c r="AG149" i="4"/>
  <c r="AG139" i="4"/>
  <c r="AU24" i="4"/>
  <c r="AG13" i="4" l="1"/>
  <c r="D245" i="4" l="1"/>
  <c r="R263" i="4"/>
  <c r="AB278" i="4"/>
  <c r="D79" i="4"/>
  <c r="AP27" i="4" s="1"/>
  <c r="AG97" i="4"/>
  <c r="AB176" i="4"/>
  <c r="AT62" i="4" s="1"/>
  <c r="M41" i="4"/>
  <c r="R41" i="4"/>
  <c r="AT55" i="4" l="1"/>
  <c r="AS46" i="4" l="1"/>
  <c r="AT47" i="4"/>
  <c r="AT46" i="4"/>
  <c r="AU47" i="4"/>
  <c r="AU46" i="4"/>
  <c r="W221" i="4"/>
  <c r="AG190" i="4"/>
  <c r="P415" i="4"/>
  <c r="AR64" i="4"/>
  <c r="AR47" i="4"/>
  <c r="AB138" i="4"/>
  <c r="AG138" i="4"/>
  <c r="AB224" i="4"/>
  <c r="D350" i="4"/>
  <c r="AB196" i="4"/>
  <c r="AL196" i="4" s="1"/>
  <c r="AB255" i="4"/>
  <c r="AT56" i="4" s="1"/>
  <c r="W255" i="4"/>
  <c r="M380" i="4"/>
  <c r="W133" i="4"/>
  <c r="AB133" i="4"/>
  <c r="AT30" i="4" s="1"/>
  <c r="M351" i="4"/>
  <c r="AQ47" i="4" l="1"/>
  <c r="AS48" i="4"/>
  <c r="AT48" i="4"/>
  <c r="AU48" i="4"/>
  <c r="AB110" i="4"/>
  <c r="D112" i="4"/>
  <c r="M112" i="4"/>
  <c r="W112" i="4"/>
  <c r="M295" i="4"/>
  <c r="M290" i="4"/>
  <c r="U415" i="4"/>
  <c r="M24" i="4"/>
  <c r="D59" i="4"/>
  <c r="AP55" i="4" s="1"/>
  <c r="R154" i="4"/>
  <c r="M154" i="4" l="1"/>
  <c r="M151" i="4"/>
  <c r="M296" i="4"/>
  <c r="M328" i="4"/>
  <c r="M345" i="4"/>
  <c r="M263" i="4"/>
  <c r="M108" i="4"/>
  <c r="D339" i="4" l="1"/>
  <c r="D337" i="4"/>
  <c r="D259" i="4"/>
  <c r="AG110" i="4"/>
  <c r="AG104" i="4"/>
  <c r="AG89" i="4"/>
  <c r="AG75" i="4"/>
  <c r="AU16" i="4"/>
  <c r="W281" i="4"/>
  <c r="AS56" i="4" s="1"/>
  <c r="W328" i="4"/>
  <c r="AB67" i="4"/>
  <c r="AT26" i="4" s="1"/>
  <c r="M224" i="4"/>
  <c r="R278" i="4"/>
  <c r="D278" i="4" s="1"/>
  <c r="W194" i="4"/>
  <c r="W21" i="4"/>
  <c r="W13" i="4"/>
  <c r="W12" i="4"/>
  <c r="M30" i="4"/>
  <c r="M21" i="4"/>
  <c r="M13" i="4"/>
  <c r="M12" i="4"/>
  <c r="M5" i="4"/>
  <c r="M4" i="4"/>
  <c r="AG278" i="4"/>
  <c r="R328" i="4"/>
  <c r="AQ13" i="4" l="1"/>
  <c r="AS13" i="4"/>
  <c r="AU28" i="4"/>
  <c r="D338" i="4"/>
  <c r="D255" i="4"/>
  <c r="R56" i="4"/>
  <c r="M56" i="4" s="1"/>
  <c r="M54" i="4" s="1"/>
  <c r="R316" i="4"/>
  <c r="AR28" i="4"/>
  <c r="AT57" i="4"/>
  <c r="AB194" i="4"/>
  <c r="AT60" i="4" s="1"/>
  <c r="AB290" i="4"/>
  <c r="AR17" i="4"/>
  <c r="AB20" i="4"/>
  <c r="AT15" i="4" s="1"/>
  <c r="AW15" i="4" s="1"/>
  <c r="R63" i="4"/>
  <c r="AL149" i="4"/>
  <c r="AG180" i="4"/>
  <c r="AG192" i="4"/>
  <c r="AU55" i="4" s="1"/>
  <c r="AG290" i="4"/>
  <c r="AU38" i="4" l="1"/>
  <c r="AL208" i="4"/>
  <c r="AR45" i="4"/>
  <c r="AR49" i="4" s="1"/>
  <c r="AR30" i="4"/>
  <c r="AU63" i="4"/>
  <c r="D345" i="4"/>
  <c r="D390" i="4"/>
  <c r="D356" i="4"/>
  <c r="AP57" i="4" s="1"/>
  <c r="D380" i="4"/>
  <c r="D295" i="4"/>
  <c r="AB190" i="4"/>
  <c r="R190" i="4"/>
  <c r="AB175" i="4"/>
  <c r="AB139" i="4"/>
  <c r="R138" i="4"/>
  <c r="AB86" i="4"/>
  <c r="AB89" i="4" s="1"/>
  <c r="D73" i="4"/>
  <c r="R49" i="4"/>
  <c r="AP23" i="4" l="1"/>
  <c r="AP46" i="4"/>
  <c r="AP47" i="4"/>
  <c r="AP30" i="4"/>
  <c r="W51" i="4"/>
  <c r="D41" i="4"/>
  <c r="AP51" i="4" s="1"/>
  <c r="R5" i="4"/>
  <c r="R4" i="4"/>
  <c r="R30" i="4"/>
  <c r="D24" i="4"/>
  <c r="R24" i="4"/>
  <c r="AR18" i="4" s="1"/>
  <c r="R12" i="4"/>
  <c r="AR13" i="4" s="1"/>
  <c r="R13" i="4"/>
  <c r="R21" i="4"/>
  <c r="AB33" i="4"/>
  <c r="AT20" i="4" s="1"/>
  <c r="AB4" i="4"/>
  <c r="AB12" i="4"/>
  <c r="AG4" i="4"/>
  <c r="AP49" i="4" l="1"/>
  <c r="AR16" i="4"/>
  <c r="AT13" i="4"/>
  <c r="AW13" i="4" s="1"/>
  <c r="AS16" i="4"/>
  <c r="AT32" i="4"/>
  <c r="D5" i="4"/>
  <c r="D13" i="4"/>
  <c r="D12" i="4"/>
  <c r="AL10" i="4" l="1"/>
  <c r="AT19" i="4"/>
  <c r="D4" i="4"/>
  <c r="AV12" i="4" l="1"/>
  <c r="R100" i="10"/>
  <c r="AK53" i="10"/>
  <c r="AB51" i="10"/>
  <c r="AO28" i="10" s="1"/>
  <c r="R192" i="10"/>
  <c r="W100" i="10" l="1"/>
  <c r="AM21" i="10"/>
  <c r="AQ21" i="10" s="1"/>
  <c r="AN38" i="10"/>
  <c r="AK45" i="10"/>
  <c r="M178" i="10"/>
  <c r="AM45" i="10"/>
  <c r="AO19" i="10"/>
  <c r="AM37" i="10"/>
  <c r="AO38" i="10"/>
  <c r="AO39" i="10" s="1"/>
  <c r="AM55" i="10"/>
  <c r="M261" i="10"/>
  <c r="M162" i="10" l="1"/>
  <c r="AL55" i="10"/>
  <c r="M259" i="10"/>
  <c r="AL45" i="10"/>
  <c r="AO5" i="10"/>
  <c r="D120" i="10"/>
  <c r="D149" i="10"/>
  <c r="D155" i="10"/>
  <c r="D230" i="10"/>
  <c r="D154" i="4"/>
  <c r="AP13" i="4" s="1"/>
  <c r="D111" i="3"/>
  <c r="D222" i="3"/>
  <c r="AB59" i="10"/>
  <c r="R197" i="10"/>
  <c r="AG197" i="10"/>
  <c r="AM5" i="10"/>
  <c r="D24" i="10"/>
  <c r="D103" i="10"/>
  <c r="M103" i="10" s="1"/>
  <c r="M112" i="10" s="1"/>
  <c r="M79" i="10" l="1"/>
  <c r="AL11" i="10" s="1"/>
  <c r="AK11" i="10"/>
  <c r="AK72" i="10"/>
  <c r="AB64" i="10"/>
  <c r="R59" i="10"/>
  <c r="D229" i="10"/>
  <c r="AK49" i="10" s="1"/>
  <c r="AK63" i="10"/>
  <c r="AK16" i="10"/>
  <c r="AB24" i="10"/>
  <c r="W59" i="10"/>
  <c r="W64" i="10" s="1"/>
  <c r="D220" i="3"/>
  <c r="AK78" i="3" s="1"/>
  <c r="AK59" i="3"/>
  <c r="R205" i="10"/>
  <c r="AM18" i="10" s="1"/>
  <c r="M197" i="10"/>
  <c r="D60" i="10"/>
  <c r="M60" i="10" s="1"/>
  <c r="AO18" i="10"/>
  <c r="AK38" i="10"/>
  <c r="AO56" i="10"/>
  <c r="D197" i="10"/>
  <c r="R209" i="10"/>
  <c r="D183" i="11"/>
  <c r="D98" i="11"/>
  <c r="R99" i="11"/>
  <c r="D127" i="11"/>
  <c r="AK46" i="11" s="1"/>
  <c r="D35" i="11"/>
  <c r="D31" i="11"/>
  <c r="M31" i="11" s="1"/>
  <c r="AM15" i="11"/>
  <c r="D178" i="11"/>
  <c r="M178" i="11" s="1"/>
  <c r="M183" i="11" s="1"/>
  <c r="D45" i="11"/>
  <c r="R41" i="11"/>
  <c r="R40" i="11"/>
  <c r="D72" i="11"/>
  <c r="D69" i="11"/>
  <c r="AK11" i="11" s="1"/>
  <c r="D112" i="11"/>
  <c r="D140" i="11"/>
  <c r="D146" i="11"/>
  <c r="M146" i="11" s="1"/>
  <c r="D153" i="11"/>
  <c r="D204" i="11"/>
  <c r="R36" i="11"/>
  <c r="R35" i="11"/>
  <c r="R115" i="11"/>
  <c r="D115" i="11" s="1"/>
  <c r="R158" i="11"/>
  <c r="D158" i="11" s="1"/>
  <c r="R111" i="11"/>
  <c r="AQ18" i="10" l="1"/>
  <c r="AM13" i="11"/>
  <c r="M98" i="11"/>
  <c r="AL10" i="11" s="1"/>
  <c r="M229" i="10"/>
  <c r="AL49" i="10" s="1"/>
  <c r="AQ11" i="10"/>
  <c r="AM29" i="10"/>
  <c r="AM22" i="10"/>
  <c r="AK15" i="11"/>
  <c r="D111" i="11"/>
  <c r="M111" i="11" s="1"/>
  <c r="R208" i="10"/>
  <c r="R175" i="10"/>
  <c r="AN65" i="10" s="1"/>
  <c r="AB27" i="10"/>
  <c r="AM11" i="11"/>
  <c r="W40" i="11"/>
  <c r="AN11" i="11" s="1"/>
  <c r="D144" i="11"/>
  <c r="AK52" i="11"/>
  <c r="M153" i="11"/>
  <c r="AL52" i="11" s="1"/>
  <c r="M215" i="10"/>
  <c r="M230" i="10"/>
  <c r="AL38" i="10" s="1"/>
  <c r="D159" i="11"/>
  <c r="M158" i="11"/>
  <c r="AL36" i="11"/>
  <c r="AL40" i="11" s="1"/>
  <c r="AL21" i="11"/>
  <c r="AB35" i="11"/>
  <c r="W35" i="11"/>
  <c r="AM47" i="11"/>
  <c r="D17" i="11"/>
  <c r="AK56" i="11"/>
  <c r="AK36" i="11"/>
  <c r="AK40" i="11" s="1"/>
  <c r="AK21" i="11"/>
  <c r="M35" i="11"/>
  <c r="AM38" i="10"/>
  <c r="AM39" i="10" s="1"/>
  <c r="D109" i="11"/>
  <c r="M109" i="11" s="1"/>
  <c r="D36" i="11"/>
  <c r="M36" i="11" s="1"/>
  <c r="D199" i="10"/>
  <c r="AB18" i="11"/>
  <c r="R46" i="11"/>
  <c r="AM45" i="11" s="1"/>
  <c r="R48" i="11"/>
  <c r="R44" i="11"/>
  <c r="AM43" i="11" s="1"/>
  <c r="AG86" i="11"/>
  <c r="AB86" i="11" s="1"/>
  <c r="AB171" i="11"/>
  <c r="D203" i="11" s="1"/>
  <c r="D202" i="11" s="1"/>
  <c r="AB106" i="11"/>
  <c r="D14" i="11"/>
  <c r="AO19" i="11"/>
  <c r="AQ19" i="11" s="1"/>
  <c r="AO15" i="11"/>
  <c r="D85" i="11"/>
  <c r="R85" i="11" s="1"/>
  <c r="AQ21" i="11" l="1"/>
  <c r="AM49" i="10"/>
  <c r="AM62" i="10"/>
  <c r="AM28" i="10"/>
  <c r="AK47" i="11"/>
  <c r="AQ15" i="11"/>
  <c r="AO8" i="11"/>
  <c r="AQ8" i="11" s="1"/>
  <c r="AK10" i="11"/>
  <c r="AK74" i="11"/>
  <c r="AL47" i="11"/>
  <c r="W47" i="11"/>
  <c r="W36" i="11" s="1"/>
  <c r="AO47" i="11"/>
  <c r="AB36" i="11"/>
  <c r="AO49" i="11" s="1"/>
  <c r="AO13" i="11"/>
  <c r="M199" i="10"/>
  <c r="AK47" i="10"/>
  <c r="D200" i="10"/>
  <c r="AK48" i="10" s="1"/>
  <c r="R213" i="10"/>
  <c r="AM63" i="10" s="1"/>
  <c r="M17" i="11"/>
  <c r="M14" i="11"/>
  <c r="D12" i="11"/>
  <c r="D47" i="11"/>
  <c r="M47" i="11"/>
  <c r="AB44" i="11"/>
  <c r="M44" i="11"/>
  <c r="M46" i="11"/>
  <c r="AN47" i="11"/>
  <c r="M85" i="11"/>
  <c r="M83" i="11" s="1"/>
  <c r="R134" i="11"/>
  <c r="AB48" i="11"/>
  <c r="M48" i="11"/>
  <c r="AL51" i="11" s="1"/>
  <c r="AM51" i="11"/>
  <c r="D108" i="11"/>
  <c r="AO11" i="11"/>
  <c r="AQ11" i="11" s="1"/>
  <c r="R83" i="11"/>
  <c r="W83" i="11" s="1"/>
  <c r="R50" i="11"/>
  <c r="AM18" i="11" s="1"/>
  <c r="D75" i="11"/>
  <c r="D29" i="11"/>
  <c r="M29" i="11" s="1"/>
  <c r="AM23" i="10" l="1"/>
  <c r="AK56" i="10"/>
  <c r="M50" i="11"/>
  <c r="AL18" i="11" s="1"/>
  <c r="AK23" i="10"/>
  <c r="AK62" i="10"/>
  <c r="AL43" i="11"/>
  <c r="R137" i="11"/>
  <c r="AK18" i="11"/>
  <c r="AO51" i="11"/>
  <c r="AG48" i="11"/>
  <c r="AG50" i="11" s="1"/>
  <c r="AP18" i="11" s="1"/>
  <c r="AM12" i="11"/>
  <c r="AN12" i="11"/>
  <c r="AO43" i="11"/>
  <c r="AB42" i="11"/>
  <c r="AO16" i="11" s="1"/>
  <c r="AM52" i="10"/>
  <c r="AM56" i="10" s="1"/>
  <c r="AL12" i="11"/>
  <c r="W213" i="10"/>
  <c r="M75" i="11"/>
  <c r="AL45" i="11" s="1"/>
  <c r="AK45" i="11"/>
  <c r="M12" i="11"/>
  <c r="AL47" i="10"/>
  <c r="M200" i="10"/>
  <c r="AL48" i="10" s="1"/>
  <c r="AB13" i="11"/>
  <c r="D134" i="11"/>
  <c r="AB50" i="11"/>
  <c r="AO18" i="11" s="1"/>
  <c r="AK12" i="11"/>
  <c r="R80" i="13"/>
  <c r="D170" i="13"/>
  <c r="R132" i="13"/>
  <c r="AK16" i="13"/>
  <c r="AL56" i="10" l="1"/>
  <c r="AN52" i="10"/>
  <c r="AN23" i="10"/>
  <c r="AL7" i="11"/>
  <c r="AQ18" i="11"/>
  <c r="AR20" i="11" s="1"/>
  <c r="AQ12" i="11"/>
  <c r="AG13" i="11"/>
  <c r="AL23" i="10"/>
  <c r="W132" i="13"/>
  <c r="R149" i="13"/>
  <c r="W80" i="13"/>
  <c r="AN15" i="13" s="1"/>
  <c r="AM15" i="13"/>
  <c r="AB14" i="11"/>
  <c r="AO9" i="11" s="1"/>
  <c r="AO6" i="11"/>
  <c r="AQ6" i="11" s="1"/>
  <c r="D133" i="11"/>
  <c r="M134" i="11"/>
  <c r="R166" i="10"/>
  <c r="AO15" i="13"/>
  <c r="R196" i="13"/>
  <c r="D124" i="13"/>
  <c r="D166" i="13"/>
  <c r="AK64" i="13" s="1"/>
  <c r="D161" i="13"/>
  <c r="D144" i="13"/>
  <c r="AO20" i="13"/>
  <c r="D90" i="13"/>
  <c r="R52" i="13"/>
  <c r="R54" i="13"/>
  <c r="R53" i="13"/>
  <c r="AB116" i="13"/>
  <c r="AO48" i="13" s="1"/>
  <c r="R35" i="13"/>
  <c r="D51" i="13"/>
  <c r="AM20" i="13"/>
  <c r="D64" i="13"/>
  <c r="R65" i="13"/>
  <c r="R69" i="13"/>
  <c r="R78" i="13"/>
  <c r="D74" i="13"/>
  <c r="M74" i="13" s="1"/>
  <c r="AL5" i="13" s="1"/>
  <c r="AB73" i="13"/>
  <c r="R110" i="13"/>
  <c r="AB26" i="13" s="1"/>
  <c r="AB24" i="13" s="1"/>
  <c r="R127" i="13"/>
  <c r="AM46" i="13" s="1"/>
  <c r="R141" i="13"/>
  <c r="M141" i="13" s="1"/>
  <c r="AB129" i="13"/>
  <c r="AB104" i="13"/>
  <c r="AB47" i="13"/>
  <c r="AG8" i="13"/>
  <c r="D9" i="13"/>
  <c r="AM5" i="13" s="1"/>
  <c r="AB151" i="13"/>
  <c r="R59" i="13"/>
  <c r="R37" i="13"/>
  <c r="R36" i="13" s="1"/>
  <c r="D10" i="13"/>
  <c r="AG4" i="13"/>
  <c r="AG3" i="13"/>
  <c r="AO29" i="13" l="1"/>
  <c r="AM63" i="13"/>
  <c r="AQ23" i="10"/>
  <c r="AM23" i="13"/>
  <c r="AO17" i="13"/>
  <c r="AM61" i="13"/>
  <c r="AM56" i="13"/>
  <c r="AM64" i="13"/>
  <c r="AM50" i="13"/>
  <c r="W149" i="13"/>
  <c r="W151" i="13" s="1"/>
  <c r="AP6" i="11"/>
  <c r="AG12" i="11"/>
  <c r="AP4" i="11" s="1"/>
  <c r="W65" i="13"/>
  <c r="AN12" i="13" s="1"/>
  <c r="AM12" i="13"/>
  <c r="M133" i="11"/>
  <c r="M127" i="11" s="1"/>
  <c r="AL46" i="11" s="1"/>
  <c r="AM48" i="13"/>
  <c r="AO36" i="13"/>
  <c r="AO40" i="13" s="1"/>
  <c r="AO22" i="13"/>
  <c r="R73" i="13"/>
  <c r="R72" i="13" s="1"/>
  <c r="W73" i="13"/>
  <c r="D35" i="13"/>
  <c r="AK8" i="13" s="1"/>
  <c r="W35" i="13"/>
  <c r="AB53" i="13"/>
  <c r="AO45" i="13" s="1"/>
  <c r="AM45" i="13"/>
  <c r="W53" i="13"/>
  <c r="AB52" i="13"/>
  <c r="AM43" i="13"/>
  <c r="AB3" i="13"/>
  <c r="D104" i="13"/>
  <c r="W104" i="13"/>
  <c r="W102" i="13" s="1"/>
  <c r="AO18" i="13"/>
  <c r="W69" i="13"/>
  <c r="AN18" i="13" s="1"/>
  <c r="D66" i="13"/>
  <c r="M64" i="13"/>
  <c r="M66" i="13" s="1"/>
  <c r="AK21" i="13"/>
  <c r="D116" i="13"/>
  <c r="D125" i="13" s="1"/>
  <c r="AB54" i="13"/>
  <c r="AM51" i="13"/>
  <c r="D87" i="13"/>
  <c r="D91" i="13" s="1"/>
  <c r="M90" i="13"/>
  <c r="M87" i="13" s="1"/>
  <c r="M91" i="13" s="1"/>
  <c r="AK36" i="13"/>
  <c r="AK40" i="13" s="1"/>
  <c r="AK22" i="13"/>
  <c r="AQ22" i="13" s="1"/>
  <c r="D149" i="13"/>
  <c r="M149" i="13"/>
  <c r="W134" i="13"/>
  <c r="M124" i="13"/>
  <c r="M125" i="13" s="1"/>
  <c r="AK17" i="13"/>
  <c r="M166" i="13"/>
  <c r="AL64" i="13" s="1"/>
  <c r="AK20" i="13"/>
  <c r="D22" i="13"/>
  <c r="D25" i="13" s="1"/>
  <c r="AM9" i="13"/>
  <c r="D86" i="13"/>
  <c r="D84" i="13" s="1"/>
  <c r="AM18" i="13"/>
  <c r="AM8" i="13"/>
  <c r="D141" i="13"/>
  <c r="D139" i="13" s="1"/>
  <c r="D78" i="13"/>
  <c r="AO12" i="13"/>
  <c r="AM13" i="13"/>
  <c r="AO9" i="13"/>
  <c r="AB14" i="13"/>
  <c r="AB16" i="13" s="1"/>
  <c r="AK5" i="13"/>
  <c r="AO5" i="13"/>
  <c r="AB91" i="13"/>
  <c r="AP24" i="13"/>
  <c r="D166" i="6"/>
  <c r="R151" i="6"/>
  <c r="AO23" i="13" l="1"/>
  <c r="AO30" i="13"/>
  <c r="AN8" i="13"/>
  <c r="W29" i="13"/>
  <c r="AQ5" i="13"/>
  <c r="AG52" i="13"/>
  <c r="AG55" i="13" s="1"/>
  <c r="AN64" i="13"/>
  <c r="AP27" i="11"/>
  <c r="AK61" i="13"/>
  <c r="AQ18" i="13"/>
  <c r="AM11" i="13"/>
  <c r="AM29" i="13"/>
  <c r="AM30" i="13"/>
  <c r="AQ12" i="13"/>
  <c r="AK50" i="13"/>
  <c r="AO43" i="13"/>
  <c r="AN50" i="13"/>
  <c r="D73" i="13"/>
  <c r="D72" i="13" s="1"/>
  <c r="M78" i="13"/>
  <c r="M76" i="13" s="1"/>
  <c r="M77" i="13" s="1"/>
  <c r="AK48" i="13"/>
  <c r="M166" i="6"/>
  <c r="AL51" i="6" s="1"/>
  <c r="AK51" i="6"/>
  <c r="AL50" i="13"/>
  <c r="D106" i="13"/>
  <c r="AK13" i="13" s="1"/>
  <c r="AK45" i="13"/>
  <c r="D30" i="13"/>
  <c r="M35" i="13"/>
  <c r="W54" i="13"/>
  <c r="AN51" i="13" s="1"/>
  <c r="AO51" i="13"/>
  <c r="AL21" i="13"/>
  <c r="AQ21" i="13" s="1"/>
  <c r="W52" i="13"/>
  <c r="AB57" i="13"/>
  <c r="W72" i="13"/>
  <c r="AL17" i="13"/>
  <c r="AQ17" i="13" s="1"/>
  <c r="AL20" i="13"/>
  <c r="AQ20" i="13" s="1"/>
  <c r="AN9" i="13"/>
  <c r="M22" i="13"/>
  <c r="AK9" i="13"/>
  <c r="W61" i="13"/>
  <c r="AO8" i="13"/>
  <c r="AO13" i="13"/>
  <c r="AR21" i="13" l="1"/>
  <c r="AO57" i="13"/>
  <c r="M84" i="13"/>
  <c r="M86" i="13" s="1"/>
  <c r="AL24" i="13" s="1"/>
  <c r="AG54" i="13"/>
  <c r="AG53" i="13"/>
  <c r="AG58" i="13"/>
  <c r="AP19" i="13"/>
  <c r="AN11" i="13"/>
  <c r="AL61" i="13"/>
  <c r="AN61" i="13" s="1"/>
  <c r="M73" i="13"/>
  <c r="M72" i="13" s="1"/>
  <c r="AL9" i="13"/>
  <c r="AQ9" i="13" s="1"/>
  <c r="M25" i="13"/>
  <c r="AN43" i="13"/>
  <c r="W57" i="13"/>
  <c r="W83" i="13"/>
  <c r="R79" i="13"/>
  <c r="M30" i="13"/>
  <c r="AL8" i="13"/>
  <c r="AQ8" i="13" s="1"/>
  <c r="AL48" i="13"/>
  <c r="AN10" i="13"/>
  <c r="AO10" i="13"/>
  <c r="AM10" i="13"/>
  <c r="AO8" i="6"/>
  <c r="AO18" i="6"/>
  <c r="D211" i="6"/>
  <c r="D207" i="6"/>
  <c r="M207" i="6" s="1"/>
  <c r="M208" i="6" s="1"/>
  <c r="R84" i="6"/>
  <c r="D42" i="6"/>
  <c r="D61" i="6"/>
  <c r="D83" i="6"/>
  <c r="D177" i="6"/>
  <c r="D203" i="6"/>
  <c r="D204" i="6" s="1"/>
  <c r="D223" i="6"/>
  <c r="D216" i="6"/>
  <c r="R175" i="6"/>
  <c r="AM62" i="13" l="1"/>
  <c r="AN65" i="13"/>
  <c r="AG56" i="13"/>
  <c r="AP29" i="13" s="1"/>
  <c r="AN68" i="13"/>
  <c r="AG207" i="13"/>
  <c r="AP26" i="13" s="1"/>
  <c r="AR9" i="13"/>
  <c r="AK36" i="6"/>
  <c r="AK63" i="6"/>
  <c r="AL38" i="6"/>
  <c r="W79" i="13"/>
  <c r="AN14" i="13" s="1"/>
  <c r="AM14" i="13"/>
  <c r="AK35" i="6"/>
  <c r="AK22" i="6"/>
  <c r="AL45" i="13"/>
  <c r="D175" i="6"/>
  <c r="AM54" i="6"/>
  <c r="D65" i="6"/>
  <c r="M61" i="6"/>
  <c r="AK42" i="6"/>
  <c r="W84" i="6"/>
  <c r="M84" i="6"/>
  <c r="D213" i="6"/>
  <c r="AK75" i="6" s="1"/>
  <c r="M211" i="6"/>
  <c r="AL22" i="6" s="1"/>
  <c r="AK34" i="6"/>
  <c r="AO14" i="13"/>
  <c r="AK20" i="6"/>
  <c r="M188" i="6"/>
  <c r="AL63" i="6" s="1"/>
  <c r="AK8" i="6"/>
  <c r="AQ8" i="6" s="1"/>
  <c r="R142" i="6"/>
  <c r="D143" i="6"/>
  <c r="W95" i="6"/>
  <c r="R28" i="6"/>
  <c r="R23" i="6"/>
  <c r="AO36" i="6"/>
  <c r="AB128" i="6"/>
  <c r="AB119" i="6"/>
  <c r="AB76" i="6"/>
  <c r="AO10" i="6"/>
  <c r="AG72" i="6"/>
  <c r="AP23" i="13" l="1"/>
  <c r="AM45" i="6"/>
  <c r="AB31" i="6"/>
  <c r="AN63" i="6"/>
  <c r="AL13" i="13"/>
  <c r="W76" i="13"/>
  <c r="AK39" i="6"/>
  <c r="M187" i="6"/>
  <c r="M189" i="6" s="1"/>
  <c r="D121" i="6"/>
  <c r="AO44" i="6"/>
  <c r="W28" i="6"/>
  <c r="AM9" i="6"/>
  <c r="M83" i="6"/>
  <c r="M175" i="6"/>
  <c r="AK54" i="6"/>
  <c r="AO21" i="6"/>
  <c r="R128" i="6"/>
  <c r="AO48" i="6"/>
  <c r="W89" i="6"/>
  <c r="W90" i="6" s="1"/>
  <c r="M213" i="6"/>
  <c r="AL34" i="6"/>
  <c r="AL39" i="6" s="1"/>
  <c r="AB84" i="6"/>
  <c r="AB86" i="6" s="1"/>
  <c r="M65" i="6"/>
  <c r="AL42" i="6"/>
  <c r="AL20" i="6"/>
  <c r="AQ20" i="6" s="1"/>
  <c r="AM47" i="6"/>
  <c r="AN47" i="6"/>
  <c r="R146" i="6"/>
  <c r="AM49" i="6" s="1"/>
  <c r="AB28" i="6"/>
  <c r="D28" i="6"/>
  <c r="R76" i="6"/>
  <c r="R75" i="6" s="1"/>
  <c r="D222" i="6"/>
  <c r="AB46" i="6"/>
  <c r="W26" i="6"/>
  <c r="D13" i="6"/>
  <c r="AG4" i="6"/>
  <c r="AG5" i="6"/>
  <c r="AG14" i="6"/>
  <c r="D14" i="6" s="1"/>
  <c r="AG19" i="6"/>
  <c r="AB41" i="6"/>
  <c r="AG41" i="6" s="1"/>
  <c r="AG38" i="6" s="1"/>
  <c r="AG99" i="6"/>
  <c r="AG104" i="6"/>
  <c r="AB104" i="6" s="1"/>
  <c r="D168" i="6"/>
  <c r="D174" i="6" s="1"/>
  <c r="AO9" i="6" l="1"/>
  <c r="W77" i="13"/>
  <c r="AN29" i="13" s="1"/>
  <c r="AN23" i="13"/>
  <c r="AM12" i="6"/>
  <c r="AO23" i="6"/>
  <c r="AO49" i="6"/>
  <c r="AK72" i="6"/>
  <c r="D219" i="6"/>
  <c r="D128" i="6"/>
  <c r="AK48" i="6" s="1"/>
  <c r="M121" i="6"/>
  <c r="AN30" i="13"/>
  <c r="AL18" i="6"/>
  <c r="AQ18" i="6" s="1"/>
  <c r="W41" i="6"/>
  <c r="AM21" i="6"/>
  <c r="AN21" i="6"/>
  <c r="D31" i="6"/>
  <c r="M28" i="6"/>
  <c r="AK9" i="6"/>
  <c r="R89" i="6"/>
  <c r="W128" i="6"/>
  <c r="AM48" i="6"/>
  <c r="R104" i="6"/>
  <c r="AB100" i="6"/>
  <c r="R127" i="6"/>
  <c r="AG66" i="6"/>
  <c r="AG67" i="6" s="1"/>
  <c r="M174" i="6"/>
  <c r="AL10" i="6" s="1"/>
  <c r="AL54" i="6"/>
  <c r="AN9" i="6"/>
  <c r="D92" i="6"/>
  <c r="D76" i="6"/>
  <c r="D104" i="6"/>
  <c r="D100" i="6" s="1"/>
  <c r="AO5" i="6"/>
  <c r="D46" i="6"/>
  <c r="D45" i="6" s="1"/>
  <c r="AK10" i="6" s="1"/>
  <c r="R122" i="3"/>
  <c r="AB149" i="3"/>
  <c r="AN13" i="13" l="1"/>
  <c r="AQ13" i="13" s="1"/>
  <c r="M128" i="6"/>
  <c r="W33" i="6"/>
  <c r="AN15" i="6" s="1"/>
  <c r="AN65" i="6"/>
  <c r="AK73" i="6"/>
  <c r="AK77" i="6"/>
  <c r="AN12" i="6"/>
  <c r="R149" i="3"/>
  <c r="W149" i="3"/>
  <c r="W151" i="3" s="1"/>
  <c r="R151" i="3" s="1"/>
  <c r="AN48" i="6"/>
  <c r="R123" i="3"/>
  <c r="M76" i="6"/>
  <c r="D75" i="6"/>
  <c r="AK12" i="6" s="1"/>
  <c r="AK21" i="6"/>
  <c r="D89" i="6"/>
  <c r="M89" i="6" s="1"/>
  <c r="M90" i="6" s="1"/>
  <c r="M92" i="6"/>
  <c r="AL5" i="6" s="1"/>
  <c r="M104" i="6"/>
  <c r="M100" i="6" s="1"/>
  <c r="W104" i="6"/>
  <c r="R100" i="6"/>
  <c r="R91" i="6"/>
  <c r="M91" i="6" s="1"/>
  <c r="M31" i="6"/>
  <c r="AL9" i="6"/>
  <c r="AQ9" i="6" s="1"/>
  <c r="AR9" i="6" s="1"/>
  <c r="AB32" i="6"/>
  <c r="AO28" i="6" s="1"/>
  <c r="AG12" i="6"/>
  <c r="AP24" i="6"/>
  <c r="R85" i="3"/>
  <c r="W85" i="3" s="1"/>
  <c r="AN18" i="3" s="1"/>
  <c r="AL48" i="6" l="1"/>
  <c r="W31" i="6"/>
  <c r="AM14" i="3"/>
  <c r="AN70" i="3"/>
  <c r="R90" i="6"/>
  <c r="AO29" i="6"/>
  <c r="AG156" i="3"/>
  <c r="D90" i="6"/>
  <c r="AM15" i="6"/>
  <c r="M75" i="6"/>
  <c r="AL12" i="6" s="1"/>
  <c r="AL21" i="6"/>
  <c r="AQ21" i="6" s="1"/>
  <c r="AR21" i="6" s="1"/>
  <c r="AO12" i="6"/>
  <c r="AO42" i="6"/>
  <c r="AO13" i="6"/>
  <c r="D55" i="3"/>
  <c r="D54" i="3"/>
  <c r="D213" i="3"/>
  <c r="D202" i="3"/>
  <c r="D177" i="3"/>
  <c r="D198" i="3"/>
  <c r="D205" i="3"/>
  <c r="D134" i="3"/>
  <c r="W30" i="6" l="1"/>
  <c r="AN11" i="6"/>
  <c r="AM14" i="6"/>
  <c r="AQ12" i="6"/>
  <c r="AM11" i="6"/>
  <c r="AK14" i="6"/>
  <c r="M134" i="3"/>
  <c r="R134" i="3"/>
  <c r="AB54" i="3"/>
  <c r="AB52" i="3" s="1"/>
  <c r="M119" i="3"/>
  <c r="M115" i="3" s="1"/>
  <c r="AL15" i="3" s="1"/>
  <c r="D206" i="3"/>
  <c r="D131" i="3"/>
  <c r="D136" i="3"/>
  <c r="M136" i="3" s="1"/>
  <c r="AB125" i="3"/>
  <c r="D125" i="3" s="1"/>
  <c r="R66" i="3"/>
  <c r="AM13" i="3" s="1"/>
  <c r="R65" i="3"/>
  <c r="D173" i="3"/>
  <c r="AK55" i="3" s="1"/>
  <c r="D172" i="3"/>
  <c r="D176" i="3"/>
  <c r="AK15" i="3" s="1"/>
  <c r="R132" i="3"/>
  <c r="AB135" i="3"/>
  <c r="AG135" i="3" s="1"/>
  <c r="M131" i="3" l="1"/>
  <c r="D65" i="3"/>
  <c r="AG148" i="3"/>
  <c r="AO11" i="6"/>
  <c r="AO14" i="6"/>
  <c r="AO50" i="3"/>
  <c r="R135" i="3"/>
  <c r="AM49" i="3" s="1"/>
  <c r="AB148" i="3"/>
  <c r="W135" i="3"/>
  <c r="AL55" i="3"/>
  <c r="AL10" i="3"/>
  <c r="D132" i="3"/>
  <c r="AM50" i="3"/>
  <c r="AM55" i="3"/>
  <c r="W134" i="3"/>
  <c r="R136" i="3"/>
  <c r="D127" i="3"/>
  <c r="M102" i="3" s="1"/>
  <c r="AL13" i="3" s="1"/>
  <c r="D66" i="3"/>
  <c r="D162" i="3"/>
  <c r="AO16" i="3"/>
  <c r="AQ16" i="3" s="1"/>
  <c r="D191" i="3"/>
  <c r="D100" i="3"/>
  <c r="AK20" i="3" s="1"/>
  <c r="AB64" i="3"/>
  <c r="AO20" i="3" s="1"/>
  <c r="D67" i="3"/>
  <c r="R53" i="3"/>
  <c r="AB31" i="3" s="1"/>
  <c r="AB32" i="3" s="1"/>
  <c r="AO12" i="3" s="1"/>
  <c r="AB67" i="3"/>
  <c r="R117" i="3"/>
  <c r="AM67" i="3" s="1"/>
  <c r="D221" i="3"/>
  <c r="AB80" i="3"/>
  <c r="AM52" i="3"/>
  <c r="D182" i="3"/>
  <c r="AK10" i="3" s="1"/>
  <c r="AB156" i="3"/>
  <c r="AB154" i="3"/>
  <c r="AB157" i="3"/>
  <c r="D226" i="3"/>
  <c r="D48" i="3"/>
  <c r="AK8" i="3" s="1"/>
  <c r="AO8" i="3"/>
  <c r="AG109" i="3"/>
  <c r="AG103" i="3"/>
  <c r="R74" i="3"/>
  <c r="AG52" i="3"/>
  <c r="AG47" i="3"/>
  <c r="D47" i="3"/>
  <c r="R47" i="3" s="1"/>
  <c r="AG13" i="3"/>
  <c r="R12" i="3"/>
  <c r="AB12" i="3"/>
  <c r="AG5" i="3"/>
  <c r="AG4" i="3"/>
  <c r="AK82" i="3" l="1"/>
  <c r="M103" i="3"/>
  <c r="D12" i="3"/>
  <c r="AK79" i="3"/>
  <c r="AM21" i="3"/>
  <c r="AQ21" i="3" s="1"/>
  <c r="AO46" i="3"/>
  <c r="AG67" i="3"/>
  <c r="AM18" i="3"/>
  <c r="AM68" i="3"/>
  <c r="R48" i="3"/>
  <c r="AN10" i="3" s="1"/>
  <c r="AB74" i="3"/>
  <c r="AO4" i="3" s="1"/>
  <c r="M74" i="3"/>
  <c r="R157" i="3"/>
  <c r="D157" i="3" s="1"/>
  <c r="AO58" i="3"/>
  <c r="R156" i="3"/>
  <c r="M82" i="3"/>
  <c r="D70" i="3"/>
  <c r="AK19" i="3" s="1"/>
  <c r="M67" i="3"/>
  <c r="AK46" i="3"/>
  <c r="M100" i="3"/>
  <c r="AK13" i="3"/>
  <c r="M132" i="3"/>
  <c r="AL50" i="3" s="1"/>
  <c r="AK50" i="3"/>
  <c r="AN49" i="3"/>
  <c r="W148" i="3"/>
  <c r="R154" i="3"/>
  <c r="AO51" i="3"/>
  <c r="W80" i="3"/>
  <c r="W83" i="3" s="1"/>
  <c r="AB84" i="3"/>
  <c r="AO49" i="3" s="1"/>
  <c r="D53" i="3"/>
  <c r="AK9" i="3" s="1"/>
  <c r="W53" i="3"/>
  <c r="AM9" i="3"/>
  <c r="D135" i="3"/>
  <c r="M135" i="3" s="1"/>
  <c r="AN55" i="3"/>
  <c r="W136" i="3"/>
  <c r="M88" i="3"/>
  <c r="M87" i="3" s="1"/>
  <c r="AL11" i="3" s="1"/>
  <c r="AN11" i="3"/>
  <c r="R87" i="3"/>
  <c r="AM11" i="3" s="1"/>
  <c r="M186" i="3"/>
  <c r="R80" i="3"/>
  <c r="AO47" i="3"/>
  <c r="D174" i="3"/>
  <c r="D170" i="3" s="1"/>
  <c r="D160" i="3"/>
  <c r="D148" i="3"/>
  <c r="AP24" i="3"/>
  <c r="AO15" i="9"/>
  <c r="D131" i="9"/>
  <c r="AL20" i="3" l="1"/>
  <c r="AQ20" i="3" s="1"/>
  <c r="AL52" i="3"/>
  <c r="AQ13" i="3"/>
  <c r="AM28" i="3"/>
  <c r="AM53" i="3"/>
  <c r="AG71" i="3"/>
  <c r="AP28" i="3" s="1"/>
  <c r="D158" i="3"/>
  <c r="AK68" i="3"/>
  <c r="AM47" i="3"/>
  <c r="AM65" i="3"/>
  <c r="AN12" i="3"/>
  <c r="AK18" i="3"/>
  <c r="AN47" i="3"/>
  <c r="AM8" i="3"/>
  <c r="W48" i="3"/>
  <c r="AG11" i="3"/>
  <c r="AB75" i="3"/>
  <c r="AO24" i="3" s="1"/>
  <c r="AM23" i="3"/>
  <c r="AO9" i="3"/>
  <c r="AB34" i="3"/>
  <c r="AK58" i="3"/>
  <c r="D154" i="3"/>
  <c r="M154" i="3"/>
  <c r="D168" i="3"/>
  <c r="M170" i="3"/>
  <c r="AL5" i="3" s="1"/>
  <c r="AN9" i="3"/>
  <c r="AN52" i="3"/>
  <c r="AM51" i="3"/>
  <c r="M70" i="3"/>
  <c r="AL19" i="3" s="1"/>
  <c r="AL46" i="3"/>
  <c r="D82" i="3"/>
  <c r="M83" i="3"/>
  <c r="AL12" i="3" s="1"/>
  <c r="R83" i="3"/>
  <c r="AM66" i="3" s="1"/>
  <c r="D156" i="3"/>
  <c r="M156" i="3"/>
  <c r="M157" i="3"/>
  <c r="AM58" i="3"/>
  <c r="W74" i="3"/>
  <c r="AN4" i="3" s="1"/>
  <c r="AN19" i="3"/>
  <c r="AQ9" i="3" l="1"/>
  <c r="AN72" i="3"/>
  <c r="AN69" i="3"/>
  <c r="AN8" i="3"/>
  <c r="AQ8" i="3" s="1"/>
  <c r="AM60" i="3"/>
  <c r="AQ19" i="3"/>
  <c r="AP23" i="3"/>
  <c r="AL49" i="3"/>
  <c r="M171" i="3"/>
  <c r="M174" i="3" s="1"/>
  <c r="AL18" i="3"/>
  <c r="AQ18" i="3" s="1"/>
  <c r="AL68" i="3"/>
  <c r="AN68" i="3" s="1"/>
  <c r="AM12" i="3"/>
  <c r="AM29" i="3"/>
  <c r="D83" i="3"/>
  <c r="W75" i="3"/>
  <c r="AN24" i="3" s="1"/>
  <c r="D155" i="3"/>
  <c r="M155" i="3"/>
  <c r="AL58" i="3"/>
  <c r="D168" i="9"/>
  <c r="D32" i="9"/>
  <c r="D184" i="9"/>
  <c r="M184" i="9" s="1"/>
  <c r="D86" i="9"/>
  <c r="D147" i="9"/>
  <c r="R75" i="9"/>
  <c r="R23" i="9"/>
  <c r="R51" i="9"/>
  <c r="AO21" i="9"/>
  <c r="AB136" i="9"/>
  <c r="D203" i="9"/>
  <c r="R153" i="9"/>
  <c r="R17" i="9"/>
  <c r="R16" i="9"/>
  <c r="R191" i="9"/>
  <c r="R163" i="9"/>
  <c r="W163" i="9" s="1"/>
  <c r="R145" i="9"/>
  <c r="AM66" i="9" s="1"/>
  <c r="R122" i="9"/>
  <c r="D121" i="9"/>
  <c r="D115" i="9" s="1"/>
  <c r="M115" i="9" s="1"/>
  <c r="R97" i="9"/>
  <c r="AB90" i="9"/>
  <c r="AO40" i="9" s="1"/>
  <c r="D122" i="9"/>
  <c r="AB125" i="9"/>
  <c r="AB112" i="9"/>
  <c r="AB82" i="9"/>
  <c r="AO49" i="9" s="1"/>
  <c r="AB78" i="9"/>
  <c r="R78" i="9" s="1"/>
  <c r="AB79" i="9"/>
  <c r="W79" i="9" s="1"/>
  <c r="AN6" i="9" s="1"/>
  <c r="AB10" i="9"/>
  <c r="AG92" i="9"/>
  <c r="D92" i="9" s="1"/>
  <c r="D89" i="9" s="1"/>
  <c r="AG39" i="9"/>
  <c r="D39" i="9" s="1"/>
  <c r="D38" i="9" s="1"/>
  <c r="AG14" i="9"/>
  <c r="AB36" i="9" s="1"/>
  <c r="R58" i="9" s="1"/>
  <c r="W58" i="9" s="1"/>
  <c r="AG11" i="9"/>
  <c r="AG4" i="9"/>
  <c r="AG3" i="9"/>
  <c r="AN68" i="9" l="1"/>
  <c r="AM50" i="9"/>
  <c r="AL14" i="3"/>
  <c r="AR21" i="3"/>
  <c r="AO29" i="9"/>
  <c r="AM9" i="9"/>
  <c r="AG9" i="9"/>
  <c r="AM14" i="9"/>
  <c r="AM63" i="9"/>
  <c r="AK14" i="3"/>
  <c r="AO47" i="9"/>
  <c r="AG125" i="9"/>
  <c r="AK12" i="3"/>
  <c r="AQ12" i="3" s="1"/>
  <c r="AK21" i="9"/>
  <c r="W59" i="9"/>
  <c r="D127" i="9"/>
  <c r="M78" i="9"/>
  <c r="W78" i="9"/>
  <c r="W77" i="9" s="1"/>
  <c r="M121" i="9"/>
  <c r="D145" i="9"/>
  <c r="AK19" i="9" s="1"/>
  <c r="AM19" i="9"/>
  <c r="W145" i="9"/>
  <c r="AN19" i="9" s="1"/>
  <c r="M203" i="9"/>
  <c r="AK40" i="9"/>
  <c r="D23" i="9"/>
  <c r="AM10" i="9"/>
  <c r="D125" i="9"/>
  <c r="W122" i="9"/>
  <c r="AN50" i="9" s="1"/>
  <c r="AK53" i="9"/>
  <c r="D149" i="9"/>
  <c r="M147" i="9"/>
  <c r="M86" i="9"/>
  <c r="AL21" i="9" s="1"/>
  <c r="M153" i="3"/>
  <c r="AB59" i="9"/>
  <c r="AO44" i="9"/>
  <c r="AK44" i="9"/>
  <c r="D183" i="9"/>
  <c r="D178" i="9" s="1"/>
  <c r="AB88" i="9"/>
  <c r="D16" i="9"/>
  <c r="D153" i="9"/>
  <c r="D152" i="9" s="1"/>
  <c r="D202" i="9"/>
  <c r="D164" i="3"/>
  <c r="AO13" i="9"/>
  <c r="D142" i="9"/>
  <c r="D140" i="9" s="1"/>
  <c r="D163" i="9"/>
  <c r="M163" i="9" s="1"/>
  <c r="D71" i="9"/>
  <c r="D79" i="9"/>
  <c r="AK6" i="9" s="1"/>
  <c r="R125" i="9"/>
  <c r="AB117" i="9"/>
  <c r="AO30" i="9" s="1"/>
  <c r="AO6" i="9"/>
  <c r="AB3" i="9"/>
  <c r="AP25" i="9"/>
  <c r="AN12" i="9" l="1"/>
  <c r="AO23" i="9"/>
  <c r="AK17" i="9"/>
  <c r="D146" i="9"/>
  <c r="M146" i="9" s="1"/>
  <c r="AL11" i="9" s="1"/>
  <c r="AQ6" i="9"/>
  <c r="AK11" i="3"/>
  <c r="AK77" i="3"/>
  <c r="AK18" i="9"/>
  <c r="AQ21" i="9"/>
  <c r="AK66" i="9"/>
  <c r="M77" i="9"/>
  <c r="AM12" i="9" s="1"/>
  <c r="AO48" i="9"/>
  <c r="AG117" i="9"/>
  <c r="AN46" i="9"/>
  <c r="R160" i="9"/>
  <c r="AB4" i="9"/>
  <c r="AM47" i="9"/>
  <c r="W125" i="9"/>
  <c r="AK37" i="9"/>
  <c r="D17" i="9"/>
  <c r="AK11" i="9" s="1"/>
  <c r="D82" i="9"/>
  <c r="W82" i="9"/>
  <c r="M23" i="9"/>
  <c r="D26" i="9"/>
  <c r="AK10" i="9"/>
  <c r="AL40" i="9"/>
  <c r="AL41" i="9" s="1"/>
  <c r="M202" i="9"/>
  <c r="AL18" i="9" s="1"/>
  <c r="AL23" i="9"/>
  <c r="AM49" i="9"/>
  <c r="D85" i="9"/>
  <c r="W85" i="9"/>
  <c r="M71" i="9"/>
  <c r="W88" i="9"/>
  <c r="W92" i="9" s="1"/>
  <c r="AO37" i="9"/>
  <c r="AO41" i="9" s="1"/>
  <c r="D78" i="9"/>
  <c r="D77" i="9" s="1"/>
  <c r="M149" i="9"/>
  <c r="AL17" i="9" s="1"/>
  <c r="AB132" i="9"/>
  <c r="M142" i="9"/>
  <c r="M140" i="9" s="1"/>
  <c r="M138" i="9" s="1"/>
  <c r="M183" i="9"/>
  <c r="AL66" i="9" s="1"/>
  <c r="AK20" i="9"/>
  <c r="D201" i="9"/>
  <c r="M191" i="9" s="1"/>
  <c r="D200" i="9"/>
  <c r="D165" i="3"/>
  <c r="AK80" i="3" s="1"/>
  <c r="D33" i="9"/>
  <c r="AK9" i="9" s="1"/>
  <c r="R142" i="9"/>
  <c r="D117" i="9"/>
  <c r="R117" i="9"/>
  <c r="AM30" i="9" s="1"/>
  <c r="AB97" i="9"/>
  <c r="AB92" i="9" s="1"/>
  <c r="AQ17" i="9" l="1"/>
  <c r="AN49" i="9"/>
  <c r="AK52" i="3"/>
  <c r="AN66" i="9"/>
  <c r="AQ18" i="9"/>
  <c r="AO25" i="9"/>
  <c r="AN47" i="9"/>
  <c r="R119" i="9"/>
  <c r="AG132" i="9"/>
  <c r="AK12" i="9"/>
  <c r="R4" i="9"/>
  <c r="AK48" i="9"/>
  <c r="AM23" i="9"/>
  <c r="AN37" i="9"/>
  <c r="AN41" i="9" s="1"/>
  <c r="AN23" i="9"/>
  <c r="W83" i="9"/>
  <c r="AN15" i="9" s="1"/>
  <c r="M85" i="9"/>
  <c r="AM48" i="9"/>
  <c r="W117" i="9"/>
  <c r="AN30" i="9" s="1"/>
  <c r="M201" i="9"/>
  <c r="M200" i="9"/>
  <c r="M26" i="9"/>
  <c r="AL10" i="9"/>
  <c r="AQ10" i="9" s="1"/>
  <c r="M82" i="9"/>
  <c r="AK49" i="9"/>
  <c r="W142" i="9"/>
  <c r="AN51" i="9" s="1"/>
  <c r="R140" i="9"/>
  <c r="AL19" i="9"/>
  <c r="AQ19" i="9" s="1"/>
  <c r="AL20" i="9"/>
  <c r="AQ20" i="9" s="1"/>
  <c r="D70" i="9"/>
  <c r="AO45" i="9"/>
  <c r="AM11" i="9"/>
  <c r="D166" i="3"/>
  <c r="AK81" i="3" s="1"/>
  <c r="D93" i="9"/>
  <c r="AG97" i="9"/>
  <c r="AN29" i="9" l="1"/>
  <c r="AM51" i="9"/>
  <c r="AM65" i="9"/>
  <c r="AN24" i="9"/>
  <c r="AM29" i="9"/>
  <c r="AM37" i="9"/>
  <c r="AM41" i="9" s="1"/>
  <c r="AM5" i="9"/>
  <c r="AM62" i="9"/>
  <c r="AR22" i="9"/>
  <c r="AK49" i="3"/>
  <c r="AK76" i="3"/>
  <c r="AK83" i="3"/>
  <c r="AL49" i="9"/>
  <c r="AM16" i="9"/>
  <c r="AN48" i="9"/>
  <c r="D4" i="9"/>
  <c r="D3" i="9" s="1"/>
  <c r="AK25" i="9" s="1"/>
  <c r="R3" i="9"/>
  <c r="W132" i="9"/>
  <c r="W4" i="9"/>
  <c r="AL25" i="9"/>
  <c r="M70" i="9"/>
  <c r="AK45" i="9"/>
  <c r="D72" i="9"/>
  <c r="AK13" i="9" s="1"/>
  <c r="R92" i="9"/>
  <c r="D97" i="9"/>
  <c r="D95" i="9" s="1"/>
  <c r="AK50" i="9" l="1"/>
  <c r="AM25" i="9"/>
  <c r="W3" i="9"/>
  <c r="M95" i="9"/>
  <c r="AL45" i="9"/>
  <c r="M72" i="9"/>
  <c r="AL13" i="9" s="1"/>
  <c r="AQ13" i="9" s="1"/>
  <c r="AO11" i="3"/>
  <c r="AQ11" i="3" s="1"/>
  <c r="K207" i="13"/>
  <c r="M93" i="9" l="1"/>
  <c r="M97" i="9" s="1"/>
  <c r="D196" i="12"/>
  <c r="D210" i="12"/>
  <c r="D214" i="12"/>
  <c r="M210" i="12" l="1"/>
  <c r="M214" i="12" s="1"/>
  <c r="AK16" i="12"/>
  <c r="AK52" i="12"/>
  <c r="M196" i="12"/>
  <c r="AL52" i="12" s="1"/>
  <c r="D163" i="12"/>
  <c r="D236" i="12"/>
  <c r="AK79" i="12" s="1"/>
  <c r="AB28" i="12"/>
  <c r="M191" i="12"/>
  <c r="M197" i="12" s="1"/>
  <c r="D182" i="12"/>
  <c r="D74" i="12"/>
  <c r="AB30" i="12"/>
  <c r="D152" i="12"/>
  <c r="R64" i="12"/>
  <c r="R136" i="12"/>
  <c r="AB125" i="12"/>
  <c r="R30" i="12"/>
  <c r="AM14" i="12" s="1"/>
  <c r="AB26" i="12"/>
  <c r="R60" i="12"/>
  <c r="D181" i="12"/>
  <c r="R94" i="12"/>
  <c r="W94" i="12" s="1"/>
  <c r="D65" i="12"/>
  <c r="R12" i="12"/>
  <c r="AK76" i="12" l="1"/>
  <c r="AK13" i="12"/>
  <c r="R191" i="12"/>
  <c r="AM67" i="12" s="1"/>
  <c r="AL67" i="12"/>
  <c r="AK78" i="12"/>
  <c r="AK66" i="12"/>
  <c r="AO10" i="12"/>
  <c r="AQ10" i="12" s="1"/>
  <c r="AR10" i="12" s="1"/>
  <c r="AM6" i="12"/>
  <c r="W60" i="12"/>
  <c r="AM46" i="12"/>
  <c r="D136" i="12"/>
  <c r="R138" i="12"/>
  <c r="AM16" i="12" s="1"/>
  <c r="W136" i="12"/>
  <c r="W138" i="12" s="1"/>
  <c r="AN16" i="12" s="1"/>
  <c r="AM49" i="12"/>
  <c r="AO23" i="12"/>
  <c r="AQ23" i="12" s="1"/>
  <c r="AO42" i="12"/>
  <c r="AO43" i="12" s="1"/>
  <c r="AO48" i="12"/>
  <c r="AM52" i="12"/>
  <c r="AO14" i="12"/>
  <c r="R89" i="12"/>
  <c r="AM51" i="12" s="1"/>
  <c r="D92" i="12"/>
  <c r="W64" i="12"/>
  <c r="AL21" i="12"/>
  <c r="AK21" i="12"/>
  <c r="R74" i="12"/>
  <c r="AM13" i="12" s="1"/>
  <c r="AB22" i="12"/>
  <c r="D114" i="12"/>
  <c r="AB12" i="12"/>
  <c r="AB13" i="12"/>
  <c r="R172" i="12"/>
  <c r="D146" i="12"/>
  <c r="AG98" i="12"/>
  <c r="W68" i="12"/>
  <c r="W70" i="12" s="1"/>
  <c r="AG65" i="12"/>
  <c r="AG43" i="12"/>
  <c r="AB43" i="12" s="1"/>
  <c r="D38" i="12"/>
  <c r="R38" i="12" s="1"/>
  <c r="AB38" i="12" s="1"/>
  <c r="W38" i="12" s="1"/>
  <c r="W33" i="12" s="1"/>
  <c r="D13" i="12"/>
  <c r="AG5" i="12"/>
  <c r="AG4" i="12"/>
  <c r="R194" i="12" l="1"/>
  <c r="AM66" i="12" s="1"/>
  <c r="AM21" i="12"/>
  <c r="AQ21" i="12" s="1"/>
  <c r="AM31" i="12"/>
  <c r="AN67" i="12"/>
  <c r="AN46" i="12"/>
  <c r="AK53" i="12"/>
  <c r="AN49" i="12"/>
  <c r="W99" i="12"/>
  <c r="W104" i="12" s="1"/>
  <c r="M136" i="12"/>
  <c r="AL49" i="12" s="1"/>
  <c r="AK49" i="12"/>
  <c r="AB4" i="12"/>
  <c r="R43" i="12"/>
  <c r="R42" i="12" s="1"/>
  <c r="W43" i="12"/>
  <c r="W42" i="12" s="1"/>
  <c r="AN11" i="12" s="1"/>
  <c r="R173" i="12"/>
  <c r="M173" i="12" s="1"/>
  <c r="M179" i="12" s="1"/>
  <c r="AL66" i="12" s="1"/>
  <c r="W172" i="12"/>
  <c r="M146" i="12"/>
  <c r="M92" i="12"/>
  <c r="D89" i="12"/>
  <c r="W89" i="12"/>
  <c r="W87" i="12" s="1"/>
  <c r="M114" i="12"/>
  <c r="R25" i="12"/>
  <c r="AM55" i="12"/>
  <c r="AO18" i="12"/>
  <c r="AG11" i="12"/>
  <c r="AP25" i="12"/>
  <c r="AO6" i="12"/>
  <c r="AO11" i="12"/>
  <c r="D83" i="12"/>
  <c r="D82" i="12" s="1"/>
  <c r="D43" i="12"/>
  <c r="D42" i="12" s="1"/>
  <c r="D68" i="12"/>
  <c r="D70" i="12" s="1"/>
  <c r="R86" i="12" l="1"/>
  <c r="R87" i="12" s="1"/>
  <c r="AM24" i="12" s="1"/>
  <c r="R70" i="12"/>
  <c r="AN66" i="12"/>
  <c r="AM30" i="12"/>
  <c r="D90" i="12"/>
  <c r="AK15" i="12" s="1"/>
  <c r="AK31" i="12"/>
  <c r="AK30" i="12"/>
  <c r="AM53" i="12"/>
  <c r="M42" i="12"/>
  <c r="M43" i="12" s="1"/>
  <c r="AK11" i="12"/>
  <c r="R68" i="12"/>
  <c r="AN55" i="12"/>
  <c r="AO49" i="12"/>
  <c r="AB99" i="12"/>
  <c r="W146" i="12"/>
  <c r="W145" i="12" s="1"/>
  <c r="AN48" i="12"/>
  <c r="AK48" i="12"/>
  <c r="AK24" i="12"/>
  <c r="M89" i="12"/>
  <c r="M90" i="12" s="1"/>
  <c r="AK51" i="12"/>
  <c r="W82" i="12"/>
  <c r="M83" i="12"/>
  <c r="M115" i="12"/>
  <c r="D25" i="12"/>
  <c r="AO15" i="12"/>
  <c r="AO13" i="12"/>
  <c r="AQ13" i="12" s="1"/>
  <c r="AM65" i="12" l="1"/>
  <c r="AM11" i="12"/>
  <c r="AM48" i="12"/>
  <c r="AK65" i="12"/>
  <c r="AL15" i="12"/>
  <c r="AQ15" i="12" s="1"/>
  <c r="AB104" i="12"/>
  <c r="AG104" i="12" s="1"/>
  <c r="AG99" i="12"/>
  <c r="AN12" i="12"/>
  <c r="AL11" i="12"/>
  <c r="AQ11" i="12" s="1"/>
  <c r="M142" i="12"/>
  <c r="M138" i="12"/>
  <c r="AL51" i="12" s="1"/>
  <c r="M141" i="12"/>
  <c r="AL16" i="12" s="1"/>
  <c r="M137" i="12"/>
  <c r="AL14" i="12" s="1"/>
  <c r="AQ14" i="12" s="1"/>
  <c r="AN18" i="12"/>
  <c r="AQ18" i="12" s="1"/>
  <c r="W140" i="12"/>
  <c r="AK60" i="12"/>
  <c r="M82" i="12"/>
  <c r="M25" i="12"/>
  <c r="W57" i="4"/>
  <c r="W101" i="4"/>
  <c r="AS52" i="4" s="1"/>
  <c r="W238" i="4"/>
  <c r="AS63" i="4" s="1"/>
  <c r="W190" i="4"/>
  <c r="AN65" i="12" l="1"/>
  <c r="AL24" i="12"/>
  <c r="R104" i="12"/>
  <c r="D104" i="12"/>
  <c r="AL31" i="12"/>
  <c r="R99" i="12"/>
  <c r="M99" i="12" s="1"/>
  <c r="M104" i="12" s="1"/>
  <c r="D99" i="12"/>
  <c r="AL65" i="12"/>
  <c r="AL30" i="12"/>
  <c r="AS17" i="4"/>
  <c r="W59" i="4"/>
  <c r="AL53" i="12"/>
  <c r="AL12" i="12"/>
  <c r="AN52" i="12"/>
  <c r="AN50" i="12"/>
  <c r="AK22" i="12"/>
  <c r="AQ22" i="12" s="1"/>
  <c r="AR22" i="12" s="1"/>
  <c r="AB238" i="4"/>
  <c r="AT63" i="4" s="1"/>
  <c r="M60" i="4"/>
  <c r="M247" i="4"/>
  <c r="M117" i="4"/>
  <c r="M210" i="4"/>
  <c r="M215" i="4"/>
  <c r="M213" i="4"/>
  <c r="M207" i="4"/>
  <c r="M142" i="4"/>
  <c r="D103" i="12" l="1"/>
  <c r="AK80" i="12" s="1"/>
  <c r="AK6" i="12"/>
  <c r="AQ6" i="12" s="1"/>
  <c r="AK12" i="12"/>
  <c r="AQ12" i="12" s="1"/>
  <c r="AR14" i="12" s="1"/>
  <c r="AO50" i="12"/>
  <c r="AB146" i="12"/>
  <c r="D117" i="4"/>
  <c r="M314" i="4"/>
  <c r="M274" i="4"/>
  <c r="M271" i="4"/>
  <c r="M231" i="4"/>
  <c r="AQ56" i="4" s="1"/>
  <c r="M192" i="4"/>
  <c r="M119" i="4"/>
  <c r="M120" i="4"/>
  <c r="AQ23" i="4"/>
  <c r="M102" i="4"/>
  <c r="M78" i="4"/>
  <c r="M66" i="4"/>
  <c r="AQ25" i="4" s="1"/>
  <c r="M67" i="4"/>
  <c r="M101" i="4"/>
  <c r="M57" i="4"/>
  <c r="W274" i="4"/>
  <c r="AQ26" i="4" l="1"/>
  <c r="M115" i="4"/>
  <c r="AQ21" i="4" s="1"/>
  <c r="AK82" i="12"/>
  <c r="AK75" i="12"/>
  <c r="M103" i="12"/>
  <c r="AL64" i="12" s="1"/>
  <c r="AK64" i="12"/>
  <c r="R63" i="12"/>
  <c r="AQ60" i="4"/>
  <c r="AQ52" i="4"/>
  <c r="W278" i="4"/>
  <c r="AS60" i="4"/>
  <c r="M64" i="4"/>
  <c r="W249" i="4"/>
  <c r="AS26" i="4" s="1"/>
  <c r="W233" i="4"/>
  <c r="W211" i="4"/>
  <c r="W192" i="4"/>
  <c r="W76" i="4"/>
  <c r="AN71" i="12" l="1"/>
  <c r="AN68" i="12"/>
  <c r="AM64" i="12"/>
  <c r="AN64" i="12" s="1"/>
  <c r="AB35" i="12"/>
  <c r="AB31" i="12" s="1"/>
  <c r="AO16" i="12" s="1"/>
  <c r="AQ16" i="12" s="1"/>
  <c r="AR18" i="12" s="1"/>
  <c r="W63" i="12"/>
  <c r="W62" i="12" s="1"/>
  <c r="AS51" i="4"/>
  <c r="AS58" i="4"/>
  <c r="W224" i="4"/>
  <c r="D114" i="4"/>
  <c r="D320" i="4"/>
  <c r="R249" i="4"/>
  <c r="AR73" i="4" s="1"/>
  <c r="D119" i="4"/>
  <c r="D227" i="4"/>
  <c r="AP29" i="4" s="1"/>
  <c r="AB75" i="4"/>
  <c r="R106" i="4"/>
  <c r="R180" i="4"/>
  <c r="M180" i="4" s="1"/>
  <c r="R193" i="4"/>
  <c r="D168" i="4"/>
  <c r="D163" i="4" s="1"/>
  <c r="AB5" i="4"/>
  <c r="AG80" i="4"/>
  <c r="AB80" i="4" s="1"/>
  <c r="R194" i="4" l="1"/>
  <c r="AR60" i="4" s="1"/>
  <c r="AR24" i="4"/>
  <c r="AT28" i="4"/>
  <c r="AP28" i="4"/>
  <c r="AP73" i="4"/>
  <c r="D226" i="4"/>
  <c r="M193" i="4"/>
  <c r="W120" i="4"/>
  <c r="M320" i="4"/>
  <c r="W5" i="4"/>
  <c r="M31" i="4"/>
  <c r="W157" i="4"/>
  <c r="AB180" i="4"/>
  <c r="AT53" i="4" s="1"/>
  <c r="AB78" i="4"/>
  <c r="R64" i="4"/>
  <c r="R104" i="4"/>
  <c r="R103" i="4" s="1"/>
  <c r="D274" i="4"/>
  <c r="AP60" i="4" s="1"/>
  <c r="D231" i="4"/>
  <c r="D102" i="4"/>
  <c r="AQ17" i="4" l="1"/>
  <c r="AW17" i="4" s="1"/>
  <c r="AT59" i="4"/>
  <c r="AL78" i="4"/>
  <c r="D103" i="4"/>
  <c r="AP20" i="4" s="1"/>
  <c r="AP54" i="4"/>
  <c r="AS55" i="4"/>
  <c r="AR57" i="4"/>
  <c r="AR20" i="4"/>
  <c r="AS28" i="4"/>
  <c r="W115" i="4"/>
  <c r="AS21" i="4" s="1"/>
  <c r="W4" i="4"/>
  <c r="W104" i="4"/>
  <c r="W103" i="4" s="1"/>
  <c r="W180" i="4"/>
  <c r="M35" i="4"/>
  <c r="AQ19" i="4" s="1"/>
  <c r="R290" i="4"/>
  <c r="AR26" i="4"/>
  <c r="AQ28" i="4"/>
  <c r="AW28" i="4" s="1"/>
  <c r="M104" i="4"/>
  <c r="AU49" i="4"/>
  <c r="AT49" i="4"/>
  <c r="W78" i="4"/>
  <c r="W79" i="4" s="1"/>
  <c r="R76" i="4"/>
  <c r="R77" i="4"/>
  <c r="AR53" i="4" s="1"/>
  <c r="R233" i="4"/>
  <c r="AR58" i="4" s="1"/>
  <c r="AS27" i="4" l="1"/>
  <c r="AL80" i="4"/>
  <c r="AV37" i="4" s="1"/>
  <c r="AS20" i="4"/>
  <c r="AR51" i="4"/>
  <c r="M103" i="4"/>
  <c r="AS53" i="4"/>
  <c r="AS57" i="4"/>
  <c r="D318" i="4"/>
  <c r="M77" i="4"/>
  <c r="M76" i="4"/>
  <c r="AQ51" i="4" s="1"/>
  <c r="D233" i="4"/>
  <c r="AP58" i="4" s="1"/>
  <c r="M233" i="4"/>
  <c r="AQ58" i="4" s="1"/>
  <c r="R238" i="4"/>
  <c r="AL415" i="4" l="1"/>
  <c r="AV34" i="4" s="1"/>
  <c r="AQ20" i="4"/>
  <c r="AW20" i="4" s="1"/>
  <c r="AQ53" i="4"/>
  <c r="M84" i="4"/>
  <c r="AV31" i="4"/>
  <c r="AV33" i="4" s="1"/>
  <c r="D316" i="4"/>
  <c r="AP26" i="4"/>
  <c r="AQ59" i="4"/>
  <c r="AR63" i="4"/>
  <c r="R224" i="4"/>
  <c r="M238" i="4"/>
  <c r="D238" i="4"/>
  <c r="AQ63" i="4" l="1"/>
  <c r="M232" i="4"/>
  <c r="AP63" i="4"/>
  <c r="AP70" i="4"/>
  <c r="D230" i="4"/>
  <c r="AP85" i="4" s="1"/>
  <c r="AG67" i="4"/>
  <c r="AU26" i="4" s="1"/>
  <c r="AW26" i="4" s="1"/>
  <c r="AP53" i="4" l="1"/>
  <c r="AP82" i="4"/>
  <c r="AG56" i="4"/>
  <c r="AU32" i="4" s="1"/>
  <c r="AG5" i="4"/>
  <c r="AU12" i="4" s="1"/>
  <c r="I89" i="4"/>
  <c r="AB149" i="4" l="1"/>
  <c r="AB140" i="4" l="1"/>
  <c r="AT12" i="4"/>
  <c r="AG45" i="4"/>
  <c r="R139" i="4"/>
  <c r="M139" i="4" s="1"/>
  <c r="W139" i="4"/>
  <c r="R149" i="4"/>
  <c r="W149" i="4"/>
  <c r="D281" i="4"/>
  <c r="M278" i="4"/>
  <c r="M270" i="4"/>
  <c r="AQ57" i="4" s="1"/>
  <c r="AB87" i="4"/>
  <c r="R87" i="4" s="1"/>
  <c r="AE415" i="4"/>
  <c r="M268" i="4" l="1"/>
  <c r="D149" i="4"/>
  <c r="W138" i="4"/>
  <c r="M138" i="4"/>
  <c r="D136" i="4"/>
  <c r="AP22" i="4" s="1"/>
  <c r="AU53" i="4"/>
  <c r="AT54" i="4"/>
  <c r="AT65" i="4" s="1"/>
  <c r="AT31" i="4"/>
  <c r="R140" i="4"/>
  <c r="W86" i="4"/>
  <c r="W90" i="4" s="1"/>
  <c r="AS18" i="4" s="1"/>
  <c r="D139" i="4"/>
  <c r="M149" i="4"/>
  <c r="R86" i="4"/>
  <c r="R89" i="4" s="1"/>
  <c r="R221" i="4"/>
  <c r="R196" i="4"/>
  <c r="D30" i="4"/>
  <c r="R200" i="4" l="1"/>
  <c r="AR12" i="4"/>
  <c r="AR54" i="4"/>
  <c r="D138" i="4"/>
  <c r="AP32" i="4" s="1"/>
  <c r="M86" i="4"/>
  <c r="M89" i="4" s="1"/>
  <c r="AR32" i="4"/>
  <c r="R218" i="4"/>
  <c r="AS12" i="4"/>
  <c r="W196" i="4"/>
  <c r="D86" i="4"/>
  <c r="M221" i="4"/>
  <c r="D221" i="4"/>
  <c r="D206" i="4" s="1"/>
  <c r="AP86" i="4" s="1"/>
  <c r="AR27" i="4"/>
  <c r="AP69" i="4" l="1"/>
  <c r="AR25" i="4"/>
  <c r="AW25" i="4" s="1"/>
  <c r="AP81" i="4"/>
  <c r="AP88" i="4"/>
  <c r="AR23" i="4"/>
  <c r="AP21" i="4"/>
  <c r="AQ12" i="4"/>
  <c r="D90" i="4"/>
  <c r="AP12" i="4"/>
  <c r="W212" i="4"/>
  <c r="AS30" i="4" s="1"/>
  <c r="AS54" i="4"/>
  <c r="AQ32" i="4"/>
  <c r="AW12" i="4" l="1"/>
  <c r="AX13" i="4" s="1"/>
  <c r="AP18" i="4"/>
  <c r="AS47" i="4"/>
  <c r="AS49" i="4" s="1"/>
  <c r="M319" i="4"/>
  <c r="AB96" i="10"/>
  <c r="AO4" i="10" s="1"/>
  <c r="AQ73" i="4" l="1"/>
  <c r="AS73" i="4" s="1"/>
  <c r="M316" i="4"/>
  <c r="AQ24" i="4"/>
  <c r="R96" i="10"/>
  <c r="AM4" i="10" s="1"/>
  <c r="AQ27" i="4"/>
  <c r="AW27" i="4" s="1"/>
  <c r="AX29" i="4" s="1"/>
  <c r="R93" i="10" l="1"/>
  <c r="AM59" i="10"/>
  <c r="AQ45" i="4"/>
  <c r="AQ49" i="4" s="1"/>
  <c r="AQ30" i="4"/>
  <c r="AW30" i="4" s="1"/>
  <c r="R9" i="11"/>
  <c r="AB4" i="11"/>
  <c r="AG34" i="11"/>
  <c r="D8" i="11"/>
  <c r="AK4" i="11" l="1"/>
  <c r="AQ4" i="11" s="1"/>
  <c r="W94" i="10"/>
  <c r="D94" i="10"/>
  <c r="D96" i="10" s="1"/>
  <c r="D86" i="11"/>
  <c r="M86" i="11" s="1"/>
  <c r="W86" i="11"/>
  <c r="D91" i="11"/>
  <c r="M91" i="11" s="1"/>
  <c r="R4" i="11"/>
  <c r="W93" i="10" l="1"/>
  <c r="AN45" i="10"/>
  <c r="AG7" i="11"/>
  <c r="W91" i="11"/>
  <c r="W99" i="11" s="1"/>
  <c r="D62" i="11"/>
  <c r="W4" i="11"/>
  <c r="R3" i="11"/>
  <c r="M88" i="11"/>
  <c r="AL49" i="11" s="1"/>
  <c r="D88" i="11"/>
  <c r="D4" i="11"/>
  <c r="AM12" i="10"/>
  <c r="M62" i="11" l="1"/>
  <c r="AL9" i="11" s="1"/>
  <c r="AN46" i="11"/>
  <c r="M89" i="11"/>
  <c r="D3" i="11"/>
  <c r="AL23" i="11"/>
  <c r="D89" i="11"/>
  <c r="W3" i="11"/>
  <c r="AN23" i="11" s="1"/>
  <c r="AK9" i="11"/>
  <c r="AG4" i="11"/>
  <c r="AG3" i="11"/>
  <c r="AQ9" i="11" l="1"/>
  <c r="AO23" i="11"/>
  <c r="AP23" i="11"/>
  <c r="AK23" i="11" l="1"/>
  <c r="AM23" i="11" l="1"/>
  <c r="W27" i="10"/>
  <c r="AK5" i="10"/>
  <c r="AQ5" i="10" s="1"/>
  <c r="AN16" i="10" l="1"/>
  <c r="AN29" i="10"/>
  <c r="AO16" i="10"/>
  <c r="AQ16" i="10" s="1"/>
  <c r="AG24" i="10"/>
  <c r="M82" i="10" l="1"/>
  <c r="AB15" i="10"/>
  <c r="R61" i="10" s="1"/>
  <c r="AN64" i="10" l="1"/>
  <c r="AN67" i="10"/>
  <c r="AM61" i="10"/>
  <c r="R64" i="10"/>
  <c r="AO10" i="10"/>
  <c r="AM10" i="10"/>
  <c r="M62" i="10" l="1"/>
  <c r="D62" i="10"/>
  <c r="AG93" i="10"/>
  <c r="AK15" i="10" l="1"/>
  <c r="AK28" i="10"/>
  <c r="AL15" i="10"/>
  <c r="AL28" i="10"/>
  <c r="R9" i="10"/>
  <c r="AG3" i="10"/>
  <c r="AP24" i="10" l="1"/>
  <c r="AO24" i="10"/>
  <c r="AG7" i="10" l="1"/>
  <c r="W24" i="10"/>
  <c r="AN4" i="10" s="1"/>
  <c r="W29" i="10" l="1"/>
  <c r="R3" i="10"/>
  <c r="AG136" i="10"/>
  <c r="AG96" i="10"/>
  <c r="AG4" i="10"/>
  <c r="AN28" i="10" l="1"/>
  <c r="AQ28" i="10" s="1"/>
  <c r="AN15" i="10"/>
  <c r="AP4" i="10"/>
  <c r="AP25" i="10" s="1"/>
  <c r="AG274" i="10"/>
  <c r="AP26" i="10" s="1"/>
  <c r="AM24" i="10"/>
  <c r="D3" i="10" l="1"/>
  <c r="AE207" i="13" l="1"/>
  <c r="AJ415" i="4" l="1"/>
  <c r="U274" i="10"/>
  <c r="K237" i="9"/>
  <c r="U237" i="9"/>
  <c r="U253" i="12"/>
  <c r="U207" i="13"/>
  <c r="U242" i="6"/>
  <c r="U237" i="3"/>
  <c r="B415" i="4"/>
  <c r="Z415" i="4"/>
  <c r="K415" i="4"/>
  <c r="G415" i="4"/>
  <c r="U224" i="11"/>
  <c r="B207" i="13" l="1"/>
  <c r="G207" i="13"/>
  <c r="P207" i="13"/>
  <c r="Z207" i="13"/>
  <c r="AE237" i="9" l="1"/>
  <c r="Z237" i="9"/>
  <c r="P237" i="9"/>
  <c r="G237" i="9"/>
  <c r="B237" i="9"/>
  <c r="B253" i="12" l="1"/>
  <c r="G253" i="12"/>
  <c r="K253" i="12"/>
  <c r="P253" i="12"/>
  <c r="Z253" i="12"/>
  <c r="AE253" i="12"/>
  <c r="B224" i="11" l="1"/>
  <c r="G224" i="11"/>
  <c r="P224" i="11"/>
  <c r="Z224" i="11"/>
  <c r="AE224" i="11"/>
  <c r="K224" i="11"/>
  <c r="B274" i="10" l="1"/>
  <c r="G274" i="10"/>
  <c r="K274" i="10"/>
  <c r="P274" i="10"/>
  <c r="Z274" i="10"/>
  <c r="AE274" i="10"/>
  <c r="AE242" i="6" l="1"/>
  <c r="Z242" i="6"/>
  <c r="P242" i="6"/>
  <c r="K242" i="6"/>
  <c r="G242" i="6"/>
  <c r="B242" i="6"/>
  <c r="B237" i="3" l="1"/>
  <c r="AE237" i="3"/>
  <c r="Z237" i="3"/>
  <c r="P237" i="3"/>
  <c r="K237" i="3"/>
  <c r="G237" i="3"/>
  <c r="D136" i="10" l="1"/>
  <c r="D130" i="10" s="1"/>
  <c r="AK76" i="10" s="1"/>
  <c r="M136" i="10"/>
  <c r="M130" i="10" s="1"/>
  <c r="AK78" i="10" l="1"/>
  <c r="AK71" i="10"/>
  <c r="AL12" i="10"/>
  <c r="W176" i="4"/>
  <c r="AS37" i="4" s="1"/>
  <c r="AS62" i="4" l="1"/>
  <c r="M51" i="4" l="1"/>
  <c r="AQ70" i="4" l="1"/>
  <c r="AQ16" i="4"/>
  <c r="R176" i="4"/>
  <c r="AW16" i="4" l="1"/>
  <c r="AX17" i="4" s="1"/>
  <c r="AR69" i="4"/>
  <c r="AQ62" i="4"/>
  <c r="AR31" i="4"/>
  <c r="AR62" i="4"/>
  <c r="AR65" i="4" s="1"/>
  <c r="AP19" i="4"/>
  <c r="R108" i="4"/>
  <c r="AR71" i="4" s="1"/>
  <c r="W175" i="4"/>
  <c r="M176" i="4"/>
  <c r="M171" i="4" l="1"/>
  <c r="AQ72" i="4" s="1"/>
  <c r="AR19" i="4"/>
  <c r="AS59" i="4"/>
  <c r="AS65" i="4" s="1"/>
  <c r="AS31" i="4"/>
  <c r="W172" i="4"/>
  <c r="AS22" i="4" s="1"/>
  <c r="AB44" i="4"/>
  <c r="AT38" i="4" s="1"/>
  <c r="D193" i="4"/>
  <c r="AP72" i="4" s="1"/>
  <c r="AQ22" i="4" l="1"/>
  <c r="AW19" i="4"/>
  <c r="AB47" i="4"/>
  <c r="AT37" i="4" s="1"/>
  <c r="D197" i="4"/>
  <c r="AP37" i="4" s="1"/>
  <c r="AP24" i="4"/>
  <c r="AT24" i="4"/>
  <c r="R172" i="4"/>
  <c r="AS74" i="4" s="1"/>
  <c r="W44" i="4"/>
  <c r="AS38" i="4" s="1"/>
  <c r="R171" i="4" l="1"/>
  <c r="AS76" i="4" s="1"/>
  <c r="AP38" i="4"/>
  <c r="AP80" i="4"/>
  <c r="AP71" i="4"/>
  <c r="AT23" i="4"/>
  <c r="AW23" i="4" s="1"/>
  <c r="AP56" i="4"/>
  <c r="AP65" i="4" s="1"/>
  <c r="AP31" i="4"/>
  <c r="AS24" i="4"/>
  <c r="AW24" i="4" s="1"/>
  <c r="AS32" i="4"/>
  <c r="W415" i="4"/>
  <c r="AS34" i="4" s="1"/>
  <c r="AB415" i="4"/>
  <c r="AT34" i="4" s="1"/>
  <c r="AR72" i="4" l="1"/>
  <c r="AS72" i="4" s="1"/>
  <c r="AR22" i="4"/>
  <c r="AW22" i="4" s="1"/>
  <c r="AX25" i="4" s="1"/>
  <c r="AT33" i="4"/>
  <c r="AS33" i="4"/>
  <c r="M279" i="4"/>
  <c r="AQ37" i="4" l="1"/>
  <c r="M289" i="4"/>
  <c r="AQ18" i="4" s="1"/>
  <c r="AQ54" i="4"/>
  <c r="AB35" i="9"/>
  <c r="AQ71" i="4" l="1"/>
  <c r="AS71" i="4" s="1"/>
  <c r="AW18" i="4"/>
  <c r="AB34" i="9"/>
  <c r="AO24" i="9" s="1"/>
  <c r="AG35" i="9"/>
  <c r="AG31" i="9" s="1"/>
  <c r="AO5" i="9"/>
  <c r="W35" i="9"/>
  <c r="W39" i="9" s="1"/>
  <c r="R83" i="9"/>
  <c r="AN67" i="9" l="1"/>
  <c r="AN5" i="9"/>
  <c r="AN25" i="9"/>
  <c r="AG34" i="9"/>
  <c r="AP24" i="9" s="1"/>
  <c r="AP29" i="9"/>
  <c r="AM15" i="9"/>
  <c r="R80" i="9"/>
  <c r="AP5" i="9"/>
  <c r="AO46" i="9"/>
  <c r="AO58" i="9" s="1"/>
  <c r="D83" i="9"/>
  <c r="AK23" i="9"/>
  <c r="AQ23" i="9" s="1"/>
  <c r="AK36" i="9"/>
  <c r="AK41" i="9" s="1"/>
  <c r="AP4" i="3"/>
  <c r="R73" i="3"/>
  <c r="AG237" i="9" l="1"/>
  <c r="AP27" i="9" s="1"/>
  <c r="AM24" i="9"/>
  <c r="AM26" i="9" s="1"/>
  <c r="AM64" i="9"/>
  <c r="AN70" i="9"/>
  <c r="AP16" i="9"/>
  <c r="AP26" i="9" s="1"/>
  <c r="D80" i="9"/>
  <c r="AM46" i="9"/>
  <c r="AM58" i="9" s="1"/>
  <c r="R237" i="9"/>
  <c r="AM27" i="9" s="1"/>
  <c r="M83" i="9"/>
  <c r="AL15" i="9" s="1"/>
  <c r="R75" i="3"/>
  <c r="M73" i="3"/>
  <c r="D73" i="3"/>
  <c r="AK46" i="9" l="1"/>
  <c r="M80" i="9"/>
  <c r="M75" i="3"/>
  <c r="AL24" i="3" s="1"/>
  <c r="D184" i="13"/>
  <c r="AK78" i="13" s="1"/>
  <c r="D185" i="13"/>
  <c r="AK73" i="13" l="1"/>
  <c r="AK49" i="13"/>
  <c r="D182" i="13"/>
  <c r="AK76" i="13" s="1"/>
  <c r="AK14" i="13" l="1"/>
  <c r="AK74" i="13"/>
  <c r="M59" i="10" l="1"/>
  <c r="AL59" i="10" s="1"/>
  <c r="D59" i="10"/>
  <c r="AK59" i="10" l="1"/>
  <c r="AN59" i="10" s="1"/>
  <c r="AN45" i="13"/>
  <c r="AN57" i="13" s="1"/>
  <c r="AK24" i="10"/>
  <c r="AL24" i="10"/>
  <c r="AL10" i="10" l="1"/>
  <c r="AQ10" i="10" s="1"/>
  <c r="AN24" i="10"/>
  <c r="AO7" i="11" l="1"/>
  <c r="AM7" i="11" l="1"/>
  <c r="AK7" i="11" l="1"/>
  <c r="AQ7" i="11" s="1"/>
  <c r="AR8" i="11" s="1"/>
  <c r="AB26" i="11"/>
  <c r="AG26" i="11" l="1"/>
  <c r="AP22" i="11" s="1"/>
  <c r="AO45" i="11"/>
  <c r="AB29" i="11"/>
  <c r="D415" i="4"/>
  <c r="AP34" i="4" s="1"/>
  <c r="AG29" i="11" l="1"/>
  <c r="AP3" i="11" s="1"/>
  <c r="AP24" i="11" s="1"/>
  <c r="AP33" i="4"/>
  <c r="AG224" i="11" l="1"/>
  <c r="AP25" i="11" s="1"/>
  <c r="R73" i="4"/>
  <c r="AS77" i="4" s="1"/>
  <c r="AS75" i="4" l="1"/>
  <c r="AR38" i="4"/>
  <c r="AR21" i="4"/>
  <c r="AW21" i="4" s="1"/>
  <c r="AX21" i="4" s="1"/>
  <c r="AR37" i="4"/>
  <c r="AW37" i="4" s="1"/>
  <c r="AR70" i="4"/>
  <c r="AS70" i="4" s="1"/>
  <c r="R415" i="4"/>
  <c r="AR34" i="4" s="1"/>
  <c r="AR33" i="4" l="1"/>
  <c r="M59" i="4"/>
  <c r="AQ31" i="4" s="1"/>
  <c r="AQ33" i="4" l="1"/>
  <c r="AQ69" i="4"/>
  <c r="AS69" i="4" s="1"/>
  <c r="AQ38" i="4"/>
  <c r="AW38" i="4" s="1"/>
  <c r="M415" i="4"/>
  <c r="AQ34" i="4" s="1"/>
  <c r="AQ55" i="4"/>
  <c r="AQ65" i="4" s="1"/>
  <c r="AN39" i="10" l="1"/>
  <c r="R52" i="3" l="1"/>
  <c r="AM24" i="3" s="1"/>
  <c r="AM10" i="3"/>
  <c r="AQ10" i="3" s="1"/>
  <c r="AR13" i="3" s="1"/>
  <c r="AO24" i="6" l="1"/>
  <c r="AK24" i="6" l="1"/>
  <c r="W97" i="6"/>
  <c r="W100" i="6" l="1"/>
  <c r="AN13" i="6"/>
  <c r="AM13" i="6"/>
  <c r="AO25" i="12" l="1"/>
  <c r="AB5" i="12"/>
  <c r="R5" i="12" l="1"/>
  <c r="AM63" i="12" s="1"/>
  <c r="AO24" i="13"/>
  <c r="D5" i="12" l="1"/>
  <c r="W5" i="12"/>
  <c r="W4" i="12" s="1"/>
  <c r="AN25" i="12" s="1"/>
  <c r="R4" i="12"/>
  <c r="AM25" i="12" s="1"/>
  <c r="AK63" i="12" l="1"/>
  <c r="AK74" i="12"/>
  <c r="AK5" i="12"/>
  <c r="M5" i="12"/>
  <c r="D4" i="12"/>
  <c r="AB4" i="13"/>
  <c r="M4" i="12" l="1"/>
  <c r="AL25" i="12" s="1"/>
  <c r="AL63" i="12"/>
  <c r="AN63" i="12" s="1"/>
  <c r="W4" i="13"/>
  <c r="AN4" i="13" s="1"/>
  <c r="AO4" i="13"/>
  <c r="AK25" i="12"/>
  <c r="AK26" i="12" s="1"/>
  <c r="D253" i="12"/>
  <c r="AK27" i="12" s="1"/>
  <c r="AM24" i="13"/>
  <c r="AO16" i="13"/>
  <c r="W3" i="13" l="1"/>
  <c r="AN24" i="13" s="1"/>
  <c r="AN25" i="13" s="1"/>
  <c r="AM16" i="13"/>
  <c r="AQ16" i="13" s="1"/>
  <c r="AK24" i="13"/>
  <c r="W207" i="13" l="1"/>
  <c r="AN26" i="13" s="1"/>
  <c r="AB207" i="13"/>
  <c r="AO26" i="13" s="1"/>
  <c r="AO11" i="13"/>
  <c r="AO25" i="13" s="1"/>
  <c r="D95" i="13"/>
  <c r="AK15" i="13" l="1"/>
  <c r="AQ15" i="13" s="1"/>
  <c r="AO11" i="9"/>
  <c r="AQ11" i="9" s="1"/>
  <c r="AO9" i="9"/>
  <c r="AM10" i="11"/>
  <c r="AQ10" i="11" s="1"/>
  <c r="AR12" i="11" s="1"/>
  <c r="AO26" i="9" l="1"/>
  <c r="D5" i="3"/>
  <c r="AK64" i="3" s="1"/>
  <c r="AK4" i="3" l="1"/>
  <c r="D4" i="3"/>
  <c r="AK24" i="3" l="1"/>
  <c r="AB237" i="9" l="1"/>
  <c r="AO27" i="9" s="1"/>
  <c r="AK5" i="6" l="1"/>
  <c r="AQ5" i="6" s="1"/>
  <c r="AK22" i="10"/>
  <c r="M246" i="10"/>
  <c r="AK36" i="10"/>
  <c r="AK39" i="10" s="1"/>
  <c r="AL63" i="10" l="1"/>
  <c r="AN63" i="10" s="1"/>
  <c r="M243" i="10"/>
  <c r="AL62" i="10" s="1"/>
  <c r="AN62" i="10" s="1"/>
  <c r="AL22" i="10"/>
  <c r="AQ22" i="10" s="1"/>
  <c r="AL36" i="10"/>
  <c r="AL39" i="10" s="1"/>
  <c r="AM19" i="10" l="1"/>
  <c r="AQ19" i="10" s="1"/>
  <c r="AR21" i="10" s="1"/>
  <c r="AN49" i="10" l="1"/>
  <c r="AN56" i="10" s="1"/>
  <c r="M81" i="10"/>
  <c r="R274" i="10"/>
  <c r="AM26" i="10" s="1"/>
  <c r="D81" i="10" l="1"/>
  <c r="AM13" i="10"/>
  <c r="AM25" i="10" s="1"/>
  <c r="D84" i="10" l="1"/>
  <c r="AK61" i="10"/>
  <c r="AK70" i="10"/>
  <c r="W274" i="10"/>
  <c r="AN26" i="10" s="1"/>
  <c r="AN25" i="10"/>
  <c r="AO15" i="10"/>
  <c r="AQ15" i="10" s="1"/>
  <c r="AO13" i="10"/>
  <c r="M84" i="10" l="1"/>
  <c r="AK29" i="10"/>
  <c r="AK60" i="10"/>
  <c r="AL13" i="10"/>
  <c r="AL29" i="10" l="1"/>
  <c r="AL60" i="10"/>
  <c r="AN60" i="10" s="1"/>
  <c r="AK17" i="10"/>
  <c r="AQ17" i="10" s="1"/>
  <c r="AK12" i="10"/>
  <c r="AB20" i="10" l="1"/>
  <c r="AO29" i="10" s="1"/>
  <c r="AQ29" i="10" s="1"/>
  <c r="AO14" i="10" l="1"/>
  <c r="AO12" i="10"/>
  <c r="AQ12" i="10" s="1"/>
  <c r="AM46" i="11" l="1"/>
  <c r="AO25" i="10"/>
  <c r="AB274" i="10"/>
  <c r="AO26" i="10" s="1"/>
  <c r="D126" i="11" l="1"/>
  <c r="AM16" i="11"/>
  <c r="W125" i="11"/>
  <c r="W114" i="11" s="1"/>
  <c r="AN49" i="11" l="1"/>
  <c r="AN16" i="11"/>
  <c r="M125" i="11"/>
  <c r="AL16" i="11" l="1"/>
  <c r="AQ16" i="11" s="1"/>
  <c r="M126" i="11"/>
  <c r="D189" i="11"/>
  <c r="AK77" i="11" s="1"/>
  <c r="W152" i="11"/>
  <c r="AN50" i="11" s="1"/>
  <c r="R154" i="11"/>
  <c r="D152" i="11"/>
  <c r="AK75" i="11" l="1"/>
  <c r="AB135" i="11"/>
  <c r="AO22" i="11" s="1"/>
  <c r="M152" i="11"/>
  <c r="D154" i="11"/>
  <c r="W154" i="11"/>
  <c r="AN3" i="11" s="1"/>
  <c r="AO28" i="11" l="1"/>
  <c r="D149" i="11"/>
  <c r="AK78" i="11" s="1"/>
  <c r="AK61" i="11"/>
  <c r="M154" i="11"/>
  <c r="AL61" i="11" l="1"/>
  <c r="AL3" i="11"/>
  <c r="AK13" i="11"/>
  <c r="AK64" i="11"/>
  <c r="AK73" i="11"/>
  <c r="AK80" i="11"/>
  <c r="M149" i="11"/>
  <c r="AL64" i="11" s="1"/>
  <c r="AO43" i="3" l="1"/>
  <c r="AN43" i="3"/>
  <c r="AN51" i="3"/>
  <c r="D96" i="3"/>
  <c r="AK51" i="3" l="1"/>
  <c r="M96" i="3"/>
  <c r="AL51" i="3" l="1"/>
  <c r="D99" i="3"/>
  <c r="M99" i="3" l="1"/>
  <c r="M93" i="3" s="1"/>
  <c r="AK65" i="3"/>
  <c r="AK53" i="3"/>
  <c r="D93" i="3"/>
  <c r="AM5" i="3"/>
  <c r="AL48" i="3" l="1"/>
  <c r="AL23" i="3"/>
  <c r="AL53" i="3"/>
  <c r="AL65" i="3"/>
  <c r="AN65" i="3" s="1"/>
  <c r="AL66" i="3"/>
  <c r="AK23" i="3"/>
  <c r="AK66" i="3"/>
  <c r="AN5" i="3"/>
  <c r="AK5" i="3"/>
  <c r="AN66" i="3" l="1"/>
  <c r="AL60" i="3"/>
  <c r="AK48" i="3"/>
  <c r="AB39" i="3"/>
  <c r="AB41" i="3" l="1"/>
  <c r="AO15" i="3" s="1"/>
  <c r="W39" i="3"/>
  <c r="W41" i="3" s="1"/>
  <c r="AN15" i="3" s="1"/>
  <c r="AO48" i="3"/>
  <c r="AK7" i="3"/>
  <c r="AN23" i="3" l="1"/>
  <c r="AL7" i="3"/>
  <c r="AQ7" i="3" s="1"/>
  <c r="AR9" i="3" s="1"/>
  <c r="AK47" i="3" l="1"/>
  <c r="AK60" i="3" l="1"/>
  <c r="D147" i="3"/>
  <c r="M147" i="3" s="1"/>
  <c r="M148" i="3" s="1"/>
  <c r="AL4" i="3" l="1"/>
  <c r="AL67" i="3"/>
  <c r="M237" i="3"/>
  <c r="AL26" i="3" s="1"/>
  <c r="AK17" i="3"/>
  <c r="AK25" i="3" s="1"/>
  <c r="AK67" i="3"/>
  <c r="AK29" i="3"/>
  <c r="AK28" i="3"/>
  <c r="AK75" i="3"/>
  <c r="D237" i="3"/>
  <c r="AK26" i="3" s="1"/>
  <c r="AN67" i="3" l="1"/>
  <c r="AL29" i="3"/>
  <c r="AL28" i="3"/>
  <c r="AL64" i="3"/>
  <c r="AL17" i="3"/>
  <c r="AL25" i="3" s="1"/>
  <c r="AN48" i="3"/>
  <c r="AN60" i="3" s="1"/>
  <c r="AQ15" i="3" l="1"/>
  <c r="AO38" i="6" l="1"/>
  <c r="AO39" i="6" s="1"/>
  <c r="AO22" i="6"/>
  <c r="W144" i="6"/>
  <c r="AN22" i="6" s="1"/>
  <c r="AQ22" i="6" l="1"/>
  <c r="AN38" i="6"/>
  <c r="AN39" i="6" s="1"/>
  <c r="W142" i="6"/>
  <c r="W146" i="6" l="1"/>
  <c r="AN49" i="6" s="1"/>
  <c r="AN45" i="6"/>
  <c r="M171" i="6" l="1"/>
  <c r="M162" i="6" s="1"/>
  <c r="AL14" i="6" s="1"/>
  <c r="AM60" i="12" l="1"/>
  <c r="W178" i="12"/>
  <c r="R253" i="12"/>
  <c r="AM27" i="12" s="1"/>
  <c r="AN24" i="12" l="1"/>
  <c r="AN31" i="12"/>
  <c r="AN30" i="12"/>
  <c r="AN51" i="12"/>
  <c r="AN60" i="12" s="1"/>
  <c r="AB178" i="12"/>
  <c r="AM5" i="12"/>
  <c r="AM26" i="12" s="1"/>
  <c r="AO24" i="12" l="1"/>
  <c r="AQ24" i="12" s="1"/>
  <c r="AG178" i="12"/>
  <c r="AP24" i="12" s="1"/>
  <c r="AO31" i="12"/>
  <c r="AQ31" i="12" s="1"/>
  <c r="AO30" i="12"/>
  <c r="AO51" i="12"/>
  <c r="AO60" i="12" s="1"/>
  <c r="AB173" i="12"/>
  <c r="W253" i="12"/>
  <c r="AN27" i="12" s="1"/>
  <c r="AN5" i="12"/>
  <c r="AN26" i="12" s="1"/>
  <c r="AP30" i="12" l="1"/>
  <c r="AQ30" i="12" s="1"/>
  <c r="AG173" i="12"/>
  <c r="AO5" i="12"/>
  <c r="AO26" i="12" s="1"/>
  <c r="AB253" i="12"/>
  <c r="AO27" i="12" s="1"/>
  <c r="AL48" i="12"/>
  <c r="AL60" i="12" s="1"/>
  <c r="AP5" i="12" l="1"/>
  <c r="AP26" i="12" s="1"/>
  <c r="AG253" i="12"/>
  <c r="AP27" i="12" s="1"/>
  <c r="M150" i="13"/>
  <c r="AL30" i="13" s="1"/>
  <c r="D150" i="13"/>
  <c r="AM52" i="13"/>
  <c r="AM57" i="13" s="1"/>
  <c r="R151" i="13"/>
  <c r="AM60" i="13" s="1"/>
  <c r="AK52" i="13" l="1"/>
  <c r="AK57" i="13" s="1"/>
  <c r="AK30" i="13"/>
  <c r="AQ30" i="13" s="1"/>
  <c r="AK63" i="13"/>
  <c r="AK29" i="13"/>
  <c r="M151" i="13"/>
  <c r="AL4" i="13" s="1"/>
  <c r="AM4" i="13"/>
  <c r="AM25" i="13" s="1"/>
  <c r="AL52" i="13"/>
  <c r="R207" i="13"/>
  <c r="AM26" i="13" s="1"/>
  <c r="AK23" i="13"/>
  <c r="M146" i="13" l="1"/>
  <c r="M147" i="13" s="1"/>
  <c r="AL23" i="13" s="1"/>
  <c r="AQ23" i="13" s="1"/>
  <c r="AL60" i="13"/>
  <c r="W237" i="9"/>
  <c r="AN27" i="9" s="1"/>
  <c r="AN58" i="9"/>
  <c r="AL49" i="13" l="1"/>
  <c r="AL57" i="13" s="1"/>
  <c r="AN26" i="9"/>
  <c r="AL9" i="9"/>
  <c r="AQ9" i="9" s="1"/>
  <c r="AR10" i="9" s="1"/>
  <c r="M35" i="9"/>
  <c r="D218" i="9" l="1"/>
  <c r="AK78" i="9" s="1"/>
  <c r="AK57" i="9"/>
  <c r="AK15" i="9" l="1"/>
  <c r="AQ15" i="9" s="1"/>
  <c r="AK76" i="9"/>
  <c r="M253" i="12"/>
  <c r="AL27" i="12" s="1"/>
  <c r="AL5" i="12" l="1"/>
  <c r="AL26" i="12" s="1"/>
  <c r="AK11" i="13"/>
  <c r="D97" i="13"/>
  <c r="M99" i="13"/>
  <c r="AK77" i="13" l="1"/>
  <c r="AK79" i="13"/>
  <c r="AL62" i="13"/>
  <c r="M101" i="13"/>
  <c r="AL14" i="13" s="1"/>
  <c r="AQ14" i="13" s="1"/>
  <c r="AR17" i="13" s="1"/>
  <c r="AL11" i="13"/>
  <c r="AL29" i="13"/>
  <c r="AQ29" i="13" s="1"/>
  <c r="AK10" i="13"/>
  <c r="AQ10" i="13" s="1"/>
  <c r="AK72" i="13"/>
  <c r="AK62" i="13"/>
  <c r="AN62" i="13" s="1"/>
  <c r="AQ5" i="12"/>
  <c r="AR6" i="12" s="1"/>
  <c r="AL25" i="13" l="1"/>
  <c r="AQ11" i="13"/>
  <c r="AR13" i="13" s="1"/>
  <c r="AL63" i="13" l="1"/>
  <c r="AN63" i="13" s="1"/>
  <c r="M207" i="13"/>
  <c r="AL26" i="13" s="1"/>
  <c r="D151" i="13"/>
  <c r="D207" i="13" l="1"/>
  <c r="AK26" i="13" s="1"/>
  <c r="AK4" i="13"/>
  <c r="AK25" i="13" s="1"/>
  <c r="AK60" i="13"/>
  <c r="AN60" i="13" s="1"/>
  <c r="AK71" i="13"/>
  <c r="AM10" i="6" l="1"/>
  <c r="W45" i="6"/>
  <c r="AN10" i="6" l="1"/>
  <c r="AQ10" i="6" s="1"/>
  <c r="W46" i="6"/>
  <c r="W56" i="6" s="1"/>
  <c r="AN14" i="6" s="1"/>
  <c r="AQ14" i="6" l="1"/>
  <c r="AN24" i="6"/>
  <c r="AL24" i="6"/>
  <c r="R126" i="11" l="1"/>
  <c r="R118" i="11" l="1"/>
  <c r="AM61" i="11"/>
  <c r="AN61" i="11" s="1"/>
  <c r="AM3" i="11"/>
  <c r="AM64" i="11" l="1"/>
  <c r="AN64" i="11" s="1"/>
  <c r="AM49" i="11"/>
  <c r="AK49" i="11"/>
  <c r="AK3" i="11"/>
  <c r="AO46" i="11" l="1"/>
  <c r="AO3" i="11" l="1"/>
  <c r="AQ3" i="11" s="1"/>
  <c r="AR4" i="11" s="1"/>
  <c r="R77" i="11"/>
  <c r="AO48" i="11"/>
  <c r="AO24" i="11" l="1"/>
  <c r="AO27" i="11"/>
  <c r="AM48" i="11"/>
  <c r="AM28" i="11"/>
  <c r="AB224" i="11"/>
  <c r="AO25" i="11" s="1"/>
  <c r="AO50" i="11"/>
  <c r="AO57" i="11" s="1"/>
  <c r="D77" i="11"/>
  <c r="R80" i="11"/>
  <c r="AM22" i="11" s="1"/>
  <c r="W77" i="11"/>
  <c r="AN22" i="11" l="1"/>
  <c r="W79" i="11"/>
  <c r="AN28" i="11"/>
  <c r="AK28" i="11"/>
  <c r="AM62" i="11"/>
  <c r="AM50" i="11"/>
  <c r="AM57" i="11" s="1"/>
  <c r="AN48" i="11"/>
  <c r="AN57" i="11" s="1"/>
  <c r="M77" i="11"/>
  <c r="AK48" i="11"/>
  <c r="D80" i="11"/>
  <c r="AK62" i="11" s="1"/>
  <c r="R79" i="11"/>
  <c r="AN66" i="11" l="1"/>
  <c r="AN69" i="11"/>
  <c r="AN27" i="11"/>
  <c r="AM63" i="11"/>
  <c r="AM27" i="11"/>
  <c r="AL48" i="11"/>
  <c r="AL28" i="11"/>
  <c r="AQ28" i="11" s="1"/>
  <c r="AN14" i="11"/>
  <c r="AN24" i="11" s="1"/>
  <c r="W224" i="11"/>
  <c r="AN25" i="11" s="1"/>
  <c r="AM14" i="11"/>
  <c r="AM24" i="11" s="1"/>
  <c r="R224" i="11"/>
  <c r="AM25" i="11" s="1"/>
  <c r="AK22" i="11"/>
  <c r="M80" i="11"/>
  <c r="AK50" i="11"/>
  <c r="AK57" i="11" s="1"/>
  <c r="D79" i="11"/>
  <c r="AL50" i="11" l="1"/>
  <c r="AL57" i="11" s="1"/>
  <c r="AL22" i="11"/>
  <c r="AQ22" i="11" s="1"/>
  <c r="AK63" i="11"/>
  <c r="AK72" i="11"/>
  <c r="AK27" i="11"/>
  <c r="AL62" i="11"/>
  <c r="AN62" i="11" s="1"/>
  <c r="D224" i="11"/>
  <c r="AK25" i="11" s="1"/>
  <c r="M79" i="11"/>
  <c r="AL27" i="11" s="1"/>
  <c r="AK14" i="11"/>
  <c r="AQ27" i="11" l="1"/>
  <c r="AK24" i="11"/>
  <c r="AL14" i="11"/>
  <c r="AQ14" i="11" s="1"/>
  <c r="M78" i="11"/>
  <c r="AL13" i="11" s="1"/>
  <c r="AQ13" i="11" l="1"/>
  <c r="AR16" i="11" s="1"/>
  <c r="AL63" i="11"/>
  <c r="AN63" i="11" s="1"/>
  <c r="M224" i="11"/>
  <c r="AL25" i="11" s="1"/>
  <c r="R148" i="3"/>
  <c r="R237" i="3" l="1"/>
  <c r="AM26" i="3" s="1"/>
  <c r="AM64" i="3"/>
  <c r="AN64" i="3" s="1"/>
  <c r="AL24" i="11"/>
  <c r="AM4" i="3"/>
  <c r="AG60" i="4"/>
  <c r="AU57" i="4" l="1"/>
  <c r="AU31" i="4"/>
  <c r="AW31" i="4" s="1"/>
  <c r="AM25" i="3"/>
  <c r="AQ4" i="3"/>
  <c r="AU65" i="4"/>
  <c r="AG415" i="4"/>
  <c r="AU34" i="4" s="1"/>
  <c r="AK13" i="10"/>
  <c r="AQ13" i="10" s="1"/>
  <c r="AR13" i="10" s="1"/>
  <c r="M77" i="10"/>
  <c r="AL4" i="10"/>
  <c r="D274" i="10"/>
  <c r="AK26" i="10" s="1"/>
  <c r="AK4" i="10"/>
  <c r="AU33" i="4" l="1"/>
  <c r="AQ4" i="10"/>
  <c r="AR5" i="10" s="1"/>
  <c r="AL14" i="10"/>
  <c r="AQ14" i="10" s="1"/>
  <c r="AR17" i="10" s="1"/>
  <c r="AL61" i="10"/>
  <c r="AN61" i="10" s="1"/>
  <c r="AK25" i="10"/>
  <c r="M274" i="10"/>
  <c r="AL26" i="10" s="1"/>
  <c r="AG237" i="3"/>
  <c r="AP26" i="3" s="1"/>
  <c r="AP25" i="3"/>
  <c r="AL25" i="10" l="1"/>
  <c r="AO46" i="6"/>
  <c r="AO56" i="6" s="1"/>
  <c r="R132" i="6"/>
  <c r="AG132" i="6"/>
  <c r="AP23" i="6" s="1"/>
  <c r="AM23" i="6" l="1"/>
  <c r="AM61" i="6"/>
  <c r="D132" i="6"/>
  <c r="AK46" i="6" s="1"/>
  <c r="AG140" i="6"/>
  <c r="AP4" i="6" s="1"/>
  <c r="AP25" i="6" s="1"/>
  <c r="AM46" i="6"/>
  <c r="AM56" i="6" s="1"/>
  <c r="W132" i="6"/>
  <c r="M132" i="6" l="1"/>
  <c r="AN23" i="6"/>
  <c r="D140" i="6"/>
  <c r="AK4" i="6" s="1"/>
  <c r="AG242" i="6"/>
  <c r="AP26" i="6" s="1"/>
  <c r="AL46" i="6"/>
  <c r="AN46" i="6"/>
  <c r="AN56" i="6" s="1"/>
  <c r="R140" i="6"/>
  <c r="AM59" i="6" s="1"/>
  <c r="M140" i="6" l="1"/>
  <c r="AK59" i="6"/>
  <c r="AB140" i="6"/>
  <c r="AM4" i="6"/>
  <c r="R139" i="6"/>
  <c r="AM28" i="6" s="1"/>
  <c r="AL59" i="6" l="1"/>
  <c r="AN59" i="6" s="1"/>
  <c r="AL4" i="6"/>
  <c r="AN67" i="6"/>
  <c r="AN64" i="6"/>
  <c r="AM17" i="6"/>
  <c r="AM25" i="6" s="1"/>
  <c r="D139" i="6"/>
  <c r="AM62" i="6"/>
  <c r="AM29" i="6"/>
  <c r="R242" i="6"/>
  <c r="AM26" i="6" s="1"/>
  <c r="AB242" i="6"/>
  <c r="AO26" i="6" s="1"/>
  <c r="AO4" i="6"/>
  <c r="AO25" i="6" s="1"/>
  <c r="AK62" i="6" l="1"/>
  <c r="M139" i="6"/>
  <c r="AK17" i="6"/>
  <c r="D129" i="6"/>
  <c r="AK70" i="6"/>
  <c r="D130" i="6" l="1"/>
  <c r="M130" i="6" s="1"/>
  <c r="AK11" i="6"/>
  <c r="AL17" i="6"/>
  <c r="AL62" i="6"/>
  <c r="AN62" i="6" s="1"/>
  <c r="W139" i="6"/>
  <c r="AN28" i="6" s="1"/>
  <c r="W140" i="6" l="1"/>
  <c r="W242" i="6" s="1"/>
  <c r="AN26" i="6" s="1"/>
  <c r="AN17" i="6"/>
  <c r="AQ17" i="6" s="1"/>
  <c r="AN29" i="6"/>
  <c r="AN4" i="6"/>
  <c r="AN25" i="6" s="1"/>
  <c r="D131" i="6"/>
  <c r="D135" i="6"/>
  <c r="AK15" i="6" s="1"/>
  <c r="AK44" i="6"/>
  <c r="AK61" i="6" l="1"/>
  <c r="M135" i="6"/>
  <c r="AL15" i="6" s="1"/>
  <c r="AQ15" i="6" s="1"/>
  <c r="AR17" i="6" s="1"/>
  <c r="AQ4" i="6"/>
  <c r="AR5" i="6" s="1"/>
  <c r="M131" i="6"/>
  <c r="AK13" i="6"/>
  <c r="D136" i="6"/>
  <c r="D133" i="6"/>
  <c r="AK76" i="6" l="1"/>
  <c r="AK78" i="6"/>
  <c r="AK28" i="6"/>
  <c r="M136" i="6"/>
  <c r="AK49" i="6"/>
  <c r="AK23" i="6"/>
  <c r="AK47" i="6"/>
  <c r="AK60" i="6"/>
  <c r="M133" i="6"/>
  <c r="AL29" i="6" s="1"/>
  <c r="D242" i="6"/>
  <c r="AK26" i="6" s="1"/>
  <c r="AK71" i="6"/>
  <c r="AK29" i="6"/>
  <c r="AL13" i="6"/>
  <c r="AQ13" i="6" s="1"/>
  <c r="AL23" i="6" l="1"/>
  <c r="AQ23" i="6" s="1"/>
  <c r="AK56" i="6"/>
  <c r="AK25" i="6"/>
  <c r="AL49" i="6"/>
  <c r="M129" i="6"/>
  <c r="AL11" i="6" s="1"/>
  <c r="AL25" i="6" s="1"/>
  <c r="AQ29" i="6"/>
  <c r="AL60" i="6"/>
  <c r="AN60" i="6" s="1"/>
  <c r="AL47" i="6"/>
  <c r="AL28" i="6" l="1"/>
  <c r="AQ28" i="6" s="1"/>
  <c r="M242" i="6"/>
  <c r="AL26" i="6" s="1"/>
  <c r="AQ11" i="6"/>
  <c r="AR13" i="6" s="1"/>
  <c r="AL44" i="6"/>
  <c r="AL56" i="6" s="1"/>
  <c r="AL61" i="6"/>
  <c r="AN61" i="6" s="1"/>
  <c r="AP4" i="13" l="1"/>
  <c r="AP25" i="13" s="1"/>
  <c r="AQ4" i="13" l="1"/>
  <c r="AR5" i="13" s="1"/>
  <c r="AB99" i="3"/>
  <c r="AO23" i="3" s="1"/>
  <c r="AQ23" i="3" s="1"/>
  <c r="AB57" i="3"/>
  <c r="AO53" i="3" l="1"/>
  <c r="AO60" i="3" s="1"/>
  <c r="AO5" i="3"/>
  <c r="AB61" i="3"/>
  <c r="AO28" i="3" s="1"/>
  <c r="AO29" i="3" l="1"/>
  <c r="AO17" i="3"/>
  <c r="AO25" i="3" s="1"/>
  <c r="W61" i="3"/>
  <c r="AQ5" i="3"/>
  <c r="AR5" i="3" s="1"/>
  <c r="AB237" i="3"/>
  <c r="AO26" i="3" s="1"/>
  <c r="AN28" i="3" l="1"/>
  <c r="AQ28" i="3" s="1"/>
  <c r="AN29" i="3"/>
  <c r="AQ29" i="3" s="1"/>
  <c r="AN17" i="3"/>
  <c r="AQ17" i="3" s="1"/>
  <c r="W59" i="3"/>
  <c r="AN14" i="3" s="1"/>
  <c r="AQ14" i="3" l="1"/>
  <c r="AR17" i="3" s="1"/>
  <c r="AN25" i="3"/>
  <c r="W237" i="3"/>
  <c r="AN26" i="3" s="1"/>
  <c r="AK79" i="9"/>
  <c r="AK74" i="9"/>
  <c r="AK81" i="9"/>
  <c r="AL24" i="9"/>
  <c r="M127" i="9"/>
  <c r="AL50" i="9"/>
  <c r="AL29" i="9"/>
  <c r="AL64" i="9"/>
  <c r="AL63" i="9"/>
  <c r="AL51" i="9"/>
  <c r="AL30" i="9"/>
  <c r="AL48" i="9"/>
  <c r="AL65" i="9"/>
  <c r="AQ24" i="9"/>
  <c r="D160" i="9"/>
  <c r="AK24" i="9"/>
  <c r="AK51" i="9"/>
  <c r="AR18" i="9"/>
  <c r="AK73" i="9"/>
  <c r="AL14" i="9"/>
  <c r="AK64" i="9"/>
  <c r="AN64" i="9"/>
  <c r="AK26" i="9"/>
  <c r="AL62" i="9"/>
  <c r="AK75" i="9"/>
  <c r="M117" i="9"/>
  <c r="M237" i="9"/>
  <c r="AL27" i="9"/>
  <c r="AL58" i="9"/>
  <c r="M125" i="9"/>
  <c r="AL47" i="9"/>
  <c r="AK62" i="9"/>
  <c r="AN62" i="9"/>
  <c r="AK58" i="9"/>
  <c r="AL12" i="9"/>
  <c r="AQ12" i="9"/>
  <c r="AR14" i="9"/>
  <c r="D132" i="9"/>
  <c r="AK5" i="9"/>
  <c r="AQ5" i="9"/>
  <c r="AR6" i="9"/>
  <c r="M128" i="9"/>
  <c r="D128" i="9"/>
  <c r="AK63" i="9"/>
  <c r="AN63" i="9"/>
  <c r="AK14" i="9"/>
  <c r="AQ14" i="9"/>
  <c r="AK29" i="9"/>
  <c r="AQ29" i="9"/>
  <c r="AK30" i="9"/>
  <c r="AQ30" i="9"/>
  <c r="D161" i="9"/>
  <c r="AK47" i="9"/>
  <c r="AL5" i="9"/>
  <c r="AL26" i="9"/>
  <c r="M162" i="9"/>
  <c r="D162" i="9"/>
  <c r="D164" i="9"/>
  <c r="AK65" i="9"/>
  <c r="AN65" i="9"/>
  <c r="M123" i="9"/>
  <c r="D123" i="9"/>
  <c r="D237" i="9"/>
  <c r="AK27" i="9"/>
  <c r="AL16" i="9"/>
  <c r="M120" i="9"/>
  <c r="AL46" i="9"/>
  <c r="M119" i="9"/>
  <c r="M132" i="9"/>
  <c r="M122" i="9"/>
  <c r="M126" i="9"/>
  <c r="D126" i="9"/>
  <c r="AK16" i="9"/>
  <c r="AQ16" i="9"/>
  <c r="M161" i="9"/>
  <c r="M164" i="9"/>
</calcChain>
</file>

<file path=xl/sharedStrings.xml><?xml version="1.0" encoding="utf-8"?>
<sst xmlns="http://schemas.openxmlformats.org/spreadsheetml/2006/main" count="5337" uniqueCount="559">
  <si>
    <t>WCL CTRL</t>
  </si>
  <si>
    <t>UND</t>
  </si>
  <si>
    <t>NAN1</t>
  </si>
  <si>
    <t>JBM</t>
  </si>
  <si>
    <t>ABS</t>
  </si>
  <si>
    <t>ABS+BTG</t>
  </si>
  <si>
    <t>ABS+BTG+GUH</t>
  </si>
  <si>
    <t>% Area</t>
  </si>
  <si>
    <t>GU</t>
  </si>
  <si>
    <t>WCL Treated</t>
  </si>
  <si>
    <t>MEM CTRL</t>
  </si>
  <si>
    <t>MEM Treated</t>
  </si>
  <si>
    <t>EV CTRL</t>
  </si>
  <si>
    <t>EV Treated</t>
  </si>
  <si>
    <t>Cytoplasm CTRL</t>
  </si>
  <si>
    <t>Cytoplasm Treated</t>
  </si>
  <si>
    <t>ABS+SPG</t>
  </si>
  <si>
    <t>Glycan</t>
  </si>
  <si>
    <t>A2B</t>
  </si>
  <si>
    <t>FM3</t>
  </si>
  <si>
    <t>M5</t>
  </si>
  <si>
    <t>A3B</t>
  </si>
  <si>
    <t>A4</t>
  </si>
  <si>
    <t>M7 D3</t>
  </si>
  <si>
    <t>M7 D1</t>
  </si>
  <si>
    <t>M8 D2,D3</t>
  </si>
  <si>
    <t>M9</t>
  </si>
  <si>
    <t>A3</t>
  </si>
  <si>
    <t>M3</t>
  </si>
  <si>
    <t>A2</t>
  </si>
  <si>
    <t>M4</t>
  </si>
  <si>
    <t>A1B</t>
  </si>
  <si>
    <t>high mannose</t>
  </si>
  <si>
    <t>sum</t>
  </si>
  <si>
    <t>junk</t>
  </si>
  <si>
    <t>A4G4Lac2</t>
  </si>
  <si>
    <t>A3G3Lac3</t>
  </si>
  <si>
    <t>M3B/A1/</t>
  </si>
  <si>
    <t>M6A1</t>
  </si>
  <si>
    <t>A4B</t>
  </si>
  <si>
    <t>M4A2</t>
  </si>
  <si>
    <t xml:space="preserve">A3G(4,4,3)3 </t>
  </si>
  <si>
    <t>A3G(4)3</t>
  </si>
  <si>
    <t>A4G2GlcNAc2</t>
  </si>
  <si>
    <t>A3G2GlcNAc2</t>
  </si>
  <si>
    <t>A3G3GlcNAc3</t>
  </si>
  <si>
    <t>A2G(3)1</t>
  </si>
  <si>
    <t>M5A2</t>
  </si>
  <si>
    <t>M6D3</t>
  </si>
  <si>
    <t>M6D1</t>
  </si>
  <si>
    <t>A3G(3)1</t>
  </si>
  <si>
    <t>A2BG(3)1</t>
  </si>
  <si>
    <t>A4G(3)1</t>
  </si>
  <si>
    <t>A3G2S(6)1</t>
  </si>
  <si>
    <t>A4G1S(6)1</t>
  </si>
  <si>
    <t>Peak number</t>
  </si>
  <si>
    <t>M10</t>
  </si>
  <si>
    <t>ABS+BTG+BKF</t>
  </si>
  <si>
    <t>FA2</t>
  </si>
  <si>
    <t>FA1B</t>
  </si>
  <si>
    <t>FA2B</t>
  </si>
  <si>
    <t>FA3</t>
  </si>
  <si>
    <t>FM5</t>
  </si>
  <si>
    <t>FA4</t>
  </si>
  <si>
    <t>A3F1</t>
  </si>
  <si>
    <t>FA3F1</t>
  </si>
  <si>
    <t>A3BF1</t>
  </si>
  <si>
    <t>A4F2</t>
  </si>
  <si>
    <t>FM5A2</t>
  </si>
  <si>
    <t>A3F3G3</t>
  </si>
  <si>
    <t>FM5A2G1</t>
  </si>
  <si>
    <t>A3F2G2</t>
  </si>
  <si>
    <t>FA2F2G2</t>
  </si>
  <si>
    <t>FA3F1G1</t>
  </si>
  <si>
    <t>FA2BF1G1</t>
  </si>
  <si>
    <t>FA2F1G1</t>
  </si>
  <si>
    <t>FA2G2S(3)1</t>
  </si>
  <si>
    <t>FA2G2S(3)2</t>
  </si>
  <si>
    <t>FA2G2S(6)1</t>
  </si>
  <si>
    <t>FA3G2S(6)1</t>
  </si>
  <si>
    <t>FA3F1G1S(6)1</t>
  </si>
  <si>
    <t>FA2BF1G1S(6)1</t>
  </si>
  <si>
    <t>A2FG2S(6)2</t>
  </si>
  <si>
    <t>FM5A2G1S(6)1</t>
  </si>
  <si>
    <t>FA3G3S(6)1</t>
  </si>
  <si>
    <t>FA3G3S(6)2</t>
  </si>
  <si>
    <t>FA3G3S(6)3</t>
  </si>
  <si>
    <t>A3F2G2S(3)1</t>
  </si>
  <si>
    <t>FA2F2G2S(3)1</t>
  </si>
  <si>
    <t>A3F2G2S(3)2</t>
  </si>
  <si>
    <t>FA2F2G2S(6)2</t>
  </si>
  <si>
    <t>A3F1G3S(6)1</t>
  </si>
  <si>
    <t>A3F1G3S(6)3</t>
  </si>
  <si>
    <t>A3F3G3S(3)1</t>
  </si>
  <si>
    <t>A3F3G3S(3)2</t>
  </si>
  <si>
    <t>A2F1</t>
  </si>
  <si>
    <t>A4F2G2</t>
  </si>
  <si>
    <t>fucosylated high mannose</t>
  </si>
  <si>
    <t>FA4B</t>
  </si>
  <si>
    <t>FA4BF4</t>
  </si>
  <si>
    <t>A4BF4</t>
  </si>
  <si>
    <t>FA3B</t>
  </si>
  <si>
    <t>FA3BF3</t>
  </si>
  <si>
    <t>A2BF1</t>
  </si>
  <si>
    <t>A1BF1</t>
  </si>
  <si>
    <t>A1BF1G1</t>
  </si>
  <si>
    <t>A2F1G1</t>
  </si>
  <si>
    <t>A2F2G2</t>
  </si>
  <si>
    <t>A2BF1G1</t>
  </si>
  <si>
    <t>A2BF2G2</t>
  </si>
  <si>
    <t>FA2BF2G2</t>
  </si>
  <si>
    <t>FA3F2G2</t>
  </si>
  <si>
    <t>A3BF3</t>
  </si>
  <si>
    <t>FA3BF2G2</t>
  </si>
  <si>
    <t>FA4F1G1</t>
  </si>
  <si>
    <t>FA4F2</t>
  </si>
  <si>
    <t>FA4F2G2</t>
  </si>
  <si>
    <t>FA4BF4G4</t>
  </si>
  <si>
    <t>FA2F2G1</t>
  </si>
  <si>
    <t>A4BF2G1</t>
  </si>
  <si>
    <t>FA4BF4G1</t>
  </si>
  <si>
    <t>M5A1</t>
  </si>
  <si>
    <t>A1</t>
  </si>
  <si>
    <t>FA3BG3</t>
  </si>
  <si>
    <t>FA1</t>
  </si>
  <si>
    <t>A1BG(3)1</t>
  </si>
  <si>
    <t>FA2BG(3)1</t>
  </si>
  <si>
    <t>FA2G(3)1</t>
  </si>
  <si>
    <t>A3BG(4)1</t>
  </si>
  <si>
    <t>A2BG(3)2</t>
  </si>
  <si>
    <t>FA2BG(3)2</t>
  </si>
  <si>
    <t>FA3G(3)2</t>
  </si>
  <si>
    <t>A4BG(3)1</t>
  </si>
  <si>
    <t>M5A1G(4)1</t>
  </si>
  <si>
    <t>A3G(4)2</t>
  </si>
  <si>
    <t>FA3G(3)3</t>
  </si>
  <si>
    <t>FM5A2G(4)1</t>
  </si>
  <si>
    <t>FA2BF2G(4)2</t>
  </si>
  <si>
    <t>A3BG(4)3</t>
  </si>
  <si>
    <t>FA3BG(3)3</t>
  </si>
  <si>
    <t>FA3F2G(3)2</t>
  </si>
  <si>
    <t>A4BG(4)4Lac1</t>
  </si>
  <si>
    <t>A3G(4)2Lac2</t>
  </si>
  <si>
    <t>FA4G(3)4</t>
  </si>
  <si>
    <t>A4BG(3)4</t>
  </si>
  <si>
    <t>FA1G1S(6)1</t>
  </si>
  <si>
    <t>A3F1G1S(6)1</t>
  </si>
  <si>
    <t>M4A1G1S(6)1</t>
  </si>
  <si>
    <t>FA2BG2S(3)1</t>
  </si>
  <si>
    <t>A2G2S(6)1</t>
  </si>
  <si>
    <t>FA2F1G2S(3)1</t>
  </si>
  <si>
    <t>FA4BG3S(3)1</t>
  </si>
  <si>
    <t>FA3F2G2S(3)1</t>
  </si>
  <si>
    <t>A3BG3S(6)1</t>
  </si>
  <si>
    <t>A2G2S(6)2</t>
  </si>
  <si>
    <t>FA2F1G2S(6)1</t>
  </si>
  <si>
    <t>A2G2S(3)2</t>
  </si>
  <si>
    <t>A4G3S(3)1</t>
  </si>
  <si>
    <t>A3G3F2S(6)1</t>
  </si>
  <si>
    <t>FA3BG3S(3)2</t>
  </si>
  <si>
    <t>A3G3S(3)3</t>
  </si>
  <si>
    <t>A3G3S(6)3</t>
  </si>
  <si>
    <t>FA2F3G2Lac1S(6)1</t>
  </si>
  <si>
    <t>FA3F1G3S(3)2</t>
  </si>
  <si>
    <t>FA3F1G3</t>
  </si>
  <si>
    <t>FA4BF2G4</t>
  </si>
  <si>
    <t>M4A2B</t>
  </si>
  <si>
    <t>FA2F3G2Lac1</t>
  </si>
  <si>
    <t>high Man</t>
  </si>
  <si>
    <t>F high Man</t>
  </si>
  <si>
    <t>M4A1</t>
  </si>
  <si>
    <t>M4A1G(3)1</t>
  </si>
  <si>
    <t>A2F1G2S(3)2</t>
  </si>
  <si>
    <t>A2F1G2S(6)2</t>
  </si>
  <si>
    <t>Lac:</t>
  </si>
  <si>
    <t>A2Lac</t>
  </si>
  <si>
    <t>A3Lac</t>
  </si>
  <si>
    <t>A4Lac</t>
  </si>
  <si>
    <t>A4BLac</t>
  </si>
  <si>
    <t>OAF:</t>
  </si>
  <si>
    <t>FA2F3G2GlcNAc1</t>
  </si>
  <si>
    <t>FA2Lac</t>
  </si>
  <si>
    <t>Lac-total</t>
  </si>
  <si>
    <t>OAF-total</t>
  </si>
  <si>
    <t>A1BF</t>
  </si>
  <si>
    <t>FA1BF</t>
  </si>
  <si>
    <t>A2F</t>
  </si>
  <si>
    <t>FA2F</t>
  </si>
  <si>
    <t>A2BF</t>
  </si>
  <si>
    <t>FA2BF</t>
  </si>
  <si>
    <t>A3F</t>
  </si>
  <si>
    <t>FA3F</t>
  </si>
  <si>
    <t>A4BF</t>
  </si>
  <si>
    <t>total</t>
  </si>
  <si>
    <t>FA2F3G2Lac1S(3)1</t>
  </si>
  <si>
    <t>A4BG4Lac1S(6)1</t>
  </si>
  <si>
    <t>A4BG1GlcNAc1</t>
  </si>
  <si>
    <t>A2F3G2GlcNAc1</t>
  </si>
  <si>
    <t>A4F</t>
  </si>
  <si>
    <t>FA4F</t>
  </si>
  <si>
    <t>A2F1G2S(6)1</t>
  </si>
  <si>
    <t>FA2F1G1S(6)1</t>
  </si>
  <si>
    <t xml:space="preserve"> </t>
  </si>
  <si>
    <t>A3BF</t>
  </si>
  <si>
    <t>FA3BF</t>
  </si>
  <si>
    <t>FA4BF</t>
  </si>
  <si>
    <t>FA3G3S(3)2</t>
  </si>
  <si>
    <t>A4G(4)4</t>
  </si>
  <si>
    <t>FA4Lac</t>
  </si>
  <si>
    <t>A3G(3)2</t>
  </si>
  <si>
    <t>FA4BF2G2</t>
  </si>
  <si>
    <t>A3F1G1</t>
  </si>
  <si>
    <t>FM5A1B</t>
  </si>
  <si>
    <t>%area</t>
  </si>
  <si>
    <t>A3F2G3S(6)1</t>
  </si>
  <si>
    <t>FA3F3G3</t>
  </si>
  <si>
    <t>A4G4S(3)2</t>
  </si>
  <si>
    <t>A2BG2S(6)2</t>
  </si>
  <si>
    <t>A3G2S(6)2</t>
  </si>
  <si>
    <t>A2BLac</t>
  </si>
  <si>
    <t>A2BG(3)2S(6)1</t>
  </si>
  <si>
    <t>A3G(3)3</t>
  </si>
  <si>
    <t>A2G(3)2</t>
  </si>
  <si>
    <t>M4A2G(3)2</t>
  </si>
  <si>
    <t>Sum</t>
  </si>
  <si>
    <t>M3B/A1</t>
  </si>
  <si>
    <t>A4G(3)3</t>
  </si>
  <si>
    <t>M6A2G(3)2</t>
  </si>
  <si>
    <t>FA2BG2S(6)1</t>
  </si>
  <si>
    <t>FA2G2S(6)2</t>
  </si>
  <si>
    <t>FA2F2G2S(6)1</t>
  </si>
  <si>
    <t>FA3F2G2S(6)1</t>
  </si>
  <si>
    <t>FA2F1G2S(6)2</t>
  </si>
  <si>
    <t>FA2BG2S(6)2</t>
  </si>
  <si>
    <t>FA4F1G3S(6)1</t>
  </si>
  <si>
    <t>FA2BF2G2S(6)1</t>
  </si>
  <si>
    <t>FA3BG3S(6)2</t>
  </si>
  <si>
    <t>FA3BF2G3S(6)1</t>
  </si>
  <si>
    <t>FA3F2G3S(6)1</t>
  </si>
  <si>
    <t>FA4G3S(6)1</t>
  </si>
  <si>
    <t>FA4F2G3S(6)2</t>
  </si>
  <si>
    <t>FA4BF2G4S(6)1</t>
  </si>
  <si>
    <t>FA3F1G3S(6)2</t>
  </si>
  <si>
    <t>FA4BF2G4S(6)2</t>
  </si>
  <si>
    <t>M5A1G1S(6)1</t>
  </si>
  <si>
    <t>A2G2S(6)2 (sulphated GlcNAc)</t>
  </si>
  <si>
    <t>FA3G3S(3)3</t>
  </si>
  <si>
    <t>A3BG3S(3)3</t>
  </si>
  <si>
    <t>A3F2G2S(6)1</t>
  </si>
  <si>
    <t>A4G3S(6)1</t>
  </si>
  <si>
    <t>A3F3G3S(6)1</t>
  </si>
  <si>
    <t>A3F1G3S(6)2</t>
  </si>
  <si>
    <t>A3F2G2S(6)2</t>
  </si>
  <si>
    <t>A3F3G3S(6)2</t>
  </si>
  <si>
    <t>A4G4Lac2S(6)1</t>
  </si>
  <si>
    <t>FA4BG3S(6)1</t>
  </si>
  <si>
    <t>A3G3S(3)4</t>
  </si>
  <si>
    <t>A4G4Lac2S(3)1</t>
  </si>
  <si>
    <t>A3F1G3S(3)3</t>
  </si>
  <si>
    <t>FA3F1G3S(3)3</t>
  </si>
  <si>
    <t>A2BG2Lac1S(6)1</t>
  </si>
  <si>
    <t>A4G(3)4</t>
  </si>
  <si>
    <t>A3BG3S(3)1</t>
  </si>
  <si>
    <t>FA4BF2G4S(3)1</t>
  </si>
  <si>
    <t>A2BG1S(6)1</t>
  </si>
  <si>
    <t>A3G2S(3)1</t>
  </si>
  <si>
    <t>FA2G(3)2</t>
  </si>
  <si>
    <t>M6A2</t>
  </si>
  <si>
    <t>FA4BF1G1</t>
  </si>
  <si>
    <t>FA3G3</t>
  </si>
  <si>
    <t>A4G3GlcNAc3</t>
  </si>
  <si>
    <t>A3G3S(6)1</t>
  </si>
  <si>
    <t>G0</t>
  </si>
  <si>
    <t>G1</t>
  </si>
  <si>
    <t>G2</t>
  </si>
  <si>
    <t>G3</t>
  </si>
  <si>
    <t>G4</t>
  </si>
  <si>
    <t>Galactosylation</t>
  </si>
  <si>
    <t>Sialylation</t>
  </si>
  <si>
    <t>S0</t>
  </si>
  <si>
    <t>S1</t>
  </si>
  <si>
    <t>S2</t>
  </si>
  <si>
    <t>S3</t>
  </si>
  <si>
    <t>S4</t>
  </si>
  <si>
    <t>alpha2-6</t>
  </si>
  <si>
    <t>alpha2-3</t>
  </si>
  <si>
    <t>both</t>
  </si>
  <si>
    <t>BRANCHING</t>
  </si>
  <si>
    <t>A1= 1 antenna</t>
  </si>
  <si>
    <t>A2 =2 antennas</t>
  </si>
  <si>
    <t>A3 =3 antennas</t>
  </si>
  <si>
    <t>A4 =4 antennas</t>
  </si>
  <si>
    <t>total high mannose</t>
  </si>
  <si>
    <t>monoantennary</t>
  </si>
  <si>
    <t>tetranantennary</t>
  </si>
  <si>
    <t>triantennary</t>
  </si>
  <si>
    <t>biantennary</t>
  </si>
  <si>
    <t>no galactose</t>
  </si>
  <si>
    <t>3 galactoses</t>
  </si>
  <si>
    <t>4 galactoses</t>
  </si>
  <si>
    <t>1 galactose</t>
  </si>
  <si>
    <t>2 galactoses</t>
  </si>
  <si>
    <t>no sialic acid</t>
  </si>
  <si>
    <t>1 sialic acid</t>
  </si>
  <si>
    <t>2 sialic acids</t>
  </si>
  <si>
    <t>3 sialic acids</t>
  </si>
  <si>
    <t>4 sialic acids</t>
  </si>
  <si>
    <t>total 2-3 linked</t>
  </si>
  <si>
    <t>total 2-6 linked</t>
  </si>
  <si>
    <t>total S</t>
  </si>
  <si>
    <t>total sialylation</t>
  </si>
  <si>
    <t>Total core fucose</t>
  </si>
  <si>
    <t>Total bisects</t>
  </si>
  <si>
    <t>M5A1G(3)1</t>
  </si>
  <si>
    <t>A3BG(3)3</t>
  </si>
  <si>
    <t>FA4BF4G2</t>
  </si>
  <si>
    <t>M4A2BG(3)1</t>
  </si>
  <si>
    <t>A4G(3)3GlcNAc2</t>
  </si>
  <si>
    <t>A4BG(3)4GlcNAc1</t>
  </si>
  <si>
    <t>FA4BG(3)4</t>
  </si>
  <si>
    <t>FA1G(3)1</t>
  </si>
  <si>
    <t>FM5A1BG(3)1</t>
  </si>
  <si>
    <t>FA2F3G(3)2GlcNAc1</t>
  </si>
  <si>
    <t>FA1BG(3)1</t>
  </si>
  <si>
    <t>A3BG(3)1</t>
  </si>
  <si>
    <t>FA4BG(3)3</t>
  </si>
  <si>
    <t>FM5A2G(3)1</t>
  </si>
  <si>
    <t>FA2G(4)1</t>
  </si>
  <si>
    <t>A2BG(3)2GlcNAc1</t>
  </si>
  <si>
    <t>M4A1G(4)1</t>
  </si>
  <si>
    <t>A3G(3)3GlcNAc3</t>
  </si>
  <si>
    <t>FA3G(4)1</t>
  </si>
  <si>
    <t>FM3B</t>
  </si>
  <si>
    <t>FA1F1G1</t>
  </si>
  <si>
    <t xml:space="preserve">A3G(4,3,3)3 </t>
  </si>
  <si>
    <t>A1F1</t>
  </si>
  <si>
    <t>FA2BF3G2</t>
  </si>
  <si>
    <t>A3G3S(6)2</t>
  </si>
  <si>
    <t>FA1BF1G1</t>
  </si>
  <si>
    <t>A3G3S(3)1</t>
  </si>
  <si>
    <t>A2BF3G2</t>
  </si>
  <si>
    <t>A3G3S(3)2</t>
  </si>
  <si>
    <t>A3F2G3</t>
  </si>
  <si>
    <t>M5A1G1</t>
  </si>
  <si>
    <t>A4G(4)4Lac3</t>
  </si>
  <si>
    <t>A4G(3)4Lac2</t>
  </si>
  <si>
    <t>FA4G(4)3</t>
  </si>
  <si>
    <t>FA3G(4)3</t>
  </si>
  <si>
    <t>A4G(4)4Lac2</t>
  </si>
  <si>
    <t>FA2F3G(4)2Lac1</t>
  </si>
  <si>
    <t>A3G(4)3Lac3</t>
  </si>
  <si>
    <t>FA3BF2G3</t>
  </si>
  <si>
    <t>A3F1G3</t>
  </si>
  <si>
    <t>FA2F1G2</t>
  </si>
  <si>
    <t>A2F1G2</t>
  </si>
  <si>
    <t>FA3F2G3</t>
  </si>
  <si>
    <t>FA4F2G3</t>
  </si>
  <si>
    <t>FA4BF1G4</t>
  </si>
  <si>
    <t>A4F2G4</t>
  </si>
  <si>
    <t>A3F3G2</t>
  </si>
  <si>
    <t>A4G(3)4Lac2GlcNAc1</t>
  </si>
  <si>
    <t>A1F1G1</t>
  </si>
  <si>
    <t>FA1F1</t>
  </si>
  <si>
    <t>FA2F3G(3)2Lac1</t>
  </si>
  <si>
    <t xml:space="preserve">High mannose </t>
  </si>
  <si>
    <t>WCL Control</t>
  </si>
  <si>
    <t>WCL TIS</t>
  </si>
  <si>
    <t>Membrane Control</t>
  </si>
  <si>
    <t>Membrane TIS</t>
  </si>
  <si>
    <t>EV Control</t>
  </si>
  <si>
    <t>EV TIS</t>
  </si>
  <si>
    <t>Cytoplasm Control</t>
  </si>
  <si>
    <t>Cytoplasm TIS</t>
  </si>
  <si>
    <t>Lac</t>
  </si>
  <si>
    <t>Galactosylation G0</t>
  </si>
  <si>
    <t>Galactosylation G1</t>
  </si>
  <si>
    <t>Galactosylation G2</t>
  </si>
  <si>
    <t>Galactosylation G3</t>
  </si>
  <si>
    <t>Galactosylation G4</t>
  </si>
  <si>
    <t>Outer arm fucose</t>
  </si>
  <si>
    <t>Tetranantennary</t>
  </si>
  <si>
    <t>Triantennary</t>
  </si>
  <si>
    <t>Biantennary</t>
  </si>
  <si>
    <t>Monoantennary</t>
  </si>
  <si>
    <t>Core fucose</t>
  </si>
  <si>
    <t>Bisects</t>
  </si>
  <si>
    <t>Sialylation S0</t>
  </si>
  <si>
    <t>Sialylation S1</t>
  </si>
  <si>
    <t>Sialylation S2</t>
  </si>
  <si>
    <t>Sialylation S3</t>
  </si>
  <si>
    <t>Sialylation S4</t>
  </si>
  <si>
    <t>Sialylation alpha2-3</t>
  </si>
  <si>
    <t>Sialylation alpha2-6</t>
  </si>
  <si>
    <t>Sialylation both</t>
  </si>
  <si>
    <t>Total Sialylation</t>
  </si>
  <si>
    <t>A3G3S(6)4</t>
  </si>
  <si>
    <t>FA3G(3)1</t>
  </si>
  <si>
    <t>FA3F1G3S(6)3</t>
  </si>
  <si>
    <t>A3F2G3S(3)1</t>
  </si>
  <si>
    <t>*=Major link</t>
  </si>
  <si>
    <t>*FA2G2S(6)2</t>
  </si>
  <si>
    <t xml:space="preserve">A3G3 </t>
  </si>
  <si>
    <t>A3G3</t>
  </si>
  <si>
    <t>FA3G2</t>
  </si>
  <si>
    <t>FA3G1</t>
  </si>
  <si>
    <t>A2G2</t>
  </si>
  <si>
    <t>A3G2</t>
  </si>
  <si>
    <t>FA2BG1</t>
  </si>
  <si>
    <t>A3G1</t>
  </si>
  <si>
    <t>A2BG1</t>
  </si>
  <si>
    <t>A4G4Lac3</t>
  </si>
  <si>
    <t>A4BG4</t>
  </si>
  <si>
    <t>A4G4</t>
  </si>
  <si>
    <t>FA4BG4</t>
  </si>
  <si>
    <t>M6A2G2</t>
  </si>
  <si>
    <t>A3BG3</t>
  </si>
  <si>
    <t>A2G2S(3)1</t>
  </si>
  <si>
    <t>FA2BG2</t>
  </si>
  <si>
    <t>M4A2G2</t>
  </si>
  <si>
    <t>M4A2BG1</t>
  </si>
  <si>
    <t>A2BG2</t>
  </si>
  <si>
    <t>FA3BG(3)2</t>
  </si>
  <si>
    <t>FA2G2</t>
  </si>
  <si>
    <t>*A3G(3)1</t>
  </si>
  <si>
    <t>*FA3G(3)1</t>
  </si>
  <si>
    <t>*A3G(3)2</t>
  </si>
  <si>
    <t>*FA3G(3)2</t>
  </si>
  <si>
    <t>*A3G(3)3</t>
  </si>
  <si>
    <t>*FA3BG(3,3,4)3</t>
  </si>
  <si>
    <t>*A4BG(4)4</t>
  </si>
  <si>
    <t>*FA3G3S(6)2</t>
  </si>
  <si>
    <t>*A3G3S(6)2</t>
  </si>
  <si>
    <t>*A3G3S(3,3,6)3</t>
  </si>
  <si>
    <t>*A3G3S(3,3,3,6)4</t>
  </si>
  <si>
    <t>A1BG1</t>
  </si>
  <si>
    <t>A2G1</t>
  </si>
  <si>
    <t>FA2G1</t>
  </si>
  <si>
    <t>FA4G4</t>
  </si>
  <si>
    <t>A3G2Lac2</t>
  </si>
  <si>
    <t>FM5A1BG1</t>
  </si>
  <si>
    <t>A4BG1</t>
  </si>
  <si>
    <t>FA1BG1</t>
  </si>
  <si>
    <t>A4BG4Lac1</t>
  </si>
  <si>
    <t>A4G3</t>
  </si>
  <si>
    <t>A2BG2S(6)1</t>
  </si>
  <si>
    <t>FA4BG3</t>
  </si>
  <si>
    <t>A3BG1</t>
  </si>
  <si>
    <t>M4A1G1</t>
  </si>
  <si>
    <t>*FA3F1G3S(3,6,6)3</t>
  </si>
  <si>
    <t>*FA2F3G2Lac1S(3)1</t>
  </si>
  <si>
    <t>*A3G3S(3)3</t>
  </si>
  <si>
    <t>*A3F1G3S(3,3)2</t>
  </si>
  <si>
    <t>*A3F2G2S(3,3)2</t>
  </si>
  <si>
    <t>*A3G3S(3)4</t>
  </si>
  <si>
    <t>*FA3G3S(3)3</t>
  </si>
  <si>
    <t>*A3F1G3S(3)3</t>
  </si>
  <si>
    <t>*FA3G3S(6)1</t>
  </si>
  <si>
    <t>*FA2F1G2S(3)1</t>
  </si>
  <si>
    <t>*FA2G2S(3)2</t>
  </si>
  <si>
    <t>*M4A1G1S(3)1</t>
  </si>
  <si>
    <t>*A3F1G1S(3)1</t>
  </si>
  <si>
    <t>*A3G3S(6)3</t>
  </si>
  <si>
    <t>*FA2F2G2S(6)2</t>
  </si>
  <si>
    <t>*FA2F3G2Lac1S(6)1</t>
  </si>
  <si>
    <t>*A3F1G3S(6)2</t>
  </si>
  <si>
    <t>*A3F2G2S(6)2</t>
  </si>
  <si>
    <t>*A4BG4Lac1S(6)1</t>
  </si>
  <si>
    <t>*FA3G3S(3)2</t>
  </si>
  <si>
    <t>*A4G3S(6)1</t>
  </si>
  <si>
    <t>*A2G2S(6)2</t>
  </si>
  <si>
    <t>*A3G2S(6)2</t>
  </si>
  <si>
    <t>*FA2BG2S(6)2</t>
  </si>
  <si>
    <t>*FA2F1G2S(6)1</t>
  </si>
  <si>
    <t>*FA2BG2S(3)1</t>
  </si>
  <si>
    <t>*A3G3S(3)2</t>
  </si>
  <si>
    <t>*A2BG2S(6)2</t>
  </si>
  <si>
    <t>*FA3G3S(3)1</t>
  </si>
  <si>
    <t>*A3G3S(6)1</t>
  </si>
  <si>
    <t>*A2F1G2S(3)2</t>
  </si>
  <si>
    <t>*M5A1G1S(3)1</t>
  </si>
  <si>
    <t>*FA2G2S(6)1</t>
  </si>
  <si>
    <t>*A2G2S(6)1</t>
  </si>
  <si>
    <t>*M4A1G1S(6)1</t>
  </si>
  <si>
    <t>*A3F3G3S(6)2</t>
  </si>
  <si>
    <t>*FA3BG3S(6)2</t>
  </si>
  <si>
    <t>*A2G2S(3)2</t>
  </si>
  <si>
    <t>*A2F1G2S(6)2</t>
  </si>
  <si>
    <t>*A4G4Lac2S(6)1</t>
  </si>
  <si>
    <t>*A3F3G3S(6)1</t>
  </si>
  <si>
    <t>*FA2BG2S(6)1</t>
  </si>
  <si>
    <t>*A2F1G2S(6)1</t>
  </si>
  <si>
    <t>*FA3F1G3S(6)2</t>
  </si>
  <si>
    <t>*A3F3G3S(3)2</t>
  </si>
  <si>
    <t>*A3F2G2S(3)2</t>
  </si>
  <si>
    <t>*A3F1G3S(6)1</t>
  </si>
  <si>
    <t>*A3G2S(6)1</t>
  </si>
  <si>
    <t>*FA3BG3S(3)2</t>
  </si>
  <si>
    <t>*A3F3G3S(3)1</t>
  </si>
  <si>
    <t>*A3F2G3S(6)1</t>
  </si>
  <si>
    <t>*FA4G(3)4</t>
  </si>
  <si>
    <t>*FA3G(3)3</t>
  </si>
  <si>
    <t>*A2BG(4)2</t>
  </si>
  <si>
    <t>*A2G(3)1</t>
  </si>
  <si>
    <t>*A3F2G2S(6)1</t>
  </si>
  <si>
    <t>*FA2G(3)1</t>
  </si>
  <si>
    <t>*FA2BG(3)1</t>
  </si>
  <si>
    <t>*M4A1G(3)1</t>
  </si>
  <si>
    <t>*A2G(3)2</t>
  </si>
  <si>
    <t>*A2BG(3)2</t>
  </si>
  <si>
    <t>*FA2G(3)2</t>
  </si>
  <si>
    <t>*FA2BG(4)2</t>
  </si>
  <si>
    <t>*FA4BG(3)3</t>
  </si>
  <si>
    <t>*FA3G(4)3</t>
  </si>
  <si>
    <t>*FA3BG(4)3</t>
  </si>
  <si>
    <t>*FA1G(3)1</t>
  </si>
  <si>
    <t>*A1BG(3)1</t>
  </si>
  <si>
    <t>*FA2BG(4)1</t>
  </si>
  <si>
    <t>*A4G(4)1</t>
  </si>
  <si>
    <t>FA2G(4)2</t>
  </si>
  <si>
    <t>*FA2BG(3)2</t>
  </si>
  <si>
    <t>*FA3G(4)2</t>
  </si>
  <si>
    <t>*A4BG(3)1</t>
  </si>
  <si>
    <t>*FA3BG(3)3</t>
  </si>
  <si>
    <t>*A4G(3)4</t>
  </si>
  <si>
    <t>*A4G(3)3</t>
  </si>
  <si>
    <t>*A4BG(3)4</t>
  </si>
  <si>
    <t>*A4G(4)3</t>
  </si>
  <si>
    <t>A1BG(4)1</t>
  </si>
  <si>
    <t>*FA1BG(3)1</t>
  </si>
  <si>
    <t>*A2BG(3)1</t>
  </si>
  <si>
    <t>*FA2F3G(3)2Lac1</t>
  </si>
  <si>
    <t>*A3BG(3)3</t>
  </si>
  <si>
    <t>*FA2BG(3,4)2</t>
  </si>
  <si>
    <t>*FA3G3</t>
  </si>
  <si>
    <t>A4BG(3)2</t>
  </si>
  <si>
    <t>*A4BG(3,3,4,4)4</t>
  </si>
  <si>
    <t>*A3G3S(3,6)2</t>
  </si>
  <si>
    <t>*A2G2S(3,6)2</t>
  </si>
  <si>
    <t>*FA3G3S(3,6,6)3</t>
  </si>
  <si>
    <t xml:space="preserve">*A3G(4)3 </t>
  </si>
  <si>
    <t>FA3G3S(3,3,6)3</t>
  </si>
  <si>
    <t>*A3G3S(3,6,6)3</t>
  </si>
  <si>
    <t>*A3F1G3S(3,6)2</t>
  </si>
  <si>
    <t>A3F1G3S(3,6)3</t>
  </si>
  <si>
    <t>FA3G3S(3,6)2</t>
  </si>
  <si>
    <t>*FA2F2G2S(6)1</t>
  </si>
  <si>
    <t>*FA3BG3S(3,3)2</t>
  </si>
  <si>
    <t>total G</t>
  </si>
  <si>
    <t>Galactosylation both</t>
  </si>
  <si>
    <t>Total Galactosylation</t>
  </si>
  <si>
    <t>A4BG(3)4Lac1</t>
  </si>
  <si>
    <t>*A4G(3)3GlcNAc2</t>
  </si>
  <si>
    <t>A2BG1GlcNAc1</t>
  </si>
  <si>
    <t>A2BG(3)2Lac1</t>
  </si>
  <si>
    <t>A4BG(3)3GlcNAc1</t>
  </si>
  <si>
    <t>beta1-3</t>
  </si>
  <si>
    <t>beta1-4</t>
  </si>
  <si>
    <t>Galactosylation beta 1-3</t>
  </si>
  <si>
    <t>Galactosylation beta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</si>
</sst>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5">
    <xf numFmtId="0" fontId="0" fillId="0" borderId="0" xfId="0"/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3" fillId="4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10" borderId="1" xfId="0" applyNumberFormat="1" applyFont="1" applyFill="1" applyBorder="1" applyAlignment="1">
      <alignment horizontal="center"/>
    </xf>
    <xf numFmtId="2" fontId="3" fillId="18" borderId="1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2" fillId="17" borderId="1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3" fillId="17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2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0" xfId="0" applyNumberFormat="1" applyFont="1"/>
    <xf numFmtId="2" fontId="2" fillId="0" borderId="1" xfId="0" applyNumberFormat="1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/>
    <xf numFmtId="165" fontId="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2" fontId="2" fillId="5" borderId="0" xfId="0" applyNumberFormat="1" applyFont="1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wrapText="1"/>
    </xf>
    <xf numFmtId="0" fontId="2" fillId="4" borderId="11" xfId="0" applyFont="1" applyFill="1" applyBorder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2" fontId="2" fillId="15" borderId="0" xfId="0" applyNumberFormat="1" applyFont="1" applyFill="1"/>
    <xf numFmtId="2" fontId="2" fillId="4" borderId="1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2" fontId="3" fillId="0" borderId="1" xfId="0" applyNumberFormat="1" applyFont="1" applyFill="1" applyBorder="1"/>
    <xf numFmtId="2" fontId="3" fillId="0" borderId="0" xfId="0" applyNumberFormat="1" applyFont="1" applyFill="1"/>
    <xf numFmtId="0" fontId="2" fillId="0" borderId="0" xfId="0" applyFont="1" applyFill="1" applyBorder="1" applyAlignment="1"/>
    <xf numFmtId="165" fontId="2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/>
    <xf numFmtId="2" fontId="2" fillId="9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/>
    <xf numFmtId="2" fontId="5" fillId="0" borderId="0" xfId="0" applyNumberFormat="1" applyFont="1" applyFill="1" applyBorder="1" applyAlignment="1">
      <alignment vertical="center"/>
    </xf>
    <xf numFmtId="2" fontId="3" fillId="10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2" fontId="3" fillId="13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12" borderId="1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2" fontId="3" fillId="19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14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4" fillId="2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2" fontId="3" fillId="1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2" fillId="17" borderId="1" xfId="0" applyNumberFormat="1" applyFont="1" applyFill="1" applyBorder="1"/>
    <xf numFmtId="165" fontId="2" fillId="17" borderId="1" xfId="0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2" fontId="3" fillId="17" borderId="1" xfId="0" applyNumberFormat="1" applyFont="1" applyFill="1" applyBorder="1"/>
    <xf numFmtId="2" fontId="2" fillId="17" borderId="1" xfId="0" applyNumberFormat="1" applyFont="1" applyFill="1" applyBorder="1" applyAlignment="1">
      <alignment vertical="center"/>
    </xf>
    <xf numFmtId="164" fontId="3" fillId="17" borderId="1" xfId="0" applyNumberFormat="1" applyFont="1" applyFill="1" applyBorder="1" applyAlignment="1">
      <alignment horizontal="center" vertical="center"/>
    </xf>
    <xf numFmtId="2" fontId="2" fillId="17" borderId="0" xfId="0" applyNumberFormat="1" applyFont="1" applyFill="1"/>
    <xf numFmtId="2" fontId="2" fillId="17" borderId="0" xfId="0" applyNumberFormat="1" applyFont="1" applyFill="1" applyBorder="1" applyAlignment="1">
      <alignment horizontal="center" vertical="center"/>
    </xf>
    <xf numFmtId="0" fontId="2" fillId="17" borderId="0" xfId="0" applyFont="1" applyFill="1" applyAlignment="1">
      <alignment horizontal="center"/>
    </xf>
    <xf numFmtId="0" fontId="3" fillId="17" borderId="0" xfId="0" applyFont="1" applyFill="1"/>
    <xf numFmtId="0" fontId="3" fillId="17" borderId="0" xfId="0" applyFont="1" applyFill="1" applyAlignment="1">
      <alignment horizontal="center"/>
    </xf>
    <xf numFmtId="0" fontId="2" fillId="17" borderId="0" xfId="0" applyFont="1" applyFill="1"/>
    <xf numFmtId="165" fontId="3" fillId="17" borderId="1" xfId="0" applyNumberFormat="1" applyFont="1" applyFill="1" applyBorder="1" applyAlignment="1">
      <alignment horizontal="center" vertical="center"/>
    </xf>
    <xf numFmtId="165" fontId="2" fillId="17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17" borderId="1" xfId="0" applyNumberFormat="1" applyFont="1" applyFill="1" applyBorder="1" applyAlignment="1">
      <alignment horizontal="center" vertical="center"/>
    </xf>
    <xf numFmtId="2" fontId="4" fillId="17" borderId="1" xfId="0" applyNumberFormat="1" applyFont="1" applyFill="1" applyBorder="1" applyAlignment="1">
      <alignment horizontal="center" vertical="center"/>
    </xf>
    <xf numFmtId="2" fontId="2" fillId="17" borderId="2" xfId="0" applyNumberFormat="1" applyFont="1" applyFill="1" applyBorder="1" applyAlignment="1">
      <alignment horizontal="center"/>
    </xf>
    <xf numFmtId="2" fontId="3" fillId="11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/>
    <xf numFmtId="2" fontId="2" fillId="23" borderId="0" xfId="0" applyNumberFormat="1" applyFont="1" applyFill="1"/>
    <xf numFmtId="2" fontId="2" fillId="0" borderId="1" xfId="0" applyNumberFormat="1" applyFont="1" applyBorder="1" applyAlignment="1">
      <alignment horizontal="center" vertical="center"/>
    </xf>
    <xf numFmtId="2" fontId="2" fillId="23" borderId="0" xfId="0" applyNumberFormat="1" applyFont="1" applyFill="1" applyAlignment="1">
      <alignment horizontal="center" vertical="center"/>
    </xf>
    <xf numFmtId="2" fontId="4" fillId="16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2" fontId="2" fillId="17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Border="1"/>
    <xf numFmtId="1" fontId="2" fillId="0" borderId="0" xfId="0" applyNumberFormat="1" applyFont="1" applyFill="1"/>
    <xf numFmtId="0" fontId="3" fillId="0" borderId="5" xfId="0" applyFont="1" applyFill="1" applyBorder="1"/>
    <xf numFmtId="0" fontId="3" fillId="0" borderId="5" xfId="0" applyFont="1" applyFill="1" applyBorder="1" applyAlignment="1"/>
    <xf numFmtId="2" fontId="3" fillId="17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/>
    <xf numFmtId="2" fontId="2" fillId="0" borderId="0" xfId="0" applyNumberFormat="1" applyFont="1" applyFill="1" applyBorder="1" applyAlignment="1"/>
    <xf numFmtId="2" fontId="3" fillId="17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2" fillId="17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2" fontId="2" fillId="22" borderId="0" xfId="0" applyNumberFormat="1" applyFont="1" applyFill="1" applyBorder="1" applyAlignment="1">
      <alignment vertical="center"/>
    </xf>
    <xf numFmtId="2" fontId="2" fillId="22" borderId="0" xfId="0" applyNumberFormat="1" applyFont="1" applyFill="1" applyBorder="1" applyAlignment="1">
      <alignment horizontal="center" vertical="center"/>
    </xf>
    <xf numFmtId="2" fontId="2" fillId="22" borderId="0" xfId="0" applyNumberFormat="1" applyFont="1" applyFill="1"/>
    <xf numFmtId="2" fontId="4" fillId="17" borderId="1" xfId="0" applyNumberFormat="1" applyFont="1" applyFill="1" applyBorder="1" applyAlignment="1">
      <alignment vertical="center"/>
    </xf>
    <xf numFmtId="164" fontId="3" fillId="19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2" fontId="4" fillId="17" borderId="1" xfId="0" applyNumberFormat="1" applyFont="1" applyFill="1" applyBorder="1" applyAlignment="1">
      <alignment horizontal="center"/>
    </xf>
    <xf numFmtId="165" fontId="3" fillId="17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22" borderId="0" xfId="0" applyNumberFormat="1" applyFont="1" applyFill="1" applyBorder="1"/>
    <xf numFmtId="2" fontId="2" fillId="8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2" fillId="17" borderId="0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2" borderId="0" xfId="0" applyFont="1" applyFill="1"/>
    <xf numFmtId="2" fontId="2" fillId="21" borderId="0" xfId="0" applyNumberFormat="1" applyFont="1" applyFill="1"/>
    <xf numFmtId="0" fontId="2" fillId="21" borderId="0" xfId="0" applyFont="1" applyFill="1"/>
    <xf numFmtId="2" fontId="2" fillId="0" borderId="0" xfId="0" applyNumberFormat="1" applyFont="1" applyAlignment="1">
      <alignment horizontal="center" vertical="center"/>
    </xf>
    <xf numFmtId="2" fontId="2" fillId="2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2" fillId="25" borderId="1" xfId="0" applyNumberFormat="1" applyFont="1" applyFill="1" applyBorder="1" applyAlignment="1">
      <alignment horizontal="center"/>
    </xf>
    <xf numFmtId="2" fontId="2" fillId="23" borderId="1" xfId="0" applyNumberFormat="1" applyFont="1" applyFill="1" applyBorder="1" applyAlignment="1">
      <alignment horizontal="center"/>
    </xf>
    <xf numFmtId="2" fontId="2" fillId="26" borderId="1" xfId="0" applyNumberFormat="1" applyFont="1" applyFill="1" applyBorder="1" applyAlignment="1">
      <alignment horizontal="center"/>
    </xf>
    <xf numFmtId="2" fontId="2" fillId="22" borderId="1" xfId="0" applyNumberFormat="1" applyFont="1" applyFill="1" applyBorder="1" applyAlignment="1">
      <alignment horizontal="center"/>
    </xf>
    <xf numFmtId="2" fontId="2" fillId="27" borderId="1" xfId="0" applyNumberFormat="1" applyFont="1" applyFill="1" applyBorder="1" applyAlignment="1">
      <alignment horizontal="center"/>
    </xf>
    <xf numFmtId="2" fontId="2" fillId="28" borderId="1" xfId="0" applyNumberFormat="1" applyFont="1" applyFill="1" applyBorder="1" applyAlignment="1">
      <alignment horizontal="center"/>
    </xf>
    <xf numFmtId="2" fontId="3" fillId="0" borderId="0" xfId="0" applyNumberFormat="1" applyFont="1"/>
    <xf numFmtId="2" fontId="2" fillId="29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left" vertical="center"/>
    </xf>
    <xf numFmtId="2" fontId="2" fillId="23" borderId="1" xfId="0" applyNumberFormat="1" applyFont="1" applyFill="1" applyBorder="1" applyAlignment="1">
      <alignment horizontal="center" vertical="center"/>
    </xf>
    <xf numFmtId="2" fontId="2" fillId="26" borderId="1" xfId="0" applyNumberFormat="1" applyFont="1" applyFill="1" applyBorder="1" applyAlignment="1">
      <alignment horizontal="center" vertical="center"/>
    </xf>
    <xf numFmtId="2" fontId="2" fillId="22" borderId="1" xfId="0" applyNumberFormat="1" applyFont="1" applyFill="1" applyBorder="1" applyAlignment="1">
      <alignment horizontal="center" vertical="center"/>
    </xf>
    <xf numFmtId="2" fontId="2" fillId="27" borderId="1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left" vertical="center"/>
    </xf>
    <xf numFmtId="2" fontId="2" fillId="0" borderId="13" xfId="0" applyNumberFormat="1" applyFont="1" applyFill="1" applyBorder="1" applyAlignment="1">
      <alignment horizontal="center" vertical="center"/>
    </xf>
    <xf numFmtId="2" fontId="2" fillId="23" borderId="14" xfId="0" applyNumberFormat="1" applyFont="1" applyFill="1" applyBorder="1" applyAlignment="1">
      <alignment horizontal="left" vertical="center"/>
    </xf>
    <xf numFmtId="2" fontId="2" fillId="23" borderId="15" xfId="0" applyNumberFormat="1" applyFont="1" applyFill="1" applyBorder="1" applyAlignment="1">
      <alignment horizontal="center" vertical="center"/>
    </xf>
    <xf numFmtId="2" fontId="2" fillId="26" borderId="14" xfId="0" applyNumberFormat="1" applyFont="1" applyFill="1" applyBorder="1" applyAlignment="1">
      <alignment horizontal="left" vertical="center"/>
    </xf>
    <xf numFmtId="2" fontId="2" fillId="26" borderId="15" xfId="0" applyNumberFormat="1" applyFont="1" applyFill="1" applyBorder="1" applyAlignment="1">
      <alignment horizontal="center" vertical="center"/>
    </xf>
    <xf numFmtId="2" fontId="2" fillId="22" borderId="14" xfId="0" applyNumberFormat="1" applyFont="1" applyFill="1" applyBorder="1" applyAlignment="1">
      <alignment horizontal="left" vertical="center"/>
    </xf>
    <xf numFmtId="2" fontId="2" fillId="22" borderId="15" xfId="0" applyNumberFormat="1" applyFont="1" applyFill="1" applyBorder="1" applyAlignment="1">
      <alignment horizontal="center" vertical="center"/>
    </xf>
    <xf numFmtId="2" fontId="2" fillId="27" borderId="16" xfId="0" applyNumberFormat="1" applyFont="1" applyFill="1" applyBorder="1" applyAlignment="1">
      <alignment horizontal="left" vertical="center"/>
    </xf>
    <xf numFmtId="2" fontId="2" fillId="27" borderId="17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2" fillId="10" borderId="1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2" fillId="17" borderId="0" xfId="0" applyNumberFormat="1" applyFont="1" applyFill="1" applyAlignment="1">
      <alignment horizontal="center"/>
    </xf>
    <xf numFmtId="2" fontId="3" fillId="0" borderId="0" xfId="0" applyNumberFormat="1" applyFont="1" applyFill="1" applyAlignment="1"/>
    <xf numFmtId="2" fontId="2" fillId="0" borderId="0" xfId="0" applyNumberFormat="1" applyFont="1" applyFill="1" applyAlignment="1"/>
    <xf numFmtId="0" fontId="2" fillId="0" borderId="0" xfId="0" applyFont="1" applyFill="1" applyAlignment="1"/>
    <xf numFmtId="2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17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/>
    <xf numFmtId="2" fontId="2" fillId="0" borderId="0" xfId="0" applyNumberFormat="1" applyFont="1" applyAlignment="1"/>
    <xf numFmtId="2" fontId="3" fillId="13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/>
    </xf>
    <xf numFmtId="2" fontId="2" fillId="1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/>
    </xf>
    <xf numFmtId="0" fontId="3" fillId="22" borderId="0" xfId="0" applyFont="1" applyFill="1" applyBorder="1" applyAlignment="1">
      <alignment horizontal="center" vertical="center"/>
    </xf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2" borderId="0" xfId="0" applyFont="1" applyFill="1" applyBorder="1"/>
    <xf numFmtId="0" fontId="3" fillId="0" borderId="0" xfId="0" applyFont="1" applyAlignment="1">
      <alignment horizontal="center" vertic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Fill="1" applyBorder="1"/>
    <xf numFmtId="2" fontId="3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/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2" fontId="3" fillId="7" borderId="5" xfId="0" applyNumberFormat="1" applyFont="1" applyFill="1" applyBorder="1" applyAlignment="1">
      <alignment horizontal="center" vertical="center"/>
    </xf>
    <xf numFmtId="2" fontId="3" fillId="17" borderId="0" xfId="0" applyNumberFormat="1" applyFont="1" applyFill="1" applyAlignment="1">
      <alignment horizontal="center"/>
    </xf>
    <xf numFmtId="1" fontId="3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2" fillId="0" borderId="8" xfId="0" applyFont="1" applyFill="1" applyBorder="1"/>
    <xf numFmtId="2" fontId="2" fillId="0" borderId="8" xfId="0" applyNumberFormat="1" applyFont="1" applyFill="1" applyBorder="1" applyAlignment="1"/>
    <xf numFmtId="0" fontId="3" fillId="0" borderId="8" xfId="0" applyFont="1" applyFill="1" applyBorder="1" applyAlignment="1">
      <alignment vertical="center"/>
    </xf>
    <xf numFmtId="2" fontId="3" fillId="24" borderId="1" xfId="0" applyNumberFormat="1" applyFont="1" applyFill="1" applyBorder="1" applyAlignment="1">
      <alignment horizontal="center" vertical="center"/>
    </xf>
    <xf numFmtId="2" fontId="3" fillId="24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17" borderId="1" xfId="0" applyNumberFormat="1" applyFont="1" applyFill="1" applyBorder="1" applyAlignment="1">
      <alignment horizontal="center" vertical="center"/>
    </xf>
    <xf numFmtId="2" fontId="3" fillId="17" borderId="1" xfId="0" applyNumberFormat="1" applyFont="1" applyFill="1" applyBorder="1" applyAlignment="1">
      <alignment horizontal="center" vertical="center"/>
    </xf>
    <xf numFmtId="2" fontId="2" fillId="17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17" borderId="1" xfId="0" applyNumberFormat="1" applyFont="1" applyFill="1" applyBorder="1" applyAlignment="1">
      <alignment horizontal="center" vertical="center"/>
    </xf>
    <xf numFmtId="2" fontId="2" fillId="17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17" borderId="1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17" borderId="1" xfId="0" applyNumberFormat="1" applyFont="1" applyFill="1" applyBorder="1" applyAlignment="1">
      <alignment horizontal="center" vertical="center"/>
    </xf>
    <xf numFmtId="2" fontId="3" fillId="17" borderId="1" xfId="0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/>
    </xf>
    <xf numFmtId="2" fontId="3" fillId="8" borderId="0" xfId="0" applyNumberFormat="1" applyFont="1" applyFill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2" fontId="2" fillId="17" borderId="5" xfId="0" applyNumberFormat="1" applyFont="1" applyFill="1" applyBorder="1" applyAlignment="1">
      <alignment horizontal="center" vertical="center"/>
    </xf>
    <xf numFmtId="2" fontId="2" fillId="17" borderId="2" xfId="0" applyNumberFormat="1" applyFont="1" applyFill="1" applyBorder="1" applyAlignment="1">
      <alignment horizontal="center" vertical="center"/>
    </xf>
    <xf numFmtId="2" fontId="3" fillId="17" borderId="5" xfId="0" applyNumberFormat="1" applyFont="1" applyFill="1" applyBorder="1" applyAlignment="1">
      <alignment horizontal="center" vertical="center"/>
    </xf>
    <xf numFmtId="2" fontId="3" fillId="17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66FF"/>
      <color rgb="FFF0DC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workbookViewId="0">
      <selection activeCell="B18" sqref="B18"/>
    </sheetView>
  </sheetViews>
  <sheetFormatPr defaultRowHeight="15" x14ac:dyDescent="0.25"/>
  <cols>
    <col min="2" max="2" width="23.7109375" customWidth="1"/>
    <col min="3" max="3" width="11.7109375" customWidth="1"/>
    <col min="5" max="5" width="17.42578125" customWidth="1"/>
    <col min="6" max="6" width="14.42578125" customWidth="1"/>
    <col min="7" max="7" width="10.28515625" customWidth="1"/>
    <col min="8" max="8" width="6.5703125" customWidth="1"/>
    <col min="9" max="9" width="17.28515625" customWidth="1"/>
    <col min="10" max="10" width="13.85546875" customWidth="1"/>
    <col min="11" max="11" width="10.5703125" customWidth="1"/>
    <col min="13" max="13" width="17.42578125" customWidth="1"/>
    <col min="14" max="14" width="14.7109375" customWidth="1"/>
    <col min="15" max="15" width="15.85546875" customWidth="1"/>
    <col min="16" max="16" width="16" customWidth="1"/>
    <col min="17" max="17" width="13.5703125" customWidth="1"/>
    <col min="18" max="18" width="14.42578125" customWidth="1"/>
    <col min="19" max="19" width="15.42578125" customWidth="1"/>
  </cols>
  <sheetData>
    <row r="1" spans="1:13" x14ac:dyDescent="0.25">
      <c r="A1" s="214"/>
      <c r="B1" s="214"/>
      <c r="C1" s="214"/>
      <c r="D1" s="214"/>
      <c r="E1" s="214"/>
    </row>
    <row r="2" spans="1:13" x14ac:dyDescent="0.25">
      <c r="A2" s="214"/>
      <c r="B2" s="215"/>
      <c r="C2" s="216" t="s">
        <v>365</v>
      </c>
      <c r="D2" s="216" t="s">
        <v>366</v>
      </c>
      <c r="E2" s="216" t="s">
        <v>367</v>
      </c>
      <c r="F2" s="216" t="s">
        <v>368</v>
      </c>
      <c r="G2" s="216" t="s">
        <v>369</v>
      </c>
      <c r="H2" s="216" t="s">
        <v>370</v>
      </c>
      <c r="I2" s="216" t="s">
        <v>371</v>
      </c>
      <c r="J2" s="216" t="s">
        <v>372</v>
      </c>
    </row>
    <row r="3" spans="1:13" x14ac:dyDescent="0.25">
      <c r="A3" s="214"/>
      <c r="B3" s="216" t="s">
        <v>364</v>
      </c>
      <c r="C3" s="19">
        <v>25.743333333333332</v>
      </c>
      <c r="D3" s="250">
        <v>26.152000000000001</v>
      </c>
      <c r="E3" s="250">
        <v>29.743388888888884</v>
      </c>
      <c r="F3" s="233">
        <v>22.585833333333333</v>
      </c>
      <c r="G3" s="233">
        <v>23.300833333333333</v>
      </c>
      <c r="H3" s="233">
        <v>18.555999999999997</v>
      </c>
      <c r="I3" s="250">
        <v>22.9</v>
      </c>
      <c r="J3" s="250">
        <v>21.710972222222221</v>
      </c>
      <c r="L3" s="17"/>
    </row>
    <row r="4" spans="1:13" x14ac:dyDescent="0.25">
      <c r="A4" s="214"/>
      <c r="B4" s="217" t="s">
        <v>383</v>
      </c>
      <c r="C4" s="19">
        <v>0</v>
      </c>
      <c r="D4" s="250">
        <v>0.88100000000000001</v>
      </c>
      <c r="E4" s="233">
        <v>0.32933333333333337</v>
      </c>
      <c r="F4" s="233">
        <v>0.92149999999999987</v>
      </c>
      <c r="G4" s="233">
        <v>0.83400000000000007</v>
      </c>
      <c r="H4" s="233">
        <v>0.72100000000000009</v>
      </c>
      <c r="I4" s="233">
        <v>0.45466666666666666</v>
      </c>
      <c r="J4" s="233">
        <v>0.87400000000000011</v>
      </c>
      <c r="M4" s="1"/>
    </row>
    <row r="5" spans="1:13" x14ac:dyDescent="0.25">
      <c r="A5" s="214"/>
      <c r="B5" s="217" t="s">
        <v>382</v>
      </c>
      <c r="C5" s="233">
        <v>10.320499999999999</v>
      </c>
      <c r="D5" s="250">
        <v>8.8165555555555546</v>
      </c>
      <c r="E5" s="233">
        <v>6.6273333333333344</v>
      </c>
      <c r="F5" s="19">
        <v>14.792499999999999</v>
      </c>
      <c r="G5" s="233">
        <v>14.322666666666667</v>
      </c>
      <c r="H5" s="233">
        <v>9.516333333333332</v>
      </c>
      <c r="I5" s="233">
        <v>10.298944444444446</v>
      </c>
      <c r="J5" s="233">
        <v>7.7551666666666668</v>
      </c>
      <c r="M5" s="1"/>
    </row>
    <row r="6" spans="1:13" x14ac:dyDescent="0.25">
      <c r="A6" s="214"/>
      <c r="B6" s="217" t="s">
        <v>381</v>
      </c>
      <c r="C6" s="233">
        <v>17.287333333333333</v>
      </c>
      <c r="D6" s="250">
        <v>15.911222222222225</v>
      </c>
      <c r="E6" s="233">
        <v>7.0265000000000004</v>
      </c>
      <c r="F6" s="19">
        <v>12.196999999999999</v>
      </c>
      <c r="G6" s="233">
        <v>33.010999999999996</v>
      </c>
      <c r="H6" s="233">
        <v>14.794333333333332</v>
      </c>
      <c r="I6" s="233">
        <v>7.1111666666666666</v>
      </c>
      <c r="J6" s="233">
        <v>7.0328888888888885</v>
      </c>
    </row>
    <row r="7" spans="1:13" x14ac:dyDescent="0.25">
      <c r="A7" s="214"/>
      <c r="B7" s="217" t="s">
        <v>380</v>
      </c>
      <c r="C7" s="19">
        <v>2.64</v>
      </c>
      <c r="D7" s="233">
        <v>2.4642222222222214</v>
      </c>
      <c r="E7" s="233">
        <v>2.4393333333333334</v>
      </c>
      <c r="F7" s="19">
        <v>3.1655000000000002</v>
      </c>
      <c r="G7" s="233">
        <v>1.6533333333333333</v>
      </c>
      <c r="H7" s="233">
        <v>0.89200000000000002</v>
      </c>
      <c r="I7" s="233">
        <v>1.41</v>
      </c>
      <c r="J7" s="233">
        <v>1.702</v>
      </c>
    </row>
    <row r="8" spans="1:13" x14ac:dyDescent="0.25">
      <c r="A8" s="214"/>
      <c r="B8" s="218" t="s">
        <v>373</v>
      </c>
      <c r="C8" s="233">
        <v>0.96799999999999997</v>
      </c>
      <c r="D8" s="250">
        <v>1.5899999999999999</v>
      </c>
      <c r="E8" s="233">
        <v>1.56</v>
      </c>
      <c r="F8" s="19">
        <v>3.464</v>
      </c>
      <c r="G8" s="233">
        <v>1.194</v>
      </c>
      <c r="H8" s="233">
        <v>1.4239999999999999</v>
      </c>
      <c r="I8" s="233">
        <v>0.94</v>
      </c>
      <c r="J8" s="233">
        <v>2.7600000000000007</v>
      </c>
    </row>
    <row r="9" spans="1:13" x14ac:dyDescent="0.25">
      <c r="A9" s="214"/>
      <c r="B9" s="218" t="s">
        <v>379</v>
      </c>
      <c r="C9" s="19">
        <v>5.4290277777777769</v>
      </c>
      <c r="D9" s="233">
        <v>14.577222222222224</v>
      </c>
      <c r="E9" s="233">
        <v>9.0379166666666659</v>
      </c>
      <c r="F9" s="19">
        <v>12.182499999999999</v>
      </c>
      <c r="G9" s="233">
        <v>9.1000000000000014</v>
      </c>
      <c r="H9" s="233">
        <v>8.1362777777777762</v>
      </c>
      <c r="I9" s="233">
        <v>9.4706944444444456</v>
      </c>
      <c r="J9" s="233">
        <v>9.4280092592592606</v>
      </c>
    </row>
    <row r="10" spans="1:13" x14ac:dyDescent="0.25">
      <c r="A10" s="214"/>
      <c r="B10" s="218" t="s">
        <v>384</v>
      </c>
      <c r="C10" s="233">
        <v>14.58</v>
      </c>
      <c r="D10" s="233">
        <v>20.27611111111111</v>
      </c>
      <c r="E10" s="250">
        <v>14.759444444444442</v>
      </c>
      <c r="F10" s="19">
        <v>20.843333333333334</v>
      </c>
      <c r="G10" s="233">
        <v>16.293055555555554</v>
      </c>
      <c r="H10" s="233">
        <v>14.280833333333332</v>
      </c>
      <c r="I10" s="233">
        <v>13.32</v>
      </c>
      <c r="J10" s="233">
        <v>13.825046296296298</v>
      </c>
    </row>
    <row r="11" spans="1:13" x14ac:dyDescent="0.25">
      <c r="A11" s="214"/>
      <c r="B11" s="218" t="s">
        <v>385</v>
      </c>
      <c r="C11" s="233">
        <v>10.376933333333334</v>
      </c>
      <c r="D11" s="233">
        <v>7.8305555555555557</v>
      </c>
      <c r="E11" s="250">
        <v>6.3878333333333339</v>
      </c>
      <c r="F11" s="19">
        <v>13.89</v>
      </c>
      <c r="G11" s="233">
        <v>6.9830000000000023</v>
      </c>
      <c r="H11" s="233">
        <v>5.6583333333333332</v>
      </c>
      <c r="I11" s="233">
        <v>7.7515000000000001</v>
      </c>
      <c r="J11" s="233">
        <v>8.5416666666666679</v>
      </c>
    </row>
    <row r="12" spans="1:13" x14ac:dyDescent="0.25">
      <c r="A12" s="214"/>
      <c r="B12" s="55" t="s">
        <v>374</v>
      </c>
      <c r="C12" s="233">
        <v>22.876666666666665</v>
      </c>
      <c r="D12" s="233">
        <v>22.092037037037034</v>
      </c>
      <c r="E12" s="233">
        <v>24.937222222222221</v>
      </c>
      <c r="F12" s="19">
        <v>21.553333333333331</v>
      </c>
      <c r="G12" s="233">
        <v>16.083333333333332</v>
      </c>
      <c r="H12" s="233">
        <v>15.568</v>
      </c>
      <c r="I12" s="233">
        <v>21.559722222222199</v>
      </c>
      <c r="J12" s="233">
        <v>20.349722222222201</v>
      </c>
    </row>
    <row r="13" spans="1:13" x14ac:dyDescent="0.25">
      <c r="A13" s="214"/>
      <c r="B13" s="55" t="s">
        <v>375</v>
      </c>
      <c r="C13" s="233">
        <v>4.0577777777777779</v>
      </c>
      <c r="D13" s="233">
        <v>2.4677777777777776</v>
      </c>
      <c r="E13" s="233">
        <v>4.2705555555555561</v>
      </c>
      <c r="F13" s="250">
        <v>7.0166666666666684</v>
      </c>
      <c r="G13" s="233">
        <v>2.9933333333333336</v>
      </c>
      <c r="H13" s="233">
        <v>2.84</v>
      </c>
      <c r="I13" s="233">
        <v>2.4316666666666671</v>
      </c>
      <c r="J13" s="250">
        <v>4.5220370370370375</v>
      </c>
    </row>
    <row r="14" spans="1:13" x14ac:dyDescent="0.25">
      <c r="A14" s="214"/>
      <c r="B14" s="55" t="s">
        <v>376</v>
      </c>
      <c r="C14" s="233">
        <v>14.710166666666666</v>
      </c>
      <c r="D14" s="233">
        <v>20.307037037037038</v>
      </c>
      <c r="E14" s="233">
        <v>12.252222222222223</v>
      </c>
      <c r="F14" s="196">
        <v>18.14</v>
      </c>
      <c r="G14" s="233">
        <v>19.043333333333333</v>
      </c>
      <c r="H14" s="233">
        <v>13.467222222222219</v>
      </c>
      <c r="I14" s="233">
        <v>15.184629629629626</v>
      </c>
      <c r="J14" s="233">
        <v>12.670277777777777</v>
      </c>
    </row>
    <row r="15" spans="1:13" x14ac:dyDescent="0.25">
      <c r="A15" s="214"/>
      <c r="B15" s="55" t="s">
        <v>377</v>
      </c>
      <c r="C15" s="231">
        <v>16.485388888888888</v>
      </c>
      <c r="D15" s="233">
        <v>16.927037037037035</v>
      </c>
      <c r="E15" s="233">
        <v>10.664166666666667</v>
      </c>
      <c r="F15" s="19">
        <v>13.31</v>
      </c>
      <c r="G15" s="233">
        <v>36.00555555555556</v>
      </c>
      <c r="H15" s="233">
        <v>17.177000000000003</v>
      </c>
      <c r="I15" s="233">
        <v>9.1188888888888879</v>
      </c>
      <c r="J15" s="233">
        <v>8.1529629629629632</v>
      </c>
    </row>
    <row r="16" spans="1:13" x14ac:dyDescent="0.25">
      <c r="A16" s="214"/>
      <c r="B16" s="55" t="s">
        <v>378</v>
      </c>
      <c r="C16" s="251">
        <v>3.97</v>
      </c>
      <c r="D16" s="233">
        <v>3.0399999999999996</v>
      </c>
      <c r="E16" s="233">
        <v>2.5966666666666667</v>
      </c>
      <c r="F16" s="19">
        <v>2.6366666666666667</v>
      </c>
      <c r="G16" s="233">
        <v>1.1133333333333335</v>
      </c>
      <c r="H16" s="233">
        <v>1.83</v>
      </c>
      <c r="I16" s="233">
        <v>2.5208333333333339</v>
      </c>
      <c r="J16" s="233">
        <v>1.9799999999999998</v>
      </c>
    </row>
    <row r="17" spans="1:13" x14ac:dyDescent="0.25">
      <c r="A17" s="214"/>
      <c r="B17" s="55" t="s">
        <v>557</v>
      </c>
      <c r="C17" s="233">
        <v>21.313333333333336</v>
      </c>
      <c r="D17" s="233">
        <v>20.014444444444443</v>
      </c>
      <c r="E17" s="233">
        <v>9.6999999999999993</v>
      </c>
      <c r="F17" s="252">
        <v>11.849999999999998</v>
      </c>
      <c r="G17" s="253">
        <v>29.62</v>
      </c>
      <c r="H17" s="233">
        <v>22.54</v>
      </c>
      <c r="I17" s="233">
        <v>15.743333333333331</v>
      </c>
      <c r="J17" s="233">
        <v>14.01</v>
      </c>
    </row>
    <row r="18" spans="1:13" x14ac:dyDescent="0.25">
      <c r="A18" s="214"/>
      <c r="B18" s="55" t="s">
        <v>558</v>
      </c>
      <c r="C18" s="233">
        <v>6.96</v>
      </c>
      <c r="D18" s="233">
        <v>2.13</v>
      </c>
      <c r="E18" s="233">
        <v>6.2400000000000011</v>
      </c>
      <c r="F18" s="252">
        <v>14.030000000000001</v>
      </c>
      <c r="G18" s="253">
        <v>7.1599999999999993</v>
      </c>
      <c r="H18" s="233">
        <v>3.3300000000000005</v>
      </c>
      <c r="I18" s="233">
        <v>2.56</v>
      </c>
      <c r="J18" s="233">
        <v>3.28</v>
      </c>
    </row>
    <row r="19" spans="1:13" x14ac:dyDescent="0.25">
      <c r="A19" s="214"/>
      <c r="B19" s="55" t="s">
        <v>548</v>
      </c>
      <c r="C19" s="233">
        <v>5.3733333333333304</v>
      </c>
      <c r="D19" s="233">
        <v>6.48</v>
      </c>
      <c r="E19" s="233">
        <v>1.66</v>
      </c>
      <c r="F19" s="252">
        <v>2.3199999999999998</v>
      </c>
      <c r="G19" s="253">
        <v>9.5</v>
      </c>
      <c r="H19" s="233">
        <v>0</v>
      </c>
      <c r="I19" s="233">
        <v>0.2</v>
      </c>
      <c r="J19" s="233">
        <v>0.5</v>
      </c>
    </row>
    <row r="20" spans="1:13" x14ac:dyDescent="0.25">
      <c r="A20" s="214"/>
      <c r="B20" s="55" t="s">
        <v>549</v>
      </c>
      <c r="C20" s="233">
        <v>39.229999999999997</v>
      </c>
      <c r="D20" s="233">
        <v>42.869444444444454</v>
      </c>
      <c r="E20" s="233">
        <v>28.263333333333346</v>
      </c>
      <c r="F20" s="252">
        <v>39.809999999999995</v>
      </c>
      <c r="G20" s="253">
        <v>54.45000000000001</v>
      </c>
      <c r="H20" s="233">
        <v>32.795999999999999</v>
      </c>
      <c r="I20" s="233">
        <v>28.523333333333333</v>
      </c>
      <c r="J20" s="233">
        <v>24.47</v>
      </c>
    </row>
    <row r="21" spans="1:13" x14ac:dyDescent="0.25">
      <c r="A21" s="214"/>
      <c r="B21" s="55" t="s">
        <v>386</v>
      </c>
      <c r="C21" s="231">
        <v>34.918333333333337</v>
      </c>
      <c r="D21" s="233">
        <v>35.872777777777785</v>
      </c>
      <c r="E21" s="233">
        <v>34.323333333333352</v>
      </c>
      <c r="F21" s="19">
        <v>33.570000000000007</v>
      </c>
      <c r="G21" s="233">
        <v>24.705000000000009</v>
      </c>
      <c r="H21" s="233">
        <v>23.821666666666669</v>
      </c>
      <c r="I21" s="233">
        <v>31.85</v>
      </c>
      <c r="J21" s="233">
        <v>31.558333333333337</v>
      </c>
    </row>
    <row r="22" spans="1:13" x14ac:dyDescent="0.25">
      <c r="A22" s="214"/>
      <c r="B22" s="55" t="s">
        <v>387</v>
      </c>
      <c r="C22" s="231">
        <v>7.6241666666666656</v>
      </c>
      <c r="D22" s="233">
        <v>11.163888888888888</v>
      </c>
      <c r="E22" s="233">
        <v>9.399166666666666</v>
      </c>
      <c r="F22" s="19">
        <v>15.879999999999997</v>
      </c>
      <c r="G22" s="233">
        <v>10.908333333333333</v>
      </c>
      <c r="H22" s="233">
        <v>7.1249999999999991</v>
      </c>
      <c r="I22" s="233">
        <v>8.4291666666666654</v>
      </c>
      <c r="J22" s="233">
        <v>9.6808333333333323</v>
      </c>
    </row>
    <row r="23" spans="1:13" x14ac:dyDescent="0.25">
      <c r="A23" s="214"/>
      <c r="B23" s="55" t="s">
        <v>388</v>
      </c>
      <c r="C23" s="250">
        <v>6.192499999999999</v>
      </c>
      <c r="D23" s="233">
        <v>7.839999999999999</v>
      </c>
      <c r="E23" s="233">
        <v>6.8013333333333321</v>
      </c>
      <c r="F23" s="19">
        <v>9.6</v>
      </c>
      <c r="G23" s="233">
        <v>14.593333333333334</v>
      </c>
      <c r="H23" s="233">
        <v>7.36</v>
      </c>
      <c r="I23" s="233">
        <v>7.559166666666667</v>
      </c>
      <c r="J23" s="233">
        <v>4.2008333333333336</v>
      </c>
    </row>
    <row r="24" spans="1:13" x14ac:dyDescent="0.25">
      <c r="A24" s="214"/>
      <c r="B24" s="55" t="s">
        <v>389</v>
      </c>
      <c r="C24" s="250">
        <v>7.2499999999999991</v>
      </c>
      <c r="D24" s="233">
        <v>8.8550000000000004</v>
      </c>
      <c r="E24" s="233">
        <v>2.79</v>
      </c>
      <c r="F24" s="19">
        <v>3.1399999999999997</v>
      </c>
      <c r="G24" s="233">
        <v>26.4</v>
      </c>
      <c r="H24" s="233">
        <v>13.1</v>
      </c>
      <c r="I24" s="233">
        <v>2.6258333333333335</v>
      </c>
      <c r="J24" s="233">
        <v>1.6900000000000002</v>
      </c>
    </row>
    <row r="25" spans="1:13" x14ac:dyDescent="0.25">
      <c r="A25" s="214"/>
      <c r="B25" s="55" t="s">
        <v>390</v>
      </c>
      <c r="C25" s="250">
        <v>4.8499999999999996</v>
      </c>
      <c r="D25" s="233">
        <v>2.46</v>
      </c>
      <c r="E25" s="233">
        <v>0.54</v>
      </c>
      <c r="F25" s="19">
        <v>0.28000000000000003</v>
      </c>
      <c r="G25" s="233">
        <v>0</v>
      </c>
      <c r="H25" s="233">
        <v>0.62</v>
      </c>
      <c r="I25" s="233">
        <v>1.24</v>
      </c>
      <c r="J25" s="233">
        <v>1.28</v>
      </c>
    </row>
    <row r="26" spans="1:13" x14ac:dyDescent="0.25">
      <c r="A26" s="214"/>
      <c r="B26" s="55" t="s">
        <v>391</v>
      </c>
      <c r="C26" s="250">
        <v>4.0266666666666664</v>
      </c>
      <c r="D26" s="233">
        <v>17.069999999999997</v>
      </c>
      <c r="E26" s="233">
        <v>7.3741666666666692</v>
      </c>
      <c r="F26" s="252">
        <v>13.769999999999998</v>
      </c>
      <c r="G26" s="233">
        <v>16.850000000000001</v>
      </c>
      <c r="H26" s="233">
        <v>2.58</v>
      </c>
      <c r="I26" s="233">
        <v>8.9538888888888888</v>
      </c>
      <c r="J26" s="233">
        <v>5.085</v>
      </c>
      <c r="L26" s="3"/>
    </row>
    <row r="27" spans="1:13" x14ac:dyDescent="0.25">
      <c r="A27" s="214"/>
      <c r="B27" s="55" t="s">
        <v>392</v>
      </c>
      <c r="C27" s="250">
        <v>13.55</v>
      </c>
      <c r="D27" s="233">
        <v>11.85888888888889</v>
      </c>
      <c r="E27" s="233">
        <v>11.446333333333332</v>
      </c>
      <c r="F27" s="252">
        <v>15.129999999999997</v>
      </c>
      <c r="G27" s="233">
        <v>15.541666666666666</v>
      </c>
      <c r="H27" s="233">
        <v>11.384999999999996</v>
      </c>
      <c r="I27" s="233">
        <v>10.210000000000001</v>
      </c>
      <c r="J27" s="233">
        <v>11.216666666666665</v>
      </c>
      <c r="L27" s="17"/>
    </row>
    <row r="28" spans="1:13" x14ac:dyDescent="0.25">
      <c r="B28" s="55" t="s">
        <v>393</v>
      </c>
      <c r="C28" s="250">
        <v>8.34</v>
      </c>
      <c r="D28" s="233">
        <v>1.39</v>
      </c>
      <c r="E28" s="233">
        <v>0.71</v>
      </c>
      <c r="F28" s="19">
        <v>0</v>
      </c>
      <c r="G28" s="233">
        <v>19.509999999999998</v>
      </c>
      <c r="H28" s="233">
        <v>14.239999999999998</v>
      </c>
      <c r="I28" s="233">
        <v>0.82</v>
      </c>
      <c r="J28" s="233">
        <v>0.55000000000000004</v>
      </c>
      <c r="L28" s="17"/>
      <c r="M28" s="2"/>
    </row>
    <row r="29" spans="1:13" x14ac:dyDescent="0.25">
      <c r="B29" s="55" t="s">
        <v>394</v>
      </c>
      <c r="C29" s="250">
        <v>25.92</v>
      </c>
      <c r="D29" s="19">
        <v>30.318888888888889</v>
      </c>
      <c r="E29" s="233">
        <v>19.5305</v>
      </c>
      <c r="F29" s="233">
        <v>28.900000000000009</v>
      </c>
      <c r="G29" s="233">
        <v>51.901666666666671</v>
      </c>
      <c r="H29" s="233">
        <v>28.205000000000002</v>
      </c>
      <c r="I29" s="233">
        <v>19.989999999999998</v>
      </c>
      <c r="J29" s="250">
        <v>16.851666666666667</v>
      </c>
      <c r="L29" s="214"/>
    </row>
    <row r="30" spans="1:13" x14ac:dyDescent="0.25">
      <c r="B30" s="21"/>
      <c r="C30" s="21"/>
      <c r="D30" s="111"/>
      <c r="E30" s="111"/>
    </row>
    <row r="31" spans="1:13" x14ac:dyDescent="0.25">
      <c r="A31" s="214"/>
      <c r="B31" s="214"/>
      <c r="C31" s="214"/>
      <c r="D31" s="214"/>
      <c r="E31" s="214"/>
    </row>
    <row r="32" spans="1:13" x14ac:dyDescent="0.25">
      <c r="A32" s="4"/>
      <c r="B32" s="1"/>
      <c r="C32" s="23"/>
      <c r="D32" s="1"/>
      <c r="E32" s="53"/>
    </row>
    <row r="33" spans="1:12" x14ac:dyDescent="0.25">
      <c r="A33" s="1"/>
      <c r="B33" s="17"/>
      <c r="C33" s="17"/>
      <c r="D33" s="17"/>
      <c r="E33" s="17"/>
      <c r="H33" s="111"/>
      <c r="I33" s="21"/>
      <c r="J33" s="21"/>
      <c r="K33" s="21"/>
      <c r="L33" s="21"/>
    </row>
    <row r="34" spans="1:12" x14ac:dyDescent="0.25">
      <c r="A34" s="1"/>
      <c r="B34" s="17"/>
      <c r="C34" s="17"/>
      <c r="D34" s="17"/>
      <c r="E34" s="17"/>
    </row>
    <row r="35" spans="1:12" x14ac:dyDescent="0.25">
      <c r="A35" s="1"/>
      <c r="B35" s="17"/>
      <c r="C35" s="17"/>
      <c r="D35" s="17"/>
      <c r="E35" s="17"/>
    </row>
    <row r="36" spans="1:12" x14ac:dyDescent="0.25">
      <c r="A36" s="1"/>
      <c r="B36" s="17"/>
      <c r="C36" s="17"/>
      <c r="D36" s="17"/>
      <c r="E36" s="17"/>
    </row>
    <row r="37" spans="1:12" x14ac:dyDescent="0.25">
      <c r="A37" s="1"/>
      <c r="B37" s="17"/>
      <c r="C37" s="17"/>
      <c r="D37" s="17"/>
      <c r="E37" s="17"/>
    </row>
    <row r="38" spans="1:12" x14ac:dyDescent="0.25">
      <c r="A38" s="111"/>
      <c r="B38" s="21"/>
      <c r="C38" s="21"/>
      <c r="D38" s="21"/>
      <c r="E38" s="21"/>
    </row>
    <row r="39" spans="1:12" x14ac:dyDescent="0.25">
      <c r="A39" s="4"/>
      <c r="B39" s="1"/>
      <c r="C39" s="21"/>
      <c r="D39" s="21"/>
      <c r="E39" s="21"/>
    </row>
    <row r="40" spans="1:12" x14ac:dyDescent="0.25">
      <c r="A40" s="1"/>
      <c r="B40" s="17"/>
      <c r="C40" s="21"/>
      <c r="D40" s="21"/>
      <c r="E40" s="21"/>
    </row>
    <row r="41" spans="1:12" x14ac:dyDescent="0.25">
      <c r="A41" s="1"/>
      <c r="B41" s="17"/>
      <c r="C41" s="21"/>
      <c r="D41" s="21"/>
      <c r="E41" s="21"/>
    </row>
    <row r="42" spans="1:12" x14ac:dyDescent="0.25">
      <c r="A42" s="1"/>
      <c r="B42" s="17"/>
      <c r="C42" s="21"/>
      <c r="D42" s="21"/>
      <c r="E42" s="21"/>
    </row>
    <row r="43" spans="1:12" x14ac:dyDescent="0.25">
      <c r="A43" s="1"/>
      <c r="B43" s="17"/>
      <c r="C43" s="21"/>
      <c r="D43" s="21"/>
      <c r="E43" s="21"/>
    </row>
    <row r="44" spans="1:12" x14ac:dyDescent="0.25">
      <c r="A44" s="1"/>
      <c r="B44" s="17"/>
      <c r="C44" s="21"/>
      <c r="D44" s="21"/>
      <c r="E44" s="21"/>
    </row>
    <row r="45" spans="1:12" x14ac:dyDescent="0.25">
      <c r="A45" s="1"/>
      <c r="B45" s="17"/>
      <c r="C45" s="21"/>
      <c r="D45" s="21"/>
      <c r="E45" s="21"/>
    </row>
    <row r="46" spans="1:12" x14ac:dyDescent="0.25">
      <c r="A46" s="1"/>
      <c r="B46" s="17"/>
      <c r="C46" s="21"/>
      <c r="D46" s="21"/>
      <c r="E46" s="21"/>
    </row>
    <row r="47" spans="1:12" x14ac:dyDescent="0.25">
      <c r="A47" s="1"/>
      <c r="B47" s="17"/>
      <c r="C47" s="21"/>
      <c r="D47" s="21"/>
      <c r="E47" s="21"/>
    </row>
    <row r="48" spans="1:12" x14ac:dyDescent="0.25">
      <c r="A48" s="1"/>
      <c r="B48" s="17"/>
      <c r="C48" s="21"/>
      <c r="D48" s="21"/>
      <c r="E48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313"/>
  <sheetViews>
    <sheetView topLeftCell="W1" zoomScale="79" zoomScaleNormal="57" workbookViewId="0">
      <pane ySplit="1" topLeftCell="A55" activePane="bottomLeft" state="frozen"/>
      <selection activeCell="F1" sqref="F1"/>
      <selection pane="bottomLeft" activeCell="AJ65" sqref="AJ64:AJ65"/>
    </sheetView>
  </sheetViews>
  <sheetFormatPr defaultColWidth="9.140625" defaultRowHeight="15" outlineLevelRow="3" outlineLevelCol="2" x14ac:dyDescent="0.25"/>
  <cols>
    <col min="1" max="1" width="16.7109375" style="121" bestFit="1" customWidth="1"/>
    <col min="2" max="2" width="9.7109375" style="21" bestFit="1" customWidth="1"/>
    <col min="3" max="3" width="7.85546875" style="50" bestFit="1" customWidth="1"/>
    <col min="4" max="4" width="9.28515625" style="224" customWidth="1"/>
    <col min="5" max="5" width="37.85546875" style="187" bestFit="1" customWidth="1"/>
    <col min="6" max="6" width="2.140625" style="113" customWidth="1"/>
    <col min="7" max="7" width="9.7109375" style="21" bestFit="1" customWidth="1"/>
    <col min="8" max="8" width="7.85546875" style="50" bestFit="1" customWidth="1"/>
    <col min="9" max="9" width="9.7109375" style="21" bestFit="1" customWidth="1"/>
    <col min="10" max="10" width="2.140625" style="113" customWidth="1"/>
    <col min="11" max="11" width="9.7109375" style="117" bestFit="1" customWidth="1"/>
    <col min="12" max="12" width="7.85546875" style="187" bestFit="1" customWidth="1"/>
    <col min="13" max="13" width="8.85546875" style="188" bestFit="1" customWidth="1"/>
    <col min="14" max="14" width="37.85546875" style="50" bestFit="1" customWidth="1"/>
    <col min="15" max="15" width="2.140625" style="113" customWidth="1"/>
    <col min="16" max="16" width="9.7109375" style="21" bestFit="1" customWidth="1"/>
    <col min="17" max="17" width="7.85546875" style="50" bestFit="1" customWidth="1"/>
    <col min="18" max="18" width="8.85546875" style="21" bestFit="1" customWidth="1"/>
    <col min="19" max="19" width="18.28515625" style="50" bestFit="1" customWidth="1"/>
    <col min="20" max="20" width="2.140625" style="113" customWidth="1"/>
    <col min="21" max="21" width="9.7109375" style="21" bestFit="1" customWidth="1"/>
    <col min="22" max="22" width="7.85546875" style="50" bestFit="1" customWidth="1"/>
    <col min="23" max="23" width="8.85546875" style="117" bestFit="1" customWidth="1"/>
    <col min="24" max="24" width="27.140625" style="50" bestFit="1" customWidth="1"/>
    <col min="25" max="25" width="2.140625" style="113" customWidth="1"/>
    <col min="26" max="26" width="9.7109375" style="21" bestFit="1" customWidth="1"/>
    <col min="27" max="27" width="7.85546875" style="50" bestFit="1" customWidth="1"/>
    <col min="28" max="28" width="8.85546875" style="21" bestFit="1" customWidth="1"/>
    <col min="29" max="29" width="19.7109375" style="187" bestFit="1" customWidth="1"/>
    <col min="30" max="30" width="2.140625" style="113" customWidth="1"/>
    <col min="31" max="31" width="9.7109375" style="29" bestFit="1" customWidth="1"/>
    <col min="32" max="32" width="7.85546875" style="21" bestFit="1" customWidth="1"/>
    <col min="33" max="33" width="8.85546875" style="21" bestFit="1" customWidth="1"/>
    <col min="34" max="34" width="19.7109375" style="21" bestFit="1" customWidth="1"/>
    <col min="35" max="35" width="2.140625" style="32" customWidth="1"/>
    <col min="36" max="36" width="26.7109375" style="21" bestFit="1" customWidth="1"/>
    <col min="37" max="37" width="9.5703125" style="21" customWidth="1" outlineLevel="2"/>
    <col min="38" max="38" width="6.85546875" style="21" customWidth="1" outlineLevel="2"/>
    <col min="39" max="39" width="12.28515625" style="21" customWidth="1" outlineLevel="2"/>
    <col min="40" max="40" width="11.42578125" style="21" customWidth="1" outlineLevel="1"/>
    <col min="41" max="41" width="11.140625" style="21" customWidth="1" outlineLevel="1"/>
    <col min="42" max="42" width="17.140625" style="21" customWidth="1" outlineLevel="1"/>
    <col min="43" max="51" width="9.140625" style="21" customWidth="1"/>
    <col min="52" max="16384" width="9.140625" style="21"/>
  </cols>
  <sheetData>
    <row r="1" spans="1:52" x14ac:dyDescent="0.25">
      <c r="A1" s="273" t="s">
        <v>0</v>
      </c>
      <c r="B1" s="273"/>
      <c r="C1" s="272" t="s">
        <v>1</v>
      </c>
      <c r="D1" s="272"/>
      <c r="E1" s="272"/>
      <c r="G1" s="272" t="s">
        <v>3</v>
      </c>
      <c r="H1" s="272"/>
      <c r="I1" s="272"/>
      <c r="K1" s="272" t="s">
        <v>2</v>
      </c>
      <c r="L1" s="272"/>
      <c r="M1" s="272"/>
      <c r="N1" s="272"/>
      <c r="P1" s="272" t="s">
        <v>4</v>
      </c>
      <c r="Q1" s="272"/>
      <c r="R1" s="272"/>
      <c r="S1" s="272"/>
      <c r="U1" s="272" t="s">
        <v>16</v>
      </c>
      <c r="V1" s="272"/>
      <c r="W1" s="272"/>
      <c r="X1" s="272"/>
      <c r="Z1" s="272" t="s">
        <v>5</v>
      </c>
      <c r="AA1" s="272"/>
      <c r="AB1" s="272"/>
      <c r="AC1" s="272"/>
      <c r="AE1" s="272" t="s">
        <v>6</v>
      </c>
      <c r="AF1" s="272"/>
      <c r="AG1" s="272"/>
      <c r="AH1" s="272"/>
    </row>
    <row r="2" spans="1:52" x14ac:dyDescent="0.25">
      <c r="A2" s="112" t="s">
        <v>55</v>
      </c>
      <c r="B2" s="49" t="s">
        <v>7</v>
      </c>
      <c r="C2" s="49" t="s">
        <v>8</v>
      </c>
      <c r="D2" s="18" t="s">
        <v>213</v>
      </c>
      <c r="E2" s="8" t="s">
        <v>17</v>
      </c>
      <c r="G2" s="49" t="s">
        <v>7</v>
      </c>
      <c r="H2" s="49" t="s">
        <v>8</v>
      </c>
      <c r="I2" s="49" t="s">
        <v>17</v>
      </c>
      <c r="K2" s="8" t="s">
        <v>7</v>
      </c>
      <c r="L2" s="8" t="s">
        <v>8</v>
      </c>
      <c r="M2" s="18" t="s">
        <v>213</v>
      </c>
      <c r="N2" s="8" t="s">
        <v>17</v>
      </c>
      <c r="P2" s="49" t="s">
        <v>7</v>
      </c>
      <c r="Q2" s="49" t="s">
        <v>8</v>
      </c>
      <c r="R2" s="18" t="s">
        <v>213</v>
      </c>
      <c r="S2" s="8" t="s">
        <v>17</v>
      </c>
      <c r="U2" s="49" t="s">
        <v>7</v>
      </c>
      <c r="V2" s="49" t="s">
        <v>8</v>
      </c>
      <c r="W2" s="18" t="s">
        <v>213</v>
      </c>
      <c r="X2" s="8" t="s">
        <v>17</v>
      </c>
      <c r="Z2" s="49" t="s">
        <v>7</v>
      </c>
      <c r="AA2" s="49" t="s">
        <v>8</v>
      </c>
      <c r="AB2" s="18" t="s">
        <v>213</v>
      </c>
      <c r="AC2" s="8" t="s">
        <v>17</v>
      </c>
      <c r="AE2" s="49" t="s">
        <v>7</v>
      </c>
      <c r="AF2" s="49" t="s">
        <v>8</v>
      </c>
      <c r="AG2" s="18" t="s">
        <v>213</v>
      </c>
      <c r="AH2" s="8" t="s">
        <v>17</v>
      </c>
    </row>
    <row r="3" spans="1:52" outlineLevel="1" x14ac:dyDescent="0.25">
      <c r="A3" s="261">
        <v>1</v>
      </c>
      <c r="B3" s="260">
        <v>14.95</v>
      </c>
      <c r="C3" s="259">
        <v>4.1100000000000003</v>
      </c>
      <c r="D3" s="246">
        <f>B3-D4</f>
        <v>14.95</v>
      </c>
      <c r="E3" s="54" t="s">
        <v>34</v>
      </c>
      <c r="G3" s="241">
        <v>18.420000000000002</v>
      </c>
      <c r="H3" s="240">
        <v>4.0999999999999996</v>
      </c>
      <c r="I3" s="241"/>
      <c r="K3" s="241">
        <v>13.85</v>
      </c>
      <c r="L3" s="240">
        <v>4.1500000000000004</v>
      </c>
      <c r="M3" s="245">
        <f>K4+K3</f>
        <v>14.48</v>
      </c>
      <c r="N3" s="54" t="s">
        <v>34</v>
      </c>
      <c r="P3" s="260">
        <v>14.87</v>
      </c>
      <c r="Q3" s="259">
        <v>4.09</v>
      </c>
      <c r="R3" s="241">
        <f>P3-R4</f>
        <v>14.87</v>
      </c>
      <c r="S3" s="54" t="s">
        <v>34</v>
      </c>
      <c r="U3" s="241">
        <v>15.51</v>
      </c>
      <c r="V3" s="240">
        <v>4.13</v>
      </c>
      <c r="W3" s="245">
        <f>U3+U4</f>
        <v>15.52</v>
      </c>
      <c r="X3" s="54" t="s">
        <v>34</v>
      </c>
      <c r="Z3" s="241">
        <v>14.19</v>
      </c>
      <c r="AA3" s="240">
        <v>4.12</v>
      </c>
      <c r="AB3" s="241">
        <f>Z3+Z4</f>
        <v>14.95</v>
      </c>
      <c r="AC3" s="54" t="s">
        <v>34</v>
      </c>
      <c r="AE3" s="241">
        <v>13.25</v>
      </c>
      <c r="AF3" s="240">
        <v>4.16</v>
      </c>
      <c r="AG3" s="241">
        <f>AE3</f>
        <v>13.25</v>
      </c>
      <c r="AH3" s="54" t="s">
        <v>34</v>
      </c>
      <c r="AJ3" s="241"/>
      <c r="AK3" s="222" t="s">
        <v>1</v>
      </c>
      <c r="AL3" s="222" t="s">
        <v>2</v>
      </c>
      <c r="AM3" s="222" t="s">
        <v>4</v>
      </c>
      <c r="AN3" s="222" t="s">
        <v>16</v>
      </c>
      <c r="AO3" s="222" t="s">
        <v>5</v>
      </c>
      <c r="AP3" s="222" t="s">
        <v>6</v>
      </c>
      <c r="AS3" s="111"/>
    </row>
    <row r="4" spans="1:52" outlineLevel="2" x14ac:dyDescent="0.25">
      <c r="A4" s="261"/>
      <c r="B4" s="260"/>
      <c r="C4" s="259"/>
      <c r="D4" s="246"/>
      <c r="E4" s="241"/>
      <c r="G4" s="241">
        <v>0.28000000000000003</v>
      </c>
      <c r="H4" s="240">
        <v>4.28</v>
      </c>
      <c r="I4" s="241"/>
      <c r="K4" s="241">
        <v>0.63</v>
      </c>
      <c r="L4" s="240">
        <v>4.2699999999999996</v>
      </c>
      <c r="M4" s="245"/>
      <c r="N4" s="241"/>
      <c r="P4" s="260"/>
      <c r="Q4" s="259"/>
      <c r="R4" s="241"/>
      <c r="S4" s="241"/>
      <c r="U4" s="241">
        <v>0.01</v>
      </c>
      <c r="V4" s="240">
        <v>4.42</v>
      </c>
      <c r="W4" s="245"/>
      <c r="X4" s="241"/>
      <c r="Z4" s="241">
        <v>0.76</v>
      </c>
      <c r="AA4" s="240">
        <v>4.24</v>
      </c>
      <c r="AB4" s="241"/>
      <c r="AC4" s="241"/>
      <c r="AE4" s="241">
        <v>11.15</v>
      </c>
      <c r="AF4" s="240">
        <v>4.29</v>
      </c>
      <c r="AG4" s="241">
        <f>AE4</f>
        <v>11.15</v>
      </c>
      <c r="AH4" s="80" t="s">
        <v>28</v>
      </c>
      <c r="AJ4" s="160" t="s">
        <v>32</v>
      </c>
      <c r="AK4" s="19">
        <f>D4+D24+D60+D59+D81+D96+D99+D102+D105+D136+D140+D166+D123+D147+D79+D154+D204+D206+D84+D103+D197+D176</f>
        <v>24.224999999999998</v>
      </c>
      <c r="AL4" s="19">
        <f>M4+M24+M59+M60+M81+M84+M96+M99+M103+M136+M166+M176+M197</f>
        <v>23.765000000000001</v>
      </c>
      <c r="AM4" s="19">
        <f>R4+R24+R59+R96+R99+R136+R166+R81+R105+R176+R102+R140+R25+R60+R103+R197+R84</f>
        <v>25.75333333333333</v>
      </c>
      <c r="AN4" s="19">
        <f>W4+W24+W25+W59+W81+W96+W99+W136+W166+W176+W60+W103+W197+W84</f>
        <v>25.753333333333337</v>
      </c>
      <c r="AO4" s="19">
        <f>AB4+AB24+AB59+AB96+AB99+AB136+AB166+AB25+AB103+AB66+AB197+AB60+AB26+AB117</f>
        <v>23.66</v>
      </c>
      <c r="AP4" s="241">
        <f>AG4+AG7+AG13+AG24+AG59+AG96+AG99+AG136+AG166+AG60+AG197</f>
        <v>46.5</v>
      </c>
      <c r="AQ4" s="160">
        <f>AVERAGE(AK4:AO4)</f>
        <v>24.631333333333334</v>
      </c>
      <c r="AR4" s="111"/>
      <c r="AS4" s="111"/>
      <c r="AT4" s="111"/>
      <c r="AU4" s="111"/>
      <c r="AV4" s="111"/>
      <c r="AW4" s="111"/>
      <c r="AX4" s="111"/>
      <c r="AY4" s="111"/>
      <c r="AZ4" s="111"/>
    </row>
    <row r="5" spans="1:52" ht="15.75" outlineLevel="2" thickBot="1" x14ac:dyDescent="0.3">
      <c r="A5" s="261">
        <v>2</v>
      </c>
      <c r="B5" s="260">
        <v>0.01</v>
      </c>
      <c r="C5" s="259">
        <v>4.47</v>
      </c>
      <c r="D5" s="246"/>
      <c r="E5" s="8"/>
      <c r="G5" s="260">
        <v>0.02</v>
      </c>
      <c r="H5" s="259">
        <v>4.4400000000000004</v>
      </c>
      <c r="I5" s="8"/>
      <c r="K5" s="260">
        <v>0.02</v>
      </c>
      <c r="L5" s="259">
        <v>4.55</v>
      </c>
      <c r="M5" s="245"/>
      <c r="N5" s="49"/>
      <c r="P5" s="260">
        <v>0.01</v>
      </c>
      <c r="Q5" s="259">
        <v>4.4800000000000004</v>
      </c>
      <c r="R5" s="241"/>
      <c r="S5" s="49"/>
      <c r="U5" s="260">
        <v>0.01</v>
      </c>
      <c r="V5" s="259">
        <v>4.5</v>
      </c>
      <c r="W5" s="245"/>
      <c r="X5" s="8"/>
      <c r="Z5" s="241">
        <v>0.03</v>
      </c>
      <c r="AA5" s="240">
        <v>4.47</v>
      </c>
      <c r="AB5" s="241"/>
      <c r="AC5" s="8"/>
      <c r="AE5" s="260">
        <v>0.02</v>
      </c>
      <c r="AF5" s="259">
        <v>4.46</v>
      </c>
      <c r="AG5" s="241"/>
      <c r="AH5" s="56"/>
      <c r="AJ5" s="161" t="s">
        <v>97</v>
      </c>
      <c r="AK5" s="19">
        <f>D8</f>
        <v>1.1200000000000001</v>
      </c>
      <c r="AL5" s="19">
        <f>M8</f>
        <v>1.07</v>
      </c>
      <c r="AM5" s="19">
        <f>R8</f>
        <v>1.1100000000000001</v>
      </c>
      <c r="AN5" s="19">
        <f>W8</f>
        <v>1.1000000000000001</v>
      </c>
      <c r="AO5" s="19">
        <f>AB8</f>
        <v>1.1599999999999999</v>
      </c>
      <c r="AP5" s="245">
        <f>AG8+AG12</f>
        <v>8.08</v>
      </c>
      <c r="AQ5" s="161">
        <f>AVERAGE(AK5:AO5)</f>
        <v>1.1120000000000001</v>
      </c>
      <c r="AR5" s="168">
        <f>AQ4+AQ5</f>
        <v>25.743333333333332</v>
      </c>
      <c r="AS5" s="169" t="s">
        <v>292</v>
      </c>
      <c r="AT5" s="111"/>
      <c r="AU5" s="111"/>
      <c r="AV5" s="111"/>
      <c r="AW5" s="111"/>
      <c r="AX5" s="111"/>
      <c r="AY5" s="111"/>
      <c r="AZ5" s="111"/>
    </row>
    <row r="6" spans="1:52" outlineLevel="2" x14ac:dyDescent="0.25">
      <c r="A6" s="261"/>
      <c r="B6" s="260"/>
      <c r="C6" s="259"/>
      <c r="D6" s="246"/>
      <c r="E6" s="240"/>
      <c r="G6" s="260"/>
      <c r="H6" s="259"/>
      <c r="I6" s="240"/>
      <c r="K6" s="260"/>
      <c r="L6" s="259"/>
      <c r="M6" s="245"/>
      <c r="N6" s="240"/>
      <c r="P6" s="260"/>
      <c r="Q6" s="259"/>
      <c r="R6" s="241"/>
      <c r="S6" s="240"/>
      <c r="U6" s="260"/>
      <c r="V6" s="259"/>
      <c r="W6" s="245"/>
      <c r="X6" s="240"/>
      <c r="Z6" s="241">
        <v>0.02</v>
      </c>
      <c r="AA6" s="240">
        <v>4.59</v>
      </c>
      <c r="AB6" s="241"/>
      <c r="AC6" s="240"/>
      <c r="AE6" s="260"/>
      <c r="AF6" s="259"/>
      <c r="AG6" s="241"/>
      <c r="AH6" s="55"/>
      <c r="AJ6" s="162" t="s">
        <v>122</v>
      </c>
      <c r="AK6" s="19"/>
      <c r="AL6" s="26"/>
      <c r="AM6" s="26"/>
      <c r="AN6" s="26"/>
      <c r="AO6" s="26"/>
      <c r="AP6" s="16"/>
      <c r="AQ6" s="162">
        <v>0</v>
      </c>
      <c r="AR6" s="111"/>
      <c r="AS6" s="111"/>
      <c r="AT6" s="111"/>
      <c r="AU6" s="111"/>
      <c r="AV6" s="174" t="s">
        <v>287</v>
      </c>
      <c r="AW6" s="175"/>
      <c r="AX6" s="111"/>
      <c r="AY6" s="111"/>
      <c r="AZ6" s="111"/>
    </row>
    <row r="7" spans="1:52" outlineLevel="2" x14ac:dyDescent="0.25">
      <c r="A7" s="261">
        <v>3</v>
      </c>
      <c r="B7" s="260">
        <v>1.1200000000000001</v>
      </c>
      <c r="C7" s="259">
        <v>4.68</v>
      </c>
      <c r="D7" s="246"/>
      <c r="E7" s="16"/>
      <c r="G7" s="260">
        <v>0.03</v>
      </c>
      <c r="H7" s="259">
        <v>4.58</v>
      </c>
      <c r="I7" s="240"/>
      <c r="K7" s="260">
        <v>1.07</v>
      </c>
      <c r="L7" s="259">
        <v>4.74</v>
      </c>
      <c r="M7" s="16"/>
      <c r="N7" s="16"/>
      <c r="P7" s="260">
        <v>1.1100000000000001</v>
      </c>
      <c r="Q7" s="259">
        <v>4.6500000000000004</v>
      </c>
      <c r="R7" s="241"/>
      <c r="S7" s="16"/>
      <c r="U7" s="260">
        <v>1.1000000000000001</v>
      </c>
      <c r="V7" s="259">
        <v>4.6900000000000004</v>
      </c>
      <c r="W7" s="245"/>
      <c r="X7" s="19"/>
      <c r="Z7" s="260">
        <v>1.1599999999999999</v>
      </c>
      <c r="AA7" s="259">
        <v>4.68</v>
      </c>
      <c r="AB7" s="241"/>
      <c r="AC7" s="19"/>
      <c r="AE7" s="260">
        <v>17.690000000000001</v>
      </c>
      <c r="AF7" s="259">
        <v>4.76</v>
      </c>
      <c r="AG7" s="19">
        <f>AE7-AG8</f>
        <v>12.690000000000001</v>
      </c>
      <c r="AH7" s="109" t="s">
        <v>225</v>
      </c>
      <c r="AJ7" s="162" t="s">
        <v>124</v>
      </c>
      <c r="AK7" s="19"/>
      <c r="AL7" s="26"/>
      <c r="AM7" s="26"/>
      <c r="AN7" s="26"/>
      <c r="AO7" s="26"/>
      <c r="AP7" s="245"/>
      <c r="AQ7" s="162">
        <v>0</v>
      </c>
      <c r="AR7" s="111"/>
      <c r="AS7" s="111"/>
      <c r="AT7" s="111"/>
      <c r="AU7" s="111"/>
      <c r="AV7" s="176" t="s">
        <v>288</v>
      </c>
      <c r="AW7" s="177"/>
      <c r="AX7" s="111"/>
      <c r="AY7" s="111"/>
      <c r="AZ7" s="111"/>
    </row>
    <row r="8" spans="1:52" outlineLevel="2" x14ac:dyDescent="0.25">
      <c r="A8" s="261"/>
      <c r="B8" s="260"/>
      <c r="C8" s="259"/>
      <c r="D8" s="246">
        <f>B7</f>
        <v>1.1200000000000001</v>
      </c>
      <c r="E8" s="15" t="s">
        <v>19</v>
      </c>
      <c r="G8" s="260"/>
      <c r="H8" s="259"/>
      <c r="I8" s="240"/>
      <c r="K8" s="260"/>
      <c r="L8" s="259"/>
      <c r="M8" s="245">
        <v>1.07</v>
      </c>
      <c r="N8" s="15" t="s">
        <v>19</v>
      </c>
      <c r="P8" s="260"/>
      <c r="Q8" s="259"/>
      <c r="R8" s="241">
        <v>1.1100000000000001</v>
      </c>
      <c r="S8" s="15" t="s">
        <v>19</v>
      </c>
      <c r="U8" s="260"/>
      <c r="V8" s="259"/>
      <c r="W8" s="245">
        <v>1.1000000000000001</v>
      </c>
      <c r="X8" s="15" t="s">
        <v>19</v>
      </c>
      <c r="Z8" s="260"/>
      <c r="AA8" s="259"/>
      <c r="AB8" s="241">
        <f>Z7</f>
        <v>1.1599999999999999</v>
      </c>
      <c r="AC8" s="15" t="s">
        <v>19</v>
      </c>
      <c r="AE8" s="260"/>
      <c r="AF8" s="259"/>
      <c r="AG8" s="245">
        <v>5</v>
      </c>
      <c r="AH8" s="15" t="s">
        <v>19</v>
      </c>
      <c r="AJ8" s="162" t="s">
        <v>31</v>
      </c>
      <c r="AK8" s="241"/>
      <c r="AL8" s="241"/>
      <c r="AM8" s="241"/>
      <c r="AN8" s="241"/>
      <c r="AO8" s="241"/>
      <c r="AP8" s="245"/>
      <c r="AQ8" s="162">
        <v>0</v>
      </c>
      <c r="AR8" s="111"/>
      <c r="AS8" s="169" t="s">
        <v>193</v>
      </c>
      <c r="AT8" s="111"/>
      <c r="AU8" s="111"/>
      <c r="AV8" s="178" t="s">
        <v>289</v>
      </c>
      <c r="AW8" s="179"/>
      <c r="AX8" s="111"/>
      <c r="AY8" s="111"/>
      <c r="AZ8" s="111"/>
    </row>
    <row r="9" spans="1:52" outlineLevel="2" x14ac:dyDescent="0.25">
      <c r="A9" s="261">
        <v>4</v>
      </c>
      <c r="B9" s="260">
        <v>6.75</v>
      </c>
      <c r="C9" s="259">
        <v>4.8</v>
      </c>
      <c r="D9" s="246">
        <f>B9</f>
        <v>6.75</v>
      </c>
      <c r="E9" s="54" t="s">
        <v>34</v>
      </c>
      <c r="G9" s="260">
        <v>8.7799999999999994</v>
      </c>
      <c r="H9" s="259">
        <v>4.8</v>
      </c>
      <c r="I9" s="241"/>
      <c r="K9" s="260">
        <v>6.51</v>
      </c>
      <c r="L9" s="259">
        <v>4.8600000000000003</v>
      </c>
      <c r="M9" s="245">
        <f>K9</f>
        <v>6.51</v>
      </c>
      <c r="N9" s="54" t="s">
        <v>34</v>
      </c>
      <c r="P9" s="260">
        <v>6.55</v>
      </c>
      <c r="Q9" s="259">
        <v>4.7699999999999996</v>
      </c>
      <c r="R9" s="241">
        <f>P9</f>
        <v>6.55</v>
      </c>
      <c r="S9" s="54" t="s">
        <v>34</v>
      </c>
      <c r="U9" s="260">
        <v>6.96</v>
      </c>
      <c r="V9" s="259">
        <v>4.83</v>
      </c>
      <c r="W9" s="245">
        <f>U9</f>
        <v>6.96</v>
      </c>
      <c r="X9" s="54" t="s">
        <v>34</v>
      </c>
      <c r="Z9" s="260">
        <v>6.9</v>
      </c>
      <c r="AA9" s="259">
        <v>4.8</v>
      </c>
      <c r="AB9" s="241">
        <f>Z9</f>
        <v>6.9</v>
      </c>
      <c r="AC9" s="54" t="s">
        <v>34</v>
      </c>
      <c r="AE9" s="260">
        <v>7.03</v>
      </c>
      <c r="AF9" s="259">
        <v>4.88</v>
      </c>
      <c r="AG9" s="241">
        <f>AE9</f>
        <v>7.03</v>
      </c>
      <c r="AH9" s="54" t="s">
        <v>34</v>
      </c>
      <c r="AJ9" s="162" t="s">
        <v>59</v>
      </c>
      <c r="AK9" s="19"/>
      <c r="AL9" s="26"/>
      <c r="AM9" s="114"/>
      <c r="AN9" s="114"/>
      <c r="AO9" s="114"/>
      <c r="AP9" s="245"/>
      <c r="AQ9" s="162">
        <v>0</v>
      </c>
      <c r="AR9" s="170">
        <f>SUM(AQ6:AQ9)</f>
        <v>0</v>
      </c>
      <c r="AS9" s="169" t="s">
        <v>293</v>
      </c>
      <c r="AT9" s="111"/>
      <c r="AU9" s="111"/>
      <c r="AV9" s="180" t="s">
        <v>290</v>
      </c>
      <c r="AW9" s="181"/>
      <c r="AX9" s="111"/>
      <c r="AY9" s="111"/>
      <c r="AZ9" s="111"/>
    </row>
    <row r="10" spans="1:52" ht="15.75" outlineLevel="2" thickBot="1" x14ac:dyDescent="0.3">
      <c r="A10" s="261"/>
      <c r="B10" s="260"/>
      <c r="C10" s="259"/>
      <c r="D10" s="246"/>
      <c r="E10" s="240"/>
      <c r="G10" s="260"/>
      <c r="H10" s="259"/>
      <c r="I10" s="240"/>
      <c r="K10" s="260"/>
      <c r="L10" s="259"/>
      <c r="M10" s="245"/>
      <c r="N10" s="8"/>
      <c r="P10" s="260"/>
      <c r="Q10" s="259"/>
      <c r="R10" s="241"/>
      <c r="S10" s="8"/>
      <c r="U10" s="260"/>
      <c r="V10" s="259"/>
      <c r="W10" s="245"/>
      <c r="X10" s="8"/>
      <c r="Z10" s="260"/>
      <c r="AA10" s="259"/>
      <c r="AB10" s="56"/>
      <c r="AC10" s="8"/>
      <c r="AE10" s="260"/>
      <c r="AF10" s="259"/>
      <c r="AG10" s="56"/>
      <c r="AH10" s="56"/>
      <c r="AJ10" s="163" t="s">
        <v>29</v>
      </c>
      <c r="AK10" s="241">
        <f>D15+D35+D61+D31+D90+D127+D148+D141+D168+D179+D182+D106</f>
        <v>3.749166666666667</v>
      </c>
      <c r="AL10" s="241">
        <f>M15+M35+M61+M109+M148+M168+M177+M182+M127</f>
        <v>3.6100000000000003</v>
      </c>
      <c r="AM10" s="245">
        <f>R15+R35+R61</f>
        <v>3.24</v>
      </c>
      <c r="AN10" s="245">
        <f>W15+W35+W61</f>
        <v>3.22</v>
      </c>
      <c r="AO10" s="245">
        <f>AB15+AB65</f>
        <v>3.24</v>
      </c>
      <c r="AP10" s="245"/>
      <c r="AQ10" s="163">
        <f>AVERAGE(AK10:AO10)</f>
        <v>3.4118333333333339</v>
      </c>
      <c r="AR10" s="111"/>
      <c r="AS10" s="111"/>
      <c r="AT10" s="111"/>
      <c r="AU10" s="111"/>
      <c r="AV10" s="182" t="s">
        <v>291</v>
      </c>
      <c r="AW10" s="183"/>
      <c r="AX10" s="111"/>
      <c r="AY10" s="111"/>
      <c r="AZ10" s="111"/>
    </row>
    <row r="11" spans="1:52" outlineLevel="2" x14ac:dyDescent="0.25">
      <c r="A11" s="261">
        <v>5</v>
      </c>
      <c r="B11" s="260">
        <v>0.15</v>
      </c>
      <c r="C11" s="259">
        <v>5.05</v>
      </c>
      <c r="D11" s="246"/>
      <c r="E11" s="240"/>
      <c r="G11" s="260">
        <v>0.16</v>
      </c>
      <c r="H11" s="259">
        <v>5.08</v>
      </c>
      <c r="I11" s="240"/>
      <c r="K11" s="260">
        <v>0.16</v>
      </c>
      <c r="L11" s="259">
        <v>5.14</v>
      </c>
      <c r="M11" s="245"/>
      <c r="N11" s="240"/>
      <c r="P11" s="260">
        <v>0.14000000000000001</v>
      </c>
      <c r="Q11" s="259">
        <v>5</v>
      </c>
      <c r="R11" s="241"/>
      <c r="S11" s="240"/>
      <c r="U11" s="241">
        <v>0.03</v>
      </c>
      <c r="V11" s="240">
        <v>5.03</v>
      </c>
      <c r="W11" s="245"/>
      <c r="X11" s="56"/>
      <c r="Z11" s="260">
        <v>0.14000000000000001</v>
      </c>
      <c r="AA11" s="259">
        <v>5.05</v>
      </c>
      <c r="AB11" s="241"/>
      <c r="AC11" s="56"/>
      <c r="AE11" s="241">
        <v>0.35</v>
      </c>
      <c r="AF11" s="240">
        <v>5.13</v>
      </c>
      <c r="AG11" s="241"/>
      <c r="AH11" s="240"/>
      <c r="AJ11" s="163" t="s">
        <v>58</v>
      </c>
      <c r="AK11" s="19">
        <f>D21+D139+D145+D155+D169</f>
        <v>2.6849999999999996</v>
      </c>
      <c r="AL11" s="16">
        <f>M21+M139+M145+M155+M169+M79</f>
        <v>2.6850000000000001</v>
      </c>
      <c r="AM11" s="245">
        <f>R21+R53+R79</f>
        <v>1.1399999999999999</v>
      </c>
      <c r="AN11" s="245">
        <f>W79+W34</f>
        <v>3.34</v>
      </c>
      <c r="AO11" s="245">
        <f>AB22</f>
        <v>2.66</v>
      </c>
      <c r="AP11" s="245">
        <f>AG22</f>
        <v>0.01</v>
      </c>
      <c r="AQ11" s="163">
        <f>AVERAGE(AK11:AO11)</f>
        <v>2.5019999999999998</v>
      </c>
      <c r="AR11" s="111"/>
      <c r="AS11" s="111"/>
      <c r="AT11" s="111"/>
      <c r="AU11" s="111"/>
      <c r="AV11" s="111"/>
      <c r="AW11" s="111"/>
      <c r="AX11" s="111"/>
      <c r="AY11" s="111"/>
      <c r="AZ11" s="111"/>
    </row>
    <row r="12" spans="1:52" outlineLevel="2" x14ac:dyDescent="0.25">
      <c r="A12" s="261"/>
      <c r="B12" s="260"/>
      <c r="C12" s="259"/>
      <c r="D12" s="246"/>
      <c r="E12" s="240"/>
      <c r="G12" s="260"/>
      <c r="H12" s="259"/>
      <c r="I12" s="240"/>
      <c r="K12" s="260"/>
      <c r="L12" s="259"/>
      <c r="M12" s="245"/>
      <c r="N12" s="240"/>
      <c r="P12" s="260"/>
      <c r="Q12" s="259"/>
      <c r="R12" s="241"/>
      <c r="S12" s="240"/>
      <c r="U12" s="241">
        <v>0.11</v>
      </c>
      <c r="V12" s="240">
        <v>5.07</v>
      </c>
      <c r="W12" s="245"/>
      <c r="X12" s="8"/>
      <c r="Z12" s="260"/>
      <c r="AA12" s="259"/>
      <c r="AB12" s="241"/>
      <c r="AC12" s="8"/>
      <c r="AE12" s="260">
        <v>5.54</v>
      </c>
      <c r="AF12" s="259">
        <v>5.24</v>
      </c>
      <c r="AG12" s="241">
        <f>AE12-AG13</f>
        <v>3.08</v>
      </c>
      <c r="AH12" s="74" t="s">
        <v>332</v>
      </c>
      <c r="AJ12" s="163" t="s">
        <v>18</v>
      </c>
      <c r="AK12" s="19">
        <f>D19+D42+D49+D77+D68+D130+D181+D82+D69</f>
        <v>2.4600000000000004</v>
      </c>
      <c r="AL12" s="16">
        <f>M19+M42+M69+M82+M130</f>
        <v>2.5100000000000007</v>
      </c>
      <c r="AM12" s="16">
        <f>R37+R42+R49+R69+R130</f>
        <v>2.39</v>
      </c>
      <c r="AN12" s="16">
        <f>W19+W42+W69</f>
        <v>4.3499999999999996</v>
      </c>
      <c r="AO12" s="16">
        <f>AB20</f>
        <v>2.4600000000000004</v>
      </c>
      <c r="AP12" s="245">
        <f>AG20</f>
        <v>0.01</v>
      </c>
      <c r="AQ12" s="163">
        <f>AVERAGE(AK12:AO12)</f>
        <v>2.8340000000000005</v>
      </c>
      <c r="AR12" s="111"/>
      <c r="AS12" s="111"/>
      <c r="AT12" s="111"/>
      <c r="AU12" s="111"/>
      <c r="AV12" s="111"/>
      <c r="AW12" s="111"/>
      <c r="AX12" s="111"/>
      <c r="AY12" s="111"/>
      <c r="AZ12" s="111"/>
    </row>
    <row r="13" spans="1:52" outlineLevel="2" x14ac:dyDescent="0.25">
      <c r="A13" s="261">
        <v>6</v>
      </c>
      <c r="B13" s="260">
        <v>0.26</v>
      </c>
      <c r="C13" s="259">
        <v>5.23</v>
      </c>
      <c r="D13" s="246"/>
      <c r="E13" s="19"/>
      <c r="G13" s="260">
        <v>0.22</v>
      </c>
      <c r="H13" s="259">
        <v>5.22</v>
      </c>
      <c r="I13" s="240"/>
      <c r="K13" s="260">
        <v>0.24</v>
      </c>
      <c r="L13" s="259">
        <v>5.32</v>
      </c>
      <c r="M13" s="245"/>
      <c r="N13" s="19"/>
      <c r="P13" s="260">
        <v>0.25</v>
      </c>
      <c r="Q13" s="259">
        <v>5.2</v>
      </c>
      <c r="R13" s="241"/>
      <c r="S13" s="19"/>
      <c r="U13" s="241">
        <v>0.2</v>
      </c>
      <c r="V13" s="240">
        <v>5.26</v>
      </c>
      <c r="W13" s="245"/>
      <c r="X13" s="19"/>
      <c r="Z13" s="260">
        <v>3.24</v>
      </c>
      <c r="AA13" s="259">
        <v>5.3</v>
      </c>
      <c r="AB13" s="241"/>
      <c r="AC13" s="19"/>
      <c r="AE13" s="260"/>
      <c r="AF13" s="259"/>
      <c r="AG13" s="241">
        <f>AB25+AB26</f>
        <v>2.46</v>
      </c>
      <c r="AH13" s="80" t="s">
        <v>30</v>
      </c>
      <c r="AJ13" s="163" t="s">
        <v>60</v>
      </c>
      <c r="AK13" s="19">
        <f>D28+D50+D85+D120+D185</f>
        <v>1.4725000000000001</v>
      </c>
      <c r="AL13" s="16">
        <f>M50+M85+M120+M185</f>
        <v>1.6274999999999999</v>
      </c>
      <c r="AM13" s="16">
        <f>R28+R50+R85+R92</f>
        <v>2.0666666666666669</v>
      </c>
      <c r="AN13" s="16">
        <f>W28+W50+W85</f>
        <v>2.1266666666666669</v>
      </c>
      <c r="AO13" s="16">
        <f>AB28</f>
        <v>1.57</v>
      </c>
      <c r="AP13" s="245">
        <f>AG28</f>
        <v>0.15</v>
      </c>
      <c r="AQ13" s="163">
        <f>AVERAGE(AK13:AO13)</f>
        <v>1.7726666666666666</v>
      </c>
      <c r="AR13" s="171">
        <f>SUM(AQ10:AQ13)</f>
        <v>10.5205</v>
      </c>
      <c r="AS13" s="169" t="s">
        <v>296</v>
      </c>
      <c r="AT13" s="111"/>
      <c r="AU13" s="111"/>
      <c r="AV13" s="111"/>
      <c r="AW13" s="111"/>
      <c r="AX13" s="111"/>
      <c r="AY13" s="111"/>
      <c r="AZ13" s="111"/>
    </row>
    <row r="14" spans="1:52" outlineLevel="2" x14ac:dyDescent="0.25">
      <c r="A14" s="261"/>
      <c r="B14" s="260"/>
      <c r="C14" s="259"/>
      <c r="D14" s="246"/>
      <c r="E14" s="8"/>
      <c r="G14" s="260"/>
      <c r="H14" s="259"/>
      <c r="I14" s="8"/>
      <c r="K14" s="260"/>
      <c r="L14" s="259"/>
      <c r="M14" s="16"/>
      <c r="N14" s="8"/>
      <c r="P14" s="260"/>
      <c r="Q14" s="259"/>
      <c r="R14" s="241"/>
      <c r="S14" s="8"/>
      <c r="U14" s="260">
        <v>0.31</v>
      </c>
      <c r="V14" s="259">
        <v>5.32</v>
      </c>
      <c r="W14" s="16"/>
      <c r="X14" s="18"/>
      <c r="Z14" s="260"/>
      <c r="AA14" s="259"/>
      <c r="AB14" s="245"/>
      <c r="AC14" s="18"/>
      <c r="AE14" s="260">
        <v>0.04</v>
      </c>
      <c r="AF14" s="259">
        <v>5.39</v>
      </c>
      <c r="AG14" s="241"/>
      <c r="AH14" s="240"/>
      <c r="AJ14" s="164" t="s">
        <v>27</v>
      </c>
      <c r="AK14" s="19">
        <f>D45+D215+D251+D104+D222+D236+D243+D259</f>
        <v>11.344999999999999</v>
      </c>
      <c r="AL14" s="19">
        <f>M20+M45+M77+M112+M113+M118+M215+M222+M235+M236+M243+M251+M258+M259+M58+M162</f>
        <v>12.876666666666667</v>
      </c>
      <c r="AM14" s="16">
        <f>R21+R45+R112+R118+R113+R77+R58</f>
        <v>12.34</v>
      </c>
      <c r="AN14" s="16">
        <f>W21+W113+W45+W77</f>
        <v>10.17</v>
      </c>
      <c r="AO14" s="16">
        <f>AB21</f>
        <v>11.87</v>
      </c>
      <c r="AP14" s="245">
        <f>AG21</f>
        <v>0.3</v>
      </c>
      <c r="AQ14" s="164">
        <f t="shared" ref="AQ14:AQ21" si="0">AVERAGE(AK14:AO14)</f>
        <v>11.720333333333333</v>
      </c>
      <c r="AR14" s="111"/>
      <c r="AS14" s="111"/>
      <c r="AT14" s="111"/>
      <c r="AU14" s="111"/>
      <c r="AV14" s="111"/>
      <c r="AW14" s="111"/>
      <c r="AX14" s="111"/>
      <c r="AY14" s="111"/>
      <c r="AZ14" s="111"/>
    </row>
    <row r="15" spans="1:52" outlineLevel="2" x14ac:dyDescent="0.25">
      <c r="A15" s="261"/>
      <c r="B15" s="260"/>
      <c r="C15" s="259"/>
      <c r="D15" s="246"/>
      <c r="E15" s="240"/>
      <c r="G15" s="260"/>
      <c r="H15" s="259"/>
      <c r="I15" s="240"/>
      <c r="K15" s="260"/>
      <c r="L15" s="259"/>
      <c r="M15" s="245"/>
      <c r="N15" s="8"/>
      <c r="P15" s="260"/>
      <c r="Q15" s="259"/>
      <c r="R15" s="241"/>
      <c r="S15" s="8"/>
      <c r="U15" s="260"/>
      <c r="V15" s="259"/>
      <c r="W15" s="245"/>
      <c r="X15" s="18"/>
      <c r="Z15" s="260"/>
      <c r="AA15" s="259"/>
      <c r="AB15" s="241">
        <f>Z13-AB14</f>
        <v>3.24</v>
      </c>
      <c r="AC15" s="7" t="s">
        <v>29</v>
      </c>
      <c r="AE15" s="260"/>
      <c r="AF15" s="259"/>
      <c r="AG15" s="241"/>
      <c r="AH15" s="240"/>
      <c r="AJ15" s="164" t="s">
        <v>61</v>
      </c>
      <c r="AK15" s="19">
        <f>D29+D62+D94+D146+D210+D237+D245</f>
        <v>4.09</v>
      </c>
      <c r="AL15" s="16">
        <f>M62+M94+M146+M210+M237+M238+M245+M131</f>
        <v>3.4449999999999994</v>
      </c>
      <c r="AM15" s="16">
        <f>R62+R94+R131</f>
        <v>2.9699999999999998</v>
      </c>
      <c r="AN15" s="16">
        <f>W29+W62+W94+W86</f>
        <v>2.700000000000002</v>
      </c>
      <c r="AO15" s="16">
        <f>AB29</f>
        <v>2.6</v>
      </c>
      <c r="AP15" s="245">
        <f>AG29</f>
        <v>0.15</v>
      </c>
      <c r="AQ15" s="164">
        <f t="shared" si="0"/>
        <v>3.1610000000000005</v>
      </c>
      <c r="AR15" s="111"/>
      <c r="AS15" s="111"/>
      <c r="AT15" s="111"/>
      <c r="AU15" s="111"/>
      <c r="AV15" s="111"/>
      <c r="AW15" s="111"/>
      <c r="AX15" s="111"/>
      <c r="AY15" s="111"/>
      <c r="AZ15" s="111"/>
    </row>
    <row r="16" spans="1:52" outlineLevel="2" x14ac:dyDescent="0.25">
      <c r="A16" s="261">
        <v>7</v>
      </c>
      <c r="B16" s="260">
        <v>7.96</v>
      </c>
      <c r="C16" s="259">
        <v>5.55</v>
      </c>
      <c r="D16" s="18"/>
      <c r="E16" s="8"/>
      <c r="G16" s="260">
        <v>10.34</v>
      </c>
      <c r="H16" s="259">
        <v>5.55</v>
      </c>
      <c r="I16" s="8"/>
      <c r="K16" s="260">
        <v>7.65</v>
      </c>
      <c r="L16" s="259">
        <v>5.64</v>
      </c>
      <c r="M16" s="245"/>
      <c r="N16" s="49"/>
      <c r="P16" s="260">
        <v>7.7</v>
      </c>
      <c r="Q16" s="259">
        <v>5.52</v>
      </c>
      <c r="R16" s="56"/>
      <c r="S16" s="49"/>
      <c r="U16" s="241">
        <v>0</v>
      </c>
      <c r="V16" s="240">
        <v>5.46</v>
      </c>
      <c r="W16" s="245"/>
      <c r="X16" s="8"/>
      <c r="Z16" s="260">
        <v>8.0299999999999994</v>
      </c>
      <c r="AA16" s="259">
        <v>5.55</v>
      </c>
      <c r="AB16" s="56"/>
      <c r="AC16" s="8"/>
      <c r="AE16" s="260">
        <v>0.11</v>
      </c>
      <c r="AF16" s="259">
        <v>5.51</v>
      </c>
      <c r="AG16" s="241"/>
      <c r="AH16" s="56"/>
      <c r="AJ16" s="164" t="s">
        <v>21</v>
      </c>
      <c r="AK16" s="19">
        <f>D32+D67+D91+D124+D95+D149+D189+D257+D117+D238</f>
        <v>0.73499999999999999</v>
      </c>
      <c r="AL16" s="16">
        <f>M149+M234+M124</f>
        <v>0.92500000000000004</v>
      </c>
      <c r="AM16" s="16">
        <f>R32+R124+R67+R91</f>
        <v>0.66</v>
      </c>
      <c r="AN16" s="16">
        <f>W27</f>
        <v>0.89999999999999813</v>
      </c>
      <c r="AO16" s="16">
        <f>AB27</f>
        <v>0.89999999999999813</v>
      </c>
      <c r="AP16" s="245"/>
      <c r="AQ16" s="164">
        <f t="shared" si="0"/>
        <v>0.82399999999999929</v>
      </c>
      <c r="AR16" s="111"/>
      <c r="AS16" s="111"/>
      <c r="AT16" s="111"/>
      <c r="AU16" s="111"/>
      <c r="AV16" s="111"/>
      <c r="AW16" s="111"/>
      <c r="AX16" s="111"/>
      <c r="AY16" s="111"/>
      <c r="AZ16" s="111"/>
    </row>
    <row r="17" spans="1:53" outlineLevel="2" x14ac:dyDescent="0.25">
      <c r="A17" s="261"/>
      <c r="B17" s="260"/>
      <c r="C17" s="259"/>
      <c r="D17" s="18"/>
      <c r="E17" s="8"/>
      <c r="F17" s="115"/>
      <c r="G17" s="260"/>
      <c r="H17" s="259"/>
      <c r="I17" s="8"/>
      <c r="J17" s="115"/>
      <c r="K17" s="260"/>
      <c r="L17" s="259"/>
      <c r="M17" s="245"/>
      <c r="N17" s="8"/>
      <c r="O17" s="115"/>
      <c r="P17" s="260"/>
      <c r="Q17" s="259"/>
      <c r="R17" s="241"/>
      <c r="S17" s="8"/>
      <c r="T17" s="115"/>
      <c r="U17" s="241">
        <v>0.01</v>
      </c>
      <c r="V17" s="240">
        <v>5.47</v>
      </c>
      <c r="W17" s="245"/>
      <c r="X17" s="8"/>
      <c r="Y17" s="115"/>
      <c r="Z17" s="260"/>
      <c r="AA17" s="259"/>
      <c r="AB17" s="56"/>
      <c r="AC17" s="8"/>
      <c r="AD17" s="115"/>
      <c r="AE17" s="260"/>
      <c r="AF17" s="259"/>
      <c r="AG17" s="19"/>
      <c r="AH17" s="240"/>
      <c r="AI17" s="39"/>
      <c r="AJ17" s="164" t="s">
        <v>101</v>
      </c>
      <c r="AK17" s="19">
        <f>D132+D202</f>
        <v>0.92999999999999994</v>
      </c>
      <c r="AL17" s="16">
        <f>M132+M202</f>
        <v>0.92999999999999994</v>
      </c>
      <c r="AM17" s="16">
        <f>R132</f>
        <v>1.86</v>
      </c>
      <c r="AN17" s="16">
        <f>W44+W132+W101</f>
        <v>1.86</v>
      </c>
      <c r="AO17" s="16">
        <f>AB39</f>
        <v>1.33</v>
      </c>
      <c r="AP17" s="245">
        <f>AG39</f>
        <v>1.36</v>
      </c>
      <c r="AQ17" s="164">
        <f t="shared" si="0"/>
        <v>1.3820000000000001</v>
      </c>
      <c r="AR17" s="172">
        <f>SUM(AQ14:AQ17)</f>
        <v>17.087333333333333</v>
      </c>
      <c r="AS17" s="169" t="s">
        <v>295</v>
      </c>
      <c r="AT17" s="111"/>
      <c r="AU17" s="111"/>
      <c r="AV17" s="111"/>
      <c r="AW17" s="111"/>
      <c r="AX17" s="111"/>
      <c r="AY17" s="111"/>
      <c r="AZ17" s="111"/>
    </row>
    <row r="18" spans="1:53" outlineLevel="2" x14ac:dyDescent="0.25">
      <c r="A18" s="261"/>
      <c r="B18" s="260"/>
      <c r="C18" s="259"/>
      <c r="D18" s="246">
        <f>B16</f>
        <v>7.96</v>
      </c>
      <c r="E18" s="54" t="s">
        <v>34</v>
      </c>
      <c r="G18" s="260"/>
      <c r="H18" s="259"/>
      <c r="I18" s="241"/>
      <c r="K18" s="260"/>
      <c r="L18" s="259"/>
      <c r="M18" s="245">
        <f>K16</f>
        <v>7.65</v>
      </c>
      <c r="N18" s="54" t="s">
        <v>34</v>
      </c>
      <c r="P18" s="260"/>
      <c r="Q18" s="259"/>
      <c r="R18" s="241">
        <f>P16</f>
        <v>7.7</v>
      </c>
      <c r="S18" s="54" t="s">
        <v>34</v>
      </c>
      <c r="U18" s="241">
        <v>8.1300000000000008</v>
      </c>
      <c r="V18" s="240">
        <v>5.59</v>
      </c>
      <c r="W18" s="245">
        <f>U18-1</f>
        <v>7.1300000000000008</v>
      </c>
      <c r="X18" s="54" t="s">
        <v>34</v>
      </c>
      <c r="Z18" s="260"/>
      <c r="AA18" s="259"/>
      <c r="AB18" s="241">
        <f>Z16-1</f>
        <v>7.0299999999999994</v>
      </c>
      <c r="AC18" s="54" t="s">
        <v>34</v>
      </c>
      <c r="AE18" s="241">
        <v>7.86</v>
      </c>
      <c r="AF18" s="240">
        <v>5.65</v>
      </c>
      <c r="AG18" s="241">
        <f>AE18-AG17+AE16</f>
        <v>7.9700000000000006</v>
      </c>
      <c r="AH18" s="54" t="s">
        <v>34</v>
      </c>
      <c r="AJ18" s="165" t="s">
        <v>22</v>
      </c>
      <c r="AK18" s="19">
        <f>D40+D76+D205+D97+D143+D195+D240+D239+D262+D122</f>
        <v>1.6300000000000001</v>
      </c>
      <c r="AL18" s="16">
        <f>M233+M205</f>
        <v>1.6300000000000001</v>
      </c>
      <c r="AM18" s="16">
        <f>R40+R205+R106+R76+R148</f>
        <v>1.1999999999999997</v>
      </c>
      <c r="AN18" s="19">
        <f>W40</f>
        <v>1.58</v>
      </c>
      <c r="AO18" s="16">
        <f>AB40</f>
        <v>1.63</v>
      </c>
      <c r="AP18" s="16"/>
      <c r="AQ18" s="165">
        <f>AVERAGE(AK18:AO18)</f>
        <v>1.534</v>
      </c>
      <c r="AR18" s="111"/>
      <c r="AS18" s="111"/>
      <c r="AT18" s="111"/>
      <c r="AU18" s="111"/>
      <c r="AV18" s="111"/>
      <c r="AW18" s="111"/>
      <c r="AX18" s="111"/>
      <c r="AY18" s="111"/>
      <c r="AZ18" s="111"/>
    </row>
    <row r="19" spans="1:53" outlineLevel="2" x14ac:dyDescent="0.25">
      <c r="A19" s="261">
        <v>8</v>
      </c>
      <c r="B19" s="260">
        <v>0.53</v>
      </c>
      <c r="C19" s="259">
        <v>5.75</v>
      </c>
      <c r="D19" s="246"/>
      <c r="E19" s="240"/>
      <c r="G19" s="260">
        <v>1.01</v>
      </c>
      <c r="H19" s="259">
        <v>5.75</v>
      </c>
      <c r="I19" s="240"/>
      <c r="K19" s="260">
        <v>0.59</v>
      </c>
      <c r="L19" s="259">
        <v>5.86</v>
      </c>
      <c r="M19" s="245"/>
      <c r="N19" s="240"/>
      <c r="P19" s="260">
        <v>0.62</v>
      </c>
      <c r="Q19" s="259">
        <v>5.72</v>
      </c>
      <c r="R19" s="241"/>
      <c r="S19" s="240"/>
      <c r="U19" s="260">
        <v>1.29</v>
      </c>
      <c r="V19" s="259">
        <v>5.78</v>
      </c>
      <c r="W19" s="245"/>
      <c r="X19" s="246"/>
      <c r="Z19" s="260">
        <v>14.9</v>
      </c>
      <c r="AA19" s="259">
        <v>5.76</v>
      </c>
      <c r="AB19" s="56"/>
      <c r="AC19" s="8"/>
      <c r="AE19" s="241">
        <v>0.12</v>
      </c>
      <c r="AF19" s="240">
        <v>5.79</v>
      </c>
      <c r="AG19" s="241"/>
      <c r="AH19" s="55"/>
      <c r="AJ19" s="165" t="s">
        <v>63</v>
      </c>
      <c r="AK19" s="19">
        <f>D165+D221</f>
        <v>0.18</v>
      </c>
      <c r="AL19" s="16">
        <f>M221</f>
        <v>0.18</v>
      </c>
      <c r="AM19" s="16">
        <f>R51+R175</f>
        <v>0.17999999999999994</v>
      </c>
      <c r="AN19" s="16">
        <f>W51+W175</f>
        <v>0.91</v>
      </c>
      <c r="AO19" s="16">
        <f>AB51</f>
        <v>0.62999999999999989</v>
      </c>
      <c r="AP19" s="16">
        <f>AG51</f>
        <v>0.57999999999999996</v>
      </c>
      <c r="AQ19" s="165">
        <f t="shared" si="0"/>
        <v>0.41600000000000004</v>
      </c>
      <c r="AR19" s="111"/>
      <c r="AS19" s="111"/>
      <c r="AT19" s="111"/>
      <c r="AU19" s="111"/>
      <c r="AV19" s="111"/>
      <c r="AW19" s="111"/>
      <c r="AX19" s="111"/>
      <c r="AY19" s="111"/>
      <c r="AZ19" s="111"/>
    </row>
    <row r="20" spans="1:53" outlineLevel="2" x14ac:dyDescent="0.25">
      <c r="A20" s="261"/>
      <c r="B20" s="260"/>
      <c r="C20" s="259"/>
      <c r="D20" s="18"/>
      <c r="E20" s="8"/>
      <c r="G20" s="260"/>
      <c r="H20" s="259"/>
      <c r="I20" s="8"/>
      <c r="K20" s="260"/>
      <c r="L20" s="259"/>
      <c r="M20" s="245"/>
      <c r="N20" s="240"/>
      <c r="P20" s="260"/>
      <c r="Q20" s="259"/>
      <c r="R20" s="241"/>
      <c r="S20" s="240"/>
      <c r="U20" s="260"/>
      <c r="V20" s="259"/>
      <c r="W20" s="19"/>
      <c r="X20" s="49"/>
      <c r="Z20" s="260"/>
      <c r="AA20" s="259"/>
      <c r="AB20" s="241">
        <f>AK12</f>
        <v>2.4600000000000004</v>
      </c>
      <c r="AC20" s="58" t="s">
        <v>18</v>
      </c>
      <c r="AE20" s="260">
        <v>0.32</v>
      </c>
      <c r="AF20" s="259">
        <v>5.85</v>
      </c>
      <c r="AG20" s="241">
        <v>0.01</v>
      </c>
      <c r="AH20" s="58" t="s">
        <v>18</v>
      </c>
      <c r="AJ20" s="165" t="s">
        <v>39</v>
      </c>
      <c r="AK20" s="19">
        <f>D212</f>
        <v>0.03</v>
      </c>
      <c r="AL20" s="16">
        <f>M212</f>
        <v>0.3</v>
      </c>
      <c r="AM20" s="16">
        <f>R212</f>
        <v>0.69</v>
      </c>
      <c r="AN20" s="16">
        <f>W49+W212</f>
        <v>0.67</v>
      </c>
      <c r="AO20" s="16">
        <f>AB49</f>
        <v>0.5</v>
      </c>
      <c r="AP20" s="16"/>
      <c r="AQ20" s="165">
        <f>AVERAGE(AK20:AO20)</f>
        <v>0.438</v>
      </c>
      <c r="AR20" s="111"/>
      <c r="AS20" s="111"/>
      <c r="AT20" s="111"/>
      <c r="AU20" s="111"/>
      <c r="AV20" s="111"/>
      <c r="AW20" s="111"/>
      <c r="AX20" s="111"/>
      <c r="AY20" s="111"/>
      <c r="AZ20" s="111"/>
    </row>
    <row r="21" spans="1:53" outlineLevel="2" x14ac:dyDescent="0.25">
      <c r="A21" s="261"/>
      <c r="B21" s="260"/>
      <c r="C21" s="259"/>
      <c r="D21" s="18"/>
      <c r="E21" s="8"/>
      <c r="G21" s="263">
        <v>0.15</v>
      </c>
      <c r="H21" s="266">
        <v>5.93</v>
      </c>
      <c r="I21" s="8"/>
      <c r="K21" s="260"/>
      <c r="L21" s="259"/>
      <c r="M21" s="245"/>
      <c r="N21" s="8"/>
      <c r="P21" s="260"/>
      <c r="Q21" s="259"/>
      <c r="R21" s="245"/>
      <c r="S21" s="246"/>
      <c r="U21" s="260"/>
      <c r="V21" s="259"/>
      <c r="W21" s="245">
        <f>U19+1</f>
        <v>2.29</v>
      </c>
      <c r="X21" s="249" t="s">
        <v>27</v>
      </c>
      <c r="Z21" s="260"/>
      <c r="AA21" s="259"/>
      <c r="AB21" s="241">
        <f>10.87+1</f>
        <v>11.87</v>
      </c>
      <c r="AC21" s="249" t="s">
        <v>27</v>
      </c>
      <c r="AE21" s="260"/>
      <c r="AF21" s="259"/>
      <c r="AG21" s="241">
        <v>0.3</v>
      </c>
      <c r="AH21" s="249" t="s">
        <v>27</v>
      </c>
      <c r="AJ21" s="165" t="s">
        <v>98</v>
      </c>
      <c r="AK21" s="19">
        <f>D192</f>
        <v>0.23</v>
      </c>
      <c r="AL21" s="16">
        <f>M192</f>
        <v>0.23</v>
      </c>
      <c r="AM21" s="16">
        <f>R68+R192</f>
        <v>0.23</v>
      </c>
      <c r="AN21" s="16">
        <f>W67+W192</f>
        <v>0.28000000000000003</v>
      </c>
      <c r="AO21" s="16">
        <f>AB67</f>
        <v>0.28000000000000003</v>
      </c>
      <c r="AP21" s="16">
        <f>AG67</f>
        <v>0.30000000000000004</v>
      </c>
      <c r="AQ21" s="165">
        <f t="shared" si="0"/>
        <v>0.25</v>
      </c>
      <c r="AR21" s="165">
        <f>SUM(AQ18:AQ21)</f>
        <v>2.6380000000000003</v>
      </c>
      <c r="AS21" s="169" t="s">
        <v>294</v>
      </c>
      <c r="AT21" s="111"/>
      <c r="AU21" s="111"/>
      <c r="AV21" s="111"/>
      <c r="AW21" s="111"/>
      <c r="AX21" s="111"/>
      <c r="AY21" s="111"/>
      <c r="AZ21" s="111"/>
    </row>
    <row r="22" spans="1:53" outlineLevel="2" x14ac:dyDescent="0.25">
      <c r="A22" s="261"/>
      <c r="B22" s="260"/>
      <c r="C22" s="259"/>
      <c r="D22" s="246"/>
      <c r="E22" s="8"/>
      <c r="G22" s="264"/>
      <c r="H22" s="267"/>
      <c r="I22" s="8"/>
      <c r="K22" s="260"/>
      <c r="L22" s="259"/>
      <c r="M22" s="245"/>
      <c r="N22" s="8"/>
      <c r="P22" s="260"/>
      <c r="Q22" s="259"/>
      <c r="R22" s="241"/>
      <c r="S22" s="8"/>
      <c r="U22" s="260"/>
      <c r="V22" s="259"/>
      <c r="W22" s="245"/>
      <c r="X22" s="18"/>
      <c r="Z22" s="260"/>
      <c r="AA22" s="259"/>
      <c r="AB22" s="241">
        <v>2.66</v>
      </c>
      <c r="AC22" s="7" t="s">
        <v>58</v>
      </c>
      <c r="AE22" s="260"/>
      <c r="AF22" s="259"/>
      <c r="AG22" s="241">
        <v>0.01</v>
      </c>
      <c r="AH22" s="7" t="s">
        <v>58</v>
      </c>
      <c r="AJ22" s="166" t="s">
        <v>182</v>
      </c>
      <c r="AK22" s="19">
        <f>D230+D241+D246+D253</f>
        <v>0.7</v>
      </c>
      <c r="AL22" s="16">
        <f>M230+M241+M246+M253</f>
        <v>0.83000000000000007</v>
      </c>
      <c r="AM22" s="16">
        <f>R211+R209+R246+R253</f>
        <v>0.87</v>
      </c>
      <c r="AN22" s="16">
        <f>W142+W163+W152+W217</f>
        <v>1.01</v>
      </c>
      <c r="AO22" s="16">
        <f>AB142+AB91+AB125+AB161</f>
        <v>1.43</v>
      </c>
      <c r="AP22" s="204">
        <f>AG142</f>
        <v>0</v>
      </c>
      <c r="AQ22" s="166">
        <f>AVERAGE(AK22:AO22)</f>
        <v>0.96799999999999997</v>
      </c>
      <c r="AR22" s="111"/>
      <c r="AS22" s="111"/>
      <c r="AT22" s="111"/>
      <c r="AU22" s="111"/>
      <c r="AV22" s="111"/>
      <c r="AW22" s="111"/>
      <c r="AX22" s="111"/>
      <c r="AY22" s="111"/>
      <c r="AZ22" s="111"/>
    </row>
    <row r="23" spans="1:53" outlineLevel="2" x14ac:dyDescent="0.25">
      <c r="A23" s="261"/>
      <c r="B23" s="260"/>
      <c r="C23" s="259"/>
      <c r="D23" s="246"/>
      <c r="E23" s="240"/>
      <c r="G23" s="265"/>
      <c r="H23" s="268"/>
      <c r="I23" s="240"/>
      <c r="K23" s="260"/>
      <c r="L23" s="259"/>
      <c r="M23" s="245"/>
      <c r="N23" s="8"/>
      <c r="P23" s="260"/>
      <c r="Q23" s="259"/>
      <c r="R23" s="241"/>
      <c r="S23" s="8"/>
      <c r="U23" s="260"/>
      <c r="V23" s="259"/>
      <c r="W23" s="245"/>
      <c r="X23" s="19"/>
      <c r="Z23" s="241">
        <v>0.43</v>
      </c>
      <c r="AA23" s="240">
        <v>5.87</v>
      </c>
      <c r="AB23" s="241"/>
      <c r="AC23" s="19"/>
      <c r="AE23" s="241">
        <v>0.33</v>
      </c>
      <c r="AF23" s="240">
        <v>5.97</v>
      </c>
      <c r="AG23" s="241"/>
      <c r="AH23" s="240"/>
      <c r="AJ23" s="159" t="s">
        <v>183</v>
      </c>
      <c r="AK23" s="19">
        <f>D100+D108+D107+D170+D171+D173+D172+D178+D187+D186+D184+D188+D190+D191+D193+D199+D200+D201+D203+D208+D211+D213+D216+D219+D218+D226+D225+D223+D229+D248+D249+D247+D254+D252+D260+D261+D37+D38</f>
        <v>5.2533333333333321</v>
      </c>
      <c r="AL23" s="19">
        <f>M37+M38+M100+M107+M108+M142+M138+M170+M171+M173+M172+M178+M187+M186+M184+M188+M190+M191+M193+M199+M200+M201+M203+M208+M211+M213+M216+M219+M218+M226+M225+M223+M229+M248+M249+M247+M254+M252+M260+M261</f>
        <v>6.6408333333333314</v>
      </c>
      <c r="AM23" s="19">
        <f>R37+R38+R83+R100+R107+R108+R137+R138+R147+R151+R152+R157+R165+R171+R173+R193+R206+R201+R208+R213+R216+R226+R249</f>
        <v>5.58</v>
      </c>
      <c r="AN23" s="16">
        <f>W37+W38+W100+W107+W108+W137+W138+W147+W151+W157+W171+W173+W193+W206+W201+W208+W213+W216+W154+W249</f>
        <v>4.96</v>
      </c>
      <c r="AO23" s="16">
        <f>AB31+AB37+AB38+AB50+AB55+AB56+AB68+AB70+AB71+AB87+AB88+AB119+AB128+AB134+AB145+AB147+AB208+AB137+AB143+AB107+AB108+AB77+AB82+AB121+AB138+AB140+AB141+AB154+AB116+AB249</f>
        <v>4.59</v>
      </c>
      <c r="AP23" s="204">
        <f>AG35+AG68+AG77+AG82+AG107+AG108+AG121+AG116+AG137+AG138+AG140+AG141+AG147+AG154+AG208+AG17+AG49+AG92</f>
        <v>5.5500000000000007</v>
      </c>
      <c r="AQ23" s="159">
        <f>AVERAGE(AK23:AP23)</f>
        <v>5.4290277777777769</v>
      </c>
      <c r="AR23" s="111"/>
      <c r="AS23" s="111"/>
      <c r="AT23" s="111"/>
      <c r="AU23" s="111"/>
      <c r="AV23" s="111"/>
      <c r="AW23" s="111"/>
      <c r="AX23" s="111"/>
      <c r="AY23" s="111"/>
      <c r="AZ23" s="111"/>
    </row>
    <row r="24" spans="1:53" outlineLevel="3" x14ac:dyDescent="0.25">
      <c r="A24" s="261">
        <v>9</v>
      </c>
      <c r="B24" s="260">
        <v>1.4</v>
      </c>
      <c r="C24" s="259">
        <v>6.08</v>
      </c>
      <c r="D24" s="246">
        <f>B24</f>
        <v>1.4</v>
      </c>
      <c r="E24" s="6" t="s">
        <v>20</v>
      </c>
      <c r="G24" s="260">
        <v>0.72</v>
      </c>
      <c r="H24" s="259">
        <v>6.15</v>
      </c>
      <c r="I24" s="116"/>
      <c r="K24" s="260">
        <v>1.42</v>
      </c>
      <c r="L24" s="259">
        <v>6.2</v>
      </c>
      <c r="M24" s="245">
        <f>K24</f>
        <v>1.42</v>
      </c>
      <c r="N24" s="6" t="s">
        <v>20</v>
      </c>
      <c r="P24" s="260">
        <v>1.55</v>
      </c>
      <c r="Q24" s="259">
        <v>6.06</v>
      </c>
      <c r="R24" s="241">
        <f>P24</f>
        <v>1.55</v>
      </c>
      <c r="S24" s="6" t="s">
        <v>20</v>
      </c>
      <c r="U24" s="260">
        <v>2.95</v>
      </c>
      <c r="V24" s="259">
        <v>6.17</v>
      </c>
      <c r="W24" s="245">
        <f>AB24</f>
        <v>1.55</v>
      </c>
      <c r="X24" s="6" t="s">
        <v>20</v>
      </c>
      <c r="Z24" s="270">
        <v>0.54</v>
      </c>
      <c r="AA24" s="271">
        <v>6.02</v>
      </c>
      <c r="AB24" s="241">
        <f>R24</f>
        <v>1.55</v>
      </c>
      <c r="AC24" s="6" t="s">
        <v>20</v>
      </c>
      <c r="AE24" s="260">
        <v>1.74</v>
      </c>
      <c r="AF24" s="259">
        <v>6.21</v>
      </c>
      <c r="AG24" s="241">
        <f>AE24</f>
        <v>1.74</v>
      </c>
      <c r="AH24" s="6" t="s">
        <v>20</v>
      </c>
      <c r="AJ24" s="19" t="s">
        <v>34</v>
      </c>
      <c r="AK24" s="16">
        <f>D18+D36+D64+D93+D3+D9</f>
        <v>34.659999999999997</v>
      </c>
      <c r="AL24" s="16">
        <f>M3+M9+M18+M36+M64+M93</f>
        <v>33.839999999999996</v>
      </c>
      <c r="AM24" s="16">
        <f>R3+R9+R18+R36+R64+R93</f>
        <v>32.54999999999999</v>
      </c>
      <c r="AN24" s="16">
        <f>W3+W9+W18+W36+W64+W93</f>
        <v>32.299999999999997</v>
      </c>
      <c r="AO24" s="16">
        <f>AB3+AB9+AB18+AB36+AB64+AB93</f>
        <v>36.53</v>
      </c>
      <c r="AP24" s="245">
        <f>AG3+AG9+AG18+AG36+AG64+AG93</f>
        <v>34.739999999999995</v>
      </c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</row>
    <row r="25" spans="1:53" outlineLevel="2" x14ac:dyDescent="0.25">
      <c r="A25" s="261"/>
      <c r="B25" s="260"/>
      <c r="C25" s="259"/>
      <c r="D25" s="246"/>
      <c r="E25" s="240"/>
      <c r="G25" s="260"/>
      <c r="H25" s="259"/>
      <c r="I25" s="240"/>
      <c r="K25" s="260"/>
      <c r="L25" s="259"/>
      <c r="M25" s="245"/>
      <c r="N25" s="240"/>
      <c r="P25" s="260"/>
      <c r="Q25" s="259"/>
      <c r="R25" s="241"/>
      <c r="S25" s="240"/>
      <c r="U25" s="260"/>
      <c r="V25" s="259"/>
      <c r="W25" s="245"/>
      <c r="X25" s="246"/>
      <c r="Z25" s="270"/>
      <c r="AA25" s="271"/>
      <c r="AB25" s="241">
        <v>1.23</v>
      </c>
      <c r="AC25" s="6" t="s">
        <v>40</v>
      </c>
      <c r="AE25" s="260"/>
      <c r="AF25" s="259"/>
      <c r="AG25" s="241"/>
      <c r="AH25" s="240"/>
      <c r="AJ25" s="19" t="s">
        <v>33</v>
      </c>
      <c r="AK25" s="241">
        <f t="shared" ref="AK25:AP25" si="1">SUM(AK4:AK24)</f>
        <v>95.49499999999999</v>
      </c>
      <c r="AL25" s="241">
        <f t="shared" si="1"/>
        <v>97.094999999999985</v>
      </c>
      <c r="AM25" s="241">
        <f t="shared" si="1"/>
        <v>94.829999999999984</v>
      </c>
      <c r="AN25" s="241">
        <f t="shared" si="1"/>
        <v>97.23</v>
      </c>
      <c r="AO25" s="241">
        <f t="shared" si="1"/>
        <v>97.04</v>
      </c>
      <c r="AP25" s="245">
        <f t="shared" si="1"/>
        <v>97.729999999999976</v>
      </c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</row>
    <row r="26" spans="1:53" outlineLevel="2" x14ac:dyDescent="0.25">
      <c r="A26" s="261"/>
      <c r="B26" s="260"/>
      <c r="C26" s="259"/>
      <c r="D26" s="18"/>
      <c r="E26" s="8"/>
      <c r="G26" s="260"/>
      <c r="H26" s="259"/>
      <c r="I26" s="8"/>
      <c r="K26" s="260"/>
      <c r="L26" s="259"/>
      <c r="M26" s="16"/>
      <c r="N26" s="8"/>
      <c r="P26" s="260"/>
      <c r="Q26" s="259"/>
      <c r="R26" s="241"/>
      <c r="S26" s="8"/>
      <c r="U26" s="260"/>
      <c r="V26" s="259"/>
      <c r="W26" s="16"/>
      <c r="X26" s="246"/>
      <c r="Z26" s="270">
        <v>8.11</v>
      </c>
      <c r="AA26" s="271">
        <v>6.13</v>
      </c>
      <c r="AB26" s="19">
        <v>1.23</v>
      </c>
      <c r="AC26" s="6" t="s">
        <v>166</v>
      </c>
      <c r="AE26" s="260">
        <v>0.3</v>
      </c>
      <c r="AF26" s="259">
        <v>6.3</v>
      </c>
      <c r="AG26" s="241"/>
      <c r="AH26" s="240"/>
      <c r="AK26" s="117">
        <f>D274</f>
        <v>95.495000000000005</v>
      </c>
      <c r="AL26" s="117">
        <f>M274</f>
        <v>97.094999999999985</v>
      </c>
      <c r="AM26" s="117">
        <f>R274</f>
        <v>94.830000000000041</v>
      </c>
      <c r="AN26" s="117">
        <f>W274</f>
        <v>97.23</v>
      </c>
      <c r="AO26" s="117">
        <f>AB274</f>
        <v>97.039999999999907</v>
      </c>
      <c r="AP26" s="119">
        <f>AG274</f>
        <v>97.72999999999999</v>
      </c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</row>
    <row r="27" spans="1:53" outlineLevel="2" x14ac:dyDescent="0.25">
      <c r="A27" s="261"/>
      <c r="B27" s="260"/>
      <c r="C27" s="259"/>
      <c r="D27" s="18"/>
      <c r="E27" s="8"/>
      <c r="G27" s="260"/>
      <c r="H27" s="259"/>
      <c r="I27" s="8"/>
      <c r="K27" s="260"/>
      <c r="L27" s="259"/>
      <c r="M27" s="16"/>
      <c r="N27" s="8"/>
      <c r="P27" s="260"/>
      <c r="Q27" s="259"/>
      <c r="R27" s="241"/>
      <c r="S27" s="8"/>
      <c r="U27" s="260"/>
      <c r="V27" s="259"/>
      <c r="W27" s="245">
        <f>AB27</f>
        <v>0.89999999999999813</v>
      </c>
      <c r="X27" s="62" t="s">
        <v>21</v>
      </c>
      <c r="Z27" s="270"/>
      <c r="AA27" s="271"/>
      <c r="AB27" s="241">
        <f>Z26+Z24+Z23-AB24-AB25-AB26-AB28-AB29</f>
        <v>0.89999999999999813</v>
      </c>
      <c r="AC27" s="62" t="s">
        <v>21</v>
      </c>
      <c r="AE27" s="260"/>
      <c r="AF27" s="259"/>
      <c r="AG27" s="241"/>
      <c r="AH27" s="240"/>
      <c r="AP27" s="119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</row>
    <row r="28" spans="1:53" outlineLevel="2" x14ac:dyDescent="0.25">
      <c r="A28" s="261"/>
      <c r="B28" s="260"/>
      <c r="C28" s="259"/>
      <c r="D28" s="18"/>
      <c r="E28" s="240"/>
      <c r="G28" s="260"/>
      <c r="H28" s="259"/>
      <c r="I28" s="8"/>
      <c r="K28" s="260"/>
      <c r="L28" s="259"/>
      <c r="M28" s="16"/>
      <c r="N28" s="240"/>
      <c r="P28" s="260"/>
      <c r="Q28" s="259"/>
      <c r="R28" s="241"/>
      <c r="S28" s="240"/>
      <c r="U28" s="260"/>
      <c r="V28" s="259"/>
      <c r="W28" s="16"/>
      <c r="X28" s="246"/>
      <c r="Z28" s="270"/>
      <c r="AA28" s="271"/>
      <c r="AB28" s="19">
        <v>1.57</v>
      </c>
      <c r="AC28" s="58" t="s">
        <v>60</v>
      </c>
      <c r="AE28" s="260"/>
      <c r="AF28" s="259"/>
      <c r="AG28" s="241">
        <f>AE26/2</f>
        <v>0.15</v>
      </c>
      <c r="AH28" s="58" t="s">
        <v>60</v>
      </c>
      <c r="AJ28" s="185" t="s">
        <v>311</v>
      </c>
      <c r="AK28" s="19">
        <f>D8+D50+D62+D85+D94+D100+D107+D108+D120+D132+D139+D145+D146+D155+D169+D170+D171+D172+D173+D178+D184+D185+D187+D190+D191+D192+D193+D199+D202+D203+D208+D210+D211+D216+D219+D221+D225+D226+D229+D238+D241+D245+D247+D248+D249+D252+D254+D260+D261</f>
        <v>15.122333333333332</v>
      </c>
      <c r="AL28" s="19">
        <f>M8+M50+M62+M85+M94+M100+M107+M108+M120+M131+M132+M139+M138+M145+M146+M155+M169+M170+M171+M172+M173+M178+M184+M185+M187+M190+M192+M193+M199+M202+M203+M208+M210+M211+M216+M219+M221+M225+M226+M229+M241+M245+M247+M248+M249+M252+M254+M260+M261</f>
        <v>14.794833333333333</v>
      </c>
      <c r="AM28" s="19">
        <f>R8+R50+R62+R79+R85+R94+R100+R107+R108+R131+R132+R137+R138+R147+R171+R173+R175+R192+R193+R201+R206+R208+R211+R226+R249</f>
        <v>14.206666666666667</v>
      </c>
      <c r="AN28" s="19">
        <f>W8+W29+W34+W50+W51+W62+W79+W85+W94+W100+W107+W108+W132+W137+W138+W142+W147+W154+W171+W173+W175+W192+W193+W201+W206+W208+W249</f>
        <v>15.386666666666668</v>
      </c>
      <c r="AO28" s="19">
        <f>AB8+AB22+AB28+AB29+AB39+AB51+AB67+AB68+AB77+AB82+AB107+AB108+AB116+AB137+AB138+AB140+AB142+AB147+AB154+AB208+AB249</f>
        <v>13.89</v>
      </c>
      <c r="AP28" s="204">
        <f>AG12+AG28+AG29+AG39+AG51+AG67+AG68+AG77+AG82+AG107+AG108+AG116+AG140+AG138+AG137+AG147+AG142+AG154+AG208+AG49+AG22+AG8</f>
        <v>15.06</v>
      </c>
      <c r="AQ28" s="185">
        <f>AVERAGE(AK28:AP28)</f>
        <v>14.743416666666668</v>
      </c>
      <c r="AT28" s="111"/>
      <c r="AU28" s="111"/>
      <c r="AV28" s="111"/>
      <c r="AW28" s="111"/>
      <c r="AX28" s="111"/>
      <c r="AY28" s="111"/>
      <c r="AZ28" s="111"/>
    </row>
    <row r="29" spans="1:53" outlineLevel="1" x14ac:dyDescent="0.25">
      <c r="A29" s="261"/>
      <c r="B29" s="260"/>
      <c r="C29" s="259"/>
      <c r="D29" s="18"/>
      <c r="E29" s="240"/>
      <c r="G29" s="260"/>
      <c r="H29" s="259"/>
      <c r="I29" s="8"/>
      <c r="K29" s="260"/>
      <c r="L29" s="259"/>
      <c r="M29" s="16"/>
      <c r="N29" s="240"/>
      <c r="P29" s="260"/>
      <c r="Q29" s="259"/>
      <c r="R29" s="241"/>
      <c r="S29" s="240"/>
      <c r="U29" s="260"/>
      <c r="V29" s="259"/>
      <c r="W29" s="16">
        <f>U24-W24-W27</f>
        <v>0.500000000000002</v>
      </c>
      <c r="X29" s="249" t="s">
        <v>61</v>
      </c>
      <c r="Z29" s="270"/>
      <c r="AA29" s="271"/>
      <c r="AB29" s="19">
        <v>2.6</v>
      </c>
      <c r="AC29" s="249" t="s">
        <v>61</v>
      </c>
      <c r="AE29" s="260"/>
      <c r="AF29" s="259"/>
      <c r="AG29" s="241">
        <f>AG28</f>
        <v>0.15</v>
      </c>
      <c r="AH29" s="249" t="s">
        <v>61</v>
      </c>
      <c r="AJ29" s="186" t="s">
        <v>312</v>
      </c>
      <c r="AK29" s="19">
        <f>D42+D50+D69+D82+D85+D84+D108+D120+D130+D132+D149+D173+D185+D192+D193+D199+D202+D203+D211+D212+D225+D226+D230+D237+D248+D249+D261</f>
        <v>8.8114999999999988</v>
      </c>
      <c r="AL29" s="19">
        <f>M42+M50+M69+M82+M84+M85+M108+M120+M124+M132+M130+M149+M173+M185+M192+M193+M199+M202+M203+M211+M212+M226+M248+M249+M261</f>
        <v>9.2165000000000035</v>
      </c>
      <c r="AM29" s="19">
        <f>R42+R50+R69+R85+R84+R108+R124+R130+R132+R137+R173+R192+R193+R212+R209+R226+R249</f>
        <v>11.093333333333334</v>
      </c>
      <c r="AN29" s="19">
        <f>W27+W42+W50+W49+W69+W84+W85+W108+W132+W137+W154+W163+W173+W192+W193+W212+W249</f>
        <v>12.25333333333333</v>
      </c>
      <c r="AO29" s="19">
        <f>AB20+AB26+AB28+AB27+AB39+AB49+AB91+AB67+AB77+AB108+AB137+AB140+AB154+AB249</f>
        <v>10.509999999999998</v>
      </c>
      <c r="AP29" s="56"/>
      <c r="AQ29" s="186">
        <f>AVERAGE(AK29:AP29)</f>
        <v>10.376933333333334</v>
      </c>
      <c r="AT29" s="111"/>
      <c r="AU29" s="111"/>
      <c r="AV29" s="111"/>
      <c r="AW29" s="111"/>
      <c r="AX29" s="111"/>
      <c r="AY29" s="111"/>
      <c r="AZ29" s="111"/>
    </row>
    <row r="30" spans="1:53" outlineLevel="1" x14ac:dyDescent="0.25">
      <c r="A30" s="261"/>
      <c r="B30" s="260"/>
      <c r="C30" s="259"/>
      <c r="D30" s="18"/>
      <c r="E30" s="8"/>
      <c r="G30" s="260"/>
      <c r="H30" s="259"/>
      <c r="I30" s="8"/>
      <c r="K30" s="260"/>
      <c r="L30" s="259"/>
      <c r="M30" s="16"/>
      <c r="N30" s="8"/>
      <c r="P30" s="260"/>
      <c r="Q30" s="259"/>
      <c r="R30" s="241"/>
      <c r="S30" s="8"/>
      <c r="U30" s="260"/>
      <c r="V30" s="259"/>
      <c r="W30" s="19"/>
      <c r="X30" s="49"/>
      <c r="Z30" s="270"/>
      <c r="AA30" s="271"/>
      <c r="AB30" s="56"/>
      <c r="AC30" s="8"/>
      <c r="AE30" s="260"/>
      <c r="AF30" s="259"/>
      <c r="AG30" s="241"/>
      <c r="AH30" s="240"/>
      <c r="AT30" s="111"/>
      <c r="AU30" s="111"/>
      <c r="AV30" s="111"/>
      <c r="AW30" s="111"/>
      <c r="AX30" s="111"/>
      <c r="AY30" s="111"/>
      <c r="AZ30" s="111"/>
    </row>
    <row r="31" spans="1:53" ht="15.75" outlineLevel="1" thickBot="1" x14ac:dyDescent="0.3">
      <c r="A31" s="261"/>
      <c r="B31" s="260"/>
      <c r="C31" s="259"/>
      <c r="D31" s="18"/>
      <c r="E31" s="8"/>
      <c r="G31" s="260"/>
      <c r="H31" s="259"/>
      <c r="I31" s="8"/>
      <c r="K31" s="260"/>
      <c r="L31" s="259"/>
      <c r="M31" s="16"/>
      <c r="N31" s="8"/>
      <c r="P31" s="260"/>
      <c r="Q31" s="259"/>
      <c r="R31" s="241"/>
      <c r="S31" s="8"/>
      <c r="U31" s="260"/>
      <c r="V31" s="259"/>
      <c r="W31" s="16"/>
      <c r="X31" s="18"/>
      <c r="Z31" s="270"/>
      <c r="AA31" s="271"/>
      <c r="AB31" s="241"/>
      <c r="AC31" s="18"/>
      <c r="AE31" s="260"/>
      <c r="AF31" s="259"/>
      <c r="AG31" s="241"/>
      <c r="AH31" s="240"/>
      <c r="AT31" s="111"/>
      <c r="AU31" s="111"/>
      <c r="AV31" s="111"/>
      <c r="AW31" s="111"/>
      <c r="AX31" s="111"/>
      <c r="AY31" s="111"/>
      <c r="AZ31" s="111"/>
    </row>
    <row r="32" spans="1:53" outlineLevel="1" x14ac:dyDescent="0.25">
      <c r="A32" s="261"/>
      <c r="B32" s="260"/>
      <c r="C32" s="259"/>
      <c r="D32" s="246"/>
      <c r="E32" s="240"/>
      <c r="G32" s="260"/>
      <c r="H32" s="259"/>
      <c r="I32" s="240"/>
      <c r="K32" s="260"/>
      <c r="L32" s="259"/>
      <c r="M32" s="245"/>
      <c r="N32" s="240"/>
      <c r="P32" s="260"/>
      <c r="Q32" s="259"/>
      <c r="R32" s="241"/>
      <c r="S32" s="240"/>
      <c r="U32" s="260"/>
      <c r="V32" s="259"/>
      <c r="W32" s="19"/>
      <c r="X32" s="49"/>
      <c r="Z32" s="270"/>
      <c r="AA32" s="271"/>
      <c r="AB32" s="56"/>
      <c r="AC32" s="8"/>
      <c r="AE32" s="260"/>
      <c r="AF32" s="259"/>
      <c r="AG32" s="241"/>
      <c r="AH32" s="8"/>
      <c r="AJ32" s="30" t="s">
        <v>174</v>
      </c>
      <c r="AK32" s="41" t="s">
        <v>1</v>
      </c>
      <c r="AL32" s="38" t="s">
        <v>2</v>
      </c>
      <c r="AM32" s="41" t="s">
        <v>4</v>
      </c>
      <c r="AN32" s="38" t="s">
        <v>16</v>
      </c>
      <c r="AO32" s="41" t="s">
        <v>5</v>
      </c>
      <c r="AP32" s="111"/>
      <c r="AS32" s="111"/>
      <c r="AT32" s="111"/>
      <c r="AU32" s="111"/>
      <c r="AV32" s="111"/>
      <c r="AW32" s="111"/>
      <c r="AX32" s="111"/>
      <c r="AY32" s="111"/>
      <c r="AZ32" s="111"/>
    </row>
    <row r="33" spans="1:52" outlineLevel="2" x14ac:dyDescent="0.25">
      <c r="A33" s="261">
        <v>10</v>
      </c>
      <c r="B33" s="260">
        <v>2.85</v>
      </c>
      <c r="C33" s="259">
        <v>6.31</v>
      </c>
      <c r="D33" s="246"/>
      <c r="E33" s="240"/>
      <c r="G33" s="260">
        <v>3.83</v>
      </c>
      <c r="H33" s="259">
        <v>6.33</v>
      </c>
      <c r="I33" s="240"/>
      <c r="K33" s="260">
        <v>2.84</v>
      </c>
      <c r="L33" s="259">
        <v>6.43</v>
      </c>
      <c r="M33" s="245"/>
      <c r="N33" s="8"/>
      <c r="P33" s="260">
        <v>2.76</v>
      </c>
      <c r="Q33" s="259">
        <v>6.29</v>
      </c>
      <c r="R33" s="56"/>
      <c r="S33" s="8"/>
      <c r="U33" s="260">
        <v>3.99</v>
      </c>
      <c r="V33" s="259">
        <v>6.37</v>
      </c>
      <c r="W33" s="245"/>
      <c r="X33" s="8"/>
      <c r="Z33" s="260">
        <v>2.79</v>
      </c>
      <c r="AA33" s="259">
        <v>6.31</v>
      </c>
      <c r="AB33" s="56"/>
      <c r="AC33" s="8"/>
      <c r="AE33" s="260">
        <v>2.78</v>
      </c>
      <c r="AF33" s="259">
        <v>6.44</v>
      </c>
      <c r="AG33" s="241"/>
      <c r="AH33" s="60"/>
      <c r="AJ33" s="31" t="s">
        <v>175</v>
      </c>
      <c r="AK33" s="241"/>
      <c r="AL33" s="241"/>
      <c r="AM33" s="241"/>
      <c r="AN33" s="241"/>
      <c r="AO33" s="19"/>
      <c r="AP33" s="111"/>
      <c r="AS33" s="111"/>
      <c r="AT33" s="111"/>
      <c r="AU33" s="111"/>
      <c r="AV33" s="111"/>
      <c r="AW33" s="111"/>
      <c r="AX33" s="111"/>
      <c r="AY33" s="111"/>
      <c r="AZ33" s="111"/>
    </row>
    <row r="34" spans="1:52" outlineLevel="2" x14ac:dyDescent="0.25">
      <c r="A34" s="261"/>
      <c r="B34" s="260"/>
      <c r="C34" s="259"/>
      <c r="D34" s="246"/>
      <c r="E34" s="240"/>
      <c r="G34" s="260"/>
      <c r="H34" s="259"/>
      <c r="I34" s="240"/>
      <c r="K34" s="260"/>
      <c r="L34" s="259"/>
      <c r="M34" s="245"/>
      <c r="N34" s="49"/>
      <c r="P34" s="260"/>
      <c r="Q34" s="259"/>
      <c r="R34" s="56"/>
      <c r="S34" s="49"/>
      <c r="U34" s="260"/>
      <c r="V34" s="259"/>
      <c r="W34" s="16">
        <f>U33-W36</f>
        <v>2.2000000000000002</v>
      </c>
      <c r="X34" s="58" t="s">
        <v>127</v>
      </c>
      <c r="Z34" s="260"/>
      <c r="AA34" s="259"/>
      <c r="AB34" s="241"/>
      <c r="AC34" s="240"/>
      <c r="AE34" s="260"/>
      <c r="AF34" s="259"/>
      <c r="AG34" s="241"/>
      <c r="AH34" s="60"/>
      <c r="AJ34" s="31" t="s">
        <v>181</v>
      </c>
      <c r="AK34" s="241"/>
      <c r="AL34" s="241"/>
      <c r="AM34" s="241"/>
      <c r="AN34" s="241"/>
      <c r="AO34" s="19"/>
      <c r="AP34" s="111"/>
      <c r="AS34" s="111"/>
      <c r="AT34" s="111"/>
      <c r="AU34" s="111"/>
      <c r="AV34" s="111"/>
      <c r="AW34" s="111"/>
      <c r="AX34" s="111"/>
      <c r="AY34" s="111"/>
      <c r="AZ34" s="111"/>
    </row>
    <row r="35" spans="1:52" outlineLevel="2" x14ac:dyDescent="0.25">
      <c r="A35" s="261"/>
      <c r="B35" s="260"/>
      <c r="C35" s="259"/>
      <c r="D35" s="246"/>
      <c r="E35" s="240"/>
      <c r="G35" s="260"/>
      <c r="H35" s="259"/>
      <c r="I35" s="8"/>
      <c r="K35" s="260"/>
      <c r="L35" s="259"/>
      <c r="M35" s="245"/>
      <c r="N35" s="246"/>
      <c r="P35" s="260"/>
      <c r="Q35" s="259"/>
      <c r="R35" s="241"/>
      <c r="S35" s="246"/>
      <c r="U35" s="260"/>
      <c r="V35" s="259"/>
      <c r="W35" s="245"/>
      <c r="X35" s="246"/>
      <c r="Z35" s="260"/>
      <c r="AA35" s="259"/>
      <c r="AB35" s="241"/>
      <c r="AC35" s="240"/>
      <c r="AE35" s="260"/>
      <c r="AF35" s="259"/>
      <c r="AG35" s="241">
        <f>AB68-AG68</f>
        <v>0.18999999999999997</v>
      </c>
      <c r="AH35" s="74" t="s">
        <v>361</v>
      </c>
      <c r="AJ35" s="31" t="s">
        <v>176</v>
      </c>
      <c r="AK35" s="241"/>
      <c r="AL35" s="241"/>
      <c r="AM35" s="241"/>
      <c r="AN35" s="241"/>
      <c r="AO35" s="19"/>
      <c r="AP35" s="111"/>
      <c r="AS35" s="111"/>
      <c r="AT35" s="111"/>
      <c r="AU35" s="111"/>
      <c r="AV35" s="111"/>
      <c r="AW35" s="111"/>
      <c r="AX35" s="111"/>
      <c r="AY35" s="111"/>
      <c r="AZ35" s="111"/>
    </row>
    <row r="36" spans="1:52" outlineLevel="2" x14ac:dyDescent="0.25">
      <c r="A36" s="261"/>
      <c r="B36" s="260"/>
      <c r="C36" s="259"/>
      <c r="D36" s="246">
        <f>B33-D35</f>
        <v>2.85</v>
      </c>
      <c r="E36" s="54" t="s">
        <v>34</v>
      </c>
      <c r="G36" s="260"/>
      <c r="H36" s="259"/>
      <c r="I36" s="241"/>
      <c r="K36" s="260"/>
      <c r="L36" s="259"/>
      <c r="M36" s="245">
        <f>K33-M35</f>
        <v>2.84</v>
      </c>
      <c r="N36" s="54" t="s">
        <v>34</v>
      </c>
      <c r="P36" s="260"/>
      <c r="Q36" s="259"/>
      <c r="R36" s="241">
        <f>P33</f>
        <v>2.76</v>
      </c>
      <c r="S36" s="54" t="s">
        <v>34</v>
      </c>
      <c r="U36" s="260"/>
      <c r="V36" s="259"/>
      <c r="W36" s="256">
        <f>AB36-1</f>
        <v>1.79</v>
      </c>
      <c r="X36" s="54" t="s">
        <v>34</v>
      </c>
      <c r="Z36" s="260"/>
      <c r="AA36" s="259"/>
      <c r="AB36" s="241">
        <f>Z33</f>
        <v>2.79</v>
      </c>
      <c r="AC36" s="54" t="s">
        <v>34</v>
      </c>
      <c r="AE36" s="260"/>
      <c r="AF36" s="259"/>
      <c r="AG36" s="241">
        <f>AE33-AG35</f>
        <v>2.59</v>
      </c>
      <c r="AH36" s="54" t="s">
        <v>34</v>
      </c>
      <c r="AJ36" s="31" t="s">
        <v>177</v>
      </c>
      <c r="AK36" s="245">
        <f>D246+D253</f>
        <v>0.57000000000000006</v>
      </c>
      <c r="AL36" s="245">
        <f>M253+M246</f>
        <v>0.57000000000000006</v>
      </c>
      <c r="AM36" s="245">
        <f>R246+R253</f>
        <v>0.74</v>
      </c>
      <c r="AN36" s="245">
        <f>W152</f>
        <v>0.57999999999999996</v>
      </c>
      <c r="AO36" s="16">
        <f>AB125</f>
        <v>0.24</v>
      </c>
      <c r="AP36" s="111"/>
      <c r="AS36" s="111"/>
      <c r="AT36" s="111"/>
      <c r="AU36" s="111"/>
      <c r="AV36" s="111"/>
      <c r="AW36" s="111"/>
      <c r="AX36" s="111"/>
      <c r="AY36" s="111"/>
      <c r="AZ36" s="111"/>
    </row>
    <row r="37" spans="1:52" outlineLevel="2" x14ac:dyDescent="0.25">
      <c r="A37" s="261">
        <v>11</v>
      </c>
      <c r="B37" s="260">
        <v>0.37</v>
      </c>
      <c r="C37" s="259">
        <v>6.45</v>
      </c>
      <c r="D37" s="246"/>
      <c r="E37" s="118"/>
      <c r="G37" s="260">
        <v>0.66</v>
      </c>
      <c r="H37" s="259">
        <v>6.47</v>
      </c>
      <c r="I37" s="241"/>
      <c r="K37" s="260">
        <v>0.4</v>
      </c>
      <c r="L37" s="259">
        <v>6.59</v>
      </c>
      <c r="M37" s="245"/>
      <c r="N37" s="96"/>
      <c r="P37" s="260">
        <v>0.39</v>
      </c>
      <c r="Q37" s="259">
        <v>6.43</v>
      </c>
      <c r="R37" s="19"/>
      <c r="S37" s="240"/>
      <c r="U37" s="260">
        <v>0.57999999999999996</v>
      </c>
      <c r="V37" s="259">
        <v>6.5</v>
      </c>
      <c r="W37" s="16"/>
      <c r="X37" s="240"/>
      <c r="Z37" s="260">
        <v>2.96</v>
      </c>
      <c r="AA37" s="259">
        <v>6.43</v>
      </c>
      <c r="AB37" s="245"/>
      <c r="AC37" s="96"/>
      <c r="AE37" s="260">
        <v>1.36</v>
      </c>
      <c r="AF37" s="259">
        <v>6.6</v>
      </c>
      <c r="AG37" s="241"/>
      <c r="AH37" s="241"/>
      <c r="AJ37" s="117" t="s">
        <v>208</v>
      </c>
      <c r="AK37" s="16">
        <f>D241</f>
        <v>0</v>
      </c>
      <c r="AL37" s="16">
        <f>M241</f>
        <v>0</v>
      </c>
      <c r="AM37" s="16">
        <f>R211</f>
        <v>0</v>
      </c>
      <c r="AN37" s="16">
        <f>W142</f>
        <v>0</v>
      </c>
      <c r="AO37" s="16">
        <f>AB142</f>
        <v>0</v>
      </c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</row>
    <row r="38" spans="1:52" outlineLevel="2" x14ac:dyDescent="0.25">
      <c r="A38" s="261"/>
      <c r="B38" s="260"/>
      <c r="C38" s="259"/>
      <c r="D38" s="246"/>
      <c r="E38" s="240"/>
      <c r="G38" s="260"/>
      <c r="H38" s="259"/>
      <c r="I38" s="241"/>
      <c r="K38" s="260"/>
      <c r="L38" s="259"/>
      <c r="M38" s="245"/>
      <c r="N38" s="246"/>
      <c r="P38" s="260"/>
      <c r="Q38" s="259"/>
      <c r="R38" s="19"/>
      <c r="S38" s="246"/>
      <c r="U38" s="260"/>
      <c r="V38" s="259"/>
      <c r="W38" s="16"/>
      <c r="X38" s="246"/>
      <c r="Z38" s="260"/>
      <c r="AA38" s="259"/>
      <c r="AB38" s="245"/>
      <c r="AC38" s="246"/>
      <c r="AE38" s="260"/>
      <c r="AF38" s="259"/>
      <c r="AG38" s="245"/>
      <c r="AH38" s="246"/>
      <c r="AJ38" s="31" t="s">
        <v>178</v>
      </c>
      <c r="AK38" s="245">
        <f>D230</f>
        <v>0.13</v>
      </c>
      <c r="AL38" s="245">
        <f>M230</f>
        <v>0.26</v>
      </c>
      <c r="AM38" s="245">
        <f>R209</f>
        <v>0.13</v>
      </c>
      <c r="AN38" s="245">
        <f>W163</f>
        <v>0.2</v>
      </c>
      <c r="AO38" s="16">
        <f>AB91</f>
        <v>0.69</v>
      </c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</row>
    <row r="39" spans="1:52" outlineLevel="1" x14ac:dyDescent="0.25">
      <c r="A39" s="261"/>
      <c r="B39" s="260"/>
      <c r="C39" s="259"/>
      <c r="D39" s="246"/>
      <c r="E39" s="241"/>
      <c r="G39" s="260"/>
      <c r="H39" s="259"/>
      <c r="I39" s="241"/>
      <c r="K39" s="260"/>
      <c r="L39" s="259"/>
      <c r="M39" s="245"/>
      <c r="N39" s="18"/>
      <c r="P39" s="260"/>
      <c r="Q39" s="259"/>
      <c r="R39" s="56"/>
      <c r="S39" s="18"/>
      <c r="U39" s="260"/>
      <c r="V39" s="259"/>
      <c r="W39" s="16"/>
      <c r="X39" s="240"/>
      <c r="Z39" s="260"/>
      <c r="AA39" s="259"/>
      <c r="AB39" s="19">
        <f>Z37-AB40</f>
        <v>1.33</v>
      </c>
      <c r="AC39" s="62" t="s">
        <v>101</v>
      </c>
      <c r="AE39" s="260"/>
      <c r="AF39" s="259"/>
      <c r="AG39" s="241">
        <f>AE37</f>
        <v>1.36</v>
      </c>
      <c r="AH39" s="62" t="s">
        <v>101</v>
      </c>
      <c r="AJ39" s="36" t="s">
        <v>193</v>
      </c>
      <c r="AK39" s="98">
        <f>SUM(AK33:AK38)</f>
        <v>0.70000000000000007</v>
      </c>
      <c r="AL39" s="98">
        <f>SUM(AL33:AL38)</f>
        <v>0.83000000000000007</v>
      </c>
      <c r="AM39" s="98">
        <f>SUM(AM33:AM38)</f>
        <v>0.87</v>
      </c>
      <c r="AN39" s="98">
        <f>SUM(AN33:AN38)</f>
        <v>0.78</v>
      </c>
      <c r="AO39" s="98">
        <f>SUM(AO33:AO38)</f>
        <v>0.92999999999999994</v>
      </c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</row>
    <row r="40" spans="1:52" ht="15.75" outlineLevel="1" thickBot="1" x14ac:dyDescent="0.3">
      <c r="A40" s="261"/>
      <c r="B40" s="260"/>
      <c r="C40" s="259"/>
      <c r="D40" s="246"/>
      <c r="E40" s="240"/>
      <c r="G40" s="260"/>
      <c r="H40" s="259"/>
      <c r="I40" s="240"/>
      <c r="K40" s="260"/>
      <c r="L40" s="259"/>
      <c r="M40" s="245"/>
      <c r="N40" s="240"/>
      <c r="P40" s="260"/>
      <c r="Q40" s="259"/>
      <c r="R40" s="19"/>
      <c r="S40" s="240"/>
      <c r="U40" s="260"/>
      <c r="V40" s="259"/>
      <c r="W40" s="16">
        <f>U37+1</f>
        <v>1.58</v>
      </c>
      <c r="X40" s="70" t="s">
        <v>22</v>
      </c>
      <c r="Z40" s="260"/>
      <c r="AA40" s="259"/>
      <c r="AB40" s="19">
        <v>1.63</v>
      </c>
      <c r="AC40" s="70" t="s">
        <v>22</v>
      </c>
      <c r="AE40" s="260"/>
      <c r="AF40" s="259"/>
      <c r="AG40" s="241"/>
      <c r="AH40" s="55"/>
      <c r="AJ40" s="25"/>
      <c r="AK40" s="25"/>
      <c r="AL40" s="25"/>
      <c r="AM40" s="25"/>
      <c r="AN40" s="25"/>
      <c r="AO40" s="25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</row>
    <row r="41" spans="1:52" outlineLevel="1" x14ac:dyDescent="0.25">
      <c r="A41" s="261">
        <v>12</v>
      </c>
      <c r="B41" s="260">
        <v>0.34</v>
      </c>
      <c r="C41" s="259">
        <v>6.54</v>
      </c>
      <c r="D41" s="246"/>
      <c r="E41" s="240"/>
      <c r="G41" s="263">
        <v>0.43</v>
      </c>
      <c r="H41" s="266">
        <v>6.65</v>
      </c>
      <c r="I41" s="240"/>
      <c r="K41" s="260">
        <v>0.31</v>
      </c>
      <c r="L41" s="259">
        <v>6.69</v>
      </c>
      <c r="M41" s="245"/>
      <c r="N41" s="107"/>
      <c r="P41" s="260">
        <v>0.49</v>
      </c>
      <c r="Q41" s="259">
        <v>6.53</v>
      </c>
      <c r="R41" s="56"/>
      <c r="S41" s="107"/>
      <c r="U41" s="260">
        <v>1.64</v>
      </c>
      <c r="V41" s="259">
        <v>6.61</v>
      </c>
      <c r="W41" s="245"/>
      <c r="X41" s="107"/>
      <c r="Z41" s="260">
        <v>0.64</v>
      </c>
      <c r="AA41" s="259">
        <v>6.54</v>
      </c>
      <c r="AB41" s="19"/>
      <c r="AC41" s="107"/>
      <c r="AE41" s="260"/>
      <c r="AF41" s="259"/>
      <c r="AG41" s="241"/>
      <c r="AH41" s="55"/>
      <c r="AJ41" s="30" t="s">
        <v>179</v>
      </c>
      <c r="AK41" s="41" t="s">
        <v>1</v>
      </c>
      <c r="AL41" s="38" t="s">
        <v>2</v>
      </c>
      <c r="AM41" s="41" t="s">
        <v>4</v>
      </c>
      <c r="AN41" s="38" t="s">
        <v>16</v>
      </c>
      <c r="AO41" s="41" t="s">
        <v>5</v>
      </c>
      <c r="AP41" s="245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</row>
    <row r="42" spans="1:52" outlineLevel="2" x14ac:dyDescent="0.25">
      <c r="A42" s="261"/>
      <c r="B42" s="260"/>
      <c r="C42" s="259"/>
      <c r="D42" s="246">
        <f>B37</f>
        <v>0.37</v>
      </c>
      <c r="E42" s="249" t="s">
        <v>409</v>
      </c>
      <c r="G42" s="264"/>
      <c r="H42" s="267"/>
      <c r="I42" s="240"/>
      <c r="K42" s="260"/>
      <c r="L42" s="259"/>
      <c r="M42" s="245">
        <f>K37</f>
        <v>0.4</v>
      </c>
      <c r="N42" s="249" t="s">
        <v>409</v>
      </c>
      <c r="P42" s="260"/>
      <c r="Q42" s="259"/>
      <c r="R42" s="241">
        <f>P37</f>
        <v>0.39</v>
      </c>
      <c r="S42" s="249" t="s">
        <v>51</v>
      </c>
      <c r="U42" s="260"/>
      <c r="V42" s="259"/>
      <c r="W42" s="16">
        <f>U45</f>
        <v>2.35</v>
      </c>
      <c r="X42" s="249" t="s">
        <v>51</v>
      </c>
      <c r="Z42" s="260"/>
      <c r="AA42" s="259"/>
      <c r="AB42" s="19"/>
      <c r="AC42" s="107"/>
      <c r="AE42" s="260"/>
      <c r="AF42" s="259"/>
      <c r="AG42" s="241"/>
      <c r="AH42" s="55"/>
      <c r="AJ42" s="31" t="s">
        <v>184</v>
      </c>
      <c r="AK42" s="241"/>
      <c r="AL42" s="241"/>
      <c r="AM42" s="241"/>
      <c r="AN42" s="241"/>
      <c r="AO42" s="24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outlineLevel="2" x14ac:dyDescent="0.25">
      <c r="A43" s="261"/>
      <c r="B43" s="260"/>
      <c r="C43" s="259"/>
      <c r="D43" s="18"/>
      <c r="E43" s="8"/>
      <c r="G43" s="264"/>
      <c r="H43" s="267"/>
      <c r="I43" s="240"/>
      <c r="K43" s="260"/>
      <c r="L43" s="259"/>
      <c r="M43" s="16"/>
      <c r="N43" s="49"/>
      <c r="P43" s="260"/>
      <c r="Q43" s="259"/>
      <c r="R43" s="56"/>
      <c r="S43" s="49"/>
      <c r="U43" s="260"/>
      <c r="V43" s="259"/>
      <c r="W43" s="19"/>
      <c r="X43" s="49"/>
      <c r="Z43" s="260"/>
      <c r="AA43" s="259"/>
      <c r="AB43" s="19"/>
      <c r="AC43" s="107"/>
      <c r="AE43" s="260"/>
      <c r="AF43" s="259"/>
      <c r="AG43" s="241"/>
      <c r="AH43" s="55"/>
      <c r="AJ43" s="31" t="s">
        <v>185</v>
      </c>
      <c r="AK43" s="241"/>
      <c r="AL43" s="241"/>
      <c r="AM43" s="241"/>
      <c r="AN43" s="241"/>
      <c r="AO43" s="24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outlineLevel="2" x14ac:dyDescent="0.25">
      <c r="A44" s="261"/>
      <c r="B44" s="260"/>
      <c r="C44" s="259"/>
      <c r="D44" s="18"/>
      <c r="E44" s="8"/>
      <c r="G44" s="264"/>
      <c r="H44" s="267"/>
      <c r="I44" s="240"/>
      <c r="K44" s="260"/>
      <c r="L44" s="259"/>
      <c r="M44" s="245"/>
      <c r="N44" s="246"/>
      <c r="P44" s="260"/>
      <c r="Q44" s="259"/>
      <c r="R44" s="56"/>
      <c r="S44" s="246"/>
      <c r="U44" s="260"/>
      <c r="V44" s="259"/>
      <c r="W44" s="245"/>
      <c r="X44" s="246"/>
      <c r="Z44" s="260"/>
      <c r="AA44" s="259"/>
      <c r="AB44" s="56"/>
      <c r="AC44" s="8"/>
      <c r="AE44" s="260"/>
      <c r="AF44" s="259"/>
      <c r="AG44" s="241"/>
      <c r="AH44" s="55"/>
      <c r="AJ44" s="31" t="s">
        <v>186</v>
      </c>
      <c r="AK44" s="241"/>
      <c r="AL44" s="241"/>
      <c r="AM44" s="241"/>
      <c r="AN44" s="241"/>
      <c r="AO44" s="24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</row>
    <row r="45" spans="1:52" outlineLevel="2" x14ac:dyDescent="0.25">
      <c r="A45" s="261"/>
      <c r="B45" s="260"/>
      <c r="C45" s="259"/>
      <c r="D45" s="245">
        <f>B41</f>
        <v>0.34</v>
      </c>
      <c r="E45" s="249" t="s">
        <v>408</v>
      </c>
      <c r="G45" s="264"/>
      <c r="H45" s="267"/>
      <c r="I45" s="19"/>
      <c r="K45" s="260"/>
      <c r="L45" s="259"/>
      <c r="M45" s="245">
        <f>K41</f>
        <v>0.31</v>
      </c>
      <c r="N45" s="249" t="s">
        <v>408</v>
      </c>
      <c r="P45" s="260"/>
      <c r="Q45" s="259"/>
      <c r="R45" s="241">
        <f>P41</f>
        <v>0.49</v>
      </c>
      <c r="S45" s="249" t="s">
        <v>423</v>
      </c>
      <c r="U45" s="260">
        <v>2.35</v>
      </c>
      <c r="V45" s="259">
        <v>6.72</v>
      </c>
      <c r="W45" s="16">
        <f>U41+U37-W40</f>
        <v>0.63999999999999968</v>
      </c>
      <c r="X45" s="249" t="s">
        <v>50</v>
      </c>
      <c r="Z45" s="260">
        <v>0.09</v>
      </c>
      <c r="AA45" s="259">
        <v>6.67</v>
      </c>
      <c r="AB45" s="56"/>
      <c r="AC45" s="8"/>
      <c r="AE45" s="260">
        <v>0.1</v>
      </c>
      <c r="AF45" s="259">
        <v>6.83</v>
      </c>
      <c r="AG45" s="241"/>
      <c r="AH45" s="55"/>
      <c r="AJ45" s="31" t="s">
        <v>187</v>
      </c>
      <c r="AK45" s="245">
        <f>D100+D107+D170+D178+D184+D190</f>
        <v>0.95916666666666661</v>
      </c>
      <c r="AL45" s="245">
        <f>M100+M107+M170+M178+M184+M190</f>
        <v>1.0041666666666667</v>
      </c>
      <c r="AM45" s="245">
        <f>R100+R107</f>
        <v>0.77</v>
      </c>
      <c r="AN45" s="245">
        <f>W107+W100</f>
        <v>0.77</v>
      </c>
      <c r="AO45" s="245">
        <f>AB70+AB128+AB68+AB107</f>
        <v>0.64999999999999991</v>
      </c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</row>
    <row r="46" spans="1:52" outlineLevel="2" x14ac:dyDescent="0.25">
      <c r="A46" s="261"/>
      <c r="B46" s="260"/>
      <c r="C46" s="259"/>
      <c r="D46" s="246"/>
      <c r="E46" s="19"/>
      <c r="G46" s="264"/>
      <c r="H46" s="267"/>
      <c r="I46" s="19"/>
      <c r="K46" s="260"/>
      <c r="L46" s="259"/>
      <c r="M46" s="245"/>
      <c r="N46" s="246"/>
      <c r="P46" s="260"/>
      <c r="Q46" s="259"/>
      <c r="R46" s="241"/>
      <c r="S46" s="246"/>
      <c r="U46" s="260"/>
      <c r="V46" s="259"/>
      <c r="W46" s="245"/>
      <c r="X46" s="8"/>
      <c r="Z46" s="260"/>
      <c r="AA46" s="259"/>
      <c r="AB46" s="56"/>
      <c r="AC46" s="8"/>
      <c r="AE46" s="260"/>
      <c r="AF46" s="259"/>
      <c r="AG46" s="241"/>
      <c r="AH46" s="55"/>
      <c r="AJ46" s="31" t="s">
        <v>188</v>
      </c>
      <c r="AK46" s="245"/>
      <c r="AL46" s="245"/>
      <c r="AM46" s="245"/>
      <c r="AN46" s="245"/>
      <c r="AO46" s="245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</row>
    <row r="47" spans="1:52" outlineLevel="2" x14ac:dyDescent="0.25">
      <c r="A47" s="261"/>
      <c r="B47" s="260"/>
      <c r="C47" s="259"/>
      <c r="D47" s="18"/>
      <c r="E47" s="8"/>
      <c r="G47" s="265"/>
      <c r="H47" s="268"/>
      <c r="I47" s="240"/>
      <c r="K47" s="260"/>
      <c r="L47" s="259"/>
      <c r="M47" s="16"/>
      <c r="N47" s="49"/>
      <c r="P47" s="260"/>
      <c r="Q47" s="259"/>
      <c r="R47" s="56"/>
      <c r="S47" s="49"/>
      <c r="U47" s="260"/>
      <c r="V47" s="259"/>
      <c r="W47" s="19"/>
      <c r="X47" s="49"/>
      <c r="Z47" s="260"/>
      <c r="AA47" s="259"/>
      <c r="AB47" s="241"/>
      <c r="AC47" s="240"/>
      <c r="AE47" s="260"/>
      <c r="AF47" s="259"/>
      <c r="AG47" s="241"/>
      <c r="AH47" s="240"/>
      <c r="AJ47" s="31" t="s">
        <v>189</v>
      </c>
      <c r="AK47" s="245">
        <f>D108+D199</f>
        <v>0.64066666666666661</v>
      </c>
      <c r="AL47" s="245">
        <f>M108+M142+M199</f>
        <v>0.64066666666666661</v>
      </c>
      <c r="AM47" s="245">
        <f>R108+R137+R152</f>
        <v>0.59</v>
      </c>
      <c r="AN47" s="245">
        <f>W108+W137</f>
        <v>0.59</v>
      </c>
      <c r="AO47" s="245">
        <f>AB88+AB137+AB108</f>
        <v>0.24</v>
      </c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</row>
    <row r="48" spans="1:52" outlineLevel="2" x14ac:dyDescent="0.25">
      <c r="A48" s="261">
        <v>13</v>
      </c>
      <c r="B48" s="260">
        <v>0.53</v>
      </c>
      <c r="C48" s="259">
        <v>6.84</v>
      </c>
      <c r="D48" s="18"/>
      <c r="E48" s="8"/>
      <c r="G48" s="260">
        <v>0.95</v>
      </c>
      <c r="H48" s="259">
        <v>6.88</v>
      </c>
      <c r="I48" s="8"/>
      <c r="K48" s="260">
        <v>0.57999999999999996</v>
      </c>
      <c r="L48" s="259">
        <v>6.99</v>
      </c>
      <c r="M48" s="16"/>
      <c r="N48" s="8"/>
      <c r="P48" s="260">
        <v>0.59</v>
      </c>
      <c r="Q48" s="259">
        <v>6.82</v>
      </c>
      <c r="R48" s="241"/>
      <c r="S48" s="8"/>
      <c r="U48" s="260">
        <v>1.82</v>
      </c>
      <c r="V48" s="259">
        <v>6.89</v>
      </c>
      <c r="W48" s="16"/>
      <c r="X48" s="18"/>
      <c r="Z48" s="260">
        <v>1.1299999999999999</v>
      </c>
      <c r="AA48" s="259">
        <v>6.83</v>
      </c>
      <c r="AB48" s="56"/>
      <c r="AC48" s="8"/>
      <c r="AE48" s="260">
        <v>1.84</v>
      </c>
      <c r="AF48" s="259">
        <v>7</v>
      </c>
      <c r="AG48" s="241"/>
      <c r="AH48" s="240"/>
      <c r="AJ48" s="31" t="s">
        <v>190</v>
      </c>
      <c r="AK48" s="245">
        <f>D186+D200+D218+D223</f>
        <v>0.58850000000000002</v>
      </c>
      <c r="AL48" s="245">
        <f>M38+M186+M200+M218+M223</f>
        <v>1.1335000000000004</v>
      </c>
      <c r="AM48" s="245">
        <f>R151</f>
        <v>0.66</v>
      </c>
      <c r="AN48" s="245">
        <f>W38+W151+W157+W208</f>
        <v>1.02</v>
      </c>
      <c r="AO48" s="245">
        <f>AB38+AB208+AB121</f>
        <v>0.95</v>
      </c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</row>
    <row r="49" spans="1:53" outlineLevel="2" x14ac:dyDescent="0.25">
      <c r="A49" s="261"/>
      <c r="B49" s="260"/>
      <c r="C49" s="259"/>
      <c r="D49" s="246"/>
      <c r="E49" s="240"/>
      <c r="G49" s="260"/>
      <c r="H49" s="259"/>
      <c r="I49" s="240"/>
      <c r="K49" s="260"/>
      <c r="L49" s="259"/>
      <c r="M49" s="245"/>
      <c r="N49" s="246"/>
      <c r="P49" s="260"/>
      <c r="Q49" s="259"/>
      <c r="R49" s="241"/>
      <c r="S49" s="246"/>
      <c r="U49" s="260"/>
      <c r="V49" s="259"/>
      <c r="W49" s="245">
        <v>0.5</v>
      </c>
      <c r="X49" s="68" t="s">
        <v>39</v>
      </c>
      <c r="Z49" s="260"/>
      <c r="AA49" s="259"/>
      <c r="AB49" s="241">
        <v>0.5</v>
      </c>
      <c r="AC49" s="68" t="s">
        <v>39</v>
      </c>
      <c r="AE49" s="260"/>
      <c r="AF49" s="259"/>
      <c r="AG49" s="241">
        <f>AE48</f>
        <v>1.84</v>
      </c>
      <c r="AH49" s="74" t="s">
        <v>333</v>
      </c>
      <c r="AJ49" s="31" t="s">
        <v>191</v>
      </c>
      <c r="AK49" s="245">
        <f>D171+D172+D188+D201+D216+D219+D229+D252+D260+D208</f>
        <v>1.4750000000000001</v>
      </c>
      <c r="AL49" s="245">
        <f>M138+M171+M172+M188+M201+M216+M219+M229+M252+M260+M208</f>
        <v>1.875</v>
      </c>
      <c r="AM49" s="245">
        <f>R138+R171+R201+R208</f>
        <v>1.75</v>
      </c>
      <c r="AN49" s="245">
        <f>W138+W171+W201</f>
        <v>1.27</v>
      </c>
      <c r="AO49" s="245">
        <f>AB87+AB143+AB138+AB116</f>
        <v>0.59</v>
      </c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</row>
    <row r="50" spans="1:53" outlineLevel="2" x14ac:dyDescent="0.25">
      <c r="A50" s="261"/>
      <c r="B50" s="260"/>
      <c r="C50" s="259"/>
      <c r="D50" s="246">
        <f>B48</f>
        <v>0.53</v>
      </c>
      <c r="E50" s="59" t="s">
        <v>407</v>
      </c>
      <c r="G50" s="260"/>
      <c r="H50" s="259"/>
      <c r="I50" s="240"/>
      <c r="K50" s="260"/>
      <c r="L50" s="259"/>
      <c r="M50" s="245">
        <f>K48</f>
        <v>0.57999999999999996</v>
      </c>
      <c r="N50" s="59" t="s">
        <v>407</v>
      </c>
      <c r="P50" s="260"/>
      <c r="Q50" s="259"/>
      <c r="R50" s="241">
        <f>P48-R58</f>
        <v>0.53</v>
      </c>
      <c r="S50" s="59" t="s">
        <v>126</v>
      </c>
      <c r="U50" s="260"/>
      <c r="V50" s="259"/>
      <c r="W50" s="245">
        <f>U48-W51-W49</f>
        <v>0.41000000000000003</v>
      </c>
      <c r="X50" s="59" t="s">
        <v>126</v>
      </c>
      <c r="Z50" s="260"/>
      <c r="AA50" s="259"/>
      <c r="AB50" s="241"/>
      <c r="AC50" s="240"/>
      <c r="AE50" s="260">
        <v>0.57999999999999996</v>
      </c>
      <c r="AF50" s="259">
        <v>7.06</v>
      </c>
      <c r="AG50" s="241"/>
      <c r="AH50" s="240"/>
      <c r="AJ50" s="36" t="s">
        <v>203</v>
      </c>
      <c r="AK50" s="16"/>
      <c r="AL50" s="16"/>
      <c r="AM50" s="16"/>
      <c r="AN50" s="16"/>
      <c r="AO50" s="16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</row>
    <row r="51" spans="1:53" outlineLevel="2" x14ac:dyDescent="0.25">
      <c r="A51" s="261"/>
      <c r="B51" s="260"/>
      <c r="C51" s="259"/>
      <c r="D51" s="246"/>
      <c r="E51" s="240"/>
      <c r="G51" s="260"/>
      <c r="H51" s="259"/>
      <c r="I51" s="240"/>
      <c r="K51" s="260"/>
      <c r="L51" s="259"/>
      <c r="M51" s="245"/>
      <c r="N51" s="240"/>
      <c r="P51" s="260"/>
      <c r="Q51" s="259"/>
      <c r="R51" s="241"/>
      <c r="S51" s="240"/>
      <c r="U51" s="260"/>
      <c r="V51" s="259"/>
      <c r="W51" s="245">
        <f>U48/2</f>
        <v>0.91</v>
      </c>
      <c r="X51" s="70" t="s">
        <v>63</v>
      </c>
      <c r="Z51" s="260"/>
      <c r="AA51" s="259"/>
      <c r="AB51" s="241">
        <f>Z48-AB49</f>
        <v>0.62999999999999989</v>
      </c>
      <c r="AC51" s="70" t="s">
        <v>63</v>
      </c>
      <c r="AE51" s="260"/>
      <c r="AF51" s="259"/>
      <c r="AG51" s="241">
        <f>AE50</f>
        <v>0.57999999999999996</v>
      </c>
      <c r="AH51" s="70" t="s">
        <v>63</v>
      </c>
      <c r="AJ51" s="36" t="s">
        <v>204</v>
      </c>
      <c r="AK51" s="16">
        <f>D173+D203+D211+D225</f>
        <v>0.10999999999999999</v>
      </c>
      <c r="AL51" s="16">
        <f>M173+M203+M211+M225</f>
        <v>0.10999999999999999</v>
      </c>
      <c r="AM51" s="16">
        <f>R165+R173</f>
        <v>0.06</v>
      </c>
      <c r="AN51" s="16">
        <f>W173</f>
        <v>0.06</v>
      </c>
      <c r="AO51" s="16">
        <f>AB140</f>
        <v>0.3</v>
      </c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</row>
    <row r="52" spans="1:53" outlineLevel="2" x14ac:dyDescent="0.25">
      <c r="A52" s="261"/>
      <c r="B52" s="260"/>
      <c r="C52" s="259"/>
      <c r="D52" s="18"/>
      <c r="E52" s="8"/>
      <c r="G52" s="260"/>
      <c r="H52" s="259"/>
      <c r="I52" s="240"/>
      <c r="K52" s="260"/>
      <c r="L52" s="259"/>
      <c r="M52" s="16"/>
      <c r="N52" s="49"/>
      <c r="P52" s="260"/>
      <c r="Q52" s="259"/>
      <c r="R52" s="56"/>
      <c r="S52" s="49"/>
      <c r="U52" s="260"/>
      <c r="V52" s="259"/>
      <c r="W52" s="19"/>
      <c r="X52" s="49"/>
      <c r="Z52" s="260"/>
      <c r="AA52" s="259"/>
      <c r="AB52" s="241"/>
      <c r="AC52" s="8"/>
      <c r="AE52" s="260"/>
      <c r="AF52" s="259"/>
      <c r="AG52" s="241"/>
      <c r="AH52" s="240"/>
      <c r="AJ52" s="36" t="s">
        <v>198</v>
      </c>
      <c r="AK52" s="16">
        <f>D213</f>
        <v>0.03</v>
      </c>
      <c r="AL52" s="16">
        <f>M213</f>
        <v>0.3</v>
      </c>
      <c r="AM52" s="16">
        <f>R213</f>
        <v>0.27</v>
      </c>
      <c r="AN52" s="16">
        <f>W213</f>
        <v>0.25</v>
      </c>
      <c r="AO52" s="16">
        <f>AB141</f>
        <v>0.3</v>
      </c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</row>
    <row r="53" spans="1:53" outlineLevel="2" x14ac:dyDescent="0.25">
      <c r="A53" s="261"/>
      <c r="B53" s="260"/>
      <c r="C53" s="259"/>
      <c r="D53" s="246"/>
      <c r="E53" s="240"/>
      <c r="G53" s="260"/>
      <c r="H53" s="259"/>
      <c r="I53" s="240"/>
      <c r="K53" s="260"/>
      <c r="L53" s="259"/>
      <c r="M53" s="245"/>
      <c r="N53" s="240"/>
      <c r="P53" s="260"/>
      <c r="Q53" s="259"/>
      <c r="R53" s="241"/>
      <c r="S53" s="240"/>
      <c r="U53" s="260"/>
      <c r="V53" s="259"/>
      <c r="W53" s="245"/>
      <c r="X53" s="240"/>
      <c r="Z53" s="260"/>
      <c r="AA53" s="259"/>
      <c r="AB53" s="241"/>
      <c r="AC53" s="240"/>
      <c r="AE53" s="260"/>
      <c r="AF53" s="259"/>
      <c r="AG53" s="241"/>
      <c r="AH53" s="240"/>
      <c r="AJ53" s="36" t="s">
        <v>199</v>
      </c>
      <c r="AK53" s="16">
        <f>D187+D191+D247+D254</f>
        <v>0.57000000000000006</v>
      </c>
      <c r="AL53" s="16">
        <f>M254+M247+M191+M187</f>
        <v>0.59750000000000003</v>
      </c>
      <c r="AM53" s="16">
        <f>R147+R206</f>
        <v>0.6</v>
      </c>
      <c r="AN53" s="16">
        <f>W147+W206</f>
        <v>0.39</v>
      </c>
      <c r="AO53" s="16">
        <f>AB82+AB147</f>
        <v>0.55000000000000004</v>
      </c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</row>
    <row r="54" spans="1:53" outlineLevel="2" x14ac:dyDescent="0.25">
      <c r="A54" s="261"/>
      <c r="B54" s="260"/>
      <c r="C54" s="259"/>
      <c r="D54" s="246"/>
      <c r="E54" s="240"/>
      <c r="G54" s="260"/>
      <c r="H54" s="259"/>
      <c r="I54" s="240"/>
      <c r="K54" s="260"/>
      <c r="L54" s="259"/>
      <c r="M54" s="245"/>
      <c r="N54" s="246"/>
      <c r="P54" s="260"/>
      <c r="Q54" s="259"/>
      <c r="R54" s="241"/>
      <c r="S54" s="246"/>
      <c r="U54" s="260"/>
      <c r="V54" s="259"/>
      <c r="W54" s="245"/>
      <c r="X54" s="240"/>
      <c r="Z54" s="260"/>
      <c r="AA54" s="259"/>
      <c r="AB54" s="56"/>
      <c r="AC54" s="8"/>
      <c r="AE54" s="260"/>
      <c r="AF54" s="259"/>
      <c r="AG54" s="241"/>
      <c r="AH54" s="240"/>
      <c r="AJ54" s="31" t="s">
        <v>192</v>
      </c>
      <c r="AK54" s="245"/>
      <c r="AL54" s="245"/>
      <c r="AM54" s="245"/>
      <c r="AN54" s="245"/>
      <c r="AO54" s="245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</row>
    <row r="55" spans="1:53" outlineLevel="2" x14ac:dyDescent="0.25">
      <c r="A55" s="261"/>
      <c r="B55" s="260"/>
      <c r="C55" s="259"/>
      <c r="D55" s="246"/>
      <c r="E55" s="240"/>
      <c r="G55" s="260"/>
      <c r="H55" s="259"/>
      <c r="I55" s="240"/>
      <c r="K55" s="260"/>
      <c r="L55" s="259"/>
      <c r="M55" s="245"/>
      <c r="N55" s="8"/>
      <c r="P55" s="260"/>
      <c r="Q55" s="259"/>
      <c r="R55" s="241"/>
      <c r="S55" s="8"/>
      <c r="U55" s="260"/>
      <c r="V55" s="259"/>
      <c r="W55" s="245"/>
      <c r="X55" s="8"/>
      <c r="Z55" s="260"/>
      <c r="AA55" s="259"/>
      <c r="AB55" s="241"/>
      <c r="AC55" s="8"/>
      <c r="AE55" s="260"/>
      <c r="AF55" s="259"/>
      <c r="AG55" s="241"/>
      <c r="AH55" s="240"/>
      <c r="AJ55" s="36" t="s">
        <v>205</v>
      </c>
      <c r="AK55" s="245">
        <f>D193+D226+D248+D249+D261</f>
        <v>0.88</v>
      </c>
      <c r="AL55" s="245">
        <f>M193+M226+M248+M249+M261</f>
        <v>0.98</v>
      </c>
      <c r="AM55" s="16">
        <f>R193+R216+R226+R249</f>
        <v>0.88</v>
      </c>
      <c r="AN55" s="16">
        <f>W249+W193+W154</f>
        <v>0.6100000000000001</v>
      </c>
      <c r="AO55" s="16">
        <f>AB77+AB154+AB249</f>
        <v>1.01</v>
      </c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</row>
    <row r="56" spans="1:53" outlineLevel="1" x14ac:dyDescent="0.25">
      <c r="A56" s="261"/>
      <c r="B56" s="260"/>
      <c r="C56" s="259"/>
      <c r="D56" s="55"/>
      <c r="E56" s="60"/>
      <c r="G56" s="260"/>
      <c r="H56" s="259"/>
      <c r="I56" s="240"/>
      <c r="K56" s="260"/>
      <c r="L56" s="259"/>
      <c r="M56" s="245"/>
      <c r="N56" s="8"/>
      <c r="P56" s="260"/>
      <c r="Q56" s="259"/>
      <c r="R56" s="241"/>
      <c r="S56" s="8"/>
      <c r="U56" s="260"/>
      <c r="V56" s="259"/>
      <c r="W56" s="245"/>
      <c r="X56" s="8"/>
      <c r="Z56" s="260"/>
      <c r="AA56" s="259"/>
      <c r="AB56" s="241"/>
      <c r="AC56" s="8"/>
      <c r="AE56" s="260"/>
      <c r="AF56" s="259"/>
      <c r="AG56" s="241"/>
      <c r="AH56" s="240"/>
      <c r="AJ56" s="36" t="s">
        <v>193</v>
      </c>
      <c r="AK56" s="1">
        <f>SUM(AK42:AK55)</f>
        <v>5.253333333333333</v>
      </c>
      <c r="AL56" s="1">
        <f>SUM(AL42:AL55)</f>
        <v>6.6408333333333331</v>
      </c>
      <c r="AM56" s="1">
        <f>SUM(AM42:AM55)</f>
        <v>5.5799999999999992</v>
      </c>
      <c r="AN56" s="1">
        <f>SUM(AN42:AN55)</f>
        <v>4.96</v>
      </c>
      <c r="AO56" s="1">
        <f>SUM(AO42:AO55)</f>
        <v>4.589999999999999</v>
      </c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</row>
    <row r="57" spans="1:53" ht="15.75" outlineLevel="1" thickBot="1" x14ac:dyDescent="0.3">
      <c r="A57" s="261"/>
      <c r="B57" s="260"/>
      <c r="C57" s="259"/>
      <c r="D57" s="55"/>
      <c r="E57" s="60"/>
      <c r="G57" s="260"/>
      <c r="H57" s="259"/>
      <c r="I57" s="240"/>
      <c r="K57" s="260"/>
      <c r="L57" s="259"/>
      <c r="M57" s="245"/>
      <c r="N57" s="19"/>
      <c r="P57" s="260"/>
      <c r="Q57" s="259"/>
      <c r="R57" s="241"/>
      <c r="S57" s="19"/>
      <c r="U57" s="260"/>
      <c r="V57" s="259"/>
      <c r="W57" s="245"/>
      <c r="X57" s="8"/>
      <c r="Z57" s="260"/>
      <c r="AA57" s="259"/>
      <c r="AB57" s="241"/>
      <c r="AC57" s="8"/>
      <c r="AE57" s="260"/>
      <c r="AF57" s="259"/>
      <c r="AG57" s="241"/>
      <c r="AH57" s="240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</row>
    <row r="58" spans="1:53" outlineLevel="1" x14ac:dyDescent="0.25">
      <c r="A58" s="261"/>
      <c r="B58" s="260"/>
      <c r="C58" s="259"/>
      <c r="D58" s="55"/>
      <c r="E58" s="60"/>
      <c r="G58" s="260"/>
      <c r="H58" s="259"/>
      <c r="I58" s="8"/>
      <c r="K58" s="260"/>
      <c r="L58" s="259"/>
      <c r="M58" s="16">
        <v>0.06</v>
      </c>
      <c r="N58" s="249" t="s">
        <v>406</v>
      </c>
      <c r="P58" s="260"/>
      <c r="Q58" s="259"/>
      <c r="R58" s="16">
        <v>0.06</v>
      </c>
      <c r="S58" s="249" t="s">
        <v>134</v>
      </c>
      <c r="U58" s="260"/>
      <c r="V58" s="259"/>
      <c r="W58" s="245"/>
      <c r="X58" s="8"/>
      <c r="Z58" s="260"/>
      <c r="AA58" s="259"/>
      <c r="AB58" s="241"/>
      <c r="AC58" s="8"/>
      <c r="AE58" s="260"/>
      <c r="AF58" s="259"/>
      <c r="AG58" s="241"/>
      <c r="AH58" s="240"/>
      <c r="AJ58" s="153" t="s">
        <v>277</v>
      </c>
      <c r="AK58" s="41" t="s">
        <v>1</v>
      </c>
      <c r="AL58" s="38" t="s">
        <v>2</v>
      </c>
      <c r="AM58" s="41" t="s">
        <v>4</v>
      </c>
      <c r="AP58" s="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</row>
    <row r="59" spans="1:53" outlineLevel="2" x14ac:dyDescent="0.25">
      <c r="A59" s="261">
        <v>14</v>
      </c>
      <c r="B59" s="260">
        <v>7.03</v>
      </c>
      <c r="C59" s="259">
        <v>6.98</v>
      </c>
      <c r="D59" s="246">
        <f>R59</f>
        <v>1.6</v>
      </c>
      <c r="E59" s="6" t="s">
        <v>48</v>
      </c>
      <c r="G59" s="260">
        <v>2.96</v>
      </c>
      <c r="H59" s="259">
        <v>7.08</v>
      </c>
      <c r="I59" s="116"/>
      <c r="K59" s="260">
        <v>6.89</v>
      </c>
      <c r="L59" s="259">
        <v>7.13</v>
      </c>
      <c r="M59" s="245">
        <f>R59</f>
        <v>1.6</v>
      </c>
      <c r="N59" s="6" t="s">
        <v>48</v>
      </c>
      <c r="P59" s="260">
        <v>4.8099999999999996</v>
      </c>
      <c r="Q59" s="259">
        <v>6.96</v>
      </c>
      <c r="R59" s="241">
        <f>AB59</f>
        <v>1.6</v>
      </c>
      <c r="S59" s="6" t="s">
        <v>48</v>
      </c>
      <c r="U59" s="260">
        <v>6.6</v>
      </c>
      <c r="V59" s="259">
        <v>7.04</v>
      </c>
      <c r="W59" s="245">
        <f>AB59</f>
        <v>1.6</v>
      </c>
      <c r="X59" s="6" t="s">
        <v>48</v>
      </c>
      <c r="Z59" s="260">
        <v>5.2</v>
      </c>
      <c r="AA59" s="259">
        <v>6.97</v>
      </c>
      <c r="AB59" s="241">
        <f>AG59</f>
        <v>1.6</v>
      </c>
      <c r="AC59" s="6" t="s">
        <v>48</v>
      </c>
      <c r="AE59" s="260">
        <v>6.56</v>
      </c>
      <c r="AF59" s="259">
        <v>7.14</v>
      </c>
      <c r="AG59" s="241">
        <v>1.6</v>
      </c>
      <c r="AH59" s="6" t="s">
        <v>48</v>
      </c>
      <c r="AJ59" s="111" t="s">
        <v>272</v>
      </c>
      <c r="AK59" s="19">
        <f>D8+D24+D59+D60+D96+D99+D103+D136+D166+D197</f>
        <v>22.715</v>
      </c>
      <c r="AL59" s="19">
        <f>M8+M24+M59+M60+M96+M99+M103+M136+M166+M197</f>
        <v>22.204999999999998</v>
      </c>
      <c r="AM59" s="19">
        <f>R8+R24+R21+R59+R60+R96+R99+R103+R136+R166+R197</f>
        <v>23.709999999999997</v>
      </c>
      <c r="AN59" s="19">
        <f>AVERAGE(AK59:AM59)</f>
        <v>22.876666666666665</v>
      </c>
      <c r="AO59" s="21" t="s">
        <v>297</v>
      </c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</row>
    <row r="60" spans="1:53" outlineLevel="2" x14ac:dyDescent="0.25">
      <c r="A60" s="261"/>
      <c r="B60" s="260"/>
      <c r="C60" s="259"/>
      <c r="D60" s="8">
        <f>R60</f>
        <v>1.6</v>
      </c>
      <c r="E60" s="6" t="s">
        <v>49</v>
      </c>
      <c r="G60" s="260"/>
      <c r="H60" s="259"/>
      <c r="I60" s="116"/>
      <c r="K60" s="260"/>
      <c r="L60" s="259"/>
      <c r="M60" s="245">
        <f>D60</f>
        <v>1.6</v>
      </c>
      <c r="N60" s="6" t="s">
        <v>49</v>
      </c>
      <c r="P60" s="260"/>
      <c r="Q60" s="259"/>
      <c r="R60" s="19">
        <f>AB60</f>
        <v>1.6</v>
      </c>
      <c r="S60" s="6" t="s">
        <v>49</v>
      </c>
      <c r="U60" s="260"/>
      <c r="V60" s="259"/>
      <c r="W60" s="16">
        <f>AB60</f>
        <v>1.6</v>
      </c>
      <c r="X60" s="6" t="s">
        <v>49</v>
      </c>
      <c r="Z60" s="260"/>
      <c r="AA60" s="259"/>
      <c r="AB60" s="241">
        <v>1.6</v>
      </c>
      <c r="AC60" s="6" t="s">
        <v>49</v>
      </c>
      <c r="AE60" s="260"/>
      <c r="AF60" s="259"/>
      <c r="AG60" s="240">
        <v>2</v>
      </c>
      <c r="AH60" s="6" t="s">
        <v>49</v>
      </c>
      <c r="AJ60" s="111" t="s">
        <v>273</v>
      </c>
      <c r="AK60" s="19">
        <f>D42+D45+D50+D62+D82+D84</f>
        <v>3.8033333333333332</v>
      </c>
      <c r="AL60" s="19">
        <f>M42+M45+M50+M62+M82+M84</f>
        <v>3.8533333333333335</v>
      </c>
      <c r="AM60" s="19">
        <f>R42+R45+R50+R62+R84</f>
        <v>4.5166666666666675</v>
      </c>
      <c r="AN60" s="19">
        <f>AVERAGE(AK60:AM60)</f>
        <v>4.0577777777777779</v>
      </c>
      <c r="AO60" s="21" t="s">
        <v>300</v>
      </c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</row>
    <row r="61" spans="1:53" outlineLevel="2" x14ac:dyDescent="0.25">
      <c r="A61" s="261"/>
      <c r="B61" s="260"/>
      <c r="C61" s="259"/>
      <c r="D61" s="245">
        <v>1.1000000000000001</v>
      </c>
      <c r="E61" s="249" t="s">
        <v>405</v>
      </c>
      <c r="G61" s="260"/>
      <c r="H61" s="259"/>
      <c r="I61" s="19"/>
      <c r="K61" s="260"/>
      <c r="L61" s="259"/>
      <c r="M61" s="245">
        <v>0.81</v>
      </c>
      <c r="N61" s="249" t="s">
        <v>405</v>
      </c>
      <c r="P61" s="260"/>
      <c r="Q61" s="259"/>
      <c r="R61" s="241">
        <f>AB15-R31-R35</f>
        <v>3.24</v>
      </c>
      <c r="S61" s="249" t="s">
        <v>222</v>
      </c>
      <c r="U61" s="260"/>
      <c r="V61" s="259"/>
      <c r="W61" s="245">
        <f>U65</f>
        <v>3.22</v>
      </c>
      <c r="X61" s="249" t="s">
        <v>222</v>
      </c>
      <c r="Z61" s="260"/>
      <c r="AA61" s="259"/>
      <c r="AB61" s="56"/>
      <c r="AC61" s="8"/>
      <c r="AE61" s="260"/>
      <c r="AF61" s="259"/>
      <c r="AG61" s="240"/>
      <c r="AH61" s="240"/>
      <c r="AJ61" s="111" t="s">
        <v>274</v>
      </c>
      <c r="AK61" s="19">
        <f>D61+D69+D81+D85+D94+D100+D104+D107+D106+D108+D120+D130+D139+D145+D146+D148+D155+D168+D169+D170+D172+D178+D176+D182+D184+D185+D190+D199</f>
        <v>14.528166666666664</v>
      </c>
      <c r="AL61" s="19">
        <f>M58+M61+M69+M77+M81+M85+M94+M100+M107+M108+M120+M130+M139+M138+M145+M146+M148+M155+M168+M169+M170+M172+M178+M176+M182+M184+M185+M190+M199</f>
        <v>16.298999999999999</v>
      </c>
      <c r="AM61" s="19">
        <f>R58+R61+R69+R79+R77+R81+R85+R94+R100+R107+R108+R130+R137+R138+R176</f>
        <v>13.303333333333333</v>
      </c>
      <c r="AN61" s="19">
        <f>AVERAGE(AK61:AM61)</f>
        <v>14.710166666666666</v>
      </c>
      <c r="AO61" s="21" t="s">
        <v>301</v>
      </c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</row>
    <row r="62" spans="1:53" outlineLevel="2" x14ac:dyDescent="0.25">
      <c r="A62" s="261"/>
      <c r="B62" s="260"/>
      <c r="C62" s="259"/>
      <c r="D62" s="245">
        <f>R62</f>
        <v>1.57</v>
      </c>
      <c r="E62" s="249" t="s">
        <v>404</v>
      </c>
      <c r="G62" s="260"/>
      <c r="H62" s="259"/>
      <c r="I62" s="19"/>
      <c r="K62" s="260"/>
      <c r="L62" s="259"/>
      <c r="M62" s="245">
        <f>R62</f>
        <v>1.57</v>
      </c>
      <c r="N62" s="249" t="s">
        <v>404</v>
      </c>
      <c r="P62" s="260"/>
      <c r="Q62" s="259"/>
      <c r="R62" s="19">
        <v>1.57</v>
      </c>
      <c r="S62" s="249" t="s">
        <v>424</v>
      </c>
      <c r="U62" s="260"/>
      <c r="V62" s="259"/>
      <c r="W62" s="16">
        <v>1.4</v>
      </c>
      <c r="X62" s="249" t="s">
        <v>396</v>
      </c>
      <c r="Z62" s="260"/>
      <c r="AA62" s="259"/>
      <c r="AE62" s="260"/>
      <c r="AF62" s="259"/>
      <c r="AG62" s="240"/>
      <c r="AH62" s="240"/>
      <c r="AJ62" s="111" t="s">
        <v>275</v>
      </c>
      <c r="AK62" s="19">
        <f>D132+D149+D173+D186+D187+D191+D200+D202+D203+D208+D210+D211+D215+D216+D218+D219+D221+D222+D223+D225+D229+D236+D237+D238+D243+D245+D247+D251+D252+D254+D259+D260</f>
        <v>16.278500000000001</v>
      </c>
      <c r="AL62" s="19">
        <f>M112+M113+M118+M124+M131+M132+M148+M149+M162+M171+M173+M186+M187+M191+M200+M202+M203+M208+M210+M211+M215+M216+M218+M219+M221+M222+M223+M225+M229+M243+M245+M247+M251+M252+M254+M259+M260</f>
        <v>16.567666666666668</v>
      </c>
      <c r="AM62" s="19">
        <f>R112+R113+R118+R124+R131+R132+R147+R151+R171+R173+R175+R201+R206+R208</f>
        <v>16.61</v>
      </c>
      <c r="AN62" s="19">
        <f>AVERAGE(AK62:AM62)</f>
        <v>16.485388888888888</v>
      </c>
      <c r="AO62" s="21" t="s">
        <v>298</v>
      </c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</row>
    <row r="63" spans="1:53" outlineLevel="2" x14ac:dyDescent="0.25">
      <c r="A63" s="261"/>
      <c r="B63" s="260"/>
      <c r="C63" s="259"/>
      <c r="D63" s="18"/>
      <c r="E63" s="8"/>
      <c r="G63" s="260"/>
      <c r="H63" s="259"/>
      <c r="I63" s="19"/>
      <c r="K63" s="260"/>
      <c r="L63" s="259"/>
      <c r="M63" s="16"/>
      <c r="N63" s="49"/>
      <c r="P63" s="260"/>
      <c r="Q63" s="259"/>
      <c r="R63" s="56"/>
      <c r="S63" s="49"/>
      <c r="U63" s="260"/>
      <c r="V63" s="259"/>
      <c r="W63" s="19"/>
      <c r="X63" s="49"/>
      <c r="Z63" s="260"/>
      <c r="AA63" s="259"/>
      <c r="AB63" s="56"/>
      <c r="AC63" s="8"/>
      <c r="AE63" s="260"/>
      <c r="AF63" s="259"/>
      <c r="AG63" s="240"/>
      <c r="AH63" s="240"/>
      <c r="AJ63" s="111" t="s">
        <v>276</v>
      </c>
      <c r="AK63" s="19">
        <f>D192+D193+D212+D213+D226+D230+D240+D241+D246+D248+D249+D253+D261</f>
        <v>3.4999999999999996</v>
      </c>
      <c r="AL63" s="19">
        <f>M261+M253+M249+M248+M246+M241+M230+M226+M213+M212+M205+M193+M192</f>
        <v>4.2700000000000014</v>
      </c>
      <c r="AM63" s="19">
        <f>R253+R249+R246+R226+R213+R212+R211+R209+R205+R193+R192</f>
        <v>4.1399999999999997</v>
      </c>
      <c r="AN63" s="19">
        <f>AVERAGE(AK63:AM63)</f>
        <v>3.97</v>
      </c>
      <c r="AO63" s="21" t="s">
        <v>299</v>
      </c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</row>
    <row r="64" spans="1:53" outlineLevel="1" x14ac:dyDescent="0.25">
      <c r="A64" s="261"/>
      <c r="B64" s="260"/>
      <c r="C64" s="259"/>
      <c r="D64" s="245">
        <v>1.1599999999999999</v>
      </c>
      <c r="E64" s="54" t="s">
        <v>34</v>
      </c>
      <c r="G64" s="260"/>
      <c r="H64" s="259"/>
      <c r="I64" s="241"/>
      <c r="K64" s="260"/>
      <c r="L64" s="259"/>
      <c r="M64" s="245">
        <v>1.31</v>
      </c>
      <c r="N64" s="54" t="s">
        <v>34</v>
      </c>
      <c r="P64" s="260"/>
      <c r="Q64" s="259"/>
      <c r="R64" s="241">
        <f>P59+P65+P68+P73-R59-R60-R61-R62-R69</f>
        <v>0.61999999999999922</v>
      </c>
      <c r="S64" s="54" t="s">
        <v>34</v>
      </c>
      <c r="U64" s="260"/>
      <c r="V64" s="259"/>
      <c r="W64" s="245">
        <f>U65+U59-W59-W60-W61-W62+U68-W69</f>
        <v>0.32000000000000073</v>
      </c>
      <c r="X64" s="54" t="s">
        <v>34</v>
      </c>
      <c r="Z64" s="260"/>
      <c r="AA64" s="259"/>
      <c r="AB64" s="241">
        <f>Z59-AB59-AB60-AB142+Z65-AB67-AB91</f>
        <v>4.4599999999999991</v>
      </c>
      <c r="AC64" s="54" t="s">
        <v>34</v>
      </c>
      <c r="AE64" s="260"/>
      <c r="AF64" s="259"/>
      <c r="AG64" s="241">
        <f>AE59-AG59-AG60</f>
        <v>2.9599999999999991</v>
      </c>
      <c r="AH64" s="54" t="s">
        <v>34</v>
      </c>
      <c r="AJ64" s="111" t="s">
        <v>555</v>
      </c>
      <c r="AK64" s="53"/>
      <c r="AL64" s="53"/>
      <c r="AN64" s="83">
        <f>R42+R45+R50+R61+R62+R69+R77+R79+R81+R84+R85+R94+R113+R124+R176+R192+R246</f>
        <v>21.313333333333336</v>
      </c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</row>
    <row r="65" spans="1:53" outlineLevel="1" x14ac:dyDescent="0.25">
      <c r="A65" s="261"/>
      <c r="B65" s="260"/>
      <c r="C65" s="259"/>
      <c r="D65" s="18"/>
      <c r="E65" s="8"/>
      <c r="G65" s="260"/>
      <c r="H65" s="259"/>
      <c r="I65" s="241"/>
      <c r="K65" s="260"/>
      <c r="L65" s="259"/>
      <c r="M65" s="16"/>
      <c r="N65" s="49"/>
      <c r="P65" s="260">
        <v>4.51</v>
      </c>
      <c r="Q65" s="259">
        <v>7.04</v>
      </c>
      <c r="R65" s="56"/>
      <c r="S65" s="49"/>
      <c r="U65" s="260">
        <v>3.22</v>
      </c>
      <c r="V65" s="259">
        <v>7.11</v>
      </c>
      <c r="W65" s="19"/>
      <c r="X65" s="49"/>
      <c r="Z65" s="260">
        <v>3.43</v>
      </c>
      <c r="AA65" s="259">
        <v>7.04</v>
      </c>
      <c r="AB65" s="16"/>
      <c r="AC65" s="246"/>
      <c r="AE65" s="241">
        <v>0.23</v>
      </c>
      <c r="AF65" s="240">
        <v>7.26</v>
      </c>
      <c r="AG65" s="241"/>
      <c r="AH65" s="55"/>
      <c r="AJ65" s="111" t="s">
        <v>556</v>
      </c>
      <c r="AK65" s="53"/>
      <c r="AL65" s="53"/>
      <c r="AN65" s="19">
        <f>R58+R118+R124+R131+R175+R205+R209+R211+R212+R253</f>
        <v>6.9633333333333329</v>
      </c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</row>
    <row r="66" spans="1:53" outlineLevel="1" x14ac:dyDescent="0.25">
      <c r="A66" s="261"/>
      <c r="B66" s="260"/>
      <c r="C66" s="259"/>
      <c r="D66" s="246"/>
      <c r="E66" s="241"/>
      <c r="G66" s="260"/>
      <c r="H66" s="259"/>
      <c r="I66" s="241"/>
      <c r="K66" s="260"/>
      <c r="L66" s="259"/>
      <c r="M66" s="245"/>
      <c r="N66" s="241"/>
      <c r="P66" s="260"/>
      <c r="Q66" s="259"/>
      <c r="R66" s="241"/>
      <c r="S66" s="241"/>
      <c r="U66" s="260"/>
      <c r="V66" s="259"/>
      <c r="W66" s="19"/>
      <c r="X66" s="49"/>
      <c r="Z66" s="260"/>
      <c r="AA66" s="259"/>
      <c r="AB66" s="241"/>
      <c r="AC66" s="240"/>
      <c r="AE66" s="260">
        <v>7.0000000000000007E-2</v>
      </c>
      <c r="AF66" s="259">
        <v>7.33</v>
      </c>
      <c r="AG66" s="241"/>
      <c r="AH66" s="240"/>
      <c r="AJ66" s="111" t="s">
        <v>286</v>
      </c>
      <c r="AK66" s="53"/>
      <c r="AL66" s="53"/>
      <c r="AN66" s="19">
        <f>R112+R132</f>
        <v>5.3733333333333331</v>
      </c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</row>
    <row r="67" spans="1:53" outlineLevel="1" x14ac:dyDescent="0.25">
      <c r="A67" s="261"/>
      <c r="B67" s="260"/>
      <c r="C67" s="259"/>
      <c r="D67" s="18"/>
      <c r="E67" s="240"/>
      <c r="G67" s="260"/>
      <c r="H67" s="259"/>
      <c r="I67" s="8"/>
      <c r="K67" s="260"/>
      <c r="L67" s="259"/>
      <c r="M67" s="16"/>
      <c r="N67" s="240"/>
      <c r="P67" s="260"/>
      <c r="Q67" s="259"/>
      <c r="R67" s="19"/>
      <c r="S67" s="240"/>
      <c r="U67" s="260"/>
      <c r="V67" s="259"/>
      <c r="W67" s="245"/>
      <c r="X67" s="18"/>
      <c r="Z67" s="260"/>
      <c r="AA67" s="259"/>
      <c r="AB67" s="19">
        <v>0.28000000000000003</v>
      </c>
      <c r="AC67" s="68" t="s">
        <v>98</v>
      </c>
      <c r="AE67" s="260"/>
      <c r="AF67" s="259"/>
      <c r="AG67" s="241">
        <f>AE66+AE65</f>
        <v>0.30000000000000004</v>
      </c>
      <c r="AH67" s="68" t="s">
        <v>98</v>
      </c>
      <c r="AJ67" s="111" t="s">
        <v>547</v>
      </c>
      <c r="AK67" s="53"/>
      <c r="AL67" s="53"/>
      <c r="AN67" s="19">
        <f>R42+R45+R50+R61+R62+R69+R77+R79+R81+R84+R85+R94+R113+R124+R176+R192+R246+R58+R118+R124+R131+R175+R205+R209+R211+R212+R253+R112+R132+R100+R107+R108+R147+R151+R171+R173+R193+R201+R206+R208+R213+R226+R249</f>
        <v>39.230000000000004</v>
      </c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</row>
    <row r="68" spans="1:53" ht="15.75" outlineLevel="1" thickBot="1" x14ac:dyDescent="0.3">
      <c r="A68" s="262">
        <v>15</v>
      </c>
      <c r="B68" s="270">
        <v>0.61</v>
      </c>
      <c r="C68" s="259">
        <v>7.26</v>
      </c>
      <c r="D68" s="246"/>
      <c r="E68" s="240"/>
      <c r="G68" s="260">
        <v>1.26</v>
      </c>
      <c r="H68" s="259">
        <v>7.3</v>
      </c>
      <c r="I68" s="240"/>
      <c r="K68" s="260">
        <v>0.71</v>
      </c>
      <c r="L68" s="259">
        <v>7.42</v>
      </c>
      <c r="M68" s="16"/>
      <c r="N68" s="18"/>
      <c r="P68" s="260">
        <v>1.03</v>
      </c>
      <c r="Q68" s="259">
        <v>7.24</v>
      </c>
      <c r="R68" s="56"/>
      <c r="S68" s="18"/>
      <c r="U68" s="260">
        <v>0.32</v>
      </c>
      <c r="V68" s="259">
        <v>7.25</v>
      </c>
      <c r="W68" s="16"/>
      <c r="X68" s="246"/>
      <c r="Z68" s="260">
        <v>0.41</v>
      </c>
      <c r="AA68" s="259">
        <v>7.26</v>
      </c>
      <c r="AB68" s="19">
        <f>Z68</f>
        <v>0.41</v>
      </c>
      <c r="AC68" s="7" t="s">
        <v>75</v>
      </c>
      <c r="AE68" s="260">
        <v>0.22</v>
      </c>
      <c r="AF68" s="259">
        <v>7.47</v>
      </c>
      <c r="AG68" s="241">
        <f>AE68</f>
        <v>0.22</v>
      </c>
      <c r="AH68" s="7" t="s">
        <v>75</v>
      </c>
      <c r="AN68" s="53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</row>
    <row r="69" spans="1:53" outlineLevel="1" x14ac:dyDescent="0.25">
      <c r="A69" s="262"/>
      <c r="B69" s="270"/>
      <c r="C69" s="259"/>
      <c r="D69" s="246">
        <f>B68+B73</f>
        <v>0.77</v>
      </c>
      <c r="E69" s="58" t="s">
        <v>420</v>
      </c>
      <c r="G69" s="260"/>
      <c r="H69" s="259"/>
      <c r="I69" s="240"/>
      <c r="K69" s="260"/>
      <c r="L69" s="259"/>
      <c r="M69" s="16">
        <f>K68</f>
        <v>0.71</v>
      </c>
      <c r="N69" s="58" t="s">
        <v>420</v>
      </c>
      <c r="P69" s="260"/>
      <c r="Q69" s="259"/>
      <c r="R69" s="241">
        <v>2</v>
      </c>
      <c r="S69" s="58" t="s">
        <v>129</v>
      </c>
      <c r="U69" s="260"/>
      <c r="V69" s="259"/>
      <c r="W69" s="16">
        <v>2</v>
      </c>
      <c r="X69" s="58" t="s">
        <v>129</v>
      </c>
      <c r="Z69" s="260"/>
      <c r="AA69" s="259"/>
      <c r="AB69" s="56"/>
      <c r="AC69" s="8"/>
      <c r="AE69" s="260"/>
      <c r="AF69" s="259"/>
      <c r="AG69" s="241"/>
      <c r="AH69" s="240"/>
      <c r="AJ69" s="153" t="s">
        <v>278</v>
      </c>
      <c r="AK69" s="184" t="s">
        <v>1</v>
      </c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</row>
    <row r="70" spans="1:53" outlineLevel="1" x14ac:dyDescent="0.25">
      <c r="A70" s="262"/>
      <c r="B70" s="270"/>
      <c r="C70" s="259"/>
      <c r="D70" s="246"/>
      <c r="E70" s="240"/>
      <c r="G70" s="260"/>
      <c r="H70" s="259"/>
      <c r="I70" s="240"/>
      <c r="K70" s="260"/>
      <c r="L70" s="259"/>
      <c r="M70" s="16"/>
      <c r="N70" s="246"/>
      <c r="P70" s="260"/>
      <c r="Q70" s="259"/>
      <c r="R70" s="56"/>
      <c r="S70" s="246"/>
      <c r="U70" s="260"/>
      <c r="V70" s="259"/>
      <c r="W70" s="16"/>
      <c r="X70" s="18"/>
      <c r="Z70" s="260"/>
      <c r="AA70" s="259"/>
      <c r="AB70" s="56"/>
      <c r="AC70" s="18"/>
      <c r="AE70" s="260"/>
      <c r="AF70" s="259"/>
      <c r="AG70" s="241"/>
      <c r="AH70" s="240"/>
      <c r="AJ70" s="111" t="s">
        <v>279</v>
      </c>
      <c r="AK70" s="19">
        <f>D8+D24+D42+D45+D50+D59+D60+D61+D62+D69+D81+D84+D85+D94+D96+D99+D100+D103+D107+D108+D132+D136+D166+D171+D173+D176+D192+D193+D197+D208+D212+D213+D226+D246+D249+D253</f>
        <v>34.918333333333337</v>
      </c>
      <c r="AO70" s="21" t="s">
        <v>302</v>
      </c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</row>
    <row r="71" spans="1:53" outlineLevel="1" x14ac:dyDescent="0.25">
      <c r="A71" s="262"/>
      <c r="B71" s="270"/>
      <c r="C71" s="259"/>
      <c r="D71" s="246"/>
      <c r="E71" s="240"/>
      <c r="G71" s="260"/>
      <c r="H71" s="259"/>
      <c r="I71" s="240"/>
      <c r="K71" s="260"/>
      <c r="L71" s="259"/>
      <c r="M71" s="16"/>
      <c r="N71" s="18"/>
      <c r="P71" s="260"/>
      <c r="Q71" s="259"/>
      <c r="R71" s="56"/>
      <c r="S71" s="18"/>
      <c r="U71" s="260"/>
      <c r="V71" s="259"/>
      <c r="W71" s="16"/>
      <c r="X71" s="18"/>
      <c r="Z71" s="260"/>
      <c r="AA71" s="259"/>
      <c r="AB71" s="56"/>
      <c r="AC71" s="18"/>
      <c r="AE71" s="260"/>
      <c r="AF71" s="259"/>
      <c r="AG71" s="241"/>
      <c r="AH71" s="240"/>
      <c r="AJ71" s="111" t="s">
        <v>280</v>
      </c>
      <c r="AK71" s="19">
        <f>D82+D104+D106+D120+D130+D139+D146+D149+D170+D172+D186+D187+D190+D191+D199+D200+D203+D211+D216+D218+D219+D221+D223+D225+D229+D230+D248</f>
        <v>7.6241666666666656</v>
      </c>
      <c r="AO71" s="21" t="s">
        <v>303</v>
      </c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</row>
    <row r="72" spans="1:53" outlineLevel="1" x14ac:dyDescent="0.25">
      <c r="A72" s="262"/>
      <c r="B72" s="270"/>
      <c r="C72" s="259"/>
      <c r="D72" s="246"/>
      <c r="E72" s="240"/>
      <c r="G72" s="260"/>
      <c r="H72" s="259"/>
      <c r="I72" s="240"/>
      <c r="K72" s="260"/>
      <c r="L72" s="259"/>
      <c r="M72" s="245"/>
      <c r="N72" s="18"/>
      <c r="P72" s="260"/>
      <c r="Q72" s="259"/>
      <c r="R72" s="56"/>
      <c r="S72" s="18"/>
      <c r="U72" s="260"/>
      <c r="V72" s="259"/>
      <c r="W72" s="245"/>
      <c r="X72" s="246"/>
      <c r="Z72" s="260"/>
      <c r="AA72" s="259"/>
      <c r="AB72" s="56"/>
      <c r="AC72" s="246"/>
      <c r="AE72" s="260"/>
      <c r="AF72" s="259"/>
      <c r="AG72" s="241"/>
      <c r="AH72" s="240"/>
      <c r="AJ72" s="111" t="s">
        <v>281</v>
      </c>
      <c r="AK72" s="19">
        <f>D145+D148+D155+D168+D169+D178+D182+D184+D185+D202+D210+D215+D240+D247+D252+D254+D260+D261</f>
        <v>6.192499999999999</v>
      </c>
      <c r="AO72" s="21" t="s">
        <v>304</v>
      </c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</row>
    <row r="73" spans="1:53" outlineLevel="1" x14ac:dyDescent="0.25">
      <c r="A73" s="262">
        <v>16</v>
      </c>
      <c r="B73" s="270">
        <v>0.16</v>
      </c>
      <c r="C73" s="259">
        <v>7.41</v>
      </c>
      <c r="D73" s="246"/>
      <c r="E73" s="8"/>
      <c r="G73" s="260">
        <v>1.03</v>
      </c>
      <c r="H73" s="259">
        <v>7.52</v>
      </c>
      <c r="I73" s="240"/>
      <c r="K73" s="260">
        <v>0.22</v>
      </c>
      <c r="L73" s="259">
        <v>7.5</v>
      </c>
      <c r="M73" s="16"/>
      <c r="N73" s="49"/>
      <c r="P73" s="260">
        <v>0.28000000000000003</v>
      </c>
      <c r="Q73" s="259">
        <v>7.32</v>
      </c>
      <c r="R73" s="56"/>
      <c r="S73" s="49"/>
      <c r="U73" s="260">
        <v>1.1399999999999999</v>
      </c>
      <c r="V73" s="259">
        <v>7.36</v>
      </c>
      <c r="W73" s="16"/>
      <c r="X73" s="19"/>
      <c r="Z73" s="260">
        <v>0.34</v>
      </c>
      <c r="AA73" s="259">
        <v>7.37</v>
      </c>
      <c r="AB73" s="19"/>
      <c r="AC73" s="19"/>
      <c r="AE73" s="260">
        <v>0.05</v>
      </c>
      <c r="AF73" s="259">
        <v>7.5</v>
      </c>
      <c r="AG73" s="241"/>
      <c r="AH73" s="240"/>
      <c r="AJ73" s="111" t="s">
        <v>282</v>
      </c>
      <c r="AK73" s="19">
        <f>D222+D236+D237+D238+D243+D245+D251</f>
        <v>7.2499999999999991</v>
      </c>
      <c r="AO73" s="21" t="s">
        <v>305</v>
      </c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</row>
    <row r="74" spans="1:53" outlineLevel="1" x14ac:dyDescent="0.25">
      <c r="A74" s="262"/>
      <c r="B74" s="270"/>
      <c r="C74" s="259"/>
      <c r="D74" s="246"/>
      <c r="E74" s="8"/>
      <c r="G74" s="260"/>
      <c r="H74" s="259"/>
      <c r="I74" s="240"/>
      <c r="K74" s="260"/>
      <c r="L74" s="259"/>
      <c r="M74" s="16"/>
      <c r="N74" s="49"/>
      <c r="P74" s="260"/>
      <c r="Q74" s="259"/>
      <c r="R74" s="56"/>
      <c r="S74" s="49"/>
      <c r="U74" s="260"/>
      <c r="V74" s="259"/>
      <c r="W74" s="16"/>
      <c r="X74" s="19"/>
      <c r="Z74" s="260"/>
      <c r="AA74" s="259"/>
      <c r="AB74" s="19"/>
      <c r="AC74" s="19"/>
      <c r="AE74" s="260"/>
      <c r="AF74" s="259"/>
      <c r="AG74" s="241"/>
      <c r="AH74" s="240"/>
      <c r="AJ74" s="111" t="s">
        <v>283</v>
      </c>
      <c r="AK74" s="19">
        <f>D259+D241</f>
        <v>4.8500000000000005</v>
      </c>
      <c r="AO74" s="21" t="s">
        <v>306</v>
      </c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</row>
    <row r="75" spans="1:53" outlineLevel="1" x14ac:dyDescent="0.25">
      <c r="A75" s="262"/>
      <c r="B75" s="270"/>
      <c r="C75" s="259"/>
      <c r="D75" s="246"/>
      <c r="E75" s="8"/>
      <c r="G75" s="260"/>
      <c r="H75" s="259"/>
      <c r="I75" s="240"/>
      <c r="K75" s="260"/>
      <c r="L75" s="259"/>
      <c r="M75" s="16"/>
      <c r="N75" s="49"/>
      <c r="P75" s="260"/>
      <c r="Q75" s="259"/>
      <c r="R75" s="56"/>
      <c r="S75" s="49"/>
      <c r="U75" s="260"/>
      <c r="V75" s="259"/>
      <c r="W75" s="16"/>
      <c r="X75" s="19"/>
      <c r="Z75" s="260"/>
      <c r="AA75" s="259"/>
      <c r="AB75" s="19"/>
      <c r="AC75" s="19"/>
      <c r="AE75" s="260"/>
      <c r="AF75" s="259"/>
      <c r="AG75" s="241"/>
      <c r="AH75" s="240"/>
      <c r="AJ75" s="111" t="s">
        <v>285</v>
      </c>
      <c r="AK75" s="19">
        <f>D104+D106+D236+D237+D238+D240+D242</f>
        <v>4.0266666666666664</v>
      </c>
      <c r="AO75" s="21" t="s">
        <v>307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</row>
    <row r="76" spans="1:53" outlineLevel="1" x14ac:dyDescent="0.25">
      <c r="A76" s="262"/>
      <c r="B76" s="270"/>
      <c r="C76" s="259"/>
      <c r="D76" s="18"/>
      <c r="E76" s="240"/>
      <c r="G76" s="260"/>
      <c r="H76" s="259"/>
      <c r="I76" s="240"/>
      <c r="K76" s="260"/>
      <c r="L76" s="259"/>
      <c r="M76" s="245"/>
      <c r="N76" s="49"/>
      <c r="P76" s="260"/>
      <c r="Q76" s="259"/>
      <c r="R76" s="241"/>
      <c r="S76" s="240"/>
      <c r="U76" s="260"/>
      <c r="V76" s="259"/>
      <c r="W76" s="19"/>
      <c r="X76" s="49"/>
      <c r="Z76" s="260"/>
      <c r="AA76" s="259"/>
      <c r="AB76" s="241"/>
      <c r="AC76" s="8"/>
      <c r="AE76" s="260"/>
      <c r="AF76" s="259"/>
      <c r="AG76" s="241"/>
      <c r="AH76" s="240"/>
      <c r="AJ76" s="111" t="s">
        <v>284</v>
      </c>
      <c r="AK76" s="19">
        <f>D82+D120+D130+D139+D145+D146+D148+D149+D168+D169+D170+D172+D178+D182+D184+D185+D186+D187+D190+D191+D199+D200+D202+D203+D210+D211+D215+D216+D218+D219+D221+D222+D223+D225+D229+D230+D241+D243+D245+D247+D248+D252+D254+D260+D261+D155</f>
        <v>13.549999999999997</v>
      </c>
      <c r="AO76" s="21" t="s">
        <v>308</v>
      </c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</row>
    <row r="77" spans="1:53" outlineLevel="1" x14ac:dyDescent="0.25">
      <c r="A77" s="262">
        <v>17</v>
      </c>
      <c r="B77" s="270">
        <v>0.61</v>
      </c>
      <c r="C77" s="259">
        <v>7.46</v>
      </c>
      <c r="D77" s="246"/>
      <c r="E77" s="246"/>
      <c r="G77" s="260"/>
      <c r="H77" s="259"/>
      <c r="I77" s="240"/>
      <c r="K77" s="260">
        <v>1.1599999999999999</v>
      </c>
      <c r="L77" s="259">
        <v>7.63</v>
      </c>
      <c r="M77" s="245">
        <f>K77+K73+K80-M81-M82-M84-M85</f>
        <v>2.089999999999999</v>
      </c>
      <c r="N77" s="249" t="s">
        <v>209</v>
      </c>
      <c r="P77" s="260">
        <v>2.11</v>
      </c>
      <c r="Q77" s="259">
        <v>7.45</v>
      </c>
      <c r="R77" s="245">
        <f>P77+P73-R79</f>
        <v>1.2499999999999998</v>
      </c>
      <c r="S77" s="249" t="s">
        <v>425</v>
      </c>
      <c r="U77" s="260"/>
      <c r="V77" s="259"/>
      <c r="W77" s="16">
        <f>U78</f>
        <v>3.97</v>
      </c>
      <c r="X77" s="249" t="s">
        <v>209</v>
      </c>
      <c r="Z77" s="241">
        <v>0.55000000000000004</v>
      </c>
      <c r="AA77" s="240">
        <v>7.39</v>
      </c>
      <c r="AB77" s="241">
        <f>Z77</f>
        <v>0.55000000000000004</v>
      </c>
      <c r="AC77" s="81" t="s">
        <v>268</v>
      </c>
      <c r="AE77" s="260">
        <v>0.28999999999999998</v>
      </c>
      <c r="AF77" s="259">
        <v>7.55</v>
      </c>
      <c r="AG77" s="241">
        <f>AE77</f>
        <v>0.28999999999999998</v>
      </c>
      <c r="AH77" s="81" t="s">
        <v>268</v>
      </c>
      <c r="AJ77" s="111" t="s">
        <v>286</v>
      </c>
      <c r="AK77" s="19">
        <f>D259+D251</f>
        <v>8.34</v>
      </c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</row>
    <row r="78" spans="1:53" outlineLevel="1" x14ac:dyDescent="0.25">
      <c r="A78" s="262"/>
      <c r="B78" s="270"/>
      <c r="C78" s="259"/>
      <c r="D78" s="18"/>
      <c r="E78" s="8"/>
      <c r="G78" s="260"/>
      <c r="H78" s="259"/>
      <c r="I78" s="56"/>
      <c r="K78" s="260"/>
      <c r="L78" s="259"/>
      <c r="M78" s="16"/>
      <c r="N78" s="240"/>
      <c r="P78" s="260"/>
      <c r="Q78" s="259"/>
      <c r="R78" s="56"/>
      <c r="S78" s="240"/>
      <c r="U78" s="260">
        <v>3.97</v>
      </c>
      <c r="V78" s="259">
        <v>7.48</v>
      </c>
      <c r="W78" s="245"/>
      <c r="X78" s="240"/>
      <c r="Z78" s="260">
        <v>0.18</v>
      </c>
      <c r="AA78" s="259">
        <v>7.48</v>
      </c>
      <c r="AB78" s="241"/>
      <c r="AC78" s="8"/>
      <c r="AE78" s="260"/>
      <c r="AF78" s="259"/>
      <c r="AG78" s="241"/>
      <c r="AH78" s="55"/>
      <c r="AJ78" s="111" t="s">
        <v>309</v>
      </c>
      <c r="AK78" s="19">
        <f>D82+D104+D106+D120+D130+D139+D145+D146+D148+D149+D155+D168+D169+D170+D172+D178+D182+D184+D185+D186+D187+D190+D191+D199+D200+D202+D203+D210+D211+D215+D216+D218+D219+D221+D222+D223+D225+D229+D230+D236+D237+D238+D240+D241+D243+D245+D247+D248+D251+D252+D254+D259+D260+D261</f>
        <v>25.916666666666671</v>
      </c>
      <c r="AO78" s="21" t="s">
        <v>310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</row>
    <row r="79" spans="1:53" outlineLevel="1" x14ac:dyDescent="0.25">
      <c r="A79" s="262"/>
      <c r="B79" s="270"/>
      <c r="C79" s="259"/>
      <c r="D79" s="18"/>
      <c r="E79" s="8"/>
      <c r="G79" s="260"/>
      <c r="H79" s="259"/>
      <c r="I79" s="56"/>
      <c r="K79" s="260"/>
      <c r="L79" s="259"/>
      <c r="M79" s="16">
        <f>D155-M155</f>
        <v>0.38999999999999996</v>
      </c>
      <c r="N79" s="7" t="s">
        <v>422</v>
      </c>
      <c r="P79" s="260"/>
      <c r="Q79" s="259"/>
      <c r="R79" s="241">
        <f>W79</f>
        <v>1.1399999999999999</v>
      </c>
      <c r="S79" s="58" t="s">
        <v>266</v>
      </c>
      <c r="U79" s="260"/>
      <c r="V79" s="259"/>
      <c r="W79" s="245">
        <f>U73</f>
        <v>1.1399999999999999</v>
      </c>
      <c r="X79" s="58" t="s">
        <v>266</v>
      </c>
      <c r="Z79" s="260"/>
      <c r="AA79" s="259"/>
      <c r="AB79" s="56"/>
      <c r="AC79" s="8"/>
      <c r="AE79" s="260"/>
      <c r="AF79" s="259"/>
      <c r="AG79" s="241"/>
      <c r="AH79" s="55"/>
      <c r="AJ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</row>
    <row r="80" spans="1:53" outlineLevel="1" x14ac:dyDescent="0.25">
      <c r="A80" s="261">
        <v>18</v>
      </c>
      <c r="B80" s="260">
        <v>2.69</v>
      </c>
      <c r="C80" s="259">
        <v>7.63</v>
      </c>
      <c r="D80" s="18"/>
      <c r="E80" s="8"/>
      <c r="G80" s="260">
        <v>3.58</v>
      </c>
      <c r="H80" s="259">
        <v>7.68</v>
      </c>
      <c r="I80" s="8"/>
      <c r="K80" s="260">
        <v>3.4</v>
      </c>
      <c r="L80" s="259">
        <v>7.8</v>
      </c>
      <c r="M80" s="16"/>
      <c r="N80" s="8"/>
      <c r="P80" s="260">
        <v>4.6100000000000003</v>
      </c>
      <c r="Q80" s="259">
        <v>7.61</v>
      </c>
      <c r="R80" s="241"/>
      <c r="S80" s="8"/>
      <c r="U80" s="260">
        <v>3.21</v>
      </c>
      <c r="V80" s="259">
        <v>7.58</v>
      </c>
      <c r="W80" s="245"/>
      <c r="X80" s="8"/>
      <c r="Z80" s="260">
        <v>0.32</v>
      </c>
      <c r="AA80" s="259">
        <v>7.55</v>
      </c>
      <c r="AB80" s="56"/>
      <c r="AC80" s="8"/>
      <c r="AE80" s="260">
        <v>7.0000000000000007E-2</v>
      </c>
      <c r="AF80" s="259">
        <v>7.71</v>
      </c>
      <c r="AG80" s="241"/>
      <c r="AH80" s="240"/>
      <c r="AJ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</row>
    <row r="81" spans="1:53" outlineLevel="1" x14ac:dyDescent="0.25">
      <c r="A81" s="261"/>
      <c r="B81" s="260"/>
      <c r="C81" s="259"/>
      <c r="D81" s="246">
        <f>M81</f>
        <v>1.5366666666666668</v>
      </c>
      <c r="E81" s="6" t="s">
        <v>418</v>
      </c>
      <c r="G81" s="260"/>
      <c r="H81" s="259"/>
      <c r="I81" s="116"/>
      <c r="K81" s="260"/>
      <c r="L81" s="259"/>
      <c r="M81" s="245">
        <f>R81</f>
        <v>1.5366666666666668</v>
      </c>
      <c r="N81" s="6" t="s">
        <v>418</v>
      </c>
      <c r="P81" s="260"/>
      <c r="Q81" s="259"/>
      <c r="R81" s="241">
        <f>P80/3</f>
        <v>1.5366666666666668</v>
      </c>
      <c r="S81" s="6" t="s">
        <v>223</v>
      </c>
      <c r="U81" s="260"/>
      <c r="V81" s="259"/>
      <c r="W81" s="245">
        <f>(U80+U84)/3</f>
        <v>1.7166666666666668</v>
      </c>
      <c r="X81" s="6" t="s">
        <v>223</v>
      </c>
      <c r="Z81" s="260"/>
      <c r="AA81" s="259"/>
      <c r="AB81" s="241"/>
      <c r="AC81" s="55"/>
      <c r="AE81" s="260"/>
      <c r="AF81" s="259"/>
      <c r="AG81" s="241"/>
      <c r="AH81" s="240"/>
      <c r="AJ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</row>
    <row r="82" spans="1:53" s="97" customFormat="1" outlineLevel="1" x14ac:dyDescent="0.25">
      <c r="A82" s="261"/>
      <c r="B82" s="260"/>
      <c r="C82" s="259"/>
      <c r="D82" s="16">
        <f>R42-D42</f>
        <v>2.0000000000000018E-2</v>
      </c>
      <c r="E82" s="249" t="s">
        <v>264</v>
      </c>
      <c r="F82" s="113"/>
      <c r="G82" s="260"/>
      <c r="H82" s="259"/>
      <c r="I82" s="240"/>
      <c r="J82" s="113"/>
      <c r="K82" s="260"/>
      <c r="L82" s="259"/>
      <c r="M82" s="245">
        <f>D82</f>
        <v>2.0000000000000018E-2</v>
      </c>
      <c r="N82" s="249" t="s">
        <v>264</v>
      </c>
      <c r="O82" s="113"/>
      <c r="P82" s="260"/>
      <c r="Q82" s="259"/>
      <c r="R82" s="245"/>
      <c r="S82" s="246"/>
      <c r="T82" s="113"/>
      <c r="U82" s="260"/>
      <c r="V82" s="259"/>
      <c r="W82" s="245"/>
      <c r="X82" s="246"/>
      <c r="Y82" s="113"/>
      <c r="Z82" s="260"/>
      <c r="AA82" s="259"/>
      <c r="AB82" s="245">
        <f>Z80</f>
        <v>0.32</v>
      </c>
      <c r="AC82" s="70" t="s">
        <v>114</v>
      </c>
      <c r="AD82" s="113"/>
      <c r="AE82" s="260"/>
      <c r="AF82" s="259"/>
      <c r="AG82" s="245">
        <f>AE80</f>
        <v>7.0000000000000007E-2</v>
      </c>
      <c r="AH82" s="70" t="s">
        <v>114</v>
      </c>
      <c r="AI82" s="32"/>
      <c r="AJ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</row>
    <row r="83" spans="1:53" outlineLevel="1" x14ac:dyDescent="0.25">
      <c r="A83" s="261"/>
      <c r="B83" s="260"/>
      <c r="C83" s="259"/>
      <c r="D83" s="56"/>
      <c r="E83" s="56"/>
      <c r="G83" s="260"/>
      <c r="H83" s="259"/>
      <c r="I83" s="8"/>
      <c r="K83" s="260"/>
      <c r="L83" s="259"/>
      <c r="M83" s="245"/>
      <c r="N83" s="18"/>
      <c r="P83" s="260"/>
      <c r="Q83" s="259"/>
      <c r="R83" s="241"/>
      <c r="S83" s="18"/>
      <c r="U83" s="260"/>
      <c r="V83" s="259"/>
      <c r="W83" s="16"/>
      <c r="X83" s="55"/>
      <c r="Z83" s="260"/>
      <c r="AA83" s="259"/>
      <c r="AB83" s="241"/>
      <c r="AC83" s="55"/>
      <c r="AE83" s="260"/>
      <c r="AF83" s="259"/>
      <c r="AG83" s="241"/>
      <c r="AH83" s="240"/>
      <c r="AJ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</row>
    <row r="84" spans="1:53" outlineLevel="1" x14ac:dyDescent="0.25">
      <c r="A84" s="261"/>
      <c r="B84" s="260"/>
      <c r="C84" s="259"/>
      <c r="D84" s="16">
        <f>B80-D82-D81-D85</f>
        <v>0.97333333333333305</v>
      </c>
      <c r="E84" s="116" t="s">
        <v>419</v>
      </c>
      <c r="G84" s="260"/>
      <c r="H84" s="259"/>
      <c r="I84" s="116"/>
      <c r="K84" s="260"/>
      <c r="L84" s="259"/>
      <c r="M84" s="245">
        <f>D84</f>
        <v>0.97333333333333305</v>
      </c>
      <c r="N84" s="116" t="s">
        <v>419</v>
      </c>
      <c r="P84" s="260"/>
      <c r="Q84" s="259"/>
      <c r="R84" s="241">
        <f>R81</f>
        <v>1.5366666666666668</v>
      </c>
      <c r="S84" s="116" t="s">
        <v>316</v>
      </c>
      <c r="U84" s="260">
        <v>1.94</v>
      </c>
      <c r="V84" s="259">
        <v>7.68</v>
      </c>
      <c r="W84" s="16">
        <f>W81</f>
        <v>1.7166666666666668</v>
      </c>
      <c r="X84" s="116" t="s">
        <v>316</v>
      </c>
      <c r="Z84" s="260">
        <v>0.27</v>
      </c>
      <c r="AA84" s="259">
        <v>7.61</v>
      </c>
      <c r="AB84" s="241"/>
      <c r="AC84" s="8"/>
      <c r="AE84" s="260">
        <v>0.3</v>
      </c>
      <c r="AF84" s="259">
        <v>7.8</v>
      </c>
      <c r="AG84" s="241"/>
      <c r="AH84" s="240"/>
      <c r="AJ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</row>
    <row r="85" spans="1:53" outlineLevel="1" x14ac:dyDescent="0.25">
      <c r="A85" s="261"/>
      <c r="B85" s="260"/>
      <c r="C85" s="259"/>
      <c r="D85" s="16">
        <v>0.16</v>
      </c>
      <c r="E85" s="58" t="s">
        <v>417</v>
      </c>
      <c r="G85" s="260"/>
      <c r="H85" s="259"/>
      <c r="I85" s="8"/>
      <c r="K85" s="260"/>
      <c r="L85" s="259"/>
      <c r="M85" s="245">
        <v>0.16</v>
      </c>
      <c r="N85" s="58" t="s">
        <v>417</v>
      </c>
      <c r="P85" s="260"/>
      <c r="Q85" s="259"/>
      <c r="R85" s="241">
        <f>R81</f>
        <v>1.5366666666666668</v>
      </c>
      <c r="S85" s="58" t="s">
        <v>130</v>
      </c>
      <c r="U85" s="260"/>
      <c r="V85" s="259"/>
      <c r="W85" s="16">
        <f>W81</f>
        <v>1.7166666666666668</v>
      </c>
      <c r="X85" s="58" t="s">
        <v>130</v>
      </c>
      <c r="Z85" s="260"/>
      <c r="AA85" s="259"/>
      <c r="AB85" s="56"/>
      <c r="AC85" s="8"/>
      <c r="AE85" s="260"/>
      <c r="AF85" s="259"/>
      <c r="AG85" s="241"/>
      <c r="AH85" s="240"/>
      <c r="AJ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</row>
    <row r="86" spans="1:53" outlineLevel="1" x14ac:dyDescent="0.25">
      <c r="A86" s="261"/>
      <c r="B86" s="260"/>
      <c r="C86" s="259"/>
      <c r="D86" s="18"/>
      <c r="E86" s="240"/>
      <c r="G86" s="260"/>
      <c r="H86" s="259"/>
      <c r="I86" s="8"/>
      <c r="K86" s="260"/>
      <c r="L86" s="259"/>
      <c r="M86" s="245"/>
      <c r="N86" s="246"/>
      <c r="P86" s="260"/>
      <c r="Q86" s="259"/>
      <c r="R86" s="245"/>
      <c r="S86" s="246"/>
      <c r="U86" s="260"/>
      <c r="V86" s="259"/>
      <c r="W86" s="16"/>
      <c r="X86" s="246"/>
      <c r="Z86" s="260"/>
      <c r="AA86" s="259"/>
      <c r="AB86" s="241"/>
      <c r="AC86" s="118"/>
      <c r="AE86" s="260"/>
      <c r="AF86" s="259"/>
      <c r="AG86" s="241"/>
      <c r="AH86" s="240"/>
      <c r="AJ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</row>
    <row r="87" spans="1:53" outlineLevel="1" x14ac:dyDescent="0.25">
      <c r="A87" s="261"/>
      <c r="B87" s="260"/>
      <c r="C87" s="259"/>
      <c r="D87" s="18"/>
      <c r="E87" s="240"/>
      <c r="G87" s="260"/>
      <c r="H87" s="259"/>
      <c r="I87" s="8"/>
      <c r="K87" s="260"/>
      <c r="L87" s="259"/>
      <c r="M87" s="245"/>
      <c r="N87" s="240"/>
      <c r="P87" s="260"/>
      <c r="Q87" s="259"/>
      <c r="R87" s="241"/>
      <c r="S87" s="240"/>
      <c r="U87" s="260"/>
      <c r="V87" s="259"/>
      <c r="W87" s="16"/>
      <c r="X87" s="240"/>
      <c r="Z87" s="260"/>
      <c r="AA87" s="259"/>
      <c r="AB87" s="241"/>
      <c r="AC87" s="240"/>
      <c r="AE87" s="260"/>
      <c r="AF87" s="259"/>
      <c r="AG87" s="241"/>
      <c r="AH87" s="240"/>
      <c r="AJ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</row>
    <row r="88" spans="1:53" outlineLevel="1" x14ac:dyDescent="0.25">
      <c r="A88" s="261"/>
      <c r="B88" s="260"/>
      <c r="C88" s="259"/>
      <c r="D88" s="18"/>
      <c r="E88" s="240"/>
      <c r="G88" s="260"/>
      <c r="H88" s="259"/>
      <c r="I88" s="8"/>
      <c r="K88" s="260"/>
      <c r="L88" s="259"/>
      <c r="M88" s="245"/>
      <c r="N88" s="118"/>
      <c r="P88" s="260"/>
      <c r="Q88" s="259"/>
      <c r="R88" s="241"/>
      <c r="S88" s="118"/>
      <c r="U88" s="260"/>
      <c r="V88" s="259"/>
      <c r="W88" s="16"/>
      <c r="X88" s="118"/>
      <c r="Z88" s="260"/>
      <c r="AA88" s="259"/>
      <c r="AB88" s="241"/>
      <c r="AC88" s="118"/>
      <c r="AE88" s="260"/>
      <c r="AF88" s="259"/>
      <c r="AG88" s="241"/>
      <c r="AH88" s="240"/>
      <c r="AJ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</row>
    <row r="89" spans="1:53" outlineLevel="1" x14ac:dyDescent="0.25">
      <c r="A89" s="261"/>
      <c r="B89" s="260"/>
      <c r="C89" s="259"/>
      <c r="D89" s="18"/>
      <c r="E89" s="240"/>
      <c r="G89" s="260"/>
      <c r="H89" s="259"/>
      <c r="I89" s="8"/>
      <c r="K89" s="260"/>
      <c r="L89" s="259"/>
      <c r="M89" s="16"/>
      <c r="N89" s="49"/>
      <c r="P89" s="260"/>
      <c r="Q89" s="259"/>
      <c r="R89" s="56"/>
      <c r="S89" s="49"/>
      <c r="U89" s="260"/>
      <c r="V89" s="259"/>
      <c r="W89" s="19"/>
      <c r="X89" s="49"/>
      <c r="Z89" s="260"/>
      <c r="AA89" s="259"/>
      <c r="AB89" s="56"/>
      <c r="AC89" s="8"/>
      <c r="AE89" s="260"/>
      <c r="AF89" s="259"/>
      <c r="AG89" s="241"/>
      <c r="AH89" s="240"/>
      <c r="AJ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</row>
    <row r="90" spans="1:53" outlineLevel="1" x14ac:dyDescent="0.25">
      <c r="A90" s="261"/>
      <c r="B90" s="260"/>
      <c r="C90" s="259"/>
      <c r="D90" s="246"/>
      <c r="E90" s="241"/>
      <c r="G90" s="260"/>
      <c r="H90" s="259"/>
      <c r="I90" s="241"/>
      <c r="K90" s="260"/>
      <c r="L90" s="259"/>
      <c r="M90" s="245"/>
      <c r="N90" s="240"/>
      <c r="P90" s="260"/>
      <c r="Q90" s="259"/>
      <c r="R90" s="56"/>
      <c r="S90" s="240"/>
      <c r="U90" s="260"/>
      <c r="V90" s="259"/>
      <c r="W90" s="19"/>
      <c r="X90" s="49"/>
      <c r="Z90" s="260"/>
      <c r="AA90" s="259"/>
      <c r="AB90" s="19"/>
      <c r="AC90" s="19"/>
      <c r="AE90" s="260"/>
      <c r="AF90" s="259"/>
      <c r="AG90" s="241"/>
      <c r="AH90" s="240"/>
      <c r="AJ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</row>
    <row r="91" spans="1:53" outlineLevel="1" x14ac:dyDescent="0.25">
      <c r="A91" s="261">
        <v>19</v>
      </c>
      <c r="B91" s="260">
        <v>0.99</v>
      </c>
      <c r="C91" s="259">
        <v>7.75</v>
      </c>
      <c r="D91" s="246"/>
      <c r="E91" s="240"/>
      <c r="G91" s="269">
        <v>1.39</v>
      </c>
      <c r="H91" s="259">
        <v>7.8</v>
      </c>
      <c r="I91" s="240"/>
      <c r="K91" s="260">
        <v>1.05</v>
      </c>
      <c r="L91" s="259">
        <v>7.91</v>
      </c>
      <c r="M91" s="245"/>
      <c r="N91" s="240"/>
      <c r="P91" s="260">
        <v>1.03</v>
      </c>
      <c r="Q91" s="259">
        <v>7.74</v>
      </c>
      <c r="R91" s="241"/>
      <c r="S91" s="240"/>
      <c r="U91" s="260">
        <v>1.07</v>
      </c>
      <c r="V91" s="259">
        <v>7.81</v>
      </c>
      <c r="W91" s="245"/>
      <c r="X91" s="56"/>
      <c r="Z91" s="260">
        <v>1.0900000000000001</v>
      </c>
      <c r="AA91" s="259">
        <v>7.74</v>
      </c>
      <c r="AB91" s="241">
        <v>0.69</v>
      </c>
      <c r="AC91" s="75" t="s">
        <v>196</v>
      </c>
      <c r="AE91" s="260">
        <v>0.94</v>
      </c>
      <c r="AF91" s="259">
        <v>7.93</v>
      </c>
      <c r="AG91" s="56"/>
      <c r="AH91" s="56"/>
      <c r="AJ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</row>
    <row r="92" spans="1:53" outlineLevel="1" x14ac:dyDescent="0.25">
      <c r="A92" s="261"/>
      <c r="B92" s="260"/>
      <c r="C92" s="259"/>
      <c r="D92" s="246"/>
      <c r="E92" s="240"/>
      <c r="G92" s="269"/>
      <c r="H92" s="259"/>
      <c r="I92" s="240"/>
      <c r="K92" s="260"/>
      <c r="L92" s="259"/>
      <c r="M92" s="245"/>
      <c r="N92" s="96"/>
      <c r="P92" s="260"/>
      <c r="Q92" s="259"/>
      <c r="R92" s="241"/>
      <c r="S92" s="96"/>
      <c r="U92" s="260"/>
      <c r="V92" s="259"/>
      <c r="W92" s="16"/>
      <c r="X92" s="19"/>
      <c r="Z92" s="260"/>
      <c r="AA92" s="259"/>
      <c r="AB92" s="56"/>
      <c r="AC92" s="19"/>
      <c r="AE92" s="260"/>
      <c r="AF92" s="259"/>
      <c r="AG92" s="241">
        <v>0.2</v>
      </c>
      <c r="AH92" s="128" t="s">
        <v>107</v>
      </c>
      <c r="AJ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</row>
    <row r="93" spans="1:53" outlineLevel="1" x14ac:dyDescent="0.25">
      <c r="A93" s="261"/>
      <c r="B93" s="260"/>
      <c r="C93" s="259"/>
      <c r="D93" s="246">
        <f>B91</f>
        <v>0.99</v>
      </c>
      <c r="E93" s="54" t="s">
        <v>34</v>
      </c>
      <c r="G93" s="269"/>
      <c r="H93" s="259"/>
      <c r="I93" s="241"/>
      <c r="K93" s="260"/>
      <c r="L93" s="259"/>
      <c r="M93" s="245">
        <f>K91</f>
        <v>1.05</v>
      </c>
      <c r="N93" s="54" t="s">
        <v>34</v>
      </c>
      <c r="P93" s="260"/>
      <c r="Q93" s="259"/>
      <c r="R93" s="241">
        <f>P91+P94-R94-R96</f>
        <v>4.9999999999999822E-2</v>
      </c>
      <c r="S93" s="54" t="s">
        <v>34</v>
      </c>
      <c r="U93" s="260"/>
      <c r="V93" s="259"/>
      <c r="W93" s="245">
        <f>U91-W92+U94-W94-W96-W99-W100-W101</f>
        <v>0.58000000000000074</v>
      </c>
      <c r="X93" s="54" t="s">
        <v>34</v>
      </c>
      <c r="Z93" s="260"/>
      <c r="AA93" s="259"/>
      <c r="AB93" s="241">
        <f>Z91-AB91</f>
        <v>0.40000000000000013</v>
      </c>
      <c r="AC93" s="54" t="s">
        <v>34</v>
      </c>
      <c r="AE93" s="260"/>
      <c r="AF93" s="259"/>
      <c r="AG93" s="241">
        <f>AE91</f>
        <v>0.94</v>
      </c>
      <c r="AH93" s="54" t="s">
        <v>34</v>
      </c>
      <c r="AJ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</row>
    <row r="94" spans="1:53" outlineLevel="1" x14ac:dyDescent="0.25">
      <c r="A94" s="261">
        <v>20</v>
      </c>
      <c r="B94" s="260">
        <v>4.0599999999999996</v>
      </c>
      <c r="C94" s="259">
        <v>7.86</v>
      </c>
      <c r="D94" s="16">
        <f>M94</f>
        <v>0.48</v>
      </c>
      <c r="E94" s="249" t="s">
        <v>403</v>
      </c>
      <c r="G94" s="260">
        <v>0.36</v>
      </c>
      <c r="H94" s="259">
        <v>7.87</v>
      </c>
      <c r="I94" s="56"/>
      <c r="K94" s="260">
        <v>3.98</v>
      </c>
      <c r="L94" s="259">
        <v>8.0299999999999994</v>
      </c>
      <c r="M94" s="16">
        <f>K94-M96</f>
        <v>0.48</v>
      </c>
      <c r="N94" s="249" t="s">
        <v>403</v>
      </c>
      <c r="P94" s="260">
        <v>3.9</v>
      </c>
      <c r="Q94" s="259">
        <v>7.85</v>
      </c>
      <c r="R94" s="19">
        <v>1.1000000000000001</v>
      </c>
      <c r="S94" s="249" t="s">
        <v>426</v>
      </c>
      <c r="U94" s="260">
        <v>5.28</v>
      </c>
      <c r="V94" s="259">
        <v>7.92</v>
      </c>
      <c r="W94" s="16">
        <f>(U94-W96-W99)/2</f>
        <v>0.80000000000000016</v>
      </c>
      <c r="X94" s="249" t="s">
        <v>131</v>
      </c>
      <c r="Z94" s="260">
        <v>3.78</v>
      </c>
      <c r="AA94" s="259">
        <v>7.85</v>
      </c>
      <c r="AB94" s="56"/>
      <c r="AC94" s="56"/>
      <c r="AE94" s="260">
        <v>3.53</v>
      </c>
      <c r="AF94" s="259">
        <v>8.0399999999999991</v>
      </c>
      <c r="AG94" s="241"/>
      <c r="AH94" s="240"/>
      <c r="AJ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</row>
    <row r="95" spans="1:53" outlineLevel="1" x14ac:dyDescent="0.25">
      <c r="A95" s="261"/>
      <c r="B95" s="260"/>
      <c r="C95" s="259"/>
      <c r="D95" s="246"/>
      <c r="E95" s="240"/>
      <c r="G95" s="260"/>
      <c r="H95" s="259"/>
      <c r="I95" s="240"/>
      <c r="K95" s="260"/>
      <c r="L95" s="259"/>
      <c r="M95" s="245"/>
      <c r="N95" s="240"/>
      <c r="P95" s="260"/>
      <c r="Q95" s="259"/>
      <c r="R95" s="241"/>
      <c r="S95" s="240"/>
      <c r="U95" s="260"/>
      <c r="V95" s="259"/>
      <c r="W95" s="245"/>
      <c r="X95" s="8"/>
      <c r="Z95" s="260"/>
      <c r="AA95" s="259"/>
      <c r="AB95" s="241"/>
      <c r="AC95" s="8"/>
      <c r="AE95" s="260"/>
      <c r="AF95" s="259"/>
      <c r="AG95" s="241"/>
      <c r="AH95" s="240"/>
      <c r="AJ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</row>
    <row r="96" spans="1:53" outlineLevel="1" x14ac:dyDescent="0.25">
      <c r="A96" s="261"/>
      <c r="B96" s="260"/>
      <c r="C96" s="259"/>
      <c r="D96" s="246">
        <f>B94-D94</f>
        <v>3.5799999999999996</v>
      </c>
      <c r="E96" s="6" t="s">
        <v>23</v>
      </c>
      <c r="G96" s="260"/>
      <c r="H96" s="259"/>
      <c r="I96" s="116"/>
      <c r="K96" s="260"/>
      <c r="L96" s="259"/>
      <c r="M96" s="245">
        <v>3.5</v>
      </c>
      <c r="N96" s="6" t="s">
        <v>23</v>
      </c>
      <c r="P96" s="260"/>
      <c r="Q96" s="259"/>
      <c r="R96" s="241">
        <f>AB96</f>
        <v>3.78</v>
      </c>
      <c r="S96" s="6" t="s">
        <v>23</v>
      </c>
      <c r="U96" s="260"/>
      <c r="V96" s="259"/>
      <c r="W96" s="245">
        <v>3.5</v>
      </c>
      <c r="X96" s="6" t="s">
        <v>23</v>
      </c>
      <c r="Z96" s="260"/>
      <c r="AA96" s="259"/>
      <c r="AB96" s="241">
        <f>Z94</f>
        <v>3.78</v>
      </c>
      <c r="AC96" s="6" t="s">
        <v>23</v>
      </c>
      <c r="AE96" s="260"/>
      <c r="AF96" s="259"/>
      <c r="AG96" s="241">
        <f>AE94</f>
        <v>3.53</v>
      </c>
      <c r="AH96" s="6" t="s">
        <v>23</v>
      </c>
      <c r="AJ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</row>
    <row r="97" spans="1:53" outlineLevel="1" x14ac:dyDescent="0.25">
      <c r="A97" s="261">
        <v>21</v>
      </c>
      <c r="B97" s="260">
        <v>0.8</v>
      </c>
      <c r="C97" s="259">
        <v>7.97</v>
      </c>
      <c r="D97" s="246"/>
      <c r="E97" s="240"/>
      <c r="G97" s="260">
        <v>0.6</v>
      </c>
      <c r="H97" s="259">
        <v>8.09</v>
      </c>
      <c r="I97" s="240"/>
      <c r="K97" s="260">
        <v>0.43</v>
      </c>
      <c r="L97" s="259">
        <v>8.14</v>
      </c>
      <c r="M97" s="245"/>
      <c r="N97" s="246"/>
      <c r="P97" s="260">
        <v>0.36</v>
      </c>
      <c r="Q97" s="259">
        <v>7.96</v>
      </c>
      <c r="R97" s="241"/>
      <c r="S97" s="246"/>
      <c r="U97" s="260"/>
      <c r="V97" s="259"/>
      <c r="W97" s="245"/>
      <c r="X97" s="240"/>
      <c r="Z97" s="260">
        <v>0.5</v>
      </c>
      <c r="AA97" s="259">
        <v>7.95</v>
      </c>
      <c r="AB97" s="241"/>
      <c r="AC97" s="240"/>
      <c r="AE97" s="260">
        <v>0.38</v>
      </c>
      <c r="AF97" s="259">
        <v>8.15</v>
      </c>
      <c r="AG97" s="241"/>
      <c r="AH97" s="240"/>
      <c r="AJ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</row>
    <row r="98" spans="1:53" outlineLevel="1" x14ac:dyDescent="0.25">
      <c r="A98" s="261"/>
      <c r="B98" s="260"/>
      <c r="C98" s="259"/>
      <c r="D98" s="246"/>
      <c r="E98" s="240"/>
      <c r="G98" s="260"/>
      <c r="H98" s="259"/>
      <c r="I98" s="240"/>
      <c r="K98" s="260"/>
      <c r="L98" s="259"/>
      <c r="M98" s="245"/>
      <c r="N98" s="246"/>
      <c r="P98" s="260"/>
      <c r="Q98" s="259"/>
      <c r="R98" s="56"/>
      <c r="S98" s="49"/>
      <c r="U98" s="260"/>
      <c r="V98" s="259"/>
      <c r="W98" s="245"/>
      <c r="X98" s="240"/>
      <c r="Z98" s="260"/>
      <c r="AA98" s="259"/>
      <c r="AB98" s="241"/>
      <c r="AC98" s="240"/>
      <c r="AE98" s="260"/>
      <c r="AF98" s="259"/>
      <c r="AG98" s="241"/>
      <c r="AH98" s="240"/>
      <c r="AJ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</row>
    <row r="99" spans="1:53" outlineLevel="1" x14ac:dyDescent="0.25">
      <c r="A99" s="261"/>
      <c r="B99" s="260"/>
      <c r="C99" s="259"/>
      <c r="D99" s="246">
        <f>B97-D100</f>
        <v>0.70000000000000007</v>
      </c>
      <c r="E99" s="6" t="s">
        <v>24</v>
      </c>
      <c r="G99" s="260"/>
      <c r="H99" s="259"/>
      <c r="I99" s="116"/>
      <c r="K99" s="260"/>
      <c r="L99" s="259"/>
      <c r="M99" s="245">
        <f>K97-M100</f>
        <v>0.32999999999999996</v>
      </c>
      <c r="N99" s="6" t="s">
        <v>24</v>
      </c>
      <c r="P99" s="260"/>
      <c r="Q99" s="259"/>
      <c r="R99" s="241">
        <v>0.18</v>
      </c>
      <c r="S99" s="6" t="s">
        <v>24</v>
      </c>
      <c r="U99" s="260"/>
      <c r="V99" s="259"/>
      <c r="W99" s="245">
        <f>R99</f>
        <v>0.18</v>
      </c>
      <c r="X99" s="6" t="s">
        <v>24</v>
      </c>
      <c r="Z99" s="260"/>
      <c r="AA99" s="259"/>
      <c r="AB99" s="241">
        <f>Z97</f>
        <v>0.5</v>
      </c>
      <c r="AC99" s="6" t="s">
        <v>24</v>
      </c>
      <c r="AE99" s="260"/>
      <c r="AF99" s="259"/>
      <c r="AG99" s="241">
        <f>AE97</f>
        <v>0.38</v>
      </c>
      <c r="AH99" s="6" t="s">
        <v>24</v>
      </c>
      <c r="AJ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</row>
    <row r="100" spans="1:53" outlineLevel="1" x14ac:dyDescent="0.25">
      <c r="A100" s="261"/>
      <c r="B100" s="260"/>
      <c r="C100" s="259"/>
      <c r="D100" s="245">
        <f>M100</f>
        <v>0.1</v>
      </c>
      <c r="E100" s="7" t="s">
        <v>353</v>
      </c>
      <c r="G100" s="260"/>
      <c r="H100" s="259"/>
      <c r="I100" s="240"/>
      <c r="K100" s="260"/>
      <c r="L100" s="259"/>
      <c r="M100" s="245">
        <v>0.1</v>
      </c>
      <c r="N100" s="7" t="s">
        <v>353</v>
      </c>
      <c r="P100" s="260"/>
      <c r="Q100" s="259"/>
      <c r="R100" s="241">
        <f>P97/2</f>
        <v>0.18</v>
      </c>
      <c r="S100" s="7" t="s">
        <v>353</v>
      </c>
      <c r="U100" s="260"/>
      <c r="V100" s="259"/>
      <c r="W100" s="245">
        <f>R100</f>
        <v>0.18</v>
      </c>
      <c r="X100" s="7" t="s">
        <v>353</v>
      </c>
      <c r="Z100" s="260"/>
      <c r="AA100" s="259"/>
      <c r="AB100" s="241"/>
      <c r="AC100" s="240"/>
      <c r="AE100" s="260"/>
      <c r="AF100" s="259"/>
      <c r="AG100" s="241"/>
      <c r="AH100" s="240"/>
      <c r="AJ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</row>
    <row r="101" spans="1:53" outlineLevel="1" x14ac:dyDescent="0.25">
      <c r="A101" s="261"/>
      <c r="B101" s="260"/>
      <c r="C101" s="259"/>
      <c r="D101" s="18"/>
      <c r="E101" s="8"/>
      <c r="G101" s="260"/>
      <c r="H101" s="259"/>
      <c r="I101" s="240"/>
      <c r="K101" s="260"/>
      <c r="L101" s="259"/>
      <c r="M101" s="16"/>
      <c r="N101" s="49"/>
      <c r="P101" s="260"/>
      <c r="Q101" s="259"/>
      <c r="R101" s="56"/>
      <c r="S101" s="49"/>
      <c r="U101" s="260"/>
      <c r="V101" s="259"/>
      <c r="W101" s="19">
        <f>R132-W132</f>
        <v>1.1100000000000001</v>
      </c>
      <c r="X101" s="62" t="s">
        <v>421</v>
      </c>
      <c r="Z101" s="260"/>
      <c r="AA101" s="259"/>
      <c r="AB101" s="56"/>
      <c r="AC101" s="8"/>
      <c r="AE101" s="260"/>
      <c r="AF101" s="259"/>
      <c r="AG101" s="56"/>
      <c r="AH101" s="56"/>
      <c r="AJ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</row>
    <row r="102" spans="1:53" outlineLevel="1" x14ac:dyDescent="0.25">
      <c r="A102" s="261">
        <v>22</v>
      </c>
      <c r="B102" s="260">
        <v>0.11</v>
      </c>
      <c r="C102" s="259">
        <v>8.09</v>
      </c>
      <c r="D102" s="246"/>
      <c r="E102" s="240"/>
      <c r="G102" s="260"/>
      <c r="H102" s="259"/>
      <c r="I102" s="240"/>
      <c r="K102" s="260">
        <v>0.51</v>
      </c>
      <c r="L102" s="259">
        <v>8.23</v>
      </c>
      <c r="M102" s="245"/>
      <c r="N102" s="240"/>
      <c r="P102" s="260">
        <v>0.56999999999999995</v>
      </c>
      <c r="Q102" s="259">
        <v>8.0299999999999994</v>
      </c>
      <c r="R102" s="241"/>
      <c r="S102" s="240"/>
      <c r="U102" s="260">
        <v>1.39</v>
      </c>
      <c r="V102" s="259">
        <v>8.09</v>
      </c>
      <c r="W102" s="245"/>
      <c r="X102" s="240"/>
      <c r="Z102" s="260">
        <v>0.36</v>
      </c>
      <c r="AA102" s="259">
        <v>8.0399999999999991</v>
      </c>
      <c r="AB102" s="241"/>
      <c r="AC102" s="240"/>
      <c r="AE102" s="260">
        <v>0.23</v>
      </c>
      <c r="AF102" s="259">
        <v>8.26</v>
      </c>
      <c r="AG102" s="241"/>
      <c r="AH102" s="240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</row>
    <row r="103" spans="1:53" outlineLevel="2" x14ac:dyDescent="0.25">
      <c r="A103" s="261"/>
      <c r="B103" s="260"/>
      <c r="C103" s="259"/>
      <c r="D103" s="246">
        <f>B102/2</f>
        <v>5.5E-2</v>
      </c>
      <c r="E103" s="116" t="s">
        <v>38</v>
      </c>
      <c r="G103" s="260"/>
      <c r="H103" s="259"/>
      <c r="I103" s="116"/>
      <c r="K103" s="260"/>
      <c r="L103" s="259"/>
      <c r="M103" s="245">
        <f>D103</f>
        <v>5.5E-2</v>
      </c>
      <c r="N103" s="6" t="s">
        <v>38</v>
      </c>
      <c r="P103" s="260"/>
      <c r="Q103" s="259"/>
      <c r="R103" s="241">
        <f>W103</f>
        <v>1.39</v>
      </c>
      <c r="S103" s="6" t="s">
        <v>38</v>
      </c>
      <c r="U103" s="260"/>
      <c r="V103" s="259"/>
      <c r="W103" s="245">
        <f>U102</f>
        <v>1.39</v>
      </c>
      <c r="X103" s="6" t="s">
        <v>38</v>
      </c>
      <c r="Z103" s="260"/>
      <c r="AA103" s="259"/>
      <c r="AB103" s="241">
        <f>Z102</f>
        <v>0.36</v>
      </c>
      <c r="AC103" s="6" t="s">
        <v>38</v>
      </c>
      <c r="AE103" s="260"/>
      <c r="AF103" s="259"/>
      <c r="AG103" s="241"/>
      <c r="AH103" s="240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</row>
    <row r="104" spans="1:53" outlineLevel="2" x14ac:dyDescent="0.25">
      <c r="A104" s="261"/>
      <c r="B104" s="260"/>
      <c r="C104" s="259"/>
      <c r="D104" s="246">
        <v>0.06</v>
      </c>
      <c r="E104" s="249" t="s">
        <v>265</v>
      </c>
      <c r="G104" s="260"/>
      <c r="H104" s="259"/>
      <c r="I104" s="73"/>
      <c r="K104" s="260"/>
      <c r="L104" s="259"/>
      <c r="M104" s="245"/>
      <c r="N104" s="240"/>
      <c r="P104" s="260"/>
      <c r="Q104" s="259"/>
      <c r="R104" s="241"/>
      <c r="S104" s="240"/>
      <c r="U104" s="260"/>
      <c r="V104" s="259"/>
      <c r="W104" s="245"/>
      <c r="X104" s="56"/>
      <c r="Z104" s="260"/>
      <c r="AA104" s="259"/>
      <c r="AB104" s="56"/>
      <c r="AC104" s="56"/>
      <c r="AE104" s="260"/>
      <c r="AF104" s="259"/>
      <c r="AG104" s="241"/>
      <c r="AH104" s="240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</row>
    <row r="105" spans="1:53" outlineLevel="2" x14ac:dyDescent="0.25">
      <c r="A105" s="261"/>
      <c r="B105" s="260"/>
      <c r="C105" s="259"/>
      <c r="D105" s="246"/>
      <c r="E105" s="240"/>
      <c r="G105" s="260"/>
      <c r="H105" s="259"/>
      <c r="I105" s="240"/>
      <c r="K105" s="260"/>
      <c r="L105" s="259"/>
      <c r="M105" s="245"/>
      <c r="N105" s="240"/>
      <c r="P105" s="260"/>
      <c r="Q105" s="259"/>
      <c r="R105" s="241"/>
      <c r="S105" s="240"/>
      <c r="U105" s="260"/>
      <c r="V105" s="259"/>
      <c r="W105" s="245"/>
      <c r="X105" s="56"/>
      <c r="Z105" s="260"/>
      <c r="AA105" s="259"/>
      <c r="AB105" s="56"/>
      <c r="AC105" s="56"/>
      <c r="AE105" s="260"/>
      <c r="AF105" s="259"/>
      <c r="AG105" s="241"/>
      <c r="AH105" s="240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</row>
    <row r="106" spans="1:53" outlineLevel="2" x14ac:dyDescent="0.25">
      <c r="A106" s="262">
        <v>23</v>
      </c>
      <c r="B106" s="270">
        <v>1.46</v>
      </c>
      <c r="C106" s="259">
        <v>8.25</v>
      </c>
      <c r="D106" s="246">
        <f>D107</f>
        <v>0.48666666666666664</v>
      </c>
      <c r="E106" s="249" t="s">
        <v>416</v>
      </c>
      <c r="G106" s="260">
        <v>1.69</v>
      </c>
      <c r="H106" s="259">
        <v>8.31</v>
      </c>
      <c r="I106" s="240"/>
      <c r="K106" s="260">
        <v>3.12</v>
      </c>
      <c r="L106" s="259">
        <v>8.44</v>
      </c>
      <c r="M106" s="245"/>
      <c r="N106" s="240"/>
      <c r="P106" s="260">
        <v>2.93</v>
      </c>
      <c r="Q106" s="259">
        <v>8.15</v>
      </c>
      <c r="R106" s="241"/>
      <c r="S106" s="240"/>
      <c r="U106" s="260">
        <v>1.18</v>
      </c>
      <c r="V106" s="259">
        <v>8.1999999999999993</v>
      </c>
      <c r="W106" s="245"/>
      <c r="X106" s="8"/>
      <c r="Z106" s="260">
        <v>0.48</v>
      </c>
      <c r="AA106" s="259">
        <v>8.1300000000000008</v>
      </c>
      <c r="AB106" s="56"/>
      <c r="AC106" s="8"/>
      <c r="AE106" s="260">
        <v>0.19</v>
      </c>
      <c r="AF106" s="259">
        <v>8.3800000000000008</v>
      </c>
      <c r="AG106" s="241"/>
      <c r="AH106" s="240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</row>
    <row r="107" spans="1:53" outlineLevel="3" x14ac:dyDescent="0.25">
      <c r="A107" s="262"/>
      <c r="B107" s="270"/>
      <c r="C107" s="259"/>
      <c r="D107" s="246">
        <f>B106/3</f>
        <v>0.48666666666666664</v>
      </c>
      <c r="E107" s="7" t="s">
        <v>72</v>
      </c>
      <c r="G107" s="260"/>
      <c r="H107" s="259"/>
      <c r="I107" s="240"/>
      <c r="K107" s="260"/>
      <c r="L107" s="259"/>
      <c r="M107" s="245">
        <f>D107</f>
        <v>0.48666666666666664</v>
      </c>
      <c r="N107" s="7" t="s">
        <v>72</v>
      </c>
      <c r="P107" s="260"/>
      <c r="Q107" s="259"/>
      <c r="R107" s="241">
        <f>W107</f>
        <v>0.59</v>
      </c>
      <c r="S107" s="7" t="s">
        <v>72</v>
      </c>
      <c r="U107" s="260"/>
      <c r="V107" s="259"/>
      <c r="W107" s="245">
        <f>U106/2</f>
        <v>0.59</v>
      </c>
      <c r="X107" s="7" t="s">
        <v>72</v>
      </c>
      <c r="Z107" s="260"/>
      <c r="AA107" s="259"/>
      <c r="AB107" s="19">
        <f>Z106/2</f>
        <v>0.24</v>
      </c>
      <c r="AC107" s="7" t="s">
        <v>72</v>
      </c>
      <c r="AE107" s="260"/>
      <c r="AF107" s="259"/>
      <c r="AG107" s="241">
        <f>AB107+0.03</f>
        <v>0.27</v>
      </c>
      <c r="AH107" s="7" t="s">
        <v>72</v>
      </c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</row>
    <row r="108" spans="1:53" outlineLevel="3" x14ac:dyDescent="0.25">
      <c r="A108" s="262"/>
      <c r="B108" s="270"/>
      <c r="C108" s="259"/>
      <c r="D108" s="246">
        <f>D107</f>
        <v>0.48666666666666664</v>
      </c>
      <c r="E108" s="59" t="s">
        <v>110</v>
      </c>
      <c r="G108" s="260"/>
      <c r="H108" s="259"/>
      <c r="I108" s="240"/>
      <c r="K108" s="260"/>
      <c r="L108" s="259"/>
      <c r="M108" s="245">
        <f>D108</f>
        <v>0.48666666666666664</v>
      </c>
      <c r="N108" s="59" t="s">
        <v>110</v>
      </c>
      <c r="P108" s="260"/>
      <c r="Q108" s="259"/>
      <c r="R108" s="241">
        <f>R107</f>
        <v>0.59</v>
      </c>
      <c r="S108" s="59" t="s">
        <v>110</v>
      </c>
      <c r="U108" s="260"/>
      <c r="V108" s="259"/>
      <c r="W108" s="241">
        <f>W107</f>
        <v>0.59</v>
      </c>
      <c r="X108" s="59" t="s">
        <v>110</v>
      </c>
      <c r="Z108" s="260"/>
      <c r="AA108" s="259"/>
      <c r="AB108" s="19">
        <f>AB107</f>
        <v>0.24</v>
      </c>
      <c r="AC108" s="59" t="s">
        <v>110</v>
      </c>
      <c r="AE108" s="260"/>
      <c r="AF108" s="259"/>
      <c r="AG108" s="241">
        <f>AB108+0.03</f>
        <v>0.27</v>
      </c>
      <c r="AH108" s="59" t="s">
        <v>110</v>
      </c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</row>
    <row r="109" spans="1:53" outlineLevel="3" x14ac:dyDescent="0.25">
      <c r="A109" s="262"/>
      <c r="B109" s="270"/>
      <c r="C109" s="259"/>
      <c r="D109" s="18"/>
      <c r="E109" s="240"/>
      <c r="G109" s="260"/>
      <c r="H109" s="259"/>
      <c r="I109" s="8"/>
      <c r="K109" s="260"/>
      <c r="L109" s="259"/>
      <c r="M109" s="16"/>
      <c r="N109" s="240"/>
      <c r="P109" s="260"/>
      <c r="Q109" s="259"/>
      <c r="R109" s="56"/>
      <c r="S109" s="240"/>
      <c r="U109" s="260"/>
      <c r="V109" s="259"/>
      <c r="W109" s="245"/>
      <c r="X109" s="240"/>
      <c r="Z109" s="260"/>
      <c r="AA109" s="259"/>
      <c r="AB109" s="241"/>
      <c r="AC109" s="240"/>
      <c r="AE109" s="260"/>
      <c r="AF109" s="259"/>
      <c r="AG109" s="241"/>
      <c r="AH109" s="240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</row>
    <row r="110" spans="1:53" outlineLevel="3" x14ac:dyDescent="0.25">
      <c r="A110" s="262"/>
      <c r="B110" s="270"/>
      <c r="C110" s="259"/>
      <c r="D110" s="18"/>
      <c r="E110" s="8"/>
      <c r="G110" s="260"/>
      <c r="H110" s="259"/>
      <c r="I110" s="240"/>
      <c r="K110" s="260"/>
      <c r="L110" s="259"/>
      <c r="M110" s="245"/>
      <c r="N110" s="246"/>
      <c r="P110" s="260"/>
      <c r="Q110" s="259"/>
      <c r="R110" s="19"/>
      <c r="S110" s="8"/>
      <c r="U110" s="260"/>
      <c r="V110" s="259"/>
      <c r="W110" s="245"/>
      <c r="X110" s="240"/>
      <c r="Z110" s="260"/>
      <c r="AA110" s="259"/>
      <c r="AB110" s="56"/>
      <c r="AC110" s="8"/>
      <c r="AE110" s="260"/>
      <c r="AF110" s="259"/>
      <c r="AG110" s="241"/>
      <c r="AH110" s="240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</row>
    <row r="111" spans="1:53" outlineLevel="3" x14ac:dyDescent="0.25">
      <c r="A111" s="262"/>
      <c r="B111" s="270"/>
      <c r="C111" s="259"/>
      <c r="D111" s="18"/>
      <c r="E111" s="8"/>
      <c r="G111" s="260"/>
      <c r="H111" s="259"/>
      <c r="I111" s="240"/>
      <c r="K111" s="260"/>
      <c r="L111" s="259"/>
      <c r="M111" s="245"/>
      <c r="N111" s="8"/>
      <c r="P111" s="260"/>
      <c r="Q111" s="259"/>
      <c r="R111" s="56"/>
      <c r="S111" s="49"/>
      <c r="U111" s="260"/>
      <c r="V111" s="259"/>
      <c r="W111" s="16"/>
      <c r="X111" s="56"/>
      <c r="Z111" s="260"/>
      <c r="AA111" s="259"/>
      <c r="AB111" s="56"/>
      <c r="AC111" s="56"/>
      <c r="AE111" s="260"/>
      <c r="AF111" s="259"/>
      <c r="AG111" s="241"/>
      <c r="AH111" s="240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</row>
    <row r="112" spans="1:53" outlineLevel="2" x14ac:dyDescent="0.25">
      <c r="A112" s="262"/>
      <c r="B112" s="270"/>
      <c r="C112" s="259"/>
      <c r="D112" s="246"/>
      <c r="E112" s="246"/>
      <c r="G112" s="260"/>
      <c r="H112" s="259"/>
      <c r="I112" s="240"/>
      <c r="K112" s="260"/>
      <c r="L112" s="259"/>
      <c r="M112" s="241">
        <f>(K106-M107-M108-M109+K102-M103)</f>
        <v>2.6016666666666661</v>
      </c>
      <c r="N112" s="223" t="s">
        <v>401</v>
      </c>
      <c r="P112" s="260">
        <v>9.61</v>
      </c>
      <c r="Q112" s="259">
        <v>8.25</v>
      </c>
      <c r="R112" s="241">
        <f>(P106+P112-R108-R107+P102-R103)/3</f>
        <v>3.5133333333333332</v>
      </c>
      <c r="S112" s="249" t="s">
        <v>41</v>
      </c>
      <c r="U112" s="260">
        <v>3</v>
      </c>
      <c r="V112" s="259">
        <v>8.31</v>
      </c>
      <c r="W112" s="19"/>
      <c r="X112" s="8"/>
      <c r="Z112" s="260">
        <v>0.24</v>
      </c>
      <c r="AA112" s="259">
        <v>8.24</v>
      </c>
      <c r="AB112" s="56"/>
      <c r="AC112" s="8"/>
      <c r="AE112" s="260">
        <v>0.25</v>
      </c>
      <c r="AF112" s="259">
        <v>8.4499999999999993</v>
      </c>
      <c r="AG112" s="241"/>
      <c r="AH112" s="240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</row>
    <row r="113" spans="1:53" outlineLevel="1" x14ac:dyDescent="0.25">
      <c r="A113" s="262"/>
      <c r="B113" s="270"/>
      <c r="C113" s="259"/>
      <c r="D113" s="246"/>
      <c r="E113" s="246"/>
      <c r="G113" s="260"/>
      <c r="H113" s="259"/>
      <c r="I113" s="240"/>
      <c r="K113" s="260"/>
      <c r="L113" s="259"/>
      <c r="M113" s="241"/>
      <c r="N113" s="243"/>
      <c r="P113" s="260"/>
      <c r="Q113" s="259"/>
      <c r="R113" s="241">
        <f>R112</f>
        <v>3.5133333333333332</v>
      </c>
      <c r="S113" s="249" t="s">
        <v>427</v>
      </c>
      <c r="U113" s="260"/>
      <c r="V113" s="259"/>
      <c r="W113" s="245">
        <f>U112+U106-W107-W108+U117</f>
        <v>3.27</v>
      </c>
      <c r="X113" s="249" t="s">
        <v>221</v>
      </c>
      <c r="Z113" s="260"/>
      <c r="AA113" s="259"/>
      <c r="AB113" s="56"/>
      <c r="AC113" s="8"/>
      <c r="AE113" s="260"/>
      <c r="AF113" s="259"/>
      <c r="AG113" s="241"/>
      <c r="AH113" s="240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</row>
    <row r="114" spans="1:53" outlineLevel="1" x14ac:dyDescent="0.25">
      <c r="A114" s="262"/>
      <c r="B114" s="270"/>
      <c r="C114" s="259"/>
      <c r="D114" s="246"/>
      <c r="E114" s="246"/>
      <c r="G114" s="260"/>
      <c r="H114" s="259"/>
      <c r="I114" s="240"/>
      <c r="K114" s="260"/>
      <c r="L114" s="259"/>
      <c r="M114" s="245"/>
      <c r="N114" s="240"/>
      <c r="P114" s="260"/>
      <c r="Q114" s="259"/>
      <c r="R114" s="241"/>
      <c r="S114" s="240"/>
      <c r="U114" s="260"/>
      <c r="V114" s="259"/>
      <c r="W114" s="245"/>
      <c r="X114" s="8"/>
      <c r="Z114" s="260"/>
      <c r="AA114" s="259"/>
      <c r="AB114" s="56"/>
      <c r="AC114" s="8"/>
      <c r="AE114" s="260"/>
      <c r="AF114" s="259"/>
      <c r="AG114" s="241"/>
      <c r="AH114" s="240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</row>
    <row r="115" spans="1:53" outlineLevel="1" x14ac:dyDescent="0.25">
      <c r="A115" s="262"/>
      <c r="B115" s="270"/>
      <c r="C115" s="259"/>
      <c r="D115" s="246"/>
      <c r="E115" s="246"/>
      <c r="G115" s="260"/>
      <c r="H115" s="259"/>
      <c r="I115" s="240"/>
      <c r="K115" s="260"/>
      <c r="L115" s="259"/>
      <c r="M115" s="245"/>
      <c r="N115" s="240"/>
      <c r="P115" s="260"/>
      <c r="Q115" s="259"/>
      <c r="R115" s="241"/>
      <c r="S115" s="240"/>
      <c r="U115" s="260"/>
      <c r="V115" s="259"/>
      <c r="W115" s="245"/>
      <c r="X115" s="8"/>
      <c r="Z115" s="260"/>
      <c r="AA115" s="259"/>
      <c r="AB115" s="56"/>
      <c r="AC115" s="8"/>
      <c r="AE115" s="260"/>
      <c r="AF115" s="259"/>
      <c r="AG115" s="241"/>
      <c r="AH115" s="240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</row>
    <row r="116" spans="1:53" outlineLevel="1" x14ac:dyDescent="0.25">
      <c r="A116" s="262"/>
      <c r="B116" s="270"/>
      <c r="C116" s="259"/>
      <c r="D116" s="18"/>
      <c r="E116" s="246"/>
      <c r="G116" s="260"/>
      <c r="H116" s="259"/>
      <c r="I116" s="240"/>
      <c r="K116" s="260"/>
      <c r="L116" s="259"/>
      <c r="M116" s="245"/>
      <c r="N116" s="245"/>
      <c r="P116" s="260"/>
      <c r="Q116" s="259"/>
      <c r="R116" s="241"/>
      <c r="S116" s="245"/>
      <c r="U116" s="260"/>
      <c r="V116" s="259"/>
      <c r="W116" s="16"/>
      <c r="X116" s="240"/>
      <c r="Z116" s="260"/>
      <c r="AA116" s="259"/>
      <c r="AB116" s="241">
        <f>Z112</f>
        <v>0.24</v>
      </c>
      <c r="AC116" s="249" t="s">
        <v>73</v>
      </c>
      <c r="AE116" s="260"/>
      <c r="AF116" s="259"/>
      <c r="AG116" s="241">
        <f>AE112</f>
        <v>0.25</v>
      </c>
      <c r="AH116" s="249" t="s">
        <v>73</v>
      </c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</row>
    <row r="117" spans="1:53" outlineLevel="1" x14ac:dyDescent="0.25">
      <c r="A117" s="262"/>
      <c r="B117" s="270"/>
      <c r="C117" s="259"/>
      <c r="D117" s="246"/>
      <c r="E117" s="240"/>
      <c r="G117" s="260"/>
      <c r="H117" s="259"/>
      <c r="I117" s="240"/>
      <c r="K117" s="260"/>
      <c r="L117" s="259"/>
      <c r="M117" s="245"/>
      <c r="N117" s="240"/>
      <c r="P117" s="260"/>
      <c r="Q117" s="259"/>
      <c r="R117" s="241"/>
      <c r="S117" s="240"/>
      <c r="U117" s="260">
        <v>0.27</v>
      </c>
      <c r="V117" s="259">
        <v>8.41</v>
      </c>
      <c r="W117" s="16"/>
      <c r="X117" s="240"/>
      <c r="Z117" s="260">
        <v>7.0000000000000007E-2</v>
      </c>
      <c r="AA117" s="259">
        <v>8.35</v>
      </c>
      <c r="AB117" s="241">
        <f>Z117</f>
        <v>7.0000000000000007E-2</v>
      </c>
      <c r="AC117" s="6" t="s">
        <v>267</v>
      </c>
      <c r="AE117" s="260">
        <v>0.05</v>
      </c>
      <c r="AF117" s="259">
        <v>8.56</v>
      </c>
      <c r="AG117" s="241"/>
      <c r="AH117" s="240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</row>
    <row r="118" spans="1:53" outlineLevel="1" x14ac:dyDescent="0.25">
      <c r="A118" s="262"/>
      <c r="B118" s="270"/>
      <c r="C118" s="259"/>
      <c r="D118" s="246"/>
      <c r="E118" s="246"/>
      <c r="G118" s="260"/>
      <c r="H118" s="259"/>
      <c r="I118" s="240"/>
      <c r="K118" s="260"/>
      <c r="L118" s="259"/>
      <c r="M118" s="241"/>
      <c r="N118" s="240"/>
      <c r="P118" s="260"/>
      <c r="Q118" s="259"/>
      <c r="R118" s="241">
        <f>R112</f>
        <v>3.5133333333333332</v>
      </c>
      <c r="S118" s="249" t="s">
        <v>42</v>
      </c>
      <c r="U118" s="260"/>
      <c r="V118" s="259"/>
      <c r="W118" s="245"/>
      <c r="X118" s="8"/>
      <c r="Z118" s="260"/>
      <c r="AA118" s="259"/>
      <c r="AB118" s="56"/>
      <c r="AC118" s="8"/>
      <c r="AE118" s="260"/>
      <c r="AF118" s="259"/>
      <c r="AG118" s="241"/>
      <c r="AH118" s="240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</row>
    <row r="119" spans="1:53" outlineLevel="1" x14ac:dyDescent="0.25">
      <c r="A119" s="262">
        <v>24</v>
      </c>
      <c r="B119" s="270">
        <v>0.64</v>
      </c>
      <c r="C119" s="259">
        <v>8.36</v>
      </c>
      <c r="D119" s="246"/>
      <c r="E119" s="240"/>
      <c r="G119" s="260">
        <v>0.7</v>
      </c>
      <c r="H119" s="259">
        <v>8.43</v>
      </c>
      <c r="I119" s="240"/>
      <c r="K119" s="260">
        <v>0.7</v>
      </c>
      <c r="L119" s="259">
        <v>8.65</v>
      </c>
      <c r="M119" s="245"/>
      <c r="N119" s="240"/>
      <c r="P119" s="260">
        <v>0.69</v>
      </c>
      <c r="Q119" s="259">
        <v>8.4600000000000009</v>
      </c>
      <c r="R119" s="241"/>
      <c r="S119" s="240"/>
      <c r="U119" s="260">
        <v>1.21</v>
      </c>
      <c r="V119" s="259">
        <v>8.52</v>
      </c>
      <c r="W119" s="245"/>
      <c r="X119" s="18"/>
      <c r="Z119" s="260">
        <v>0.63</v>
      </c>
      <c r="AA119" s="259">
        <v>8.44</v>
      </c>
      <c r="AB119" s="56"/>
      <c r="AC119" s="18"/>
      <c r="AE119" s="260">
        <v>0.62</v>
      </c>
      <c r="AF119" s="259">
        <v>8.66</v>
      </c>
      <c r="AG119" s="241"/>
      <c r="AH119" s="8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</row>
    <row r="120" spans="1:53" outlineLevel="1" x14ac:dyDescent="0.25">
      <c r="A120" s="262"/>
      <c r="B120" s="270"/>
      <c r="C120" s="259"/>
      <c r="D120" s="246">
        <f>B119</f>
        <v>0.64</v>
      </c>
      <c r="E120" s="59" t="s">
        <v>228</v>
      </c>
      <c r="G120" s="260"/>
      <c r="H120" s="259"/>
      <c r="I120" s="240"/>
      <c r="K120" s="260"/>
      <c r="L120" s="259"/>
      <c r="M120" s="245">
        <f>K119</f>
        <v>0.7</v>
      </c>
      <c r="N120" s="59" t="s">
        <v>228</v>
      </c>
      <c r="P120" s="260"/>
      <c r="Q120" s="259"/>
      <c r="R120" s="241"/>
      <c r="S120" s="56"/>
      <c r="U120" s="260"/>
      <c r="V120" s="259"/>
      <c r="W120" s="245"/>
      <c r="X120" s="8"/>
      <c r="Z120" s="260"/>
      <c r="AA120" s="259"/>
      <c r="AB120" s="56"/>
      <c r="AC120" s="8"/>
      <c r="AE120" s="260"/>
      <c r="AF120" s="259"/>
      <c r="AG120" s="241"/>
      <c r="AH120" s="8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</row>
    <row r="121" spans="1:53" outlineLevel="1" x14ac:dyDescent="0.25">
      <c r="A121" s="262"/>
      <c r="B121" s="270"/>
      <c r="C121" s="259"/>
      <c r="D121" s="246"/>
      <c r="E121" s="118"/>
      <c r="G121" s="260"/>
      <c r="H121" s="259"/>
      <c r="I121" s="240"/>
      <c r="K121" s="260"/>
      <c r="L121" s="259"/>
      <c r="M121" s="245"/>
      <c r="N121" s="8"/>
      <c r="P121" s="260"/>
      <c r="Q121" s="259"/>
      <c r="R121" s="241"/>
      <c r="S121" s="8"/>
      <c r="U121" s="260"/>
      <c r="V121" s="259"/>
      <c r="W121" s="245"/>
      <c r="X121" s="8"/>
      <c r="Z121" s="260"/>
      <c r="AA121" s="259"/>
      <c r="AB121" s="19">
        <f>Z119</f>
        <v>0.63</v>
      </c>
      <c r="AC121" s="249" t="s">
        <v>71</v>
      </c>
      <c r="AE121" s="260"/>
      <c r="AF121" s="259"/>
      <c r="AG121" s="241">
        <f>AE119</f>
        <v>0.62</v>
      </c>
      <c r="AH121" s="249" t="s">
        <v>71</v>
      </c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</row>
    <row r="122" spans="1:53" outlineLevel="1" x14ac:dyDescent="0.25">
      <c r="A122" s="262"/>
      <c r="B122" s="270"/>
      <c r="C122" s="259"/>
      <c r="D122" s="246"/>
      <c r="E122" s="240"/>
      <c r="G122" s="260"/>
      <c r="H122" s="259"/>
      <c r="I122" s="240"/>
      <c r="K122" s="260"/>
      <c r="L122" s="259"/>
      <c r="M122" s="245"/>
      <c r="N122" s="240"/>
      <c r="P122" s="260"/>
      <c r="Q122" s="259"/>
      <c r="R122" s="241"/>
      <c r="S122" s="240"/>
      <c r="U122" s="260"/>
      <c r="V122" s="259"/>
      <c r="W122" s="245"/>
      <c r="X122" s="8"/>
      <c r="Z122" s="260"/>
      <c r="AA122" s="259"/>
      <c r="AB122" s="56"/>
      <c r="AC122" s="8"/>
      <c r="AE122" s="260"/>
      <c r="AF122" s="259"/>
      <c r="AG122" s="241"/>
      <c r="AH122" s="8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</row>
    <row r="123" spans="1:53" outlineLevel="1" x14ac:dyDescent="0.25">
      <c r="A123" s="262"/>
      <c r="B123" s="270"/>
      <c r="C123" s="259"/>
      <c r="D123" s="246"/>
      <c r="E123" s="240"/>
      <c r="G123" s="260"/>
      <c r="H123" s="259"/>
      <c r="I123" s="240"/>
      <c r="K123" s="260"/>
      <c r="L123" s="259"/>
      <c r="M123" s="16"/>
      <c r="N123" s="19"/>
      <c r="P123" s="260"/>
      <c r="Q123" s="259"/>
      <c r="R123" s="56"/>
      <c r="S123" s="49"/>
      <c r="U123" s="260"/>
      <c r="V123" s="259"/>
      <c r="W123" s="245"/>
      <c r="X123" s="240"/>
      <c r="Z123" s="260"/>
      <c r="AA123" s="259"/>
      <c r="AB123" s="241"/>
      <c r="AC123" s="240"/>
      <c r="AE123" s="260"/>
      <c r="AF123" s="259"/>
      <c r="AG123" s="241"/>
      <c r="AH123" s="8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</row>
    <row r="124" spans="1:53" outlineLevel="1" x14ac:dyDescent="0.25">
      <c r="A124" s="262">
        <v>25</v>
      </c>
      <c r="B124" s="270">
        <v>1.06</v>
      </c>
      <c r="C124" s="259">
        <v>8.48</v>
      </c>
      <c r="D124" s="246"/>
      <c r="E124" s="240"/>
      <c r="G124" s="263">
        <v>0.91</v>
      </c>
      <c r="H124" s="266">
        <v>8.5399999999999991</v>
      </c>
      <c r="I124" s="240"/>
      <c r="K124" s="260">
        <v>0.6</v>
      </c>
      <c r="L124" s="259">
        <v>8.73</v>
      </c>
      <c r="M124" s="245">
        <f>K124</f>
        <v>0.6</v>
      </c>
      <c r="N124" s="62" t="s">
        <v>415</v>
      </c>
      <c r="P124" s="260">
        <v>0.66</v>
      </c>
      <c r="Q124" s="259">
        <v>8.52</v>
      </c>
      <c r="R124" s="241">
        <f>P124</f>
        <v>0.66</v>
      </c>
      <c r="S124" s="62" t="s">
        <v>138</v>
      </c>
      <c r="U124" s="260">
        <v>0.3</v>
      </c>
      <c r="V124" s="259">
        <v>8.59</v>
      </c>
      <c r="W124" s="245"/>
      <c r="X124" s="8"/>
      <c r="Z124" s="260">
        <v>0.24</v>
      </c>
      <c r="AA124" s="259">
        <v>8.57</v>
      </c>
      <c r="AB124" s="56"/>
      <c r="AC124" s="8"/>
      <c r="AE124" s="260">
        <v>0.17</v>
      </c>
      <c r="AF124" s="259">
        <v>8.7899999999999991</v>
      </c>
      <c r="AG124" s="241"/>
      <c r="AH124" s="240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</row>
    <row r="125" spans="1:53" outlineLevel="1" x14ac:dyDescent="0.25">
      <c r="A125" s="262"/>
      <c r="B125" s="270"/>
      <c r="C125" s="259"/>
      <c r="D125" s="246"/>
      <c r="E125" s="240"/>
      <c r="G125" s="265"/>
      <c r="H125" s="268"/>
      <c r="I125" s="240"/>
      <c r="K125" s="260"/>
      <c r="L125" s="259"/>
      <c r="M125" s="245"/>
      <c r="N125" s="240"/>
      <c r="P125" s="260"/>
      <c r="Q125" s="259"/>
      <c r="R125" s="241"/>
      <c r="S125" s="240"/>
      <c r="U125" s="260"/>
      <c r="V125" s="259"/>
      <c r="W125" s="245"/>
      <c r="X125" s="8"/>
      <c r="Z125" s="260"/>
      <c r="AA125" s="259"/>
      <c r="AB125" s="19">
        <f>Z124</f>
        <v>0.24</v>
      </c>
      <c r="AC125" s="110" t="s">
        <v>43</v>
      </c>
      <c r="AE125" s="260"/>
      <c r="AF125" s="259"/>
      <c r="AG125" s="241"/>
      <c r="AH125" s="240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</row>
    <row r="126" spans="1:53" outlineLevel="1" x14ac:dyDescent="0.25">
      <c r="A126" s="262"/>
      <c r="B126" s="270"/>
      <c r="C126" s="259"/>
      <c r="D126" s="246"/>
      <c r="E126" s="240"/>
      <c r="G126" s="263">
        <v>0.28000000000000003</v>
      </c>
      <c r="H126" s="266">
        <v>8.59</v>
      </c>
      <c r="I126" s="240"/>
      <c r="K126" s="260"/>
      <c r="L126" s="259"/>
      <c r="M126" s="245"/>
      <c r="N126" s="246"/>
      <c r="P126" s="260"/>
      <c r="Q126" s="259"/>
      <c r="R126" s="241"/>
      <c r="S126" s="246"/>
      <c r="U126" s="260"/>
      <c r="V126" s="259"/>
      <c r="W126" s="19"/>
      <c r="X126" s="49"/>
      <c r="Z126" s="260"/>
      <c r="AA126" s="259"/>
      <c r="AB126" s="56"/>
      <c r="AC126" s="8"/>
      <c r="AE126" s="260"/>
      <c r="AF126" s="259"/>
      <c r="AG126" s="241"/>
      <c r="AH126" s="240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</row>
    <row r="127" spans="1:53" outlineLevel="1" x14ac:dyDescent="0.25">
      <c r="A127" s="262"/>
      <c r="B127" s="270"/>
      <c r="C127" s="259"/>
      <c r="D127" s="246"/>
      <c r="E127" s="241"/>
      <c r="G127" s="265"/>
      <c r="H127" s="268"/>
      <c r="I127" s="241"/>
      <c r="K127" s="260"/>
      <c r="L127" s="259"/>
      <c r="M127" s="245"/>
      <c r="N127" s="241"/>
      <c r="P127" s="260"/>
      <c r="Q127" s="259"/>
      <c r="R127" s="56"/>
      <c r="S127" s="56"/>
      <c r="U127" s="260"/>
      <c r="V127" s="259"/>
      <c r="W127" s="245"/>
      <c r="X127" s="240"/>
      <c r="Z127" s="260"/>
      <c r="AA127" s="259"/>
      <c r="AB127" s="241"/>
      <c r="AC127" s="240"/>
      <c r="AE127" s="260"/>
      <c r="AF127" s="259"/>
      <c r="AG127" s="241"/>
      <c r="AH127" s="240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</row>
    <row r="128" spans="1:53" outlineLevel="1" x14ac:dyDescent="0.25">
      <c r="A128" s="262">
        <v>26</v>
      </c>
      <c r="B128" s="270">
        <v>8.48</v>
      </c>
      <c r="C128" s="259">
        <v>8.7200000000000006</v>
      </c>
      <c r="D128" s="18"/>
      <c r="E128" s="8"/>
      <c r="G128" s="260">
        <v>1.68</v>
      </c>
      <c r="H128" s="259">
        <v>8.73</v>
      </c>
      <c r="I128" s="8"/>
      <c r="K128" s="260">
        <v>9.6300000000000008</v>
      </c>
      <c r="L128" s="259">
        <v>8.91</v>
      </c>
      <c r="M128" s="16"/>
      <c r="N128" s="49"/>
      <c r="P128" s="260">
        <v>2.16</v>
      </c>
      <c r="Q128" s="259">
        <v>8.64</v>
      </c>
      <c r="R128" s="56"/>
      <c r="S128" s="49"/>
      <c r="U128" s="260">
        <v>8.34</v>
      </c>
      <c r="V128" s="259">
        <v>8.76</v>
      </c>
      <c r="W128" s="19"/>
      <c r="X128" s="49"/>
      <c r="Z128" s="260">
        <v>7.33</v>
      </c>
      <c r="AA128" s="259">
        <v>8.69</v>
      </c>
      <c r="AB128" s="19"/>
      <c r="AC128" s="8"/>
      <c r="AE128" s="260">
        <v>6.72</v>
      </c>
      <c r="AF128" s="259">
        <v>8.91</v>
      </c>
      <c r="AG128" s="56"/>
      <c r="AH128" s="56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</row>
    <row r="129" spans="1:53" outlineLevel="1" x14ac:dyDescent="0.25">
      <c r="A129" s="262"/>
      <c r="B129" s="270"/>
      <c r="C129" s="259"/>
      <c r="D129" s="16"/>
      <c r="E129" s="8"/>
      <c r="G129" s="260"/>
      <c r="H129" s="259"/>
      <c r="I129" s="8"/>
      <c r="K129" s="260"/>
      <c r="L129" s="259"/>
      <c r="M129" s="16"/>
      <c r="N129" s="246"/>
      <c r="P129" s="260"/>
      <c r="Q129" s="259"/>
      <c r="R129" s="19"/>
      <c r="S129" s="246"/>
      <c r="U129" s="260"/>
      <c r="V129" s="259"/>
      <c r="W129" s="16"/>
      <c r="X129" s="18"/>
      <c r="Z129" s="260"/>
      <c r="AA129" s="259"/>
      <c r="AB129" s="19"/>
      <c r="AC129" s="18"/>
      <c r="AE129" s="260"/>
      <c r="AF129" s="259"/>
      <c r="AG129" s="56"/>
      <c r="AH129" s="56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</row>
    <row r="130" spans="1:53" outlineLevel="1" x14ac:dyDescent="0.25">
      <c r="A130" s="262"/>
      <c r="B130" s="270"/>
      <c r="C130" s="259"/>
      <c r="D130" s="245">
        <f>B128-D132-D136+B124</f>
        <v>1.3000000000000003</v>
      </c>
      <c r="E130" s="58" t="s">
        <v>220</v>
      </c>
      <c r="G130" s="260"/>
      <c r="H130" s="259"/>
      <c r="I130" s="8"/>
      <c r="K130" s="260"/>
      <c r="L130" s="259"/>
      <c r="M130" s="16">
        <f>K128-M132-M136-M131</f>
        <v>1.3800000000000006</v>
      </c>
      <c r="N130" s="58" t="s">
        <v>220</v>
      </c>
      <c r="P130" s="260"/>
      <c r="Q130" s="259"/>
      <c r="R130" s="16"/>
      <c r="S130" s="18"/>
      <c r="U130" s="260"/>
      <c r="V130" s="259"/>
      <c r="W130" s="16"/>
      <c r="X130" s="8"/>
      <c r="Z130" s="260"/>
      <c r="AA130" s="259"/>
      <c r="AB130" s="19"/>
      <c r="AC130" s="8"/>
      <c r="AE130" s="260"/>
      <c r="AF130" s="259"/>
      <c r="AG130" s="56"/>
      <c r="AH130" s="56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</row>
    <row r="131" spans="1:53" outlineLevel="1" x14ac:dyDescent="0.25">
      <c r="A131" s="262"/>
      <c r="B131" s="270"/>
      <c r="C131" s="259"/>
      <c r="D131" s="16"/>
      <c r="E131" s="8"/>
      <c r="G131" s="260"/>
      <c r="H131" s="259"/>
      <c r="I131" s="8"/>
      <c r="K131" s="260"/>
      <c r="L131" s="259"/>
      <c r="M131" s="16">
        <v>0.01</v>
      </c>
      <c r="N131" s="8" t="s">
        <v>269</v>
      </c>
      <c r="P131" s="260"/>
      <c r="Q131" s="259"/>
      <c r="R131" s="19">
        <v>0.3</v>
      </c>
      <c r="S131" s="8" t="s">
        <v>347</v>
      </c>
      <c r="U131" s="260"/>
      <c r="V131" s="259"/>
      <c r="W131" s="16"/>
      <c r="X131" s="8"/>
      <c r="Z131" s="260"/>
      <c r="AA131" s="259"/>
      <c r="AB131" s="19"/>
      <c r="AC131" s="8"/>
      <c r="AE131" s="260"/>
      <c r="AF131" s="259"/>
      <c r="AG131" s="56"/>
      <c r="AH131" s="56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</row>
    <row r="132" spans="1:53" outlineLevel="1" x14ac:dyDescent="0.25">
      <c r="A132" s="262"/>
      <c r="B132" s="270"/>
      <c r="C132" s="259"/>
      <c r="D132" s="16">
        <v>0.75</v>
      </c>
      <c r="E132" s="62" t="s">
        <v>123</v>
      </c>
      <c r="G132" s="260"/>
      <c r="H132" s="259"/>
      <c r="I132" s="8"/>
      <c r="K132" s="260"/>
      <c r="L132" s="259"/>
      <c r="M132" s="16">
        <v>0.75</v>
      </c>
      <c r="N132" s="62" t="s">
        <v>123</v>
      </c>
      <c r="P132" s="260"/>
      <c r="Q132" s="259"/>
      <c r="R132" s="19">
        <f>P128-R131</f>
        <v>1.86</v>
      </c>
      <c r="S132" s="62" t="s">
        <v>428</v>
      </c>
      <c r="U132" s="260"/>
      <c r="V132" s="259"/>
      <c r="W132" s="16">
        <v>0.75</v>
      </c>
      <c r="X132" s="62" t="s">
        <v>139</v>
      </c>
      <c r="Z132" s="260"/>
      <c r="AA132" s="259"/>
      <c r="AB132" s="19"/>
      <c r="AC132" s="8"/>
      <c r="AE132" s="260"/>
      <c r="AF132" s="259"/>
      <c r="AG132" s="56"/>
      <c r="AH132" s="56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</row>
    <row r="133" spans="1:53" outlineLevel="1" x14ac:dyDescent="0.25">
      <c r="A133" s="262"/>
      <c r="B133" s="270"/>
      <c r="C133" s="259"/>
      <c r="D133" s="18"/>
      <c r="E133" s="8"/>
      <c r="G133" s="260"/>
      <c r="H133" s="259"/>
      <c r="I133" s="8"/>
      <c r="K133" s="260"/>
      <c r="L133" s="259"/>
      <c r="M133" s="16"/>
      <c r="N133" s="49"/>
      <c r="P133" s="260"/>
      <c r="Q133" s="259"/>
      <c r="R133" s="56"/>
      <c r="S133" s="49"/>
      <c r="U133" s="260"/>
      <c r="V133" s="259"/>
      <c r="W133" s="16"/>
      <c r="X133" s="8"/>
      <c r="Z133" s="260"/>
      <c r="AA133" s="259"/>
      <c r="AB133" s="19"/>
      <c r="AC133" s="8"/>
      <c r="AE133" s="260"/>
      <c r="AF133" s="259"/>
      <c r="AG133" s="56"/>
      <c r="AH133" s="56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</row>
    <row r="134" spans="1:53" outlineLevel="1" x14ac:dyDescent="0.25">
      <c r="A134" s="262"/>
      <c r="B134" s="270"/>
      <c r="C134" s="259"/>
      <c r="D134" s="49"/>
      <c r="E134" s="56"/>
      <c r="G134" s="260"/>
      <c r="H134" s="259"/>
      <c r="I134" s="8"/>
      <c r="K134" s="260"/>
      <c r="L134" s="259"/>
      <c r="M134" s="245"/>
      <c r="N134" s="118"/>
      <c r="P134" s="260"/>
      <c r="Q134" s="259"/>
      <c r="R134" s="19"/>
      <c r="S134" s="118"/>
      <c r="U134" s="260"/>
      <c r="V134" s="259"/>
      <c r="W134" s="16"/>
      <c r="X134" s="96"/>
      <c r="Z134" s="260"/>
      <c r="AA134" s="259"/>
      <c r="AB134" s="241"/>
      <c r="AC134" s="96"/>
      <c r="AE134" s="260"/>
      <c r="AF134" s="259"/>
      <c r="AG134" s="241"/>
      <c r="AH134" s="240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</row>
    <row r="135" spans="1:53" outlineLevel="1" x14ac:dyDescent="0.25">
      <c r="A135" s="262"/>
      <c r="B135" s="270"/>
      <c r="C135" s="259"/>
      <c r="D135" s="246"/>
      <c r="E135" s="240"/>
      <c r="G135" s="260"/>
      <c r="H135" s="259"/>
      <c r="I135" s="8"/>
      <c r="K135" s="260"/>
      <c r="L135" s="259"/>
      <c r="M135" s="245"/>
      <c r="N135" s="240"/>
      <c r="P135" s="260">
        <v>7.49</v>
      </c>
      <c r="Q135" s="259">
        <v>8.7100000000000009</v>
      </c>
      <c r="R135" s="19"/>
      <c r="S135" s="240"/>
      <c r="U135" s="260"/>
      <c r="V135" s="259"/>
      <c r="W135" s="16"/>
      <c r="X135" s="118"/>
      <c r="Z135" s="260"/>
      <c r="AA135" s="259"/>
      <c r="AB135" s="241"/>
      <c r="AC135" s="118"/>
      <c r="AE135" s="260"/>
      <c r="AF135" s="259"/>
      <c r="AG135" s="241"/>
      <c r="AH135" s="240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</row>
    <row r="136" spans="1:53" outlineLevel="1" x14ac:dyDescent="0.25">
      <c r="A136" s="262"/>
      <c r="B136" s="270"/>
      <c r="C136" s="259"/>
      <c r="D136" s="246">
        <f>R136</f>
        <v>7.49</v>
      </c>
      <c r="E136" s="6" t="s">
        <v>25</v>
      </c>
      <c r="G136" s="260"/>
      <c r="H136" s="259"/>
      <c r="I136" s="116"/>
      <c r="K136" s="260"/>
      <c r="L136" s="259"/>
      <c r="M136" s="245">
        <f>R136</f>
        <v>7.49</v>
      </c>
      <c r="N136" s="6" t="s">
        <v>25</v>
      </c>
      <c r="P136" s="260"/>
      <c r="Q136" s="259"/>
      <c r="R136" s="241">
        <f>P135</f>
        <v>7.49</v>
      </c>
      <c r="S136" s="6" t="s">
        <v>25</v>
      </c>
      <c r="U136" s="260"/>
      <c r="V136" s="259"/>
      <c r="W136" s="245">
        <f>U128-W132</f>
        <v>7.59</v>
      </c>
      <c r="X136" s="6" t="s">
        <v>25</v>
      </c>
      <c r="Z136" s="260"/>
      <c r="AA136" s="259"/>
      <c r="AB136" s="241">
        <f>Z128</f>
        <v>7.33</v>
      </c>
      <c r="AC136" s="6" t="s">
        <v>25</v>
      </c>
      <c r="AE136" s="260"/>
      <c r="AF136" s="259"/>
      <c r="AG136" s="241">
        <f>AE128</f>
        <v>6.72</v>
      </c>
      <c r="AH136" s="6" t="s">
        <v>25</v>
      </c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</row>
    <row r="137" spans="1:53" outlineLevel="1" x14ac:dyDescent="0.25">
      <c r="A137" s="261">
        <v>27</v>
      </c>
      <c r="B137" s="260">
        <v>1.5</v>
      </c>
      <c r="C137" s="259">
        <v>8.91</v>
      </c>
      <c r="D137" s="246"/>
      <c r="E137" s="240"/>
      <c r="G137" s="260">
        <v>1.46</v>
      </c>
      <c r="H137" s="259">
        <v>8.99</v>
      </c>
      <c r="I137" s="240"/>
      <c r="K137" s="260">
        <v>2.46</v>
      </c>
      <c r="L137" s="259">
        <v>9.11</v>
      </c>
      <c r="M137" s="16"/>
      <c r="N137" s="240"/>
      <c r="P137" s="260">
        <v>1.35</v>
      </c>
      <c r="Q137" s="259">
        <v>8.93</v>
      </c>
      <c r="R137" s="241"/>
      <c r="S137" s="118"/>
      <c r="U137" s="260">
        <v>0.66</v>
      </c>
      <c r="V137" s="259">
        <v>8.93</v>
      </c>
      <c r="W137" s="241"/>
      <c r="X137" s="118"/>
      <c r="Z137" s="260">
        <v>0.35</v>
      </c>
      <c r="AA137" s="259">
        <v>8.85</v>
      </c>
      <c r="AB137" s="241"/>
      <c r="AC137" s="118"/>
      <c r="AE137" s="260">
        <v>0.3</v>
      </c>
      <c r="AF137" s="259">
        <v>9.08</v>
      </c>
      <c r="AG137" s="241"/>
      <c r="AH137" s="118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</row>
    <row r="138" spans="1:53" outlineLevel="2" x14ac:dyDescent="0.25">
      <c r="A138" s="261"/>
      <c r="B138" s="260"/>
      <c r="C138" s="259"/>
      <c r="D138" s="246"/>
      <c r="E138" s="240"/>
      <c r="G138" s="260"/>
      <c r="H138" s="259"/>
      <c r="I138" s="240"/>
      <c r="K138" s="260"/>
      <c r="L138" s="259"/>
      <c r="M138" s="16"/>
      <c r="N138" s="246"/>
      <c r="P138" s="260"/>
      <c r="Q138" s="259"/>
      <c r="R138" s="241"/>
      <c r="S138" s="240"/>
      <c r="U138" s="260"/>
      <c r="V138" s="259"/>
      <c r="W138" s="245">
        <f>U137</f>
        <v>0.66</v>
      </c>
      <c r="X138" s="249" t="s">
        <v>111</v>
      </c>
      <c r="Z138" s="260"/>
      <c r="AA138" s="259"/>
      <c r="AB138" s="241">
        <f>Z137</f>
        <v>0.35</v>
      </c>
      <c r="AC138" s="249" t="s">
        <v>111</v>
      </c>
      <c r="AE138" s="260"/>
      <c r="AF138" s="259"/>
      <c r="AG138" s="241">
        <f>AE137</f>
        <v>0.3</v>
      </c>
      <c r="AH138" s="249" t="s">
        <v>111</v>
      </c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</row>
    <row r="139" spans="1:53" outlineLevel="2" x14ac:dyDescent="0.25">
      <c r="A139" s="261"/>
      <c r="B139" s="260"/>
      <c r="C139" s="259"/>
      <c r="D139" s="18">
        <f>B137</f>
        <v>1.5</v>
      </c>
      <c r="E139" s="7" t="s">
        <v>78</v>
      </c>
      <c r="G139" s="260"/>
      <c r="H139" s="259"/>
      <c r="I139" s="8"/>
      <c r="K139" s="260"/>
      <c r="L139" s="259"/>
      <c r="M139" s="16">
        <f>D139</f>
        <v>1.5</v>
      </c>
      <c r="N139" s="7" t="s">
        <v>78</v>
      </c>
      <c r="P139" s="260"/>
      <c r="Q139" s="259"/>
      <c r="R139" s="56"/>
      <c r="S139" s="49"/>
      <c r="U139" s="260"/>
      <c r="V139" s="259"/>
      <c r="W139" s="19"/>
      <c r="X139" s="49"/>
      <c r="Z139" s="260"/>
      <c r="AA139" s="259"/>
      <c r="AB139" s="56"/>
      <c r="AC139" s="8"/>
      <c r="AE139" s="260"/>
      <c r="AF139" s="259"/>
      <c r="AG139" s="241"/>
      <c r="AH139" s="8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</row>
    <row r="140" spans="1:53" outlineLevel="2" x14ac:dyDescent="0.25">
      <c r="A140" s="261">
        <v>28</v>
      </c>
      <c r="B140" s="260">
        <v>0.57999999999999996</v>
      </c>
      <c r="C140" s="259">
        <v>9.02</v>
      </c>
      <c r="D140" s="246"/>
      <c r="E140" s="240"/>
      <c r="G140" s="260"/>
      <c r="H140" s="259"/>
      <c r="I140" s="19"/>
      <c r="K140" s="260"/>
      <c r="L140" s="259"/>
      <c r="M140" s="16"/>
      <c r="N140" s="240"/>
      <c r="P140" s="260"/>
      <c r="Q140" s="259"/>
      <c r="R140" s="241"/>
      <c r="S140" s="240"/>
      <c r="U140" s="260">
        <v>0.45</v>
      </c>
      <c r="V140" s="259">
        <v>8.99</v>
      </c>
      <c r="W140" s="245"/>
      <c r="X140" s="18"/>
      <c r="Z140" s="260">
        <v>0.22</v>
      </c>
      <c r="AA140" s="259">
        <v>8.93</v>
      </c>
      <c r="AB140" s="241">
        <v>0.3</v>
      </c>
      <c r="AC140" s="62" t="s">
        <v>113</v>
      </c>
      <c r="AE140" s="260">
        <v>0.33</v>
      </c>
      <c r="AF140" s="259">
        <v>9.14</v>
      </c>
      <c r="AG140" s="241">
        <f>AE140/3</f>
        <v>0.11</v>
      </c>
      <c r="AH140" s="62" t="s">
        <v>113</v>
      </c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</row>
    <row r="141" spans="1:53" outlineLevel="2" x14ac:dyDescent="0.25">
      <c r="A141" s="261"/>
      <c r="B141" s="260"/>
      <c r="C141" s="259"/>
      <c r="D141" s="246"/>
      <c r="E141" s="241"/>
      <c r="G141" s="260"/>
      <c r="H141" s="259"/>
      <c r="I141" s="240"/>
      <c r="K141" s="260"/>
      <c r="L141" s="259"/>
      <c r="M141" s="245"/>
      <c r="N141" s="8"/>
      <c r="P141" s="260"/>
      <c r="Q141" s="259"/>
      <c r="R141" s="241"/>
      <c r="S141" s="8"/>
      <c r="U141" s="260"/>
      <c r="V141" s="259"/>
      <c r="W141" s="19"/>
      <c r="X141" s="49"/>
      <c r="Z141" s="260"/>
      <c r="AA141" s="259"/>
      <c r="AB141" s="241">
        <v>0.3</v>
      </c>
      <c r="AC141" s="70" t="s">
        <v>96</v>
      </c>
      <c r="AE141" s="260"/>
      <c r="AF141" s="259"/>
      <c r="AG141" s="241">
        <f>AG140</f>
        <v>0.11</v>
      </c>
      <c r="AH141" s="70" t="s">
        <v>96</v>
      </c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</row>
    <row r="142" spans="1:53" outlineLevel="2" x14ac:dyDescent="0.25">
      <c r="A142" s="261"/>
      <c r="B142" s="260"/>
      <c r="C142" s="259"/>
      <c r="D142" s="246"/>
      <c r="E142" s="240"/>
      <c r="G142" s="260"/>
      <c r="H142" s="259"/>
      <c r="I142" s="240"/>
      <c r="K142" s="260"/>
      <c r="L142" s="259"/>
      <c r="M142" s="245"/>
      <c r="N142" s="96"/>
      <c r="P142" s="260"/>
      <c r="Q142" s="259"/>
      <c r="R142" s="56"/>
      <c r="S142" s="49"/>
      <c r="U142" s="260"/>
      <c r="V142" s="259"/>
      <c r="W142" s="16"/>
      <c r="X142" s="18"/>
      <c r="Z142" s="260"/>
      <c r="AA142" s="259"/>
      <c r="AB142" s="245"/>
      <c r="AC142" s="18"/>
      <c r="AE142" s="260"/>
      <c r="AF142" s="259"/>
      <c r="AG142" s="241"/>
      <c r="AH142" s="8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</row>
    <row r="143" spans="1:53" outlineLevel="2" x14ac:dyDescent="0.25">
      <c r="A143" s="261"/>
      <c r="B143" s="260"/>
      <c r="C143" s="259"/>
      <c r="D143" s="246"/>
      <c r="E143" s="240"/>
      <c r="G143" s="260"/>
      <c r="H143" s="259"/>
      <c r="I143" s="240"/>
      <c r="K143" s="260"/>
      <c r="L143" s="259"/>
      <c r="M143" s="16"/>
      <c r="N143" s="49"/>
      <c r="P143" s="260"/>
      <c r="Q143" s="259"/>
      <c r="R143" s="56"/>
      <c r="S143" s="49"/>
      <c r="U143" s="260"/>
      <c r="V143" s="259"/>
      <c r="W143" s="19"/>
      <c r="X143" s="49"/>
      <c r="Z143" s="260"/>
      <c r="AA143" s="259"/>
      <c r="AB143" s="241"/>
      <c r="AC143" s="240"/>
      <c r="AE143" s="260"/>
      <c r="AF143" s="259"/>
      <c r="AG143" s="241"/>
      <c r="AH143" s="240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</row>
    <row r="144" spans="1:53" outlineLevel="2" x14ac:dyDescent="0.25">
      <c r="A144" s="261"/>
      <c r="B144" s="260"/>
      <c r="C144" s="259"/>
      <c r="D144" s="18"/>
      <c r="E144" s="8"/>
      <c r="G144" s="260">
        <v>2.48</v>
      </c>
      <c r="H144" s="259">
        <v>9.1999999999999993</v>
      </c>
      <c r="I144" s="240"/>
      <c r="K144" s="270">
        <v>0.59</v>
      </c>
      <c r="L144" s="259">
        <v>9.27</v>
      </c>
      <c r="M144" s="16"/>
      <c r="N144" s="93"/>
      <c r="P144" s="260"/>
      <c r="Q144" s="259"/>
      <c r="R144" s="56"/>
      <c r="S144" s="93"/>
      <c r="U144" s="260"/>
      <c r="V144" s="259"/>
      <c r="W144" s="19"/>
      <c r="X144" s="49"/>
      <c r="Z144" s="260"/>
      <c r="AA144" s="259"/>
      <c r="AB144" s="56"/>
      <c r="AC144" s="8"/>
      <c r="AE144" s="260"/>
      <c r="AF144" s="259"/>
      <c r="AG144" s="241"/>
      <c r="AH144" s="240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</row>
    <row r="145" spans="1:53" outlineLevel="2" x14ac:dyDescent="0.25">
      <c r="A145" s="261">
        <v>29</v>
      </c>
      <c r="B145" s="260">
        <v>1.51</v>
      </c>
      <c r="C145" s="259">
        <v>9.11</v>
      </c>
      <c r="D145" s="16">
        <f>M145</f>
        <v>0.29499999999999998</v>
      </c>
      <c r="E145" s="7" t="s">
        <v>229</v>
      </c>
      <c r="G145" s="260"/>
      <c r="H145" s="259"/>
      <c r="I145" s="240"/>
      <c r="K145" s="270"/>
      <c r="L145" s="259"/>
      <c r="M145" s="16">
        <f>K144/2</f>
        <v>0.29499999999999998</v>
      </c>
      <c r="N145" s="7" t="s">
        <v>229</v>
      </c>
      <c r="P145" s="260">
        <v>0.51</v>
      </c>
      <c r="Q145" s="259">
        <v>9.0500000000000007</v>
      </c>
      <c r="R145" s="56"/>
      <c r="S145" s="56"/>
      <c r="U145" s="260">
        <v>0.3</v>
      </c>
      <c r="V145" s="259">
        <v>9.1</v>
      </c>
      <c r="W145" s="16"/>
      <c r="X145" s="18"/>
      <c r="Z145" s="260">
        <v>0.23</v>
      </c>
      <c r="AA145" s="259">
        <v>9.1</v>
      </c>
      <c r="AB145" s="241"/>
      <c r="AC145" s="18"/>
      <c r="AE145" s="260">
        <v>0.22</v>
      </c>
      <c r="AF145" s="259">
        <v>9.34</v>
      </c>
      <c r="AG145" s="241"/>
      <c r="AH145" s="240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</row>
    <row r="146" spans="1:53" outlineLevel="1" x14ac:dyDescent="0.25">
      <c r="A146" s="261"/>
      <c r="B146" s="260"/>
      <c r="C146" s="259"/>
      <c r="D146" s="18">
        <f>B145-D145</f>
        <v>1.2150000000000001</v>
      </c>
      <c r="E146" s="249" t="s">
        <v>79</v>
      </c>
      <c r="G146" s="260"/>
      <c r="H146" s="259"/>
      <c r="I146" s="240"/>
      <c r="K146" s="270"/>
      <c r="L146" s="259"/>
      <c r="M146" s="16">
        <f>K144+K137-M139-M138-M145</f>
        <v>1.2549999999999999</v>
      </c>
      <c r="N146" s="249" t="s">
        <v>79</v>
      </c>
      <c r="P146" s="260"/>
      <c r="Q146" s="259"/>
      <c r="R146" s="56"/>
      <c r="S146" s="49"/>
      <c r="U146" s="260"/>
      <c r="V146" s="259"/>
      <c r="W146" s="19"/>
      <c r="X146" s="49"/>
      <c r="Z146" s="260"/>
      <c r="AA146" s="259"/>
      <c r="AB146" s="56"/>
      <c r="AC146" s="8"/>
      <c r="AE146" s="260"/>
      <c r="AF146" s="259"/>
      <c r="AG146" s="241"/>
      <c r="AH146" s="240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</row>
    <row r="147" spans="1:53" outlineLevel="1" x14ac:dyDescent="0.25">
      <c r="A147" s="261"/>
      <c r="B147" s="260"/>
      <c r="C147" s="259"/>
      <c r="D147" s="246"/>
      <c r="E147" s="240"/>
      <c r="G147" s="260"/>
      <c r="H147" s="259"/>
      <c r="I147" s="240"/>
      <c r="K147" s="270"/>
      <c r="L147" s="259"/>
      <c r="M147" s="16"/>
      <c r="N147" s="246"/>
      <c r="P147" s="260"/>
      <c r="Q147" s="259"/>
      <c r="R147" s="19">
        <f>P145</f>
        <v>0.51</v>
      </c>
      <c r="S147" s="70" t="s">
        <v>116</v>
      </c>
      <c r="U147" s="260"/>
      <c r="V147" s="259"/>
      <c r="W147" s="16">
        <f>U145</f>
        <v>0.3</v>
      </c>
      <c r="X147" s="70" t="s">
        <v>116</v>
      </c>
      <c r="Z147" s="260"/>
      <c r="AA147" s="259"/>
      <c r="AB147" s="241">
        <f>Z145</f>
        <v>0.23</v>
      </c>
      <c r="AC147" s="70" t="s">
        <v>116</v>
      </c>
      <c r="AE147" s="260"/>
      <c r="AF147" s="259"/>
      <c r="AG147" s="241">
        <f>AE145</f>
        <v>0.22</v>
      </c>
      <c r="AH147" s="70" t="s">
        <v>116</v>
      </c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</row>
    <row r="148" spans="1:53" outlineLevel="1" x14ac:dyDescent="0.25">
      <c r="A148" s="261">
        <v>30</v>
      </c>
      <c r="B148" s="260">
        <v>0.53</v>
      </c>
      <c r="C148" s="259">
        <v>9.23</v>
      </c>
      <c r="D148" s="246">
        <v>0.27</v>
      </c>
      <c r="E148" s="7" t="s">
        <v>154</v>
      </c>
      <c r="G148" s="260">
        <v>0.6</v>
      </c>
      <c r="H148" s="259">
        <v>9.31</v>
      </c>
      <c r="I148" s="240"/>
      <c r="K148" s="260">
        <v>0.65</v>
      </c>
      <c r="L148" s="259">
        <v>9.42</v>
      </c>
      <c r="M148" s="245">
        <v>0.33</v>
      </c>
      <c r="N148" s="7" t="s">
        <v>154</v>
      </c>
      <c r="P148" s="260">
        <v>0.66</v>
      </c>
      <c r="Q148" s="259">
        <v>9.2200000000000006</v>
      </c>
      <c r="R148" s="241"/>
      <c r="S148" s="240"/>
      <c r="U148" s="260">
        <v>1.1100000000000001</v>
      </c>
      <c r="V148" s="259">
        <v>9.26</v>
      </c>
      <c r="W148" s="245"/>
      <c r="X148" s="8"/>
      <c r="Z148" s="260">
        <v>0.57999999999999996</v>
      </c>
      <c r="AA148" s="259">
        <v>9.19</v>
      </c>
      <c r="AB148" s="56"/>
      <c r="AC148" s="8"/>
      <c r="AE148" s="260">
        <v>0.46</v>
      </c>
      <c r="AF148" s="259">
        <v>9.41</v>
      </c>
      <c r="AG148" s="241"/>
      <c r="AH148" s="240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</row>
    <row r="149" spans="1:53" outlineLevel="1" x14ac:dyDescent="0.25">
      <c r="A149" s="261"/>
      <c r="B149" s="260"/>
      <c r="C149" s="259"/>
      <c r="D149" s="246">
        <f>B148/2</f>
        <v>0.26500000000000001</v>
      </c>
      <c r="E149" s="62" t="s">
        <v>153</v>
      </c>
      <c r="G149" s="260"/>
      <c r="H149" s="259"/>
      <c r="I149" s="240"/>
      <c r="K149" s="260"/>
      <c r="L149" s="259"/>
      <c r="M149" s="245">
        <f>K148/2</f>
        <v>0.32500000000000001</v>
      </c>
      <c r="N149" s="62" t="s">
        <v>153</v>
      </c>
      <c r="P149" s="260"/>
      <c r="Q149" s="259"/>
      <c r="R149" s="241"/>
      <c r="S149" s="240"/>
      <c r="U149" s="260"/>
      <c r="V149" s="259"/>
      <c r="W149" s="245"/>
      <c r="X149" s="8"/>
      <c r="Z149" s="260"/>
      <c r="AA149" s="259"/>
      <c r="AB149" s="56"/>
      <c r="AC149" s="8"/>
      <c r="AE149" s="260"/>
      <c r="AF149" s="259"/>
      <c r="AG149" s="241"/>
      <c r="AH149" s="240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</row>
    <row r="150" spans="1:53" outlineLevel="1" x14ac:dyDescent="0.25">
      <c r="A150" s="261"/>
      <c r="B150" s="260"/>
      <c r="C150" s="259"/>
      <c r="D150" s="18"/>
      <c r="E150" s="8"/>
      <c r="G150" s="260"/>
      <c r="H150" s="259"/>
      <c r="I150" s="240"/>
      <c r="K150" s="260"/>
      <c r="L150" s="259"/>
      <c r="M150" s="16"/>
      <c r="N150" s="49"/>
      <c r="P150" s="260"/>
      <c r="Q150" s="259"/>
      <c r="R150" s="241"/>
      <c r="S150" s="240"/>
      <c r="U150" s="260"/>
      <c r="V150" s="259"/>
      <c r="W150" s="245"/>
      <c r="X150" s="8"/>
      <c r="Z150" s="260"/>
      <c r="AA150" s="259"/>
      <c r="AB150" s="56"/>
      <c r="AC150" s="8"/>
      <c r="AE150" s="260"/>
      <c r="AF150" s="259"/>
      <c r="AG150" s="241"/>
      <c r="AH150" s="240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</row>
    <row r="151" spans="1:53" outlineLevel="1" x14ac:dyDescent="0.25">
      <c r="A151" s="261"/>
      <c r="B151" s="260"/>
      <c r="C151" s="259"/>
      <c r="D151" s="49"/>
      <c r="E151" s="56"/>
      <c r="G151" s="260"/>
      <c r="H151" s="259"/>
      <c r="I151" s="240"/>
      <c r="K151" s="260"/>
      <c r="L151" s="259"/>
      <c r="M151" s="245"/>
      <c r="N151" s="246"/>
      <c r="P151" s="260"/>
      <c r="Q151" s="259"/>
      <c r="R151" s="241">
        <f>P148</f>
        <v>0.66</v>
      </c>
      <c r="S151" s="249" t="s">
        <v>342</v>
      </c>
      <c r="U151" s="260"/>
      <c r="V151" s="259"/>
      <c r="W151" s="19">
        <f>U148-W152</f>
        <v>0.53000000000000014</v>
      </c>
      <c r="X151" s="249" t="s">
        <v>342</v>
      </c>
      <c r="Z151" s="260"/>
      <c r="AA151" s="259"/>
      <c r="AB151" s="56"/>
      <c r="AC151" s="8"/>
      <c r="AE151" s="260"/>
      <c r="AF151" s="259"/>
      <c r="AG151" s="241"/>
      <c r="AH151" s="240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</row>
    <row r="152" spans="1:53" outlineLevel="1" x14ac:dyDescent="0.25">
      <c r="A152" s="261"/>
      <c r="B152" s="260"/>
      <c r="C152" s="259"/>
      <c r="D152" s="49"/>
      <c r="E152" s="56"/>
      <c r="G152" s="260"/>
      <c r="H152" s="259"/>
      <c r="I152" s="240"/>
      <c r="K152" s="260"/>
      <c r="L152" s="259"/>
      <c r="M152" s="245"/>
      <c r="N152" s="96"/>
      <c r="P152" s="260"/>
      <c r="Q152" s="259"/>
      <c r="R152" s="241"/>
      <c r="S152" s="96"/>
      <c r="U152" s="260"/>
      <c r="V152" s="259"/>
      <c r="W152" s="245">
        <v>0.57999999999999996</v>
      </c>
      <c r="X152" s="110" t="s">
        <v>317</v>
      </c>
      <c r="Z152" s="260"/>
      <c r="AA152" s="259"/>
      <c r="AB152" s="56"/>
      <c r="AC152" s="8"/>
      <c r="AE152" s="260"/>
      <c r="AF152" s="259"/>
      <c r="AG152" s="241"/>
      <c r="AH152" s="240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</row>
    <row r="153" spans="1:53" outlineLevel="1" x14ac:dyDescent="0.25">
      <c r="A153" s="261"/>
      <c r="B153" s="260"/>
      <c r="C153" s="259"/>
      <c r="D153" s="246"/>
      <c r="E153" s="241"/>
      <c r="G153" s="260"/>
      <c r="H153" s="259"/>
      <c r="I153" s="241"/>
      <c r="K153" s="260"/>
      <c r="L153" s="259"/>
      <c r="M153" s="245"/>
      <c r="N153" s="240"/>
      <c r="P153" s="260"/>
      <c r="Q153" s="259"/>
      <c r="R153" s="241"/>
      <c r="S153" s="240"/>
      <c r="U153" s="260"/>
      <c r="V153" s="259"/>
      <c r="W153" s="19"/>
      <c r="X153" s="8"/>
      <c r="Z153" s="260"/>
      <c r="AA153" s="259"/>
      <c r="AB153" s="241"/>
      <c r="AC153" s="8"/>
      <c r="AE153" s="260"/>
      <c r="AF153" s="259"/>
      <c r="AG153" s="241"/>
      <c r="AH153" s="240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</row>
    <row r="154" spans="1:53" outlineLevel="2" x14ac:dyDescent="0.25">
      <c r="A154" s="261">
        <v>31</v>
      </c>
      <c r="B154" s="260">
        <v>0.82</v>
      </c>
      <c r="C154" s="259">
        <v>9.33</v>
      </c>
      <c r="D154" s="246"/>
      <c r="E154" s="240"/>
      <c r="G154" s="263">
        <v>1.31</v>
      </c>
      <c r="H154" s="266">
        <v>9.43</v>
      </c>
      <c r="I154" s="241"/>
      <c r="K154" s="260">
        <v>0.43</v>
      </c>
      <c r="L154" s="259">
        <v>9.51</v>
      </c>
      <c r="M154" s="245"/>
      <c r="N154" s="246"/>
      <c r="P154" s="260">
        <v>4.67</v>
      </c>
      <c r="Q154" s="259">
        <v>9.44</v>
      </c>
      <c r="R154" s="241"/>
      <c r="S154" s="246"/>
      <c r="U154" s="260">
        <v>0.28000000000000003</v>
      </c>
      <c r="V154" s="259">
        <v>9.39</v>
      </c>
      <c r="W154" s="245">
        <f>U154</f>
        <v>0.28000000000000003</v>
      </c>
      <c r="X154" s="81" t="s">
        <v>210</v>
      </c>
      <c r="Z154" s="260">
        <v>4.74</v>
      </c>
      <c r="AA154" s="259">
        <v>9.42</v>
      </c>
      <c r="AB154" s="245">
        <f>U154</f>
        <v>0.28000000000000003</v>
      </c>
      <c r="AC154" s="81" t="s">
        <v>210</v>
      </c>
      <c r="AE154" s="260">
        <v>4.28</v>
      </c>
      <c r="AF154" s="259">
        <v>9.64</v>
      </c>
      <c r="AG154" s="241">
        <f>AB154</f>
        <v>0.28000000000000003</v>
      </c>
      <c r="AH154" s="81" t="s">
        <v>210</v>
      </c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</row>
    <row r="155" spans="1:53" outlineLevel="2" x14ac:dyDescent="0.25">
      <c r="A155" s="261"/>
      <c r="B155" s="260"/>
      <c r="C155" s="259"/>
      <c r="D155" s="246">
        <f>B154</f>
        <v>0.82</v>
      </c>
      <c r="E155" s="7" t="s">
        <v>400</v>
      </c>
      <c r="G155" s="264"/>
      <c r="H155" s="267"/>
      <c r="I155" s="241"/>
      <c r="K155" s="260"/>
      <c r="L155" s="259"/>
      <c r="M155" s="245">
        <f>K154</f>
        <v>0.43</v>
      </c>
      <c r="N155" s="7" t="s">
        <v>229</v>
      </c>
      <c r="P155" s="260"/>
      <c r="Q155" s="259"/>
      <c r="R155" s="241"/>
      <c r="S155" s="56"/>
      <c r="U155" s="260"/>
      <c r="V155" s="259"/>
      <c r="W155" s="245"/>
      <c r="X155" s="8"/>
      <c r="Z155" s="260"/>
      <c r="AA155" s="259"/>
      <c r="AB155" s="241"/>
      <c r="AC155" s="8"/>
      <c r="AE155" s="260"/>
      <c r="AF155" s="259"/>
      <c r="AG155" s="241"/>
      <c r="AH155" s="240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</row>
    <row r="156" spans="1:53" outlineLevel="2" x14ac:dyDescent="0.25">
      <c r="A156" s="261"/>
      <c r="B156" s="260"/>
      <c r="C156" s="259"/>
      <c r="D156" s="18"/>
      <c r="E156" s="19"/>
      <c r="G156" s="264"/>
      <c r="H156" s="267"/>
      <c r="I156" s="241"/>
      <c r="K156" s="260"/>
      <c r="L156" s="259"/>
      <c r="M156" s="245"/>
      <c r="N156" s="19"/>
      <c r="P156" s="260"/>
      <c r="Q156" s="259"/>
      <c r="R156" s="19"/>
      <c r="S156" s="19"/>
      <c r="U156" s="260"/>
      <c r="V156" s="259"/>
      <c r="W156" s="16"/>
      <c r="X156" s="8"/>
      <c r="Z156" s="260"/>
      <c r="AA156" s="259"/>
      <c r="AB156" s="56"/>
      <c r="AC156" s="8"/>
      <c r="AE156" s="260"/>
      <c r="AF156" s="259"/>
      <c r="AG156" s="241"/>
      <c r="AH156" s="55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</row>
    <row r="157" spans="1:53" outlineLevel="2" x14ac:dyDescent="0.25">
      <c r="A157" s="261">
        <v>32</v>
      </c>
      <c r="B157" s="260">
        <v>4.83</v>
      </c>
      <c r="C157" s="259">
        <v>9.4499999999999993</v>
      </c>
      <c r="D157" s="94"/>
      <c r="E157" s="56"/>
      <c r="G157" s="264"/>
      <c r="H157" s="267"/>
      <c r="I157" s="56"/>
      <c r="K157" s="260">
        <v>9.25</v>
      </c>
      <c r="L157" s="259">
        <v>9.6300000000000008</v>
      </c>
      <c r="M157" s="16"/>
      <c r="N157" s="246"/>
      <c r="P157" s="260"/>
      <c r="Q157" s="259"/>
      <c r="R157" s="245"/>
      <c r="S157" s="246"/>
      <c r="U157" s="260"/>
      <c r="V157" s="259"/>
      <c r="W157" s="16"/>
      <c r="X157" s="246"/>
      <c r="Z157" s="260"/>
      <c r="AA157" s="259"/>
      <c r="AB157" s="19"/>
      <c r="AC157" s="8"/>
      <c r="AE157" s="260"/>
      <c r="AF157" s="259"/>
      <c r="AG157" s="241"/>
      <c r="AH157" s="55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</row>
    <row r="158" spans="1:53" outlineLevel="2" x14ac:dyDescent="0.25">
      <c r="A158" s="261"/>
      <c r="B158" s="260"/>
      <c r="C158" s="259"/>
      <c r="D158" s="18"/>
      <c r="E158" s="240"/>
      <c r="G158" s="264"/>
      <c r="H158" s="267"/>
      <c r="I158" s="56"/>
      <c r="K158" s="260"/>
      <c r="L158" s="259"/>
      <c r="M158" s="245"/>
      <c r="N158" s="246"/>
      <c r="P158" s="260"/>
      <c r="Q158" s="259"/>
      <c r="R158" s="241"/>
      <c r="S158" s="246"/>
      <c r="U158" s="260">
        <v>4.91</v>
      </c>
      <c r="V158" s="259">
        <v>9.4700000000000006</v>
      </c>
      <c r="W158" s="16"/>
      <c r="X158" s="8"/>
      <c r="Z158" s="260"/>
      <c r="AA158" s="259"/>
      <c r="AB158" s="19"/>
      <c r="AC158" s="8"/>
      <c r="AE158" s="260"/>
      <c r="AF158" s="259"/>
      <c r="AG158" s="241"/>
      <c r="AH158" s="55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</row>
    <row r="159" spans="1:53" outlineLevel="2" x14ac:dyDescent="0.25">
      <c r="A159" s="261"/>
      <c r="B159" s="260"/>
      <c r="C159" s="259"/>
      <c r="D159" s="18"/>
      <c r="E159" s="240"/>
      <c r="G159" s="264"/>
      <c r="H159" s="267"/>
      <c r="I159" s="56"/>
      <c r="K159" s="260"/>
      <c r="L159" s="259"/>
      <c r="M159" s="245"/>
      <c r="N159" s="246"/>
      <c r="P159" s="260"/>
      <c r="Q159" s="259"/>
      <c r="R159" s="241"/>
      <c r="S159" s="246"/>
      <c r="U159" s="260"/>
      <c r="V159" s="259"/>
      <c r="W159" s="16"/>
      <c r="X159" s="8"/>
      <c r="Z159" s="260"/>
      <c r="AA159" s="259"/>
      <c r="AB159" s="19"/>
      <c r="AC159" s="8"/>
      <c r="AE159" s="260"/>
      <c r="AF159" s="259"/>
      <c r="AG159" s="241"/>
      <c r="AH159" s="55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</row>
    <row r="160" spans="1:53" outlineLevel="2" x14ac:dyDescent="0.25">
      <c r="A160" s="261"/>
      <c r="B160" s="260"/>
      <c r="C160" s="259"/>
      <c r="D160" s="18"/>
      <c r="E160" s="240"/>
      <c r="G160" s="264"/>
      <c r="H160" s="267"/>
      <c r="I160" s="56"/>
      <c r="K160" s="260"/>
      <c r="L160" s="259"/>
      <c r="M160" s="245"/>
      <c r="N160" s="246"/>
      <c r="P160" s="260"/>
      <c r="Q160" s="259"/>
      <c r="R160" s="241"/>
      <c r="S160" s="246"/>
      <c r="U160" s="260"/>
      <c r="V160" s="259"/>
      <c r="W160" s="16"/>
      <c r="X160" s="8"/>
      <c r="Z160" s="260"/>
      <c r="AA160" s="259"/>
      <c r="AB160" s="19"/>
      <c r="AC160" s="8"/>
      <c r="AE160" s="260"/>
      <c r="AF160" s="259"/>
      <c r="AG160" s="241"/>
      <c r="AH160" s="55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</row>
    <row r="161" spans="1:53" outlineLevel="2" x14ac:dyDescent="0.25">
      <c r="A161" s="261"/>
      <c r="B161" s="260"/>
      <c r="C161" s="259"/>
      <c r="D161" s="18"/>
      <c r="E161" s="240"/>
      <c r="G161" s="264"/>
      <c r="H161" s="267"/>
      <c r="I161" s="56"/>
      <c r="K161" s="260"/>
      <c r="L161" s="259"/>
      <c r="M161" s="245"/>
      <c r="N161" s="246"/>
      <c r="P161" s="260"/>
      <c r="Q161" s="259"/>
      <c r="R161" s="241"/>
      <c r="S161" s="246"/>
      <c r="U161" s="260"/>
      <c r="V161" s="259"/>
      <c r="W161" s="16"/>
      <c r="X161" s="8"/>
      <c r="Z161" s="260"/>
      <c r="AA161" s="259"/>
      <c r="AB161" s="19">
        <v>0.5</v>
      </c>
      <c r="AC161" s="238" t="s">
        <v>270</v>
      </c>
      <c r="AE161" s="260"/>
      <c r="AF161" s="259"/>
      <c r="AG161" s="241"/>
      <c r="AH161" s="55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</row>
    <row r="162" spans="1:53" outlineLevel="2" x14ac:dyDescent="0.25">
      <c r="A162" s="261"/>
      <c r="B162" s="260"/>
      <c r="C162" s="259"/>
      <c r="D162" s="18"/>
      <c r="E162" s="240"/>
      <c r="G162" s="264"/>
      <c r="H162" s="267"/>
      <c r="I162" s="56"/>
      <c r="K162" s="260"/>
      <c r="L162" s="259"/>
      <c r="M162" s="241">
        <f>K157+K167-M166-M168-M169-M170-M171-M172-M173-M176-M178</f>
        <v>3.1400000000000006</v>
      </c>
      <c r="N162" s="249" t="s">
        <v>271</v>
      </c>
      <c r="P162" s="260"/>
      <c r="Q162" s="259"/>
      <c r="R162" s="56"/>
      <c r="S162" s="49"/>
      <c r="U162" s="260"/>
      <c r="V162" s="259"/>
      <c r="W162" s="16"/>
      <c r="X162" s="8"/>
      <c r="Z162" s="260"/>
      <c r="AA162" s="259"/>
      <c r="AB162" s="19"/>
      <c r="AC162" s="8"/>
      <c r="AE162" s="260"/>
      <c r="AF162" s="259"/>
      <c r="AG162" s="241"/>
      <c r="AH162" s="55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</row>
    <row r="163" spans="1:53" outlineLevel="2" x14ac:dyDescent="0.25">
      <c r="A163" s="261"/>
      <c r="B163" s="260"/>
      <c r="C163" s="259"/>
      <c r="D163" s="18"/>
      <c r="E163" s="240"/>
      <c r="G163" s="264"/>
      <c r="H163" s="267"/>
      <c r="I163" s="56"/>
      <c r="K163" s="260"/>
      <c r="L163" s="259"/>
      <c r="M163" s="245"/>
      <c r="N163" s="246"/>
      <c r="P163" s="260"/>
      <c r="Q163" s="259"/>
      <c r="R163" s="241"/>
      <c r="S163" s="246"/>
      <c r="U163" s="260"/>
      <c r="V163" s="259"/>
      <c r="W163" s="245">
        <v>0.2</v>
      </c>
      <c r="X163" s="75" t="s">
        <v>318</v>
      </c>
      <c r="Z163" s="260"/>
      <c r="AA163" s="259"/>
      <c r="AB163" s="19"/>
      <c r="AC163" s="8"/>
      <c r="AE163" s="260"/>
      <c r="AF163" s="259"/>
      <c r="AG163" s="241"/>
      <c r="AH163" s="55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</row>
    <row r="164" spans="1:53" outlineLevel="2" x14ac:dyDescent="0.25">
      <c r="A164" s="261"/>
      <c r="B164" s="260"/>
      <c r="C164" s="259"/>
      <c r="D164" s="246"/>
      <c r="E164" s="240"/>
      <c r="G164" s="264"/>
      <c r="H164" s="267"/>
      <c r="I164" s="240"/>
      <c r="K164" s="260"/>
      <c r="L164" s="259"/>
      <c r="M164" s="245"/>
      <c r="N164" s="240"/>
      <c r="P164" s="260"/>
      <c r="Q164" s="259"/>
      <c r="R164" s="241"/>
      <c r="S164" s="240"/>
      <c r="U164" s="260"/>
      <c r="V164" s="259"/>
      <c r="W164" s="16"/>
      <c r="X164" s="8"/>
      <c r="Z164" s="260"/>
      <c r="AA164" s="259"/>
      <c r="AB164" s="19"/>
      <c r="AC164" s="8"/>
      <c r="AE164" s="260"/>
      <c r="AF164" s="259"/>
      <c r="AG164" s="241"/>
      <c r="AH164" s="55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111"/>
    </row>
    <row r="165" spans="1:53" outlineLevel="2" x14ac:dyDescent="0.25">
      <c r="A165" s="261"/>
      <c r="B165" s="260"/>
      <c r="C165" s="259"/>
      <c r="D165" s="246"/>
      <c r="E165" s="240"/>
      <c r="G165" s="264"/>
      <c r="H165" s="267"/>
      <c r="I165" s="240"/>
      <c r="K165" s="260"/>
      <c r="L165" s="259"/>
      <c r="M165" s="16"/>
      <c r="N165" s="246"/>
      <c r="P165" s="260"/>
      <c r="Q165" s="259"/>
      <c r="R165" s="241"/>
      <c r="S165" s="246"/>
      <c r="U165" s="260"/>
      <c r="V165" s="259"/>
      <c r="W165" s="16"/>
      <c r="X165" s="241"/>
      <c r="Z165" s="260"/>
      <c r="AA165" s="259"/>
      <c r="AB165" s="241"/>
      <c r="AC165" s="241"/>
      <c r="AE165" s="260"/>
      <c r="AF165" s="259"/>
      <c r="AG165" s="241"/>
      <c r="AH165" s="55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</row>
    <row r="166" spans="1:53" outlineLevel="1" x14ac:dyDescent="0.25">
      <c r="A166" s="261"/>
      <c r="B166" s="260"/>
      <c r="C166" s="259"/>
      <c r="D166" s="246">
        <f>B157</f>
        <v>4.83</v>
      </c>
      <c r="E166" s="6" t="s">
        <v>26</v>
      </c>
      <c r="G166" s="265"/>
      <c r="H166" s="268"/>
      <c r="I166" s="116"/>
      <c r="K166" s="260"/>
      <c r="L166" s="259"/>
      <c r="M166" s="245">
        <v>4.8</v>
      </c>
      <c r="N166" s="6" t="s">
        <v>26</v>
      </c>
      <c r="P166" s="260"/>
      <c r="Q166" s="259"/>
      <c r="R166" s="241">
        <f>P154-R157</f>
        <v>4.67</v>
      </c>
      <c r="S166" s="6" t="s">
        <v>26</v>
      </c>
      <c r="U166" s="260"/>
      <c r="V166" s="259"/>
      <c r="W166" s="245">
        <f>U158-W163</f>
        <v>4.71</v>
      </c>
      <c r="X166" s="6" t="s">
        <v>26</v>
      </c>
      <c r="Z166" s="260"/>
      <c r="AA166" s="259"/>
      <c r="AB166" s="241">
        <f>Z154-AB154-AB161+Z167</f>
        <v>4.07</v>
      </c>
      <c r="AC166" s="6" t="s">
        <v>26</v>
      </c>
      <c r="AE166" s="260"/>
      <c r="AF166" s="259"/>
      <c r="AG166" s="241">
        <f>AE154-AG154</f>
        <v>4</v>
      </c>
      <c r="AH166" s="6" t="s">
        <v>26</v>
      </c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</row>
    <row r="167" spans="1:53" outlineLevel="1" x14ac:dyDescent="0.25">
      <c r="A167" s="261">
        <v>33</v>
      </c>
      <c r="B167" s="260">
        <v>2.06</v>
      </c>
      <c r="C167" s="259">
        <v>9.5299999999999994</v>
      </c>
      <c r="D167" s="246"/>
      <c r="E167" s="240"/>
      <c r="G167" s="260">
        <v>2.5499999999999998</v>
      </c>
      <c r="H167" s="259">
        <v>9.64</v>
      </c>
      <c r="I167" s="241"/>
      <c r="K167" s="260">
        <v>1.24</v>
      </c>
      <c r="L167" s="259">
        <v>9.73</v>
      </c>
      <c r="M167" s="16"/>
      <c r="N167" s="240"/>
      <c r="P167" s="260">
        <v>0.7</v>
      </c>
      <c r="Q167" s="259">
        <v>9.64</v>
      </c>
      <c r="R167" s="241"/>
      <c r="S167" s="240"/>
      <c r="U167" s="260">
        <v>0.39</v>
      </c>
      <c r="V167" s="259">
        <v>9.64</v>
      </c>
      <c r="W167" s="16"/>
      <c r="X167" s="240"/>
      <c r="Z167" s="260">
        <v>0.11</v>
      </c>
      <c r="AA167" s="259">
        <v>9.58</v>
      </c>
      <c r="AB167" s="241"/>
      <c r="AC167" s="240"/>
      <c r="AE167" s="260">
        <v>0.18</v>
      </c>
      <c r="AF167" s="259">
        <v>9.8000000000000007</v>
      </c>
      <c r="AG167" s="241"/>
      <c r="AH167" s="240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111"/>
    </row>
    <row r="168" spans="1:53" ht="16.5" customHeight="1" outlineLevel="1" x14ac:dyDescent="0.25">
      <c r="A168" s="261"/>
      <c r="B168" s="260"/>
      <c r="C168" s="259"/>
      <c r="D168" s="246">
        <f>(B167-D170-D173-D171-D172-D169)</f>
        <v>1.7499999999999998</v>
      </c>
      <c r="E168" s="7" t="s">
        <v>245</v>
      </c>
      <c r="G168" s="260"/>
      <c r="H168" s="259"/>
      <c r="I168" s="241"/>
      <c r="K168" s="260"/>
      <c r="L168" s="259"/>
      <c r="M168" s="16">
        <v>2</v>
      </c>
      <c r="N168" s="7" t="s">
        <v>245</v>
      </c>
      <c r="P168" s="260"/>
      <c r="Q168" s="259"/>
      <c r="R168" s="241"/>
      <c r="S168" s="240"/>
      <c r="U168" s="260"/>
      <c r="V168" s="259"/>
      <c r="W168" s="16"/>
      <c r="X168" s="240"/>
      <c r="Z168" s="260"/>
      <c r="AA168" s="259"/>
      <c r="AB168" s="241"/>
      <c r="AC168" s="240"/>
      <c r="AE168" s="260"/>
      <c r="AF168" s="259"/>
      <c r="AG168" s="241"/>
      <c r="AH168" s="240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</row>
    <row r="169" spans="1:53" outlineLevel="1" x14ac:dyDescent="0.25">
      <c r="A169" s="261"/>
      <c r="B169" s="260"/>
      <c r="C169" s="259"/>
      <c r="D169" s="245">
        <f>M169</f>
        <v>7.0000000000000007E-2</v>
      </c>
      <c r="E169" s="7" t="s">
        <v>229</v>
      </c>
      <c r="G169" s="260"/>
      <c r="H169" s="259"/>
      <c r="I169" s="241"/>
      <c r="K169" s="260"/>
      <c r="L169" s="259"/>
      <c r="M169" s="16">
        <v>7.0000000000000007E-2</v>
      </c>
      <c r="N169" s="7" t="s">
        <v>229</v>
      </c>
      <c r="P169" s="260"/>
      <c r="Q169" s="259"/>
      <c r="R169" s="241"/>
      <c r="S169" s="240"/>
      <c r="U169" s="260"/>
      <c r="V169" s="259"/>
      <c r="W169" s="16"/>
      <c r="X169" s="240"/>
      <c r="Z169" s="260"/>
      <c r="AA169" s="259"/>
      <c r="AB169" s="241"/>
      <c r="AC169" s="240"/>
      <c r="AE169" s="260"/>
      <c r="AF169" s="259"/>
      <c r="AG169" s="241"/>
      <c r="AH169" s="240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</row>
    <row r="170" spans="1:53" outlineLevel="1" x14ac:dyDescent="0.25">
      <c r="A170" s="261"/>
      <c r="B170" s="260"/>
      <c r="C170" s="259"/>
      <c r="D170" s="245">
        <v>0.1</v>
      </c>
      <c r="E170" s="7" t="s">
        <v>230</v>
      </c>
      <c r="G170" s="260"/>
      <c r="H170" s="259"/>
      <c r="I170" s="241"/>
      <c r="K170" s="260"/>
      <c r="L170" s="259"/>
      <c r="M170" s="16">
        <f>D170</f>
        <v>0.1</v>
      </c>
      <c r="N170" s="7" t="s">
        <v>230</v>
      </c>
      <c r="P170" s="260"/>
      <c r="Q170" s="259"/>
      <c r="R170" s="56"/>
      <c r="S170" s="49"/>
      <c r="U170" s="260"/>
      <c r="V170" s="259"/>
      <c r="W170" s="19"/>
      <c r="X170" s="49"/>
      <c r="Z170" s="260"/>
      <c r="AA170" s="259"/>
      <c r="AB170" s="241"/>
      <c r="AC170" s="240"/>
      <c r="AE170" s="260"/>
      <c r="AF170" s="259"/>
      <c r="AG170" s="241"/>
      <c r="AH170" s="240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11"/>
    </row>
    <row r="171" spans="1:53" outlineLevel="1" x14ac:dyDescent="0.25">
      <c r="A171" s="261"/>
      <c r="B171" s="260"/>
      <c r="C171" s="259"/>
      <c r="D171" s="245">
        <v>0.01</v>
      </c>
      <c r="E171" s="249" t="s">
        <v>355</v>
      </c>
      <c r="G171" s="260"/>
      <c r="H171" s="259"/>
      <c r="I171" s="241"/>
      <c r="K171" s="260"/>
      <c r="L171" s="259"/>
      <c r="M171" s="16">
        <v>0.01</v>
      </c>
      <c r="N171" s="249" t="s">
        <v>355</v>
      </c>
      <c r="P171" s="260"/>
      <c r="Q171" s="259"/>
      <c r="R171" s="241">
        <v>0.25</v>
      </c>
      <c r="S171" s="249" t="s">
        <v>355</v>
      </c>
      <c r="U171" s="260"/>
      <c r="V171" s="259"/>
      <c r="W171" s="16">
        <f>U167-W173-W176</f>
        <v>0.25</v>
      </c>
      <c r="X171" s="249" t="s">
        <v>355</v>
      </c>
      <c r="Z171" s="260"/>
      <c r="AA171" s="259"/>
      <c r="AB171" s="241"/>
      <c r="AC171" s="240"/>
      <c r="AE171" s="260"/>
      <c r="AF171" s="259"/>
      <c r="AG171" s="241"/>
      <c r="AH171" s="240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</row>
    <row r="172" spans="1:53" outlineLevel="1" x14ac:dyDescent="0.25">
      <c r="A172" s="261"/>
      <c r="B172" s="260"/>
      <c r="C172" s="259"/>
      <c r="D172" s="245">
        <f>M172</f>
        <v>7.0000000000000007E-2</v>
      </c>
      <c r="E172" s="249" t="s">
        <v>231</v>
      </c>
      <c r="G172" s="260"/>
      <c r="H172" s="259"/>
      <c r="I172" s="241"/>
      <c r="K172" s="260"/>
      <c r="L172" s="259"/>
      <c r="M172" s="16">
        <v>7.0000000000000007E-2</v>
      </c>
      <c r="N172" s="249" t="s">
        <v>231</v>
      </c>
      <c r="P172" s="260"/>
      <c r="Q172" s="259"/>
      <c r="R172" s="56"/>
      <c r="S172" s="49"/>
      <c r="U172" s="260"/>
      <c r="V172" s="259"/>
      <c r="W172" s="19"/>
      <c r="X172" s="49"/>
      <c r="Z172" s="260"/>
      <c r="AA172" s="259"/>
      <c r="AB172" s="241"/>
      <c r="AC172" s="240"/>
      <c r="AE172" s="260"/>
      <c r="AF172" s="259"/>
      <c r="AG172" s="241"/>
      <c r="AH172" s="240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111"/>
    </row>
    <row r="173" spans="1:53" ht="18" customHeight="1" outlineLevel="1" x14ac:dyDescent="0.25">
      <c r="A173" s="261"/>
      <c r="B173" s="260"/>
      <c r="C173" s="259"/>
      <c r="D173" s="245">
        <f>M173</f>
        <v>0.06</v>
      </c>
      <c r="E173" s="62" t="s">
        <v>351</v>
      </c>
      <c r="G173" s="260"/>
      <c r="H173" s="259"/>
      <c r="I173" s="241"/>
      <c r="K173" s="260"/>
      <c r="L173" s="259"/>
      <c r="M173" s="16">
        <f>R173</f>
        <v>0.06</v>
      </c>
      <c r="N173" s="62" t="s">
        <v>351</v>
      </c>
      <c r="P173" s="260"/>
      <c r="Q173" s="259"/>
      <c r="R173" s="241">
        <v>0.06</v>
      </c>
      <c r="S173" s="62" t="s">
        <v>351</v>
      </c>
      <c r="U173" s="260"/>
      <c r="V173" s="259"/>
      <c r="W173" s="16">
        <f>R173</f>
        <v>0.06</v>
      </c>
      <c r="X173" s="62" t="s">
        <v>351</v>
      </c>
      <c r="Z173" s="260"/>
      <c r="AA173" s="259"/>
      <c r="AB173" s="241"/>
      <c r="AC173" s="240"/>
      <c r="AE173" s="260"/>
      <c r="AF173" s="259"/>
      <c r="AG173" s="241"/>
      <c r="AH173" s="240"/>
      <c r="AR173" s="111"/>
      <c r="AS173" s="111"/>
      <c r="AT173" s="111"/>
      <c r="AU173" s="111"/>
      <c r="AV173" s="111"/>
      <c r="AW173" s="111"/>
      <c r="AX173" s="111"/>
      <c r="AY173" s="111"/>
      <c r="AZ173" s="111"/>
      <c r="BA173" s="111"/>
    </row>
    <row r="174" spans="1:53" outlineLevel="1" x14ac:dyDescent="0.25">
      <c r="A174" s="261"/>
      <c r="B174" s="260"/>
      <c r="C174" s="259"/>
      <c r="D174" s="18"/>
      <c r="E174" s="8"/>
      <c r="G174" s="260"/>
      <c r="H174" s="259"/>
      <c r="I174" s="241"/>
      <c r="K174" s="260"/>
      <c r="L174" s="259"/>
      <c r="M174" s="16"/>
      <c r="N174" s="49"/>
      <c r="P174" s="260"/>
      <c r="Q174" s="259"/>
      <c r="R174" s="56"/>
      <c r="S174" s="49"/>
      <c r="U174" s="260"/>
      <c r="V174" s="259"/>
      <c r="W174" s="19"/>
      <c r="X174" s="49"/>
      <c r="Z174" s="260"/>
      <c r="AA174" s="259"/>
      <c r="AB174" s="241"/>
      <c r="AC174" s="240"/>
      <c r="AE174" s="260"/>
      <c r="AF174" s="259"/>
      <c r="AG174" s="241"/>
      <c r="AH174" s="240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</row>
    <row r="175" spans="1:53" outlineLevel="1" x14ac:dyDescent="0.25">
      <c r="A175" s="261"/>
      <c r="B175" s="260"/>
      <c r="C175" s="259"/>
      <c r="D175" s="246"/>
      <c r="E175" s="240"/>
      <c r="G175" s="260"/>
      <c r="H175" s="259"/>
      <c r="I175" s="240"/>
      <c r="K175" s="260"/>
      <c r="L175" s="259"/>
      <c r="M175" s="245"/>
      <c r="N175" s="16"/>
      <c r="P175" s="260"/>
      <c r="Q175" s="259"/>
      <c r="R175" s="241">
        <f>P167-R171-R173-R209-R176</f>
        <v>0.17999999999999994</v>
      </c>
      <c r="S175" s="70" t="s">
        <v>346</v>
      </c>
      <c r="U175" s="260"/>
      <c r="V175" s="259"/>
      <c r="W175" s="19"/>
      <c r="X175" s="240"/>
      <c r="Z175" s="260"/>
      <c r="AA175" s="259"/>
      <c r="AB175" s="241"/>
      <c r="AC175" s="240"/>
      <c r="AE175" s="260"/>
      <c r="AF175" s="259"/>
      <c r="AG175" s="241"/>
      <c r="AH175" s="240"/>
      <c r="AR175" s="111"/>
      <c r="AS175" s="111"/>
      <c r="AT175" s="111"/>
      <c r="AU175" s="111"/>
      <c r="AV175" s="111"/>
      <c r="AW175" s="111"/>
      <c r="AX175" s="111"/>
      <c r="AY175" s="111"/>
      <c r="AZ175" s="111"/>
      <c r="BA175" s="111"/>
    </row>
    <row r="176" spans="1:53" outlineLevel="1" x14ac:dyDescent="0.25">
      <c r="A176" s="261">
        <v>34</v>
      </c>
      <c r="B176" s="260">
        <v>0.24</v>
      </c>
      <c r="C176" s="259">
        <v>9.68</v>
      </c>
      <c r="D176" s="246">
        <f>B176/2</f>
        <v>0.12</v>
      </c>
      <c r="E176" s="6" t="s">
        <v>414</v>
      </c>
      <c r="G176" s="260"/>
      <c r="H176" s="259"/>
      <c r="I176" s="116"/>
      <c r="K176" s="260"/>
      <c r="L176" s="259"/>
      <c r="M176" s="245">
        <v>0.12</v>
      </c>
      <c r="N176" s="6" t="s">
        <v>414</v>
      </c>
      <c r="P176" s="260"/>
      <c r="Q176" s="259"/>
      <c r="R176" s="241">
        <v>0.08</v>
      </c>
      <c r="S176" s="6" t="s">
        <v>227</v>
      </c>
      <c r="U176" s="260"/>
      <c r="V176" s="259"/>
      <c r="W176" s="245">
        <f>R176</f>
        <v>0.08</v>
      </c>
      <c r="X176" s="6" t="s">
        <v>227</v>
      </c>
      <c r="Z176" s="260"/>
      <c r="AA176" s="259"/>
      <c r="AB176" s="241"/>
      <c r="AC176" s="240"/>
      <c r="AE176" s="260"/>
      <c r="AF176" s="259"/>
      <c r="AG176" s="241"/>
      <c r="AH176" s="240"/>
      <c r="AR176" s="111"/>
      <c r="AS176" s="111"/>
      <c r="AT176" s="111"/>
      <c r="AU176" s="111"/>
      <c r="AV176" s="111"/>
      <c r="AW176" s="111"/>
      <c r="AX176" s="111"/>
      <c r="AY176" s="111"/>
      <c r="AZ176" s="111"/>
      <c r="BA176" s="111"/>
    </row>
    <row r="177" spans="1:53" outlineLevel="1" x14ac:dyDescent="0.25">
      <c r="A177" s="261"/>
      <c r="B177" s="260"/>
      <c r="C177" s="259"/>
      <c r="D177" s="18"/>
      <c r="E177" s="8"/>
      <c r="G177" s="260"/>
      <c r="H177" s="259"/>
      <c r="I177" s="240"/>
      <c r="K177" s="260"/>
      <c r="L177" s="259"/>
      <c r="M177" s="241"/>
      <c r="N177" s="8"/>
      <c r="P177" s="260"/>
      <c r="Q177" s="259"/>
      <c r="R177" s="56"/>
      <c r="S177" s="49"/>
      <c r="U177" s="260"/>
      <c r="V177" s="259"/>
      <c r="W177" s="16"/>
      <c r="X177" s="240"/>
      <c r="Z177" s="260"/>
      <c r="AA177" s="259"/>
      <c r="AB177" s="241"/>
      <c r="AC177" s="240"/>
      <c r="AE177" s="260"/>
      <c r="AF177" s="259"/>
      <c r="AG177" s="241"/>
      <c r="AH177" s="240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11"/>
    </row>
    <row r="178" spans="1:53" outlineLevel="1" x14ac:dyDescent="0.25">
      <c r="A178" s="261"/>
      <c r="B178" s="260"/>
      <c r="C178" s="259"/>
      <c r="D178" s="246">
        <f>B176/2</f>
        <v>0.12</v>
      </c>
      <c r="E178" s="7" t="s">
        <v>232</v>
      </c>
      <c r="G178" s="260"/>
      <c r="H178" s="259"/>
      <c r="I178" s="240"/>
      <c r="K178" s="260"/>
      <c r="L178" s="259"/>
      <c r="M178" s="245">
        <f>D178</f>
        <v>0.12</v>
      </c>
      <c r="N178" s="7" t="s">
        <v>232</v>
      </c>
      <c r="P178" s="260"/>
      <c r="Q178" s="259"/>
      <c r="R178" s="56"/>
      <c r="S178" s="49"/>
      <c r="U178" s="260"/>
      <c r="V178" s="259"/>
      <c r="W178" s="16"/>
      <c r="X178" s="240"/>
      <c r="Z178" s="260"/>
      <c r="AA178" s="259"/>
      <c r="AB178" s="241"/>
      <c r="AC178" s="240"/>
      <c r="AE178" s="260"/>
      <c r="AF178" s="259"/>
      <c r="AG178" s="241"/>
      <c r="AH178" s="240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</row>
    <row r="179" spans="1:53" outlineLevel="1" x14ac:dyDescent="0.25">
      <c r="A179" s="261"/>
      <c r="B179" s="260"/>
      <c r="C179" s="259"/>
      <c r="D179" s="18"/>
      <c r="E179" s="18"/>
      <c r="G179" s="260"/>
      <c r="H179" s="259"/>
      <c r="I179" s="240"/>
      <c r="K179" s="260"/>
      <c r="L179" s="259"/>
      <c r="M179" s="16"/>
      <c r="N179" s="49"/>
      <c r="P179" s="260"/>
      <c r="Q179" s="259"/>
      <c r="R179" s="241"/>
      <c r="S179" s="240"/>
      <c r="U179" s="260"/>
      <c r="V179" s="259"/>
      <c r="W179" s="245"/>
      <c r="X179" s="240"/>
      <c r="Z179" s="260"/>
      <c r="AA179" s="259"/>
      <c r="AB179" s="241"/>
      <c r="AC179" s="240"/>
      <c r="AE179" s="260"/>
      <c r="AF179" s="259"/>
      <c r="AG179" s="241"/>
      <c r="AH179" s="240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</row>
    <row r="180" spans="1:53" outlineLevel="1" x14ac:dyDescent="0.25">
      <c r="A180" s="261">
        <v>35</v>
      </c>
      <c r="B180" s="260">
        <v>0.73</v>
      </c>
      <c r="C180" s="259">
        <v>9.81</v>
      </c>
      <c r="D180" s="246"/>
      <c r="E180" s="56"/>
      <c r="G180" s="260">
        <v>0.63</v>
      </c>
      <c r="H180" s="259">
        <v>9.76</v>
      </c>
      <c r="I180" s="240"/>
      <c r="K180" s="260">
        <v>0.47</v>
      </c>
      <c r="L180" s="259">
        <v>9.8800000000000008</v>
      </c>
      <c r="M180" s="245"/>
      <c r="N180" s="49"/>
      <c r="P180" s="260"/>
      <c r="Q180" s="259"/>
      <c r="R180" s="56"/>
      <c r="S180" s="49"/>
      <c r="U180" s="260"/>
      <c r="V180" s="259"/>
      <c r="W180" s="16"/>
      <c r="X180" s="240"/>
      <c r="Z180" s="260"/>
      <c r="AA180" s="259"/>
      <c r="AB180" s="241"/>
      <c r="AC180" s="240"/>
      <c r="AE180" s="260"/>
      <c r="AF180" s="259"/>
      <c r="AG180" s="241"/>
      <c r="AH180" s="240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</row>
    <row r="181" spans="1:53" outlineLevel="1" x14ac:dyDescent="0.25">
      <c r="A181" s="261"/>
      <c r="B181" s="260"/>
      <c r="C181" s="259"/>
      <c r="D181" s="246"/>
      <c r="E181" s="240"/>
      <c r="G181" s="260"/>
      <c r="H181" s="259"/>
      <c r="I181" s="8"/>
      <c r="K181" s="260"/>
      <c r="L181" s="259"/>
      <c r="M181" s="245"/>
      <c r="N181" s="240"/>
      <c r="P181" s="260">
        <v>0.46</v>
      </c>
      <c r="Q181" s="259">
        <v>9.81</v>
      </c>
      <c r="R181" s="241"/>
      <c r="S181" s="240"/>
      <c r="U181" s="260">
        <v>0.56000000000000005</v>
      </c>
      <c r="V181" s="259">
        <v>9.81</v>
      </c>
      <c r="W181" s="16"/>
      <c r="X181" s="240"/>
      <c r="Z181" s="260">
        <v>0.37</v>
      </c>
      <c r="AA181" s="259">
        <v>9.7799999999999994</v>
      </c>
      <c r="AB181" s="241"/>
      <c r="AC181" s="240"/>
      <c r="AE181" s="260">
        <v>0.32</v>
      </c>
      <c r="AF181" s="259">
        <v>9.99</v>
      </c>
      <c r="AG181" s="241"/>
      <c r="AH181" s="240"/>
      <c r="AR181" s="111"/>
      <c r="AS181" s="111"/>
      <c r="AT181" s="111"/>
      <c r="AU181" s="111"/>
      <c r="AV181" s="111"/>
      <c r="AW181" s="111"/>
      <c r="AX181" s="111"/>
      <c r="AY181" s="111"/>
      <c r="AZ181" s="111"/>
      <c r="BA181" s="111"/>
    </row>
    <row r="182" spans="1:53" outlineLevel="1" x14ac:dyDescent="0.25">
      <c r="A182" s="261"/>
      <c r="B182" s="260"/>
      <c r="C182" s="259"/>
      <c r="D182" s="16">
        <f>(B180-D187)/4</f>
        <v>0.14249999999999999</v>
      </c>
      <c r="E182" s="7" t="s">
        <v>154</v>
      </c>
      <c r="G182" s="260"/>
      <c r="H182" s="259"/>
      <c r="I182" s="240"/>
      <c r="K182" s="260"/>
      <c r="L182" s="259"/>
      <c r="M182" s="16">
        <f>K180</f>
        <v>0.47</v>
      </c>
      <c r="N182" s="7" t="s">
        <v>154</v>
      </c>
      <c r="P182" s="260"/>
      <c r="Q182" s="259"/>
      <c r="R182" s="56"/>
      <c r="S182" s="49"/>
      <c r="U182" s="260"/>
      <c r="V182" s="259"/>
      <c r="W182" s="16"/>
      <c r="X182" s="240"/>
      <c r="Z182" s="260"/>
      <c r="AA182" s="259"/>
      <c r="AB182" s="241"/>
      <c r="AC182" s="240"/>
      <c r="AE182" s="260"/>
      <c r="AF182" s="259"/>
      <c r="AG182" s="241"/>
      <c r="AH182" s="240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</row>
    <row r="183" spans="1:53" outlineLevel="1" x14ac:dyDescent="0.25">
      <c r="A183" s="261"/>
      <c r="B183" s="260"/>
      <c r="C183" s="259"/>
      <c r="D183" s="18"/>
      <c r="E183" s="49"/>
      <c r="G183" s="263">
        <v>0.77</v>
      </c>
      <c r="H183" s="266">
        <v>9.92</v>
      </c>
      <c r="I183" s="240"/>
      <c r="K183" s="260">
        <v>0.75</v>
      </c>
      <c r="L183" s="259">
        <v>10</v>
      </c>
      <c r="M183" s="16"/>
      <c r="N183" s="49"/>
      <c r="P183" s="260"/>
      <c r="Q183" s="259"/>
      <c r="R183" s="241"/>
      <c r="S183" s="240"/>
      <c r="U183" s="260"/>
      <c r="V183" s="259"/>
      <c r="W183" s="245"/>
      <c r="X183" s="240"/>
      <c r="Z183" s="260"/>
      <c r="AA183" s="259"/>
      <c r="AB183" s="241"/>
      <c r="AC183" s="240"/>
      <c r="AE183" s="260"/>
      <c r="AF183" s="259"/>
      <c r="AG183" s="241"/>
      <c r="AH183" s="240"/>
      <c r="AR183" s="111"/>
      <c r="AS183" s="111"/>
      <c r="AT183" s="111"/>
      <c r="AU183" s="111"/>
      <c r="AV183" s="111"/>
      <c r="AW183" s="111"/>
      <c r="AX183" s="111"/>
      <c r="AY183" s="111"/>
      <c r="AZ183" s="111"/>
      <c r="BA183" s="111"/>
    </row>
    <row r="184" spans="1:53" outlineLevel="1" x14ac:dyDescent="0.25">
      <c r="A184" s="261"/>
      <c r="B184" s="260"/>
      <c r="C184" s="259"/>
      <c r="D184" s="16">
        <f>D182</f>
        <v>0.14249999999999999</v>
      </c>
      <c r="E184" s="7" t="s">
        <v>232</v>
      </c>
      <c r="G184" s="264"/>
      <c r="H184" s="267"/>
      <c r="I184" s="240"/>
      <c r="K184" s="260"/>
      <c r="L184" s="259"/>
      <c r="M184" s="16">
        <f>M187</f>
        <v>0.1875</v>
      </c>
      <c r="N184" s="7" t="s">
        <v>232</v>
      </c>
      <c r="P184" s="260"/>
      <c r="Q184" s="259"/>
      <c r="R184" s="241"/>
      <c r="S184" s="240"/>
      <c r="U184" s="260"/>
      <c r="V184" s="259"/>
      <c r="W184" s="245"/>
      <c r="X184" s="240"/>
      <c r="Z184" s="260"/>
      <c r="AA184" s="259"/>
      <c r="AB184" s="241"/>
      <c r="AC184" s="240"/>
      <c r="AE184" s="260"/>
      <c r="AF184" s="259"/>
      <c r="AG184" s="241"/>
      <c r="AH184" s="240"/>
      <c r="AR184" s="111"/>
      <c r="AS184" s="111"/>
      <c r="AT184" s="111"/>
      <c r="AU184" s="111"/>
      <c r="AV184" s="111"/>
      <c r="AW184" s="111"/>
      <c r="AX184" s="111"/>
      <c r="AY184" s="111"/>
      <c r="AZ184" s="111"/>
      <c r="BA184" s="111"/>
    </row>
    <row r="185" spans="1:53" outlineLevel="1" x14ac:dyDescent="0.25">
      <c r="A185" s="261"/>
      <c r="B185" s="260"/>
      <c r="C185" s="259"/>
      <c r="D185" s="16">
        <f>D182</f>
        <v>0.14249999999999999</v>
      </c>
      <c r="E185" s="59" t="s">
        <v>233</v>
      </c>
      <c r="G185" s="264"/>
      <c r="H185" s="267"/>
      <c r="I185" s="240"/>
      <c r="K185" s="260"/>
      <c r="L185" s="259"/>
      <c r="M185" s="16">
        <f>M187</f>
        <v>0.1875</v>
      </c>
      <c r="N185" s="59" t="s">
        <v>233</v>
      </c>
      <c r="P185" s="260"/>
      <c r="Q185" s="259"/>
      <c r="R185" s="241"/>
      <c r="S185" s="240"/>
      <c r="U185" s="260"/>
      <c r="V185" s="259"/>
      <c r="W185" s="245"/>
      <c r="X185" s="240"/>
      <c r="Z185" s="260"/>
      <c r="AA185" s="259"/>
      <c r="AB185" s="241"/>
      <c r="AC185" s="240"/>
      <c r="AE185" s="260"/>
      <c r="AF185" s="259"/>
      <c r="AG185" s="241"/>
      <c r="AH185" s="240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</row>
    <row r="186" spans="1:53" outlineLevel="1" x14ac:dyDescent="0.25">
      <c r="A186" s="261"/>
      <c r="B186" s="260"/>
      <c r="C186" s="259"/>
      <c r="D186" s="16">
        <f>D182</f>
        <v>0.14249999999999999</v>
      </c>
      <c r="E186" s="249" t="s">
        <v>214</v>
      </c>
      <c r="G186" s="264"/>
      <c r="H186" s="267"/>
      <c r="I186" s="240"/>
      <c r="K186" s="260"/>
      <c r="L186" s="259"/>
      <c r="M186" s="16">
        <f>M187</f>
        <v>0.1875</v>
      </c>
      <c r="N186" s="249" t="s">
        <v>214</v>
      </c>
      <c r="P186" s="260"/>
      <c r="Q186" s="259"/>
      <c r="R186" s="241"/>
      <c r="S186" s="240"/>
      <c r="U186" s="260"/>
      <c r="V186" s="259"/>
      <c r="W186" s="245"/>
      <c r="X186" s="240"/>
      <c r="Z186" s="260"/>
      <c r="AA186" s="259"/>
      <c r="AB186" s="241"/>
      <c r="AC186" s="240"/>
      <c r="AE186" s="260"/>
      <c r="AF186" s="259"/>
      <c r="AG186" s="241"/>
      <c r="AH186" s="240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</row>
    <row r="187" spans="1:53" outlineLevel="1" x14ac:dyDescent="0.25">
      <c r="A187" s="261"/>
      <c r="B187" s="260"/>
      <c r="C187" s="259"/>
      <c r="D187" s="18">
        <v>0.16</v>
      </c>
      <c r="E187" s="70" t="s">
        <v>234</v>
      </c>
      <c r="G187" s="264"/>
      <c r="H187" s="267"/>
      <c r="I187" s="240"/>
      <c r="K187" s="260"/>
      <c r="L187" s="259"/>
      <c r="M187" s="16">
        <f>K183/4</f>
        <v>0.1875</v>
      </c>
      <c r="N187" s="70" t="s">
        <v>234</v>
      </c>
      <c r="P187" s="260"/>
      <c r="Q187" s="259"/>
      <c r="R187" s="241"/>
      <c r="S187" s="240"/>
      <c r="U187" s="260"/>
      <c r="V187" s="259"/>
      <c r="W187" s="245"/>
      <c r="X187" s="240"/>
      <c r="Z187" s="260"/>
      <c r="AA187" s="259"/>
      <c r="AB187" s="241"/>
      <c r="AC187" s="240"/>
      <c r="AE187" s="260"/>
      <c r="AF187" s="259"/>
      <c r="AG187" s="241"/>
      <c r="AH187" s="240"/>
      <c r="AR187" s="111"/>
      <c r="AS187" s="111"/>
      <c r="AT187" s="111"/>
      <c r="AU187" s="111"/>
      <c r="AV187" s="111"/>
      <c r="AW187" s="111"/>
      <c r="AX187" s="111"/>
      <c r="AY187" s="111"/>
      <c r="AZ187" s="111"/>
      <c r="BA187" s="111"/>
    </row>
    <row r="188" spans="1:53" outlineLevel="1" x14ac:dyDescent="0.25">
      <c r="A188" s="261"/>
      <c r="B188" s="260"/>
      <c r="C188" s="259"/>
      <c r="D188" s="8"/>
      <c r="E188" s="240"/>
      <c r="G188" s="264"/>
      <c r="H188" s="267"/>
      <c r="I188" s="240"/>
      <c r="K188" s="260"/>
      <c r="L188" s="259"/>
      <c r="M188" s="16"/>
      <c r="N188" s="240"/>
      <c r="P188" s="260"/>
      <c r="Q188" s="259"/>
      <c r="R188" s="56"/>
      <c r="S188" s="49"/>
      <c r="U188" s="260"/>
      <c r="V188" s="259"/>
      <c r="W188" s="245"/>
      <c r="X188" s="240"/>
      <c r="Z188" s="260"/>
      <c r="AA188" s="259"/>
      <c r="AB188" s="241"/>
      <c r="AC188" s="240"/>
      <c r="AE188" s="260"/>
      <c r="AF188" s="259"/>
      <c r="AG188" s="241"/>
      <c r="AH188" s="240"/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</row>
    <row r="189" spans="1:53" outlineLevel="1" x14ac:dyDescent="0.25">
      <c r="A189" s="261"/>
      <c r="B189" s="260"/>
      <c r="C189" s="259"/>
      <c r="D189" s="246"/>
      <c r="E189" s="240"/>
      <c r="G189" s="265"/>
      <c r="H189" s="268"/>
      <c r="I189" s="240"/>
      <c r="K189" s="260"/>
      <c r="L189" s="259"/>
      <c r="M189" s="245"/>
      <c r="N189" s="55"/>
      <c r="P189" s="260"/>
      <c r="Q189" s="259"/>
      <c r="R189" s="241"/>
      <c r="S189" s="55"/>
      <c r="U189" s="260"/>
      <c r="V189" s="259"/>
      <c r="W189" s="245"/>
      <c r="X189" s="240"/>
      <c r="Z189" s="260"/>
      <c r="AA189" s="259"/>
      <c r="AB189" s="241"/>
      <c r="AC189" s="240"/>
      <c r="AE189" s="260"/>
      <c r="AF189" s="259"/>
      <c r="AG189" s="241"/>
      <c r="AH189" s="240"/>
      <c r="AR189" s="111"/>
      <c r="AS189" s="111"/>
      <c r="AT189" s="111"/>
      <c r="AU189" s="111"/>
      <c r="AV189" s="111"/>
      <c r="AW189" s="111"/>
      <c r="AX189" s="111"/>
      <c r="AY189" s="111"/>
      <c r="AZ189" s="111"/>
      <c r="BA189" s="111"/>
    </row>
    <row r="190" spans="1:53" outlineLevel="1" x14ac:dyDescent="0.25">
      <c r="A190" s="261">
        <v>36</v>
      </c>
      <c r="B190" s="260">
        <v>0.76</v>
      </c>
      <c r="C190" s="259">
        <v>10.02</v>
      </c>
      <c r="D190" s="245">
        <v>0.01</v>
      </c>
      <c r="E190" s="7" t="s">
        <v>230</v>
      </c>
      <c r="G190" s="260">
        <v>1.02</v>
      </c>
      <c r="H190" s="259">
        <v>10.130000000000001</v>
      </c>
      <c r="I190" s="19"/>
      <c r="K190" s="260">
        <v>0.66</v>
      </c>
      <c r="L190" s="259">
        <v>10.1</v>
      </c>
      <c r="M190" s="16">
        <f>D190</f>
        <v>0.01</v>
      </c>
      <c r="N190" s="7" t="s">
        <v>230</v>
      </c>
      <c r="P190" s="260"/>
      <c r="Q190" s="259"/>
      <c r="R190" s="241"/>
      <c r="S190" s="55"/>
      <c r="U190" s="260"/>
      <c r="V190" s="259"/>
      <c r="W190" s="245"/>
      <c r="X190" s="240"/>
      <c r="Z190" s="260"/>
      <c r="AA190" s="259"/>
      <c r="AB190" s="241"/>
      <c r="AC190" s="240"/>
      <c r="AE190" s="260"/>
      <c r="AF190" s="259"/>
      <c r="AG190" s="241"/>
      <c r="AH190" s="240"/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111"/>
    </row>
    <row r="191" spans="1:53" outlineLevel="1" x14ac:dyDescent="0.25">
      <c r="A191" s="261"/>
      <c r="B191" s="260"/>
      <c r="C191" s="259"/>
      <c r="D191" s="246">
        <f>B190-D190-D192-D193</f>
        <v>0.29000000000000004</v>
      </c>
      <c r="E191" s="70" t="s">
        <v>234</v>
      </c>
      <c r="G191" s="260"/>
      <c r="H191" s="259"/>
      <c r="I191" s="19"/>
      <c r="K191" s="260"/>
      <c r="L191" s="259"/>
      <c r="M191" s="16">
        <f>K190-M190-M192-M193</f>
        <v>0.19000000000000003</v>
      </c>
      <c r="N191" s="70" t="s">
        <v>234</v>
      </c>
      <c r="P191" s="260"/>
      <c r="Q191" s="259"/>
      <c r="R191" s="241"/>
      <c r="S191" s="55"/>
      <c r="U191" s="260"/>
      <c r="V191" s="259"/>
      <c r="W191" s="245"/>
      <c r="X191" s="240"/>
      <c r="Z191" s="260"/>
      <c r="AA191" s="259"/>
      <c r="AB191" s="241"/>
      <c r="AC191" s="240"/>
      <c r="AE191" s="260"/>
      <c r="AF191" s="259"/>
      <c r="AG191" s="241"/>
      <c r="AH191" s="240"/>
      <c r="AR191" s="111"/>
      <c r="AS191" s="111"/>
      <c r="AT191" s="111"/>
      <c r="AU191" s="111"/>
      <c r="AV191" s="111"/>
      <c r="AW191" s="111"/>
      <c r="AX191" s="111"/>
      <c r="AY191" s="111"/>
      <c r="AZ191" s="111"/>
      <c r="BA191" s="111"/>
    </row>
    <row r="192" spans="1:53" outlineLevel="1" x14ac:dyDescent="0.25">
      <c r="A192" s="261"/>
      <c r="B192" s="260"/>
      <c r="C192" s="259"/>
      <c r="D192" s="245">
        <v>0.23</v>
      </c>
      <c r="E192" s="81" t="s">
        <v>413</v>
      </c>
      <c r="G192" s="260"/>
      <c r="H192" s="259"/>
      <c r="I192" s="19"/>
      <c r="K192" s="260"/>
      <c r="L192" s="259"/>
      <c r="M192" s="16">
        <f>D192</f>
        <v>0.23</v>
      </c>
      <c r="N192" s="81" t="s">
        <v>413</v>
      </c>
      <c r="P192" s="260"/>
      <c r="Q192" s="259"/>
      <c r="R192" s="241">
        <f>P181/2</f>
        <v>0.23</v>
      </c>
      <c r="S192" s="81" t="s">
        <v>319</v>
      </c>
      <c r="U192" s="260"/>
      <c r="V192" s="259"/>
      <c r="W192" s="245">
        <f>U181/2</f>
        <v>0.28000000000000003</v>
      </c>
      <c r="X192" s="81" t="s">
        <v>319</v>
      </c>
      <c r="Z192" s="260"/>
      <c r="AA192" s="259"/>
      <c r="AB192" s="241"/>
      <c r="AC192" s="240"/>
      <c r="AE192" s="260"/>
      <c r="AF192" s="259"/>
      <c r="AG192" s="241"/>
      <c r="AH192" s="240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</row>
    <row r="193" spans="1:53" outlineLevel="1" x14ac:dyDescent="0.25">
      <c r="A193" s="261"/>
      <c r="B193" s="260"/>
      <c r="C193" s="259"/>
      <c r="D193" s="245">
        <v>0.23</v>
      </c>
      <c r="E193" s="81" t="s">
        <v>357</v>
      </c>
      <c r="G193" s="260"/>
      <c r="H193" s="259"/>
      <c r="I193" s="19"/>
      <c r="K193" s="260"/>
      <c r="L193" s="259"/>
      <c r="M193" s="16">
        <f>D193</f>
        <v>0.23</v>
      </c>
      <c r="N193" s="81" t="s">
        <v>357</v>
      </c>
      <c r="P193" s="260"/>
      <c r="Q193" s="259"/>
      <c r="R193" s="241">
        <v>0.23</v>
      </c>
      <c r="S193" s="81" t="s">
        <v>357</v>
      </c>
      <c r="U193" s="260"/>
      <c r="V193" s="259"/>
      <c r="W193" s="245">
        <f>0.28</f>
        <v>0.28000000000000003</v>
      </c>
      <c r="X193" s="81" t="s">
        <v>357</v>
      </c>
      <c r="Z193" s="260"/>
      <c r="AA193" s="259"/>
      <c r="AB193" s="241"/>
      <c r="AC193" s="240"/>
      <c r="AE193" s="260"/>
      <c r="AF193" s="259"/>
      <c r="AG193" s="241"/>
      <c r="AH193" s="240"/>
      <c r="AR193" s="111"/>
      <c r="AS193" s="111"/>
      <c r="AT193" s="111"/>
      <c r="AU193" s="111"/>
      <c r="AV193" s="111"/>
      <c r="AW193" s="111"/>
      <c r="AX193" s="111"/>
      <c r="AY193" s="111"/>
      <c r="AZ193" s="111"/>
      <c r="BA193" s="111"/>
    </row>
    <row r="194" spans="1:53" outlineLevel="1" x14ac:dyDescent="0.25">
      <c r="A194" s="261"/>
      <c r="B194" s="260"/>
      <c r="C194" s="259"/>
      <c r="D194" s="246"/>
      <c r="E194" s="19"/>
      <c r="G194" s="260"/>
      <c r="H194" s="259"/>
      <c r="I194" s="19"/>
      <c r="K194" s="260"/>
      <c r="L194" s="259"/>
      <c r="M194" s="16"/>
      <c r="N194" s="55"/>
      <c r="P194" s="260"/>
      <c r="Q194" s="259"/>
      <c r="R194" s="241"/>
      <c r="S194" s="55"/>
      <c r="U194" s="260"/>
      <c r="V194" s="259"/>
      <c r="W194" s="245"/>
      <c r="X194" s="240"/>
      <c r="Z194" s="260"/>
      <c r="AA194" s="259"/>
      <c r="AB194" s="241"/>
      <c r="AC194" s="240"/>
      <c r="AE194" s="260"/>
      <c r="AF194" s="259"/>
      <c r="AG194" s="241"/>
      <c r="AH194" s="240"/>
      <c r="AR194" s="111"/>
      <c r="AS194" s="111"/>
      <c r="AT194" s="111"/>
      <c r="AU194" s="111"/>
      <c r="AV194" s="111"/>
      <c r="AW194" s="111"/>
      <c r="AX194" s="111"/>
      <c r="AY194" s="111"/>
      <c r="AZ194" s="111"/>
      <c r="BA194" s="111"/>
    </row>
    <row r="195" spans="1:53" outlineLevel="1" x14ac:dyDescent="0.25">
      <c r="A195" s="261"/>
      <c r="B195" s="260"/>
      <c r="C195" s="259"/>
      <c r="D195" s="246"/>
      <c r="E195" s="240"/>
      <c r="G195" s="260"/>
      <c r="H195" s="259"/>
      <c r="I195" s="240"/>
      <c r="K195" s="260"/>
      <c r="L195" s="259"/>
      <c r="M195" s="245"/>
      <c r="N195" s="55"/>
      <c r="P195" s="260"/>
      <c r="Q195" s="259"/>
      <c r="R195" s="241"/>
      <c r="S195" s="55"/>
      <c r="U195" s="260"/>
      <c r="V195" s="259"/>
      <c r="W195" s="245"/>
      <c r="X195" s="240"/>
      <c r="Z195" s="260"/>
      <c r="AA195" s="259"/>
      <c r="AB195" s="241"/>
      <c r="AC195" s="240"/>
      <c r="AE195" s="260"/>
      <c r="AF195" s="259"/>
      <c r="AG195" s="241"/>
      <c r="AH195" s="240"/>
      <c r="AR195" s="111"/>
      <c r="AS195" s="111"/>
      <c r="AT195" s="111"/>
      <c r="AU195" s="111"/>
      <c r="AV195" s="111"/>
      <c r="AW195" s="111"/>
      <c r="AX195" s="111"/>
      <c r="AY195" s="111"/>
      <c r="AZ195" s="111"/>
      <c r="BA195" s="111"/>
    </row>
    <row r="196" spans="1:53" outlineLevel="1" x14ac:dyDescent="0.25">
      <c r="A196" s="262">
        <v>37</v>
      </c>
      <c r="B196" s="270">
        <v>1.1100000000000001</v>
      </c>
      <c r="C196" s="259">
        <v>10.119999999999999</v>
      </c>
      <c r="D196" s="246"/>
      <c r="E196" s="240"/>
      <c r="G196" s="260">
        <v>1.48</v>
      </c>
      <c r="H196" s="259">
        <v>10.23</v>
      </c>
      <c r="I196" s="240"/>
      <c r="K196" s="260">
        <v>3.24</v>
      </c>
      <c r="L196" s="259">
        <v>10.26</v>
      </c>
      <c r="M196" s="245"/>
      <c r="N196" s="240"/>
      <c r="P196" s="260">
        <v>1.63</v>
      </c>
      <c r="Q196" s="259">
        <v>10.02</v>
      </c>
      <c r="R196" s="241"/>
      <c r="S196" s="240"/>
      <c r="U196" s="241">
        <v>0.04</v>
      </c>
      <c r="V196" s="240">
        <v>9.93</v>
      </c>
      <c r="W196" s="245"/>
      <c r="X196" s="241"/>
      <c r="Z196" s="260">
        <v>0.34</v>
      </c>
      <c r="AA196" s="259">
        <v>9.98</v>
      </c>
      <c r="AB196" s="241"/>
      <c r="AC196" s="241"/>
      <c r="AE196" s="260">
        <v>0.23</v>
      </c>
      <c r="AF196" s="259">
        <v>10.18</v>
      </c>
      <c r="AG196" s="241"/>
      <c r="AH196" s="240"/>
      <c r="AR196" s="111"/>
      <c r="AS196" s="111"/>
      <c r="AT196" s="111"/>
      <c r="AU196" s="111"/>
      <c r="AV196" s="111"/>
      <c r="AW196" s="111"/>
      <c r="AX196" s="111"/>
      <c r="AY196" s="111"/>
      <c r="AZ196" s="111"/>
      <c r="BA196" s="111"/>
    </row>
    <row r="197" spans="1:53" outlineLevel="1" x14ac:dyDescent="0.25">
      <c r="A197" s="262"/>
      <c r="B197" s="270"/>
      <c r="C197" s="259"/>
      <c r="D197" s="245">
        <f>R197</f>
        <v>0.34</v>
      </c>
      <c r="E197" s="116" t="s">
        <v>56</v>
      </c>
      <c r="G197" s="260"/>
      <c r="H197" s="259"/>
      <c r="I197" s="116"/>
      <c r="K197" s="260"/>
      <c r="L197" s="259"/>
      <c r="M197" s="245">
        <f>R197</f>
        <v>0.34</v>
      </c>
      <c r="N197" s="116" t="s">
        <v>56</v>
      </c>
      <c r="P197" s="260"/>
      <c r="Q197" s="259"/>
      <c r="R197" s="241">
        <f>AB197</f>
        <v>0.34</v>
      </c>
      <c r="S197" s="116" t="s">
        <v>56</v>
      </c>
      <c r="U197" s="260">
        <v>0.56999999999999995</v>
      </c>
      <c r="V197" s="259">
        <v>10.039999999999999</v>
      </c>
      <c r="W197" s="245">
        <f>U197-W206-W201</f>
        <v>0.12</v>
      </c>
      <c r="X197" s="116" t="s">
        <v>56</v>
      </c>
      <c r="Z197" s="260"/>
      <c r="AA197" s="259"/>
      <c r="AB197" s="241">
        <f>Z196</f>
        <v>0.34</v>
      </c>
      <c r="AC197" s="116" t="s">
        <v>56</v>
      </c>
      <c r="AE197" s="260"/>
      <c r="AF197" s="259"/>
      <c r="AG197" s="241">
        <f>AE196</f>
        <v>0.23</v>
      </c>
      <c r="AH197" s="116" t="s">
        <v>56</v>
      </c>
      <c r="AR197" s="111"/>
      <c r="AS197" s="111"/>
      <c r="AT197" s="111"/>
      <c r="AU197" s="111"/>
      <c r="AV197" s="111"/>
      <c r="AW197" s="111"/>
      <c r="AX197" s="111"/>
      <c r="AY197" s="111"/>
      <c r="AZ197" s="111"/>
      <c r="BA197" s="111"/>
    </row>
    <row r="198" spans="1:53" outlineLevel="1" x14ac:dyDescent="0.25">
      <c r="A198" s="262"/>
      <c r="B198" s="270"/>
      <c r="C198" s="259"/>
      <c r="D198" s="18"/>
      <c r="E198" s="8"/>
      <c r="G198" s="260"/>
      <c r="H198" s="259"/>
      <c r="I198" s="240"/>
      <c r="K198" s="260"/>
      <c r="L198" s="259"/>
      <c r="M198" s="16"/>
      <c r="N198" s="49"/>
      <c r="P198" s="260"/>
      <c r="Q198" s="259"/>
      <c r="R198" s="241"/>
      <c r="S198" s="240"/>
      <c r="U198" s="260"/>
      <c r="V198" s="259"/>
      <c r="W198" s="245"/>
      <c r="X198" s="241"/>
      <c r="Z198" s="260"/>
      <c r="AA198" s="259"/>
      <c r="AB198" s="241"/>
      <c r="AC198" s="241"/>
      <c r="AE198" s="260"/>
      <c r="AF198" s="259"/>
      <c r="AG198" s="241"/>
      <c r="AH198" s="240"/>
      <c r="AR198" s="111"/>
      <c r="AS198" s="111"/>
      <c r="AT198" s="111"/>
      <c r="AU198" s="111"/>
      <c r="AV198" s="111"/>
      <c r="AW198" s="111"/>
      <c r="AX198" s="111"/>
      <c r="AY198" s="111"/>
      <c r="AZ198" s="111"/>
      <c r="BA198" s="111"/>
    </row>
    <row r="199" spans="1:53" outlineLevel="1" x14ac:dyDescent="0.25">
      <c r="A199" s="262"/>
      <c r="B199" s="270"/>
      <c r="C199" s="259"/>
      <c r="D199" s="245">
        <f>(B196-D197)/5</f>
        <v>0.154</v>
      </c>
      <c r="E199" s="59" t="s">
        <v>235</v>
      </c>
      <c r="G199" s="260"/>
      <c r="H199" s="259"/>
      <c r="I199" s="240"/>
      <c r="K199" s="260"/>
      <c r="L199" s="259"/>
      <c r="M199" s="245">
        <f>D199</f>
        <v>0.154</v>
      </c>
      <c r="N199" s="59" t="s">
        <v>235</v>
      </c>
      <c r="P199" s="260"/>
      <c r="Q199" s="259"/>
      <c r="R199" s="56"/>
      <c r="S199" s="49"/>
      <c r="U199" s="260"/>
      <c r="V199" s="259"/>
      <c r="W199" s="19"/>
      <c r="X199" s="49"/>
      <c r="Z199" s="260"/>
      <c r="AA199" s="259"/>
      <c r="AB199" s="241"/>
      <c r="AC199" s="241"/>
      <c r="AE199" s="260"/>
      <c r="AF199" s="259"/>
      <c r="AG199" s="241"/>
      <c r="AH199" s="240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111"/>
    </row>
    <row r="200" spans="1:53" outlineLevel="1" x14ac:dyDescent="0.25">
      <c r="A200" s="262"/>
      <c r="B200" s="270"/>
      <c r="C200" s="259"/>
      <c r="D200" s="246">
        <f>B196-D197-D199-D201-D202-D203</f>
        <v>0.42599999999999999</v>
      </c>
      <c r="E200" s="249" t="s">
        <v>214</v>
      </c>
      <c r="G200" s="260"/>
      <c r="H200" s="259"/>
      <c r="I200" s="240"/>
      <c r="K200" s="260"/>
      <c r="L200" s="259"/>
      <c r="M200" s="245">
        <f>K196-M197-M199-M201-M202-M203-M205</f>
        <v>0.92600000000000038</v>
      </c>
      <c r="N200" s="249" t="s">
        <v>214</v>
      </c>
      <c r="P200" s="260"/>
      <c r="Q200" s="259"/>
      <c r="R200" s="19"/>
      <c r="S200" s="246"/>
      <c r="U200" s="260"/>
      <c r="V200" s="259"/>
      <c r="W200" s="56"/>
      <c r="X200" s="56"/>
      <c r="Z200" s="260"/>
      <c r="AA200" s="259"/>
      <c r="AB200" s="241"/>
      <c r="AC200" s="241"/>
      <c r="AE200" s="260"/>
      <c r="AF200" s="259"/>
      <c r="AG200" s="241"/>
      <c r="AH200" s="240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</row>
    <row r="201" spans="1:53" outlineLevel="1" x14ac:dyDescent="0.25">
      <c r="A201" s="262"/>
      <c r="B201" s="270"/>
      <c r="C201" s="259"/>
      <c r="D201" s="245"/>
      <c r="E201" s="240"/>
      <c r="G201" s="260"/>
      <c r="H201" s="259"/>
      <c r="I201" s="240"/>
      <c r="K201" s="260"/>
      <c r="L201" s="259"/>
      <c r="M201" s="245"/>
      <c r="N201" s="240"/>
      <c r="P201" s="260"/>
      <c r="Q201" s="259"/>
      <c r="R201" s="19">
        <v>0.36</v>
      </c>
      <c r="S201" s="249" t="s">
        <v>164</v>
      </c>
      <c r="U201" s="260"/>
      <c r="V201" s="259"/>
      <c r="W201" s="245">
        <v>0.36</v>
      </c>
      <c r="X201" s="249" t="s">
        <v>164</v>
      </c>
      <c r="Z201" s="260"/>
      <c r="AA201" s="259"/>
      <c r="AB201" s="241"/>
      <c r="AC201" s="241"/>
      <c r="AE201" s="260"/>
      <c r="AF201" s="259"/>
      <c r="AG201" s="241"/>
      <c r="AH201" s="240"/>
      <c r="AR201" s="111"/>
      <c r="AS201" s="111"/>
      <c r="AT201" s="111"/>
      <c r="AU201" s="111"/>
      <c r="AV201" s="111"/>
      <c r="AW201" s="111"/>
      <c r="AX201" s="111"/>
      <c r="AY201" s="111"/>
      <c r="AZ201" s="111"/>
      <c r="BA201" s="111"/>
    </row>
    <row r="202" spans="1:53" outlineLevel="1" x14ac:dyDescent="0.25">
      <c r="A202" s="262"/>
      <c r="B202" s="270"/>
      <c r="C202" s="259"/>
      <c r="D202" s="245">
        <v>0.18</v>
      </c>
      <c r="E202" s="62" t="s">
        <v>236</v>
      </c>
      <c r="G202" s="260"/>
      <c r="H202" s="259"/>
      <c r="I202" s="240"/>
      <c r="K202" s="260"/>
      <c r="L202" s="259"/>
      <c r="M202" s="245">
        <f>D202</f>
        <v>0.18</v>
      </c>
      <c r="N202" s="62" t="s">
        <v>236</v>
      </c>
      <c r="P202" s="260"/>
      <c r="Q202" s="259"/>
      <c r="R202" s="241"/>
      <c r="S202" s="240"/>
      <c r="U202" s="260"/>
      <c r="V202" s="259"/>
      <c r="W202" s="245"/>
      <c r="X202" s="241"/>
      <c r="Z202" s="260"/>
      <c r="AA202" s="259"/>
      <c r="AB202" s="241"/>
      <c r="AC202" s="241"/>
      <c r="AE202" s="260"/>
      <c r="AF202" s="259"/>
      <c r="AG202" s="241"/>
      <c r="AH202" s="240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</row>
    <row r="203" spans="1:53" outlineLevel="1" x14ac:dyDescent="0.25">
      <c r="A203" s="262"/>
      <c r="B203" s="270"/>
      <c r="C203" s="259"/>
      <c r="D203" s="245">
        <v>0.01</v>
      </c>
      <c r="E203" s="62" t="s">
        <v>237</v>
      </c>
      <c r="G203" s="260"/>
      <c r="H203" s="259"/>
      <c r="I203" s="240"/>
      <c r="K203" s="260"/>
      <c r="L203" s="259"/>
      <c r="M203" s="245">
        <f>D203</f>
        <v>0.01</v>
      </c>
      <c r="N203" s="62" t="s">
        <v>237</v>
      </c>
      <c r="P203" s="260"/>
      <c r="Q203" s="259"/>
      <c r="R203" s="241"/>
      <c r="S203" s="240"/>
      <c r="U203" s="260"/>
      <c r="V203" s="259"/>
      <c r="W203" s="245"/>
      <c r="X203" s="241"/>
      <c r="Z203" s="260"/>
      <c r="AA203" s="259"/>
      <c r="AB203" s="241"/>
      <c r="AC203" s="241"/>
      <c r="AE203" s="260"/>
      <c r="AF203" s="259"/>
      <c r="AG203" s="241"/>
      <c r="AH203" s="240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</row>
    <row r="204" spans="1:53" outlineLevel="1" x14ac:dyDescent="0.25">
      <c r="A204" s="262"/>
      <c r="B204" s="270"/>
      <c r="C204" s="259"/>
      <c r="D204" s="246"/>
      <c r="E204" s="240"/>
      <c r="G204" s="260"/>
      <c r="H204" s="259"/>
      <c r="I204" s="240"/>
      <c r="K204" s="260"/>
      <c r="L204" s="259"/>
      <c r="M204" s="245"/>
      <c r="N204" s="240"/>
      <c r="P204" s="260"/>
      <c r="Q204" s="259"/>
      <c r="R204" s="56"/>
      <c r="S204" s="49"/>
      <c r="U204" s="260"/>
      <c r="V204" s="259"/>
      <c r="W204" s="245"/>
      <c r="X204" s="241"/>
      <c r="Z204" s="260"/>
      <c r="AA204" s="259"/>
      <c r="AB204" s="241"/>
      <c r="AC204" s="241"/>
      <c r="AE204" s="260"/>
      <c r="AF204" s="259"/>
      <c r="AG204" s="241"/>
      <c r="AH204" s="240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</row>
    <row r="205" spans="1:53" outlineLevel="1" x14ac:dyDescent="0.25">
      <c r="A205" s="262"/>
      <c r="B205" s="270"/>
      <c r="C205" s="259"/>
      <c r="D205" s="246"/>
      <c r="E205" s="240"/>
      <c r="G205" s="260"/>
      <c r="H205" s="259"/>
      <c r="I205" s="240"/>
      <c r="K205" s="260"/>
      <c r="L205" s="259"/>
      <c r="M205" s="245">
        <f>D240+D239</f>
        <v>1.6300000000000001</v>
      </c>
      <c r="N205" s="70" t="s">
        <v>412</v>
      </c>
      <c r="P205" s="260"/>
      <c r="Q205" s="259"/>
      <c r="R205" s="241">
        <f>P196-R206-R197</f>
        <v>1.1999999999999997</v>
      </c>
      <c r="S205" s="70" t="s">
        <v>207</v>
      </c>
      <c r="U205" s="260"/>
      <c r="V205" s="259"/>
      <c r="W205" s="245"/>
      <c r="X205" s="246"/>
      <c r="Z205" s="260"/>
      <c r="AA205" s="259"/>
      <c r="AB205" s="241"/>
      <c r="AC205" s="241"/>
      <c r="AE205" s="260"/>
      <c r="AF205" s="259"/>
      <c r="AG205" s="241"/>
      <c r="AH205" s="240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</row>
    <row r="206" spans="1:53" outlineLevel="1" x14ac:dyDescent="0.25">
      <c r="A206" s="262"/>
      <c r="B206" s="270"/>
      <c r="C206" s="259"/>
      <c r="D206" s="18"/>
      <c r="E206" s="19"/>
      <c r="G206" s="260"/>
      <c r="H206" s="259"/>
      <c r="I206" s="240"/>
      <c r="K206" s="260"/>
      <c r="L206" s="259"/>
      <c r="M206" s="16"/>
      <c r="N206" s="246"/>
      <c r="P206" s="260"/>
      <c r="Q206" s="259"/>
      <c r="R206" s="241">
        <v>0.09</v>
      </c>
      <c r="S206" s="70" t="s">
        <v>356</v>
      </c>
      <c r="U206" s="260"/>
      <c r="V206" s="259"/>
      <c r="W206" s="245">
        <f>R206</f>
        <v>0.09</v>
      </c>
      <c r="X206" s="70" t="s">
        <v>356</v>
      </c>
      <c r="Z206" s="260"/>
      <c r="AA206" s="259"/>
      <c r="AB206" s="241"/>
      <c r="AC206" s="241"/>
      <c r="AE206" s="260"/>
      <c r="AF206" s="259"/>
      <c r="AG206" s="241"/>
      <c r="AH206" s="240"/>
      <c r="AR206" s="111"/>
      <c r="AS206" s="111"/>
      <c r="AT206" s="111"/>
      <c r="AU206" s="111"/>
      <c r="AV206" s="111"/>
      <c r="AW206" s="111"/>
      <c r="AX206" s="111"/>
      <c r="AY206" s="111"/>
      <c r="AZ206" s="111"/>
      <c r="BA206" s="111"/>
    </row>
    <row r="207" spans="1:53" outlineLevel="1" x14ac:dyDescent="0.25">
      <c r="A207" s="261">
        <v>38</v>
      </c>
      <c r="B207" s="260">
        <v>0.74</v>
      </c>
      <c r="C207" s="259">
        <v>10.220000000000001</v>
      </c>
      <c r="D207" s="18"/>
      <c r="E207" s="240"/>
      <c r="G207" s="260">
        <v>1.31</v>
      </c>
      <c r="H207" s="259">
        <v>10.35</v>
      </c>
      <c r="I207" s="240"/>
      <c r="K207" s="260">
        <v>1.1399999999999999</v>
      </c>
      <c r="L207" s="259">
        <v>10.34</v>
      </c>
      <c r="M207" s="245"/>
      <c r="N207" s="240"/>
      <c r="P207" s="260">
        <v>1.27</v>
      </c>
      <c r="Q207" s="259">
        <v>10.15</v>
      </c>
      <c r="R207" s="241"/>
      <c r="S207" s="240"/>
      <c r="U207" s="260">
        <v>0.49</v>
      </c>
      <c r="V207" s="259">
        <v>10.210000000000001</v>
      </c>
      <c r="W207" s="245"/>
      <c r="X207" s="19"/>
      <c r="Z207" s="260">
        <v>0.32</v>
      </c>
      <c r="AA207" s="259">
        <v>10.17</v>
      </c>
      <c r="AB207" s="241"/>
      <c r="AC207" s="19"/>
      <c r="AE207" s="260">
        <v>0.09</v>
      </c>
      <c r="AF207" s="259">
        <v>10.29</v>
      </c>
      <c r="AG207" s="241"/>
      <c r="AH207" s="240"/>
      <c r="AR207" s="111"/>
      <c r="AS207" s="111"/>
      <c r="AT207" s="111"/>
      <c r="AU207" s="111"/>
      <c r="AV207" s="111"/>
      <c r="AW207" s="111"/>
      <c r="AX207" s="111"/>
      <c r="AY207" s="111"/>
      <c r="AZ207" s="111"/>
      <c r="BA207" s="111"/>
    </row>
    <row r="208" spans="1:53" outlineLevel="1" x14ac:dyDescent="0.25">
      <c r="A208" s="261"/>
      <c r="B208" s="260"/>
      <c r="C208" s="259"/>
      <c r="D208" s="18">
        <f>B207</f>
        <v>0.74</v>
      </c>
      <c r="E208" s="249" t="s">
        <v>215</v>
      </c>
      <c r="G208" s="260"/>
      <c r="H208" s="259"/>
      <c r="I208" s="240"/>
      <c r="K208" s="260"/>
      <c r="L208" s="259"/>
      <c r="M208" s="16">
        <f>K207</f>
        <v>1.1399999999999999</v>
      </c>
      <c r="N208" s="249" t="s">
        <v>215</v>
      </c>
      <c r="P208" s="260"/>
      <c r="Q208" s="259"/>
      <c r="R208" s="241">
        <f>P207-R209</f>
        <v>1.1400000000000001</v>
      </c>
      <c r="S208" s="249" t="s">
        <v>215</v>
      </c>
      <c r="U208" s="260"/>
      <c r="V208" s="259"/>
      <c r="W208" s="245">
        <f>U207</f>
        <v>0.49</v>
      </c>
      <c r="X208" s="249" t="s">
        <v>215</v>
      </c>
      <c r="Z208" s="260"/>
      <c r="AA208" s="259"/>
      <c r="AB208" s="241">
        <f>Z207</f>
        <v>0.32</v>
      </c>
      <c r="AC208" s="249" t="s">
        <v>215</v>
      </c>
      <c r="AE208" s="260"/>
      <c r="AF208" s="259"/>
      <c r="AG208" s="241">
        <f>AE207+AE209</f>
        <v>0.31</v>
      </c>
      <c r="AH208" s="249" t="s">
        <v>215</v>
      </c>
      <c r="AR208" s="111"/>
      <c r="AS208" s="111"/>
      <c r="AT208" s="111"/>
      <c r="AU208" s="111"/>
      <c r="AV208" s="111"/>
      <c r="AW208" s="111"/>
      <c r="AX208" s="111"/>
      <c r="AY208" s="111"/>
      <c r="AZ208" s="111"/>
      <c r="BA208" s="111"/>
    </row>
    <row r="209" spans="1:53" outlineLevel="1" x14ac:dyDescent="0.25">
      <c r="A209" s="261"/>
      <c r="B209" s="260"/>
      <c r="C209" s="259"/>
      <c r="D209" s="246"/>
      <c r="E209" s="240"/>
      <c r="G209" s="260"/>
      <c r="H209" s="259"/>
      <c r="I209" s="240"/>
      <c r="K209" s="260"/>
      <c r="L209" s="259"/>
      <c r="M209" s="16"/>
      <c r="N209" s="240"/>
      <c r="P209" s="260"/>
      <c r="Q209" s="259"/>
      <c r="R209" s="19">
        <f>D230</f>
        <v>0.13</v>
      </c>
      <c r="S209" s="75" t="s">
        <v>141</v>
      </c>
      <c r="U209" s="260"/>
      <c r="V209" s="259"/>
      <c r="W209" s="245"/>
      <c r="X209" s="55"/>
      <c r="Z209" s="260"/>
      <c r="AA209" s="259"/>
      <c r="AB209" s="241"/>
      <c r="AC209" s="55"/>
      <c r="AE209" s="241">
        <v>0.22</v>
      </c>
      <c r="AF209" s="240">
        <v>10.38</v>
      </c>
      <c r="AG209" s="241"/>
      <c r="AH209" s="240"/>
      <c r="AR209" s="111"/>
      <c r="AS209" s="111"/>
      <c r="AT209" s="111"/>
      <c r="AU209" s="111"/>
      <c r="AV209" s="111"/>
      <c r="AW209" s="111"/>
      <c r="AX209" s="111"/>
      <c r="AY209" s="111"/>
      <c r="AZ209" s="111"/>
      <c r="BA209" s="111"/>
    </row>
    <row r="210" spans="1:53" outlineLevel="1" x14ac:dyDescent="0.25">
      <c r="A210" s="261">
        <v>39</v>
      </c>
      <c r="B210" s="260">
        <v>0.1</v>
      </c>
      <c r="C210" s="259">
        <v>10.37</v>
      </c>
      <c r="D210" s="18">
        <f>B210/4</f>
        <v>2.5000000000000001E-2</v>
      </c>
      <c r="E210" s="249" t="s">
        <v>430</v>
      </c>
      <c r="G210" s="260"/>
      <c r="H210" s="259"/>
      <c r="I210" s="240"/>
      <c r="K210" s="260">
        <v>0.35</v>
      </c>
      <c r="L210" s="259">
        <v>10.49</v>
      </c>
      <c r="M210" s="245">
        <f>K210-M211-M212</f>
        <v>1.9999999999999962E-2</v>
      </c>
      <c r="N210" s="249" t="s">
        <v>85</v>
      </c>
      <c r="P210" s="260">
        <v>0.36</v>
      </c>
      <c r="Q210" s="259">
        <v>10.25</v>
      </c>
      <c r="R210" s="241"/>
      <c r="S210" s="240"/>
      <c r="U210" s="260">
        <v>0.17</v>
      </c>
      <c r="V210" s="259">
        <v>10.4</v>
      </c>
      <c r="W210" s="245"/>
      <c r="X210" s="55"/>
      <c r="Z210" s="260">
        <v>0.25</v>
      </c>
      <c r="AA210" s="259">
        <v>10.54</v>
      </c>
      <c r="AB210" s="241"/>
      <c r="AC210" s="55"/>
      <c r="AE210" s="241"/>
      <c r="AF210" s="240"/>
      <c r="AG210" s="241"/>
      <c r="AH210" s="240"/>
      <c r="AR210" s="111"/>
      <c r="AS210" s="111"/>
      <c r="AT210" s="111"/>
      <c r="AU210" s="111"/>
      <c r="AV210" s="111"/>
      <c r="AW210" s="111"/>
      <c r="AX210" s="111"/>
      <c r="AY210" s="111"/>
      <c r="AZ210" s="111"/>
      <c r="BA210" s="111"/>
    </row>
    <row r="211" spans="1:53" outlineLevel="1" x14ac:dyDescent="0.25">
      <c r="A211" s="261"/>
      <c r="B211" s="260"/>
      <c r="C211" s="259"/>
      <c r="D211" s="18">
        <v>0.03</v>
      </c>
      <c r="E211" s="62" t="s">
        <v>237</v>
      </c>
      <c r="G211" s="260"/>
      <c r="H211" s="259"/>
      <c r="I211" s="240"/>
      <c r="K211" s="260"/>
      <c r="L211" s="259"/>
      <c r="M211" s="245">
        <f>D211</f>
        <v>0.03</v>
      </c>
      <c r="N211" s="62" t="s">
        <v>237</v>
      </c>
      <c r="P211" s="260"/>
      <c r="Q211" s="259"/>
      <c r="R211" s="241"/>
      <c r="S211" s="18"/>
      <c r="U211" s="260"/>
      <c r="V211" s="259"/>
      <c r="W211" s="245"/>
      <c r="X211" s="55"/>
      <c r="Z211" s="260"/>
      <c r="AA211" s="259"/>
      <c r="AB211" s="241"/>
      <c r="AC211" s="55"/>
      <c r="AE211" s="241"/>
      <c r="AF211" s="240"/>
      <c r="AG211" s="241"/>
      <c r="AH211" s="240"/>
      <c r="AR211" s="111"/>
      <c r="AS211" s="111"/>
      <c r="AT211" s="111"/>
      <c r="AU211" s="111"/>
      <c r="AV211" s="111"/>
      <c r="AW211" s="111"/>
      <c r="AX211" s="111"/>
      <c r="AY211" s="111"/>
      <c r="AZ211" s="111"/>
      <c r="BA211" s="111"/>
    </row>
    <row r="212" spans="1:53" outlineLevel="1" x14ac:dyDescent="0.25">
      <c r="A212" s="261"/>
      <c r="B212" s="260"/>
      <c r="C212" s="259"/>
      <c r="D212" s="18">
        <v>0.03</v>
      </c>
      <c r="E212" s="81" t="s">
        <v>411</v>
      </c>
      <c r="G212" s="260"/>
      <c r="H212" s="259"/>
      <c r="I212" s="8"/>
      <c r="K212" s="260"/>
      <c r="L212" s="259"/>
      <c r="M212" s="16">
        <v>0.3</v>
      </c>
      <c r="N212" s="81" t="s">
        <v>411</v>
      </c>
      <c r="P212" s="260"/>
      <c r="Q212" s="259"/>
      <c r="R212" s="241">
        <f>0.3+P215</f>
        <v>0.69</v>
      </c>
      <c r="S212" s="81" t="s">
        <v>429</v>
      </c>
      <c r="U212" s="260"/>
      <c r="V212" s="259"/>
      <c r="W212" s="241">
        <f>U210</f>
        <v>0.17</v>
      </c>
      <c r="X212" s="81" t="s">
        <v>144</v>
      </c>
      <c r="Z212" s="260"/>
      <c r="AA212" s="259"/>
      <c r="AB212" s="241"/>
      <c r="AC212" s="55"/>
      <c r="AE212" s="56"/>
      <c r="AF212" s="56"/>
      <c r="AG212" s="56"/>
      <c r="AH212" s="56"/>
      <c r="AR212" s="111"/>
      <c r="AS212" s="111"/>
      <c r="AT212" s="111"/>
      <c r="AU212" s="111"/>
      <c r="AV212" s="111"/>
      <c r="AW212" s="111"/>
      <c r="AX212" s="111"/>
      <c r="AY212" s="111"/>
      <c r="AZ212" s="111"/>
      <c r="BA212" s="111"/>
    </row>
    <row r="213" spans="1:53" outlineLevel="1" x14ac:dyDescent="0.25">
      <c r="A213" s="261"/>
      <c r="B213" s="260"/>
      <c r="C213" s="259"/>
      <c r="D213" s="18">
        <v>0.03</v>
      </c>
      <c r="E213" s="70" t="s">
        <v>358</v>
      </c>
      <c r="G213" s="260"/>
      <c r="H213" s="259"/>
      <c r="I213" s="8"/>
      <c r="K213" s="241">
        <v>0.3</v>
      </c>
      <c r="L213" s="240">
        <v>10.58</v>
      </c>
      <c r="M213" s="16">
        <f>K213</f>
        <v>0.3</v>
      </c>
      <c r="N213" s="70" t="s">
        <v>358</v>
      </c>
      <c r="P213" s="260">
        <v>0.27</v>
      </c>
      <c r="Q213" s="259">
        <v>10.53</v>
      </c>
      <c r="R213" s="19">
        <f>P213-R214</f>
        <v>0.27</v>
      </c>
      <c r="S213" s="70" t="s">
        <v>358</v>
      </c>
      <c r="U213" s="260">
        <v>0.25</v>
      </c>
      <c r="V213" s="259">
        <v>10.55</v>
      </c>
      <c r="W213" s="245">
        <f>U213-W214</f>
        <v>0.25</v>
      </c>
      <c r="X213" s="70" t="s">
        <v>358</v>
      </c>
      <c r="Z213" s="260"/>
      <c r="AA213" s="259"/>
      <c r="AB213" s="241"/>
      <c r="AC213" s="55"/>
      <c r="AE213" s="56"/>
      <c r="AF213" s="49"/>
      <c r="AG213" s="56"/>
      <c r="AH213" s="49"/>
      <c r="AR213" s="111"/>
      <c r="AS213" s="111"/>
      <c r="AT213" s="111"/>
      <c r="AU213" s="111"/>
      <c r="AV213" s="111"/>
      <c r="AW213" s="111"/>
      <c r="AX213" s="111"/>
      <c r="AY213" s="111"/>
      <c r="AZ213" s="111"/>
      <c r="BA213" s="111"/>
    </row>
    <row r="214" spans="1:53" outlineLevel="1" x14ac:dyDescent="0.25">
      <c r="A214" s="261">
        <v>40</v>
      </c>
      <c r="B214" s="260">
        <v>0.23</v>
      </c>
      <c r="C214" s="259">
        <v>10.4</v>
      </c>
      <c r="D214" s="8"/>
      <c r="E214" s="240"/>
      <c r="G214" s="260">
        <v>0.41</v>
      </c>
      <c r="H214" s="259">
        <v>10.52</v>
      </c>
      <c r="I214" s="8"/>
      <c r="K214" s="260">
        <v>0.49</v>
      </c>
      <c r="L214" s="259">
        <v>10.75</v>
      </c>
      <c r="M214" s="19"/>
      <c r="N214" s="240"/>
      <c r="P214" s="260"/>
      <c r="Q214" s="259"/>
      <c r="R214" s="19"/>
      <c r="S214" s="240"/>
      <c r="U214" s="260"/>
      <c r="V214" s="259"/>
      <c r="W214" s="241"/>
      <c r="X214" s="240"/>
      <c r="Z214" s="260"/>
      <c r="AA214" s="259"/>
      <c r="AB214" s="241"/>
      <c r="AC214" s="240"/>
      <c r="AE214" s="241"/>
      <c r="AF214" s="240"/>
      <c r="AG214" s="241"/>
      <c r="AH214" s="240"/>
      <c r="AR214" s="111"/>
      <c r="AS214" s="111"/>
      <c r="AT214" s="111"/>
      <c r="AU214" s="111"/>
      <c r="AV214" s="111"/>
      <c r="AW214" s="111"/>
      <c r="AX214" s="111"/>
      <c r="AY214" s="111"/>
      <c r="AZ214" s="111"/>
      <c r="BA214" s="111"/>
    </row>
    <row r="215" spans="1:53" outlineLevel="1" x14ac:dyDescent="0.25">
      <c r="A215" s="261"/>
      <c r="B215" s="260"/>
      <c r="C215" s="259"/>
      <c r="D215" s="246">
        <f>B214/2</f>
        <v>0.115</v>
      </c>
      <c r="E215" s="249" t="s">
        <v>431</v>
      </c>
      <c r="G215" s="260"/>
      <c r="H215" s="259"/>
      <c r="I215" s="240"/>
      <c r="K215" s="260"/>
      <c r="L215" s="259"/>
      <c r="M215" s="245">
        <f>K214-M214-M216</f>
        <v>0.375</v>
      </c>
      <c r="N215" s="249" t="s">
        <v>337</v>
      </c>
      <c r="P215" s="260">
        <v>0.39</v>
      </c>
      <c r="Q215" s="259">
        <v>10.8</v>
      </c>
      <c r="R215" s="241"/>
      <c r="S215" s="55"/>
      <c r="U215" s="241">
        <v>0.1</v>
      </c>
      <c r="V215" s="240">
        <v>10.69</v>
      </c>
      <c r="W215" s="16"/>
      <c r="X215" s="55"/>
      <c r="Z215" s="260">
        <v>0.24</v>
      </c>
      <c r="AA215" s="259">
        <v>10.76</v>
      </c>
      <c r="AB215" s="241"/>
      <c r="AC215" s="240"/>
      <c r="AE215" s="241"/>
      <c r="AF215" s="240"/>
      <c r="AG215" s="241"/>
      <c r="AH215" s="240"/>
      <c r="AR215" s="111"/>
      <c r="AS215" s="111"/>
      <c r="AT215" s="111"/>
      <c r="AU215" s="111"/>
      <c r="AV215" s="111"/>
      <c r="AW215" s="111"/>
      <c r="AX215" s="111"/>
      <c r="AY215" s="111"/>
      <c r="AZ215" s="111"/>
      <c r="BA215" s="111"/>
    </row>
    <row r="216" spans="1:53" outlineLevel="1" x14ac:dyDescent="0.25">
      <c r="A216" s="261"/>
      <c r="B216" s="260"/>
      <c r="C216" s="259"/>
      <c r="D216" s="18">
        <f>B214/2</f>
        <v>0.115</v>
      </c>
      <c r="E216" s="249" t="s">
        <v>238</v>
      </c>
      <c r="G216" s="260"/>
      <c r="H216" s="259"/>
      <c r="I216" s="240"/>
      <c r="K216" s="260"/>
      <c r="L216" s="259"/>
      <c r="M216" s="16">
        <f>D216</f>
        <v>0.115</v>
      </c>
      <c r="N216" s="249" t="s">
        <v>238</v>
      </c>
      <c r="P216" s="260"/>
      <c r="Q216" s="259"/>
      <c r="R216" s="245"/>
      <c r="S216" s="246"/>
      <c r="U216" s="241"/>
      <c r="V216" s="240"/>
      <c r="W216" s="16"/>
      <c r="X216" s="246"/>
      <c r="Z216" s="260"/>
      <c r="AA216" s="259"/>
      <c r="AB216" s="241"/>
      <c r="AC216" s="240"/>
      <c r="AE216" s="241"/>
      <c r="AF216" s="240"/>
      <c r="AG216" s="241"/>
      <c r="AH216" s="240"/>
      <c r="AR216" s="111"/>
      <c r="AS216" s="111"/>
      <c r="AT216" s="111"/>
      <c r="AU216" s="111"/>
      <c r="AV216" s="111"/>
      <c r="AW216" s="111"/>
      <c r="AX216" s="111"/>
      <c r="AY216" s="111"/>
      <c r="AZ216" s="111"/>
      <c r="BA216" s="111"/>
    </row>
    <row r="217" spans="1:53" outlineLevel="1" x14ac:dyDescent="0.25">
      <c r="A217" s="261"/>
      <c r="B217" s="260"/>
      <c r="C217" s="259"/>
      <c r="D217" s="18"/>
      <c r="E217" s="8"/>
      <c r="G217" s="260"/>
      <c r="H217" s="259"/>
      <c r="I217" s="240"/>
      <c r="K217" s="260"/>
      <c r="L217" s="259"/>
      <c r="M217" s="16"/>
      <c r="N217" s="49"/>
      <c r="P217" s="260"/>
      <c r="Q217" s="259"/>
      <c r="R217" s="241"/>
      <c r="S217" s="49"/>
      <c r="U217" s="241">
        <v>0.23</v>
      </c>
      <c r="V217" s="240">
        <v>10.8</v>
      </c>
      <c r="W217" s="245">
        <f>U217</f>
        <v>0.23</v>
      </c>
      <c r="X217" s="237" t="s">
        <v>360</v>
      </c>
      <c r="Z217" s="260"/>
      <c r="AA217" s="259"/>
      <c r="AB217" s="241"/>
      <c r="AC217" s="240"/>
      <c r="AE217" s="241"/>
      <c r="AF217" s="240"/>
      <c r="AG217" s="241"/>
      <c r="AH217" s="240"/>
      <c r="AR217" s="111"/>
      <c r="AS217" s="111"/>
      <c r="AT217" s="111"/>
      <c r="AU217" s="111"/>
      <c r="AV217" s="111"/>
      <c r="AW217" s="111"/>
      <c r="AX217" s="111"/>
      <c r="AY217" s="111"/>
      <c r="AZ217" s="111"/>
      <c r="BA217" s="111"/>
    </row>
    <row r="218" spans="1:53" outlineLevel="1" x14ac:dyDescent="0.25">
      <c r="A218" s="261">
        <v>41</v>
      </c>
      <c r="B218" s="260">
        <v>1.38</v>
      </c>
      <c r="C218" s="259">
        <v>10.66</v>
      </c>
      <c r="D218" s="245">
        <v>0.01</v>
      </c>
      <c r="E218" s="249" t="s">
        <v>214</v>
      </c>
      <c r="G218" s="260">
        <v>1.83</v>
      </c>
      <c r="H218" s="259">
        <v>10.76</v>
      </c>
      <c r="I218" s="240"/>
      <c r="K218" s="270">
        <v>3.29</v>
      </c>
      <c r="L218" s="259">
        <v>10.87</v>
      </c>
      <c r="M218" s="245">
        <v>0.01</v>
      </c>
      <c r="N218" s="249" t="s">
        <v>214</v>
      </c>
      <c r="P218" s="260"/>
      <c r="Q218" s="259"/>
      <c r="R218" s="56"/>
      <c r="S218" s="49"/>
      <c r="U218" s="260">
        <v>0.05</v>
      </c>
      <c r="V218" s="259">
        <v>10.94</v>
      </c>
      <c r="W218" s="245"/>
      <c r="X218" s="240"/>
      <c r="Z218" s="260">
        <v>0.19</v>
      </c>
      <c r="AA218" s="259">
        <v>11.03</v>
      </c>
      <c r="AB218" s="241"/>
      <c r="AC218" s="240"/>
      <c r="AE218" s="241"/>
      <c r="AF218" s="240"/>
      <c r="AG218" s="241"/>
      <c r="AH218" s="240"/>
      <c r="AR218" s="111"/>
      <c r="AS218" s="111"/>
      <c r="AT218" s="111"/>
      <c r="AU218" s="111"/>
      <c r="AV218" s="111"/>
      <c r="AW218" s="111"/>
      <c r="AX218" s="111"/>
      <c r="AY218" s="111"/>
      <c r="AZ218" s="111"/>
      <c r="BA218" s="111"/>
    </row>
    <row r="219" spans="1:53" outlineLevel="1" x14ac:dyDescent="0.25">
      <c r="A219" s="261"/>
      <c r="B219" s="260"/>
      <c r="C219" s="259"/>
      <c r="D219" s="245">
        <v>0.05</v>
      </c>
      <c r="E219" s="249" t="s">
        <v>238</v>
      </c>
      <c r="G219" s="260"/>
      <c r="H219" s="259"/>
      <c r="I219" s="240"/>
      <c r="K219" s="270"/>
      <c r="L219" s="259"/>
      <c r="M219" s="245">
        <v>0.05</v>
      </c>
      <c r="N219" s="249" t="s">
        <v>238</v>
      </c>
      <c r="P219" s="260"/>
      <c r="Q219" s="259"/>
      <c r="R219" s="56"/>
      <c r="S219" s="49"/>
      <c r="U219" s="260"/>
      <c r="V219" s="259"/>
      <c r="W219" s="245"/>
      <c r="X219" s="240"/>
      <c r="Z219" s="260"/>
      <c r="AA219" s="259"/>
      <c r="AB219" s="241"/>
      <c r="AC219" s="240"/>
      <c r="AE219" s="241"/>
      <c r="AF219" s="240"/>
      <c r="AG219" s="241"/>
      <c r="AH219" s="240"/>
      <c r="AR219" s="111"/>
      <c r="AS219" s="111"/>
      <c r="AT219" s="111"/>
      <c r="AU219" s="111"/>
      <c r="AV219" s="111"/>
      <c r="AW219" s="111"/>
      <c r="AX219" s="111"/>
      <c r="AY219" s="111"/>
      <c r="AZ219" s="111"/>
      <c r="BA219" s="111"/>
    </row>
    <row r="220" spans="1:53" outlineLevel="1" x14ac:dyDescent="0.25">
      <c r="A220" s="261"/>
      <c r="B220" s="260"/>
      <c r="C220" s="259"/>
      <c r="D220" s="18"/>
      <c r="E220" s="49"/>
      <c r="G220" s="260"/>
      <c r="H220" s="259"/>
      <c r="I220" s="240"/>
      <c r="K220" s="270"/>
      <c r="L220" s="259"/>
      <c r="M220" s="16"/>
      <c r="N220" s="49"/>
      <c r="P220" s="260"/>
      <c r="Q220" s="259"/>
      <c r="R220" s="56"/>
      <c r="S220" s="49"/>
      <c r="U220" s="260"/>
      <c r="V220" s="259"/>
      <c r="W220" s="245"/>
      <c r="X220" s="240"/>
      <c r="Z220" s="260"/>
      <c r="AA220" s="259"/>
      <c r="AB220" s="241"/>
      <c r="AC220" s="240"/>
      <c r="AE220" s="241"/>
      <c r="AF220" s="240"/>
      <c r="AG220" s="241"/>
      <c r="AH220" s="240"/>
      <c r="AR220" s="111"/>
      <c r="AS220" s="111"/>
      <c r="AT220" s="111"/>
      <c r="AU220" s="111"/>
      <c r="AV220" s="111"/>
      <c r="AW220" s="111"/>
      <c r="AX220" s="111"/>
      <c r="AY220" s="111"/>
      <c r="AZ220" s="111"/>
      <c r="BA220" s="111"/>
    </row>
    <row r="221" spans="1:53" outlineLevel="1" x14ac:dyDescent="0.25">
      <c r="A221" s="261"/>
      <c r="B221" s="260"/>
      <c r="C221" s="259"/>
      <c r="D221" s="246">
        <v>0.18</v>
      </c>
      <c r="E221" s="70" t="s">
        <v>239</v>
      </c>
      <c r="G221" s="260"/>
      <c r="H221" s="259"/>
      <c r="I221" s="240"/>
      <c r="K221" s="270"/>
      <c r="L221" s="259"/>
      <c r="M221" s="245">
        <v>0.18</v>
      </c>
      <c r="N221" s="70" t="s">
        <v>239</v>
      </c>
      <c r="P221" s="260"/>
      <c r="Q221" s="259"/>
      <c r="R221" s="241"/>
      <c r="S221" s="240"/>
      <c r="U221" s="260"/>
      <c r="V221" s="259"/>
      <c r="W221" s="245"/>
      <c r="X221" s="240"/>
      <c r="Z221" s="260"/>
      <c r="AA221" s="259"/>
      <c r="AB221" s="241"/>
      <c r="AC221" s="240"/>
      <c r="AE221" s="241"/>
      <c r="AF221" s="240"/>
      <c r="AG221" s="241"/>
      <c r="AH221" s="240"/>
      <c r="AR221" s="111"/>
      <c r="AS221" s="111"/>
      <c r="AT221" s="111"/>
      <c r="AU221" s="111"/>
      <c r="AV221" s="111"/>
      <c r="AW221" s="111"/>
      <c r="AX221" s="111"/>
      <c r="AY221" s="111"/>
      <c r="AZ221" s="111"/>
      <c r="BA221" s="111"/>
    </row>
    <row r="222" spans="1:53" outlineLevel="1" x14ac:dyDescent="0.25">
      <c r="A222" s="261">
        <v>42</v>
      </c>
      <c r="B222" s="260">
        <v>0.76</v>
      </c>
      <c r="C222" s="259">
        <v>10.81</v>
      </c>
      <c r="D222" s="246">
        <f>B218+B222-D221-D219-D218-D226-D225-D223</f>
        <v>1.4599999999999997</v>
      </c>
      <c r="E222" s="249" t="s">
        <v>161</v>
      </c>
      <c r="G222" s="263">
        <v>1.06</v>
      </c>
      <c r="H222" s="266">
        <v>10.91</v>
      </c>
      <c r="I222" s="240"/>
      <c r="K222" s="270"/>
      <c r="L222" s="259"/>
      <c r="M222" s="16">
        <f>K218-M221-M219-M218-M226-M225-M223</f>
        <v>2.7100000000000009</v>
      </c>
      <c r="N222" s="249" t="s">
        <v>161</v>
      </c>
      <c r="P222" s="260">
        <v>0.54</v>
      </c>
      <c r="Q222" s="259">
        <v>11.3</v>
      </c>
      <c r="R222" s="56"/>
      <c r="S222" s="49"/>
      <c r="U222" s="260"/>
      <c r="V222" s="259"/>
      <c r="W222" s="245"/>
      <c r="X222" s="240"/>
      <c r="Z222" s="270">
        <v>0.05</v>
      </c>
      <c r="AA222" s="271">
        <v>11.36</v>
      </c>
      <c r="AB222" s="241"/>
      <c r="AC222" s="240"/>
      <c r="AE222" s="241"/>
      <c r="AF222" s="240"/>
      <c r="AG222" s="241"/>
      <c r="AH222" s="240"/>
      <c r="AR222" s="111"/>
      <c r="AS222" s="111"/>
      <c r="AT222" s="111"/>
      <c r="AU222" s="111"/>
      <c r="AV222" s="111"/>
      <c r="AW222" s="111"/>
      <c r="AX222" s="111"/>
      <c r="AY222" s="111"/>
      <c r="AZ222" s="111"/>
      <c r="BA222" s="111"/>
    </row>
    <row r="223" spans="1:53" outlineLevel="1" x14ac:dyDescent="0.25">
      <c r="A223" s="261"/>
      <c r="B223" s="260"/>
      <c r="C223" s="259"/>
      <c r="D223" s="245">
        <v>0.01</v>
      </c>
      <c r="E223" s="249" t="s">
        <v>214</v>
      </c>
      <c r="G223" s="264"/>
      <c r="H223" s="267"/>
      <c r="I223" s="240"/>
      <c r="K223" s="270"/>
      <c r="L223" s="259"/>
      <c r="M223" s="16">
        <f>D223</f>
        <v>0.01</v>
      </c>
      <c r="N223" s="249" t="s">
        <v>214</v>
      </c>
      <c r="P223" s="260"/>
      <c r="Q223" s="259"/>
      <c r="R223" s="19"/>
      <c r="S223" s="16"/>
      <c r="U223" s="260"/>
      <c r="V223" s="259"/>
      <c r="W223" s="245"/>
      <c r="X223" s="240"/>
      <c r="Z223" s="270"/>
      <c r="AA223" s="271"/>
      <c r="AB223" s="241"/>
      <c r="AC223" s="240"/>
      <c r="AE223" s="241"/>
      <c r="AF223" s="240"/>
      <c r="AG223" s="241"/>
      <c r="AH223" s="240"/>
      <c r="AR223" s="111"/>
      <c r="AS223" s="111"/>
      <c r="AT223" s="111"/>
      <c r="AU223" s="111"/>
      <c r="AV223" s="111"/>
      <c r="AW223" s="111"/>
      <c r="AX223" s="111"/>
      <c r="AY223" s="111"/>
      <c r="AZ223" s="111"/>
      <c r="BA223" s="111"/>
    </row>
    <row r="224" spans="1:53" outlineLevel="1" x14ac:dyDescent="0.25">
      <c r="A224" s="261"/>
      <c r="B224" s="260"/>
      <c r="C224" s="259"/>
      <c r="D224" s="18"/>
      <c r="E224" s="49"/>
      <c r="G224" s="264"/>
      <c r="H224" s="267"/>
      <c r="I224" s="240"/>
      <c r="K224" s="270"/>
      <c r="L224" s="259"/>
      <c r="M224" s="16"/>
      <c r="N224" s="49"/>
      <c r="P224" s="260"/>
      <c r="Q224" s="259"/>
      <c r="R224" s="56"/>
      <c r="S224" s="49"/>
      <c r="U224" s="260"/>
      <c r="V224" s="259"/>
      <c r="W224" s="245"/>
      <c r="X224" s="240"/>
      <c r="Z224" s="270"/>
      <c r="AA224" s="271"/>
      <c r="AB224" s="241"/>
      <c r="AC224" s="240"/>
      <c r="AE224" s="241"/>
      <c r="AF224" s="240"/>
      <c r="AG224" s="241"/>
      <c r="AH224" s="240"/>
      <c r="AR224" s="111"/>
      <c r="AS224" s="111"/>
      <c r="AT224" s="111"/>
      <c r="AU224" s="111"/>
      <c r="AV224" s="111"/>
      <c r="AW224" s="111"/>
      <c r="AX224" s="111"/>
      <c r="AY224" s="111"/>
      <c r="AZ224" s="111"/>
      <c r="BA224" s="111"/>
    </row>
    <row r="225" spans="1:53" outlineLevel="1" x14ac:dyDescent="0.25">
      <c r="A225" s="261"/>
      <c r="B225" s="260"/>
      <c r="C225" s="259"/>
      <c r="D225" s="245">
        <v>0.01</v>
      </c>
      <c r="E225" s="62" t="s">
        <v>237</v>
      </c>
      <c r="G225" s="264"/>
      <c r="H225" s="267"/>
      <c r="I225" s="240"/>
      <c r="K225" s="270"/>
      <c r="L225" s="259"/>
      <c r="M225" s="16">
        <f>D225</f>
        <v>0.01</v>
      </c>
      <c r="N225" s="62" t="s">
        <v>237</v>
      </c>
      <c r="P225" s="260"/>
      <c r="Q225" s="259"/>
      <c r="R225" s="56"/>
      <c r="S225" s="49"/>
      <c r="U225" s="260"/>
      <c r="V225" s="259"/>
      <c r="W225" s="245"/>
      <c r="X225" s="240"/>
      <c r="Z225" s="270"/>
      <c r="AA225" s="271"/>
      <c r="AB225" s="241"/>
      <c r="AC225" s="240"/>
      <c r="AE225" s="241"/>
      <c r="AF225" s="240"/>
      <c r="AG225" s="241"/>
      <c r="AH225" s="240"/>
      <c r="AR225" s="111"/>
      <c r="AS225" s="111"/>
      <c r="AT225" s="111"/>
      <c r="AU225" s="111"/>
      <c r="AV225" s="111"/>
      <c r="AW225" s="111"/>
      <c r="AX225" s="111"/>
      <c r="AY225" s="111"/>
      <c r="AZ225" s="111"/>
      <c r="BA225" s="111"/>
    </row>
    <row r="226" spans="1:53" outlineLevel="1" x14ac:dyDescent="0.25">
      <c r="A226" s="261"/>
      <c r="B226" s="260"/>
      <c r="C226" s="259"/>
      <c r="D226" s="245">
        <v>0.42</v>
      </c>
      <c r="E226" s="81" t="s">
        <v>165</v>
      </c>
      <c r="G226" s="264"/>
      <c r="H226" s="267"/>
      <c r="I226" s="240"/>
      <c r="K226" s="270"/>
      <c r="L226" s="259"/>
      <c r="M226" s="16">
        <v>0.32</v>
      </c>
      <c r="N226" s="81" t="s">
        <v>165</v>
      </c>
      <c r="P226" s="260"/>
      <c r="Q226" s="259"/>
      <c r="R226" s="19">
        <f>P222</f>
        <v>0.54</v>
      </c>
      <c r="S226" s="81" t="s">
        <v>165</v>
      </c>
      <c r="U226" s="260"/>
      <c r="V226" s="259"/>
      <c r="W226" s="245"/>
      <c r="X226" s="240"/>
      <c r="Z226" s="270"/>
      <c r="AA226" s="271"/>
      <c r="AB226" s="241"/>
      <c r="AC226" s="240"/>
      <c r="AE226" s="241"/>
      <c r="AF226" s="240"/>
      <c r="AG226" s="241"/>
      <c r="AH226" s="240"/>
      <c r="AJ226" s="111"/>
      <c r="AR226" s="111"/>
      <c r="AS226" s="111"/>
      <c r="AT226" s="111"/>
      <c r="AU226" s="111"/>
      <c r="AV226" s="111"/>
      <c r="AW226" s="111"/>
      <c r="AX226" s="111"/>
      <c r="AY226" s="111"/>
      <c r="AZ226" s="111"/>
      <c r="BA226" s="111"/>
    </row>
    <row r="227" spans="1:53" outlineLevel="1" x14ac:dyDescent="0.25">
      <c r="A227" s="261"/>
      <c r="B227" s="260"/>
      <c r="C227" s="259"/>
      <c r="D227" s="18"/>
      <c r="E227" s="19"/>
      <c r="G227" s="265"/>
      <c r="H227" s="268"/>
      <c r="I227" s="240"/>
      <c r="K227" s="270"/>
      <c r="L227" s="259"/>
      <c r="M227" s="16"/>
      <c r="N227" s="19"/>
      <c r="P227" s="260"/>
      <c r="Q227" s="259"/>
      <c r="R227" s="19"/>
      <c r="S227" s="19"/>
      <c r="U227" s="260"/>
      <c r="V227" s="259"/>
      <c r="W227" s="16"/>
      <c r="X227" s="240"/>
      <c r="Z227" s="270"/>
      <c r="AA227" s="271"/>
      <c r="AB227" s="241"/>
      <c r="AC227" s="240"/>
      <c r="AE227" s="241"/>
      <c r="AF227" s="240"/>
      <c r="AG227" s="241"/>
      <c r="AH227" s="240"/>
      <c r="AJ227" s="111"/>
      <c r="AR227" s="111"/>
      <c r="AS227" s="111"/>
      <c r="AT227" s="111"/>
      <c r="AU227" s="111"/>
      <c r="AV227" s="111"/>
      <c r="AW227" s="111"/>
      <c r="AX227" s="111"/>
      <c r="AY227" s="111"/>
      <c r="AZ227" s="111"/>
      <c r="BA227" s="111"/>
    </row>
    <row r="228" spans="1:53" outlineLevel="1" x14ac:dyDescent="0.25">
      <c r="A228" s="261">
        <v>43</v>
      </c>
      <c r="B228" s="260">
        <v>0.26</v>
      </c>
      <c r="C228" s="259">
        <v>10.99</v>
      </c>
      <c r="D228" s="18"/>
      <c r="E228" s="8"/>
      <c r="G228" s="263">
        <v>0.39</v>
      </c>
      <c r="H228" s="266">
        <v>11.07</v>
      </c>
      <c r="I228" s="240"/>
      <c r="K228" s="260">
        <v>0.39</v>
      </c>
      <c r="L228" s="259">
        <v>11.22</v>
      </c>
      <c r="M228" s="16"/>
      <c r="N228" s="49"/>
      <c r="P228" s="260"/>
      <c r="Q228" s="259"/>
      <c r="R228" s="19"/>
      <c r="S228" s="19"/>
      <c r="U228" s="260"/>
      <c r="V228" s="259"/>
      <c r="W228" s="16"/>
      <c r="X228" s="240"/>
      <c r="Z228" s="270"/>
      <c r="AA228" s="271"/>
      <c r="AB228" s="241"/>
      <c r="AC228" s="240"/>
      <c r="AE228" s="241"/>
      <c r="AF228" s="240"/>
      <c r="AG228" s="241"/>
      <c r="AH228" s="240"/>
      <c r="AJ228" s="111"/>
      <c r="AR228" s="111"/>
      <c r="AS228" s="111"/>
      <c r="AT228" s="111"/>
      <c r="AU228" s="111"/>
      <c r="AV228" s="111"/>
      <c r="AW228" s="111"/>
      <c r="AX228" s="111"/>
      <c r="AY228" s="111"/>
      <c r="AZ228" s="111"/>
      <c r="BA228" s="111"/>
    </row>
    <row r="229" spans="1:53" outlineLevel="1" x14ac:dyDescent="0.25">
      <c r="A229" s="261"/>
      <c r="B229" s="260"/>
      <c r="C229" s="259"/>
      <c r="D229" s="18">
        <f>D230</f>
        <v>0.13</v>
      </c>
      <c r="E229" s="249" t="s">
        <v>238</v>
      </c>
      <c r="G229" s="264"/>
      <c r="H229" s="267"/>
      <c r="I229" s="240"/>
      <c r="K229" s="260"/>
      <c r="L229" s="259"/>
      <c r="M229" s="16">
        <f>D229</f>
        <v>0.13</v>
      </c>
      <c r="N229" s="249" t="s">
        <v>238</v>
      </c>
      <c r="P229" s="260"/>
      <c r="Q229" s="259"/>
      <c r="R229" s="19"/>
      <c r="S229" s="19"/>
      <c r="U229" s="260"/>
      <c r="V229" s="259"/>
      <c r="W229" s="16"/>
      <c r="X229" s="240"/>
      <c r="Z229" s="270"/>
      <c r="AA229" s="271"/>
      <c r="AB229" s="241"/>
      <c r="AC229" s="240"/>
      <c r="AE229" s="241"/>
      <c r="AF229" s="240"/>
      <c r="AG229" s="241"/>
      <c r="AH229" s="240"/>
      <c r="AJ229" s="111"/>
      <c r="AR229" s="111"/>
      <c r="AS229" s="111"/>
      <c r="AT229" s="111"/>
      <c r="AU229" s="111"/>
      <c r="AV229" s="111"/>
      <c r="AW229" s="111"/>
      <c r="AX229" s="111"/>
      <c r="AY229" s="111"/>
      <c r="AZ229" s="111"/>
      <c r="BA229" s="111"/>
    </row>
    <row r="230" spans="1:53" outlineLevel="1" x14ac:dyDescent="0.25">
      <c r="A230" s="261"/>
      <c r="B230" s="260"/>
      <c r="C230" s="259"/>
      <c r="D230" s="18">
        <f>B228/2</f>
        <v>0.13</v>
      </c>
      <c r="E230" s="75" t="s">
        <v>195</v>
      </c>
      <c r="G230" s="265"/>
      <c r="H230" s="268"/>
      <c r="I230" s="8"/>
      <c r="K230" s="260"/>
      <c r="L230" s="259"/>
      <c r="M230" s="16">
        <f>K228-M229</f>
        <v>0.26</v>
      </c>
      <c r="N230" s="75" t="s">
        <v>195</v>
      </c>
      <c r="P230" s="260"/>
      <c r="Q230" s="259"/>
      <c r="R230" s="241"/>
      <c r="S230" s="49"/>
      <c r="U230" s="260"/>
      <c r="V230" s="259"/>
      <c r="W230" s="16"/>
      <c r="X230" s="240"/>
      <c r="Z230" s="270"/>
      <c r="AA230" s="271"/>
      <c r="AB230" s="241"/>
      <c r="AC230" s="240"/>
      <c r="AE230" s="241"/>
      <c r="AF230" s="240"/>
      <c r="AG230" s="241"/>
      <c r="AH230" s="240"/>
      <c r="AJ230" s="111"/>
      <c r="AR230" s="111"/>
      <c r="AS230" s="111"/>
      <c r="AT230" s="111"/>
      <c r="AU230" s="111"/>
      <c r="AV230" s="111"/>
      <c r="AW230" s="111"/>
      <c r="AX230" s="111"/>
      <c r="AY230" s="111"/>
      <c r="AZ230" s="111"/>
      <c r="BA230" s="111"/>
    </row>
    <row r="231" spans="1:53" outlineLevel="1" x14ac:dyDescent="0.25">
      <c r="A231" s="261">
        <v>44</v>
      </c>
      <c r="B231" s="260">
        <v>4.17</v>
      </c>
      <c r="C231" s="259">
        <v>11.11</v>
      </c>
      <c r="D231" s="18"/>
      <c r="E231" s="8"/>
      <c r="G231" s="260">
        <v>5.16</v>
      </c>
      <c r="H231" s="259">
        <v>11.22</v>
      </c>
      <c r="I231" s="240"/>
      <c r="K231" s="260">
        <v>0.65</v>
      </c>
      <c r="L231" s="259">
        <v>11.32</v>
      </c>
      <c r="M231" s="245"/>
      <c r="N231" s="246"/>
      <c r="P231" s="260">
        <v>0.31</v>
      </c>
      <c r="Q231" s="259">
        <v>11.37</v>
      </c>
      <c r="R231" s="241"/>
      <c r="S231" s="49"/>
      <c r="U231" s="260"/>
      <c r="V231" s="259"/>
      <c r="W231" s="16"/>
      <c r="X231" s="240"/>
      <c r="Z231" s="270">
        <v>0.18</v>
      </c>
      <c r="AA231" s="271">
        <v>11.54</v>
      </c>
      <c r="AB231" s="241"/>
      <c r="AC231" s="240"/>
      <c r="AE231" s="241"/>
      <c r="AF231" s="240"/>
      <c r="AG231" s="241"/>
      <c r="AH231" s="240"/>
      <c r="AJ231" s="111"/>
      <c r="AR231" s="111"/>
      <c r="AS231" s="111"/>
      <c r="AT231" s="111"/>
      <c r="AU231" s="111"/>
      <c r="AV231" s="111"/>
      <c r="AW231" s="111"/>
      <c r="AX231" s="111"/>
      <c r="AY231" s="111"/>
      <c r="AZ231" s="111"/>
      <c r="BA231" s="111"/>
    </row>
    <row r="232" spans="1:53" outlineLevel="1" x14ac:dyDescent="0.25">
      <c r="A232" s="261"/>
      <c r="B232" s="260"/>
      <c r="C232" s="259"/>
      <c r="D232" s="18"/>
      <c r="E232" s="8"/>
      <c r="G232" s="260"/>
      <c r="H232" s="259"/>
      <c r="I232" s="240"/>
      <c r="K232" s="260"/>
      <c r="L232" s="259"/>
      <c r="M232" s="245"/>
      <c r="N232" s="49"/>
      <c r="P232" s="260"/>
      <c r="Q232" s="259"/>
      <c r="R232" s="241"/>
      <c r="S232" s="49"/>
      <c r="U232" s="260"/>
      <c r="V232" s="259"/>
      <c r="W232" s="16"/>
      <c r="X232" s="240"/>
      <c r="Z232" s="270"/>
      <c r="AA232" s="271"/>
      <c r="AB232" s="241"/>
      <c r="AC232" s="240"/>
      <c r="AE232" s="241"/>
      <c r="AF232" s="240"/>
      <c r="AG232" s="241"/>
      <c r="AH232" s="240"/>
      <c r="AJ232" s="111"/>
      <c r="AR232" s="111"/>
      <c r="AS232" s="111"/>
      <c r="AT232" s="111"/>
      <c r="AU232" s="111"/>
      <c r="AV232" s="111"/>
      <c r="AW232" s="111"/>
      <c r="AX232" s="111"/>
      <c r="AY232" s="111"/>
      <c r="AZ232" s="111"/>
      <c r="BA232" s="111"/>
    </row>
    <row r="233" spans="1:53" outlineLevel="1" x14ac:dyDescent="0.25">
      <c r="A233" s="261"/>
      <c r="B233" s="260"/>
      <c r="C233" s="259"/>
      <c r="D233" s="18"/>
      <c r="E233" s="8"/>
      <c r="G233" s="260"/>
      <c r="H233" s="259"/>
      <c r="I233" s="240"/>
      <c r="K233" s="260"/>
      <c r="L233" s="259"/>
      <c r="M233" s="245"/>
      <c r="N233" s="246"/>
      <c r="P233" s="260"/>
      <c r="Q233" s="259"/>
      <c r="R233" s="241"/>
      <c r="S233" s="49"/>
      <c r="U233" s="260"/>
      <c r="V233" s="259"/>
      <c r="W233" s="16"/>
      <c r="X233" s="240"/>
      <c r="Z233" s="270"/>
      <c r="AA233" s="271"/>
      <c r="AB233" s="241"/>
      <c r="AC233" s="240"/>
      <c r="AE233" s="241"/>
      <c r="AF233" s="240"/>
      <c r="AG233" s="241"/>
      <c r="AH233" s="240"/>
      <c r="AJ233" s="111"/>
      <c r="AR233" s="111"/>
      <c r="AS233" s="111"/>
      <c r="AT233" s="111"/>
      <c r="AU233" s="111"/>
      <c r="AV233" s="111"/>
      <c r="AW233" s="111"/>
      <c r="AX233" s="111"/>
      <c r="AY233" s="111"/>
      <c r="AZ233" s="111"/>
      <c r="BA233" s="111"/>
    </row>
    <row r="234" spans="1:53" outlineLevel="1" x14ac:dyDescent="0.25">
      <c r="A234" s="261"/>
      <c r="B234" s="260"/>
      <c r="C234" s="259"/>
      <c r="D234" s="18"/>
      <c r="G234" s="260"/>
      <c r="H234" s="259"/>
      <c r="I234" s="240"/>
      <c r="K234" s="260"/>
      <c r="L234" s="259"/>
      <c r="M234" s="245"/>
      <c r="N234" s="246"/>
      <c r="P234" s="260"/>
      <c r="Q234" s="259"/>
      <c r="R234" s="241"/>
      <c r="S234" s="49"/>
      <c r="U234" s="260"/>
      <c r="V234" s="259"/>
      <c r="W234" s="16"/>
      <c r="X234" s="240"/>
      <c r="Z234" s="270"/>
      <c r="AA234" s="271"/>
      <c r="AB234" s="241"/>
      <c r="AC234" s="240"/>
      <c r="AE234" s="241"/>
      <c r="AF234" s="240"/>
      <c r="AG234" s="241"/>
      <c r="AH234" s="240"/>
      <c r="AJ234" s="111"/>
      <c r="AR234" s="111"/>
      <c r="AS234" s="111"/>
      <c r="AT234" s="111"/>
      <c r="AU234" s="111"/>
      <c r="AV234" s="111"/>
      <c r="AW234" s="111"/>
      <c r="AX234" s="111"/>
      <c r="AY234" s="111"/>
      <c r="AZ234" s="111"/>
      <c r="BA234" s="111"/>
    </row>
    <row r="235" spans="1:53" outlineLevel="1" x14ac:dyDescent="0.25">
      <c r="A235" s="261"/>
      <c r="B235" s="260"/>
      <c r="C235" s="259"/>
      <c r="D235" s="18"/>
      <c r="E235" s="8"/>
      <c r="G235" s="260"/>
      <c r="H235" s="259"/>
      <c r="I235" s="240"/>
      <c r="K235" s="260"/>
      <c r="L235" s="259"/>
      <c r="M235" s="245"/>
      <c r="N235" s="246"/>
      <c r="P235" s="260"/>
      <c r="Q235" s="259"/>
      <c r="R235" s="241"/>
      <c r="S235" s="49"/>
      <c r="U235" s="260"/>
      <c r="V235" s="259"/>
      <c r="W235" s="16"/>
      <c r="X235" s="240"/>
      <c r="Z235" s="270"/>
      <c r="AA235" s="271"/>
      <c r="AB235" s="241"/>
      <c r="AC235" s="240"/>
      <c r="AE235" s="241"/>
      <c r="AF235" s="240"/>
      <c r="AG235" s="241"/>
      <c r="AH235" s="240"/>
      <c r="AJ235" s="111"/>
      <c r="AR235" s="111"/>
      <c r="AS235" s="111"/>
      <c r="AT235" s="111"/>
      <c r="AU235" s="111"/>
      <c r="AV235" s="111"/>
      <c r="AW235" s="111"/>
      <c r="AX235" s="111"/>
      <c r="AY235" s="111"/>
      <c r="AZ235" s="111"/>
      <c r="BA235" s="111"/>
    </row>
    <row r="236" spans="1:53" outlineLevel="1" x14ac:dyDescent="0.25">
      <c r="A236" s="261"/>
      <c r="B236" s="260"/>
      <c r="C236" s="259"/>
      <c r="D236" s="246">
        <f>1.38/2</f>
        <v>0.69</v>
      </c>
      <c r="E236" s="249" t="s">
        <v>160</v>
      </c>
      <c r="G236" s="260"/>
      <c r="H236" s="259"/>
      <c r="I236" s="240"/>
      <c r="K236" s="260"/>
      <c r="L236" s="259"/>
      <c r="M236" s="245"/>
      <c r="N236" s="246"/>
      <c r="P236" s="260"/>
      <c r="Q236" s="259"/>
      <c r="R236" s="241"/>
      <c r="S236" s="49"/>
      <c r="U236" s="260"/>
      <c r="V236" s="259"/>
      <c r="W236" s="16"/>
      <c r="X236" s="240"/>
      <c r="Z236" s="270"/>
      <c r="AA236" s="271"/>
      <c r="AB236" s="241"/>
      <c r="AC236" s="240"/>
      <c r="AE236" s="241"/>
      <c r="AF236" s="240"/>
      <c r="AG236" s="241"/>
      <c r="AH236" s="240"/>
      <c r="AJ236" s="111"/>
      <c r="AR236" s="111"/>
      <c r="AS236" s="111"/>
      <c r="AT236" s="111"/>
      <c r="AU236" s="111"/>
      <c r="AV236" s="111"/>
      <c r="AW236" s="111"/>
      <c r="AX236" s="111"/>
      <c r="AY236" s="111"/>
      <c r="AZ236" s="111"/>
      <c r="BA236" s="111"/>
    </row>
    <row r="237" spans="1:53" outlineLevel="1" x14ac:dyDescent="0.25">
      <c r="A237" s="261"/>
      <c r="B237" s="260"/>
      <c r="C237" s="259"/>
      <c r="D237" s="246">
        <f>1.38/2</f>
        <v>0.69</v>
      </c>
      <c r="E237" s="62" t="s">
        <v>247</v>
      </c>
      <c r="G237" s="260"/>
      <c r="H237" s="259"/>
      <c r="I237" s="240"/>
      <c r="K237" s="260"/>
      <c r="L237" s="259"/>
      <c r="M237" s="245"/>
      <c r="N237" s="246"/>
      <c r="P237" s="260"/>
      <c r="Q237" s="259"/>
      <c r="R237" s="241"/>
      <c r="S237" s="49"/>
      <c r="U237" s="260"/>
      <c r="V237" s="259"/>
      <c r="W237" s="16"/>
      <c r="X237" s="240"/>
      <c r="Z237" s="270"/>
      <c r="AA237" s="271"/>
      <c r="AB237" s="241"/>
      <c r="AC237" s="240"/>
      <c r="AE237" s="241"/>
      <c r="AF237" s="240"/>
      <c r="AG237" s="241"/>
      <c r="AH237" s="240"/>
      <c r="AJ237" s="111"/>
      <c r="AR237" s="111"/>
      <c r="AS237" s="111"/>
      <c r="AT237" s="111"/>
      <c r="AU237" s="111"/>
      <c r="AV237" s="111"/>
      <c r="AW237" s="111"/>
      <c r="AX237" s="111"/>
      <c r="AY237" s="111"/>
      <c r="AZ237" s="111"/>
      <c r="BA237" s="111"/>
    </row>
    <row r="238" spans="1:53" outlineLevel="1" x14ac:dyDescent="0.25">
      <c r="A238" s="261"/>
      <c r="B238" s="260"/>
      <c r="C238" s="259"/>
      <c r="D238" s="245">
        <v>0.47</v>
      </c>
      <c r="E238" s="249" t="s">
        <v>246</v>
      </c>
      <c r="G238" s="260"/>
      <c r="H238" s="259"/>
      <c r="I238" s="240"/>
      <c r="K238" s="260"/>
      <c r="L238" s="259"/>
      <c r="M238" s="245"/>
      <c r="N238" s="246"/>
      <c r="P238" s="260"/>
      <c r="Q238" s="259"/>
      <c r="R238" s="241"/>
      <c r="S238" s="49"/>
      <c r="U238" s="260"/>
      <c r="V238" s="259"/>
      <c r="W238" s="16"/>
      <c r="X238" s="240"/>
      <c r="Z238" s="270"/>
      <c r="AA238" s="271"/>
      <c r="AB238" s="241"/>
      <c r="AC238" s="240"/>
      <c r="AE238" s="241"/>
      <c r="AF238" s="240"/>
      <c r="AG238" s="241"/>
      <c r="AH238" s="240"/>
      <c r="AJ238" s="111"/>
      <c r="AR238" s="111"/>
      <c r="AS238" s="111"/>
      <c r="AT238" s="111"/>
      <c r="AU238" s="111"/>
      <c r="AV238" s="111"/>
      <c r="AW238" s="111"/>
      <c r="AX238" s="111"/>
      <c r="AY238" s="111"/>
      <c r="AZ238" s="111"/>
      <c r="BA238" s="111"/>
    </row>
    <row r="239" spans="1:53" outlineLevel="1" x14ac:dyDescent="0.25">
      <c r="A239" s="261"/>
      <c r="B239" s="260"/>
      <c r="C239" s="259"/>
      <c r="D239" s="241"/>
      <c r="E239" s="240"/>
      <c r="G239" s="260"/>
      <c r="H239" s="259"/>
      <c r="I239" s="240"/>
      <c r="K239" s="260"/>
      <c r="L239" s="259"/>
      <c r="M239" s="16"/>
      <c r="N239" s="49"/>
      <c r="P239" s="260"/>
      <c r="Q239" s="259"/>
      <c r="R239" s="241"/>
      <c r="S239" s="49"/>
      <c r="U239" s="260"/>
      <c r="V239" s="259"/>
      <c r="W239" s="16"/>
      <c r="X239" s="240"/>
      <c r="Z239" s="270"/>
      <c r="AA239" s="271"/>
      <c r="AB239" s="241"/>
      <c r="AC239" s="240"/>
      <c r="AE239" s="241"/>
      <c r="AF239" s="240"/>
      <c r="AG239" s="241"/>
      <c r="AH239" s="240"/>
      <c r="AJ239" s="111"/>
      <c r="AR239" s="111"/>
      <c r="AS239" s="111"/>
      <c r="AT239" s="111"/>
      <c r="AU239" s="111"/>
      <c r="AV239" s="111"/>
      <c r="AW239" s="111"/>
      <c r="AX239" s="111"/>
      <c r="AY239" s="111"/>
      <c r="AZ239" s="111"/>
      <c r="BA239" s="111"/>
    </row>
    <row r="240" spans="1:53" outlineLevel="1" x14ac:dyDescent="0.25">
      <c r="A240" s="261"/>
      <c r="B240" s="260"/>
      <c r="C240" s="259"/>
      <c r="D240" s="246">
        <f>1.37+0.26</f>
        <v>1.6300000000000001</v>
      </c>
      <c r="E240" s="70" t="s">
        <v>216</v>
      </c>
      <c r="G240" s="260"/>
      <c r="H240" s="259"/>
      <c r="I240" s="19"/>
      <c r="K240" s="260"/>
      <c r="L240" s="259"/>
      <c r="M240" s="16"/>
      <c r="N240" s="49"/>
      <c r="P240" s="260"/>
      <c r="Q240" s="259"/>
      <c r="R240" s="241"/>
      <c r="S240" s="49"/>
      <c r="U240" s="260"/>
      <c r="V240" s="259"/>
      <c r="W240" s="16"/>
      <c r="X240" s="240"/>
      <c r="Z240" s="270"/>
      <c r="AA240" s="271"/>
      <c r="AB240" s="241"/>
      <c r="AC240" s="240"/>
      <c r="AE240" s="241"/>
      <c r="AF240" s="240"/>
      <c r="AG240" s="241"/>
      <c r="AH240" s="240"/>
      <c r="AJ240" s="111"/>
      <c r="AR240" s="111"/>
      <c r="AS240" s="111"/>
      <c r="AT240" s="111"/>
      <c r="AU240" s="111"/>
      <c r="AV240" s="111"/>
      <c r="AW240" s="111"/>
      <c r="AX240" s="111"/>
      <c r="AY240" s="111"/>
      <c r="AZ240" s="111"/>
      <c r="BA240" s="111"/>
    </row>
    <row r="241" spans="1:53" outlineLevel="1" x14ac:dyDescent="0.25">
      <c r="A241" s="261"/>
      <c r="B241" s="260"/>
      <c r="C241" s="259"/>
      <c r="D241" s="245"/>
      <c r="E241" s="18"/>
      <c r="G241" s="260"/>
      <c r="H241" s="259"/>
      <c r="I241" s="240"/>
      <c r="K241" s="260"/>
      <c r="L241" s="259"/>
      <c r="M241" s="245"/>
      <c r="N241" s="18"/>
      <c r="P241" s="260"/>
      <c r="Q241" s="259"/>
      <c r="R241" s="241"/>
      <c r="S241" s="49"/>
      <c r="U241" s="260"/>
      <c r="V241" s="259"/>
      <c r="W241" s="245"/>
      <c r="X241" s="240"/>
      <c r="Z241" s="270"/>
      <c r="AA241" s="271"/>
      <c r="AB241" s="241"/>
      <c r="AC241" s="240"/>
      <c r="AE241" s="56"/>
      <c r="AF241" s="49"/>
      <c r="AG241" s="56"/>
      <c r="AH241" s="49"/>
      <c r="AJ241" s="111"/>
      <c r="AR241" s="111"/>
      <c r="AS241" s="111"/>
      <c r="AT241" s="111"/>
      <c r="AU241" s="111"/>
      <c r="AV241" s="111"/>
      <c r="AW241" s="111"/>
      <c r="AX241" s="111"/>
      <c r="AY241" s="111"/>
      <c r="AZ241" s="111"/>
      <c r="BA241" s="111"/>
    </row>
    <row r="242" spans="1:53" outlineLevel="1" x14ac:dyDescent="0.25">
      <c r="A242" s="242">
        <v>45</v>
      </c>
      <c r="B242" s="241">
        <v>0.21</v>
      </c>
      <c r="C242" s="240">
        <v>11.26</v>
      </c>
      <c r="D242" s="18"/>
      <c r="E242" s="8"/>
      <c r="G242" s="260">
        <v>1.1599999999999999</v>
      </c>
      <c r="H242" s="259">
        <v>11.49</v>
      </c>
      <c r="I242" s="8"/>
      <c r="K242" s="260"/>
      <c r="L242" s="259"/>
      <c r="M242" s="245"/>
      <c r="N242" s="55"/>
      <c r="P242" s="260"/>
      <c r="Q242" s="259"/>
      <c r="R242" s="241"/>
      <c r="S242" s="55"/>
      <c r="U242" s="260"/>
      <c r="V242" s="259"/>
      <c r="W242" s="245"/>
      <c r="X242" s="240"/>
      <c r="Z242" s="270"/>
      <c r="AA242" s="271"/>
      <c r="AB242" s="241"/>
      <c r="AC242" s="240"/>
      <c r="AE242" s="56"/>
      <c r="AF242" s="49"/>
      <c r="AG242" s="56"/>
      <c r="AH242" s="49"/>
      <c r="AJ242" s="111"/>
      <c r="AR242" s="111"/>
      <c r="AS242" s="111"/>
      <c r="AT242" s="111"/>
      <c r="AU242" s="111"/>
      <c r="AV242" s="111"/>
      <c r="AW242" s="111"/>
      <c r="AX242" s="111"/>
      <c r="AY242" s="111"/>
      <c r="AZ242" s="111"/>
      <c r="BA242" s="111"/>
    </row>
    <row r="243" spans="1:53" outlineLevel="1" x14ac:dyDescent="0.25">
      <c r="A243" s="261">
        <v>46</v>
      </c>
      <c r="B243" s="260">
        <v>0.68</v>
      </c>
      <c r="C243" s="259">
        <v>11.38</v>
      </c>
      <c r="D243" s="246">
        <f>B243+B242-D245-D246-D247-D248-D249</f>
        <v>0.34000000000000008</v>
      </c>
      <c r="E243" s="249" t="s">
        <v>161</v>
      </c>
      <c r="G243" s="260"/>
      <c r="H243" s="259"/>
      <c r="I243" s="240"/>
      <c r="K243" s="260">
        <v>1.34</v>
      </c>
      <c r="L243" s="259">
        <v>11.52</v>
      </c>
      <c r="M243" s="245">
        <f>K243-M246-M245-M247-M248-M249</f>
        <v>0.49</v>
      </c>
      <c r="N243" s="249" t="s">
        <v>161</v>
      </c>
      <c r="P243" s="263">
        <v>0.62</v>
      </c>
      <c r="Q243" s="266">
        <v>11.48</v>
      </c>
      <c r="R243" s="241"/>
      <c r="S243" s="55"/>
      <c r="U243" s="260"/>
      <c r="V243" s="259"/>
      <c r="W243" s="245"/>
      <c r="X243" s="240"/>
      <c r="Z243" s="270"/>
      <c r="AA243" s="271"/>
      <c r="AB243" s="241"/>
      <c r="AC243" s="240"/>
      <c r="AE243" s="56"/>
      <c r="AF243" s="49"/>
      <c r="AG243" s="56"/>
      <c r="AH243" s="49"/>
      <c r="AJ243" s="111"/>
      <c r="AR243" s="111"/>
      <c r="AS243" s="111"/>
      <c r="AT243" s="111"/>
      <c r="AU243" s="111"/>
      <c r="AV243" s="111"/>
      <c r="AW243" s="111"/>
      <c r="AX243" s="111"/>
      <c r="AY243" s="111"/>
      <c r="AZ243" s="111"/>
      <c r="BA243" s="111"/>
    </row>
    <row r="244" spans="1:53" outlineLevel="1" x14ac:dyDescent="0.25">
      <c r="A244" s="261"/>
      <c r="B244" s="260"/>
      <c r="C244" s="259"/>
      <c r="D244" s="18"/>
      <c r="E244" s="49"/>
      <c r="G244" s="260"/>
      <c r="H244" s="259"/>
      <c r="I244" s="240"/>
      <c r="K244" s="260"/>
      <c r="L244" s="259"/>
      <c r="M244" s="16"/>
      <c r="N244" s="49"/>
      <c r="P244" s="264"/>
      <c r="Q244" s="267"/>
      <c r="R244" s="56"/>
      <c r="S244" s="49"/>
      <c r="U244" s="260"/>
      <c r="V244" s="259"/>
      <c r="W244" s="245"/>
      <c r="X244" s="240"/>
      <c r="Z244" s="270"/>
      <c r="AA244" s="271"/>
      <c r="AB244" s="241"/>
      <c r="AC244" s="240"/>
      <c r="AE244" s="56"/>
      <c r="AF244" s="49"/>
      <c r="AG244" s="56"/>
      <c r="AH244" s="49"/>
      <c r="AJ244" s="111"/>
      <c r="AR244" s="111"/>
      <c r="AS244" s="111"/>
      <c r="AT244" s="111"/>
      <c r="AU244" s="111"/>
      <c r="AV244" s="111"/>
      <c r="AW244" s="111"/>
      <c r="AX244" s="111"/>
      <c r="AY244" s="111"/>
      <c r="AZ244" s="111"/>
      <c r="BA244" s="111"/>
    </row>
    <row r="245" spans="1:53" outlineLevel="1" x14ac:dyDescent="0.25">
      <c r="A245" s="261"/>
      <c r="B245" s="260"/>
      <c r="C245" s="259"/>
      <c r="D245" s="18">
        <f>D246</f>
        <v>0.11</v>
      </c>
      <c r="E245" s="249" t="s">
        <v>86</v>
      </c>
      <c r="G245" s="260"/>
      <c r="H245" s="259"/>
      <c r="I245" s="240"/>
      <c r="K245" s="260"/>
      <c r="L245" s="259"/>
      <c r="M245" s="16">
        <f>D245</f>
        <v>0.11</v>
      </c>
      <c r="N245" s="249" t="s">
        <v>86</v>
      </c>
      <c r="P245" s="264"/>
      <c r="Q245" s="267"/>
      <c r="R245" s="241"/>
      <c r="S245" s="55"/>
      <c r="U245" s="260"/>
      <c r="V245" s="259"/>
      <c r="W245" s="245"/>
      <c r="X245" s="240"/>
      <c r="Z245" s="270"/>
      <c r="AA245" s="271"/>
      <c r="AB245" s="241"/>
      <c r="AC245" s="240"/>
      <c r="AE245" s="56"/>
      <c r="AF245" s="49"/>
      <c r="AG245" s="56"/>
      <c r="AH245" s="49"/>
      <c r="AJ245" s="111"/>
      <c r="AR245" s="111"/>
      <c r="AS245" s="111"/>
      <c r="AT245" s="111"/>
      <c r="AU245" s="111"/>
      <c r="AV245" s="111"/>
      <c r="AW245" s="111"/>
      <c r="AX245" s="111"/>
      <c r="AY245" s="111"/>
      <c r="AZ245" s="111"/>
      <c r="BA245" s="111"/>
    </row>
    <row r="246" spans="1:53" outlineLevel="1" x14ac:dyDescent="0.25">
      <c r="A246" s="261"/>
      <c r="B246" s="260"/>
      <c r="C246" s="259"/>
      <c r="D246" s="246">
        <v>0.11</v>
      </c>
      <c r="E246" s="75" t="s">
        <v>35</v>
      </c>
      <c r="G246" s="260"/>
      <c r="H246" s="259"/>
      <c r="I246" s="240"/>
      <c r="K246" s="260"/>
      <c r="L246" s="259"/>
      <c r="M246" s="245">
        <f>D246</f>
        <v>0.11</v>
      </c>
      <c r="N246" s="75" t="s">
        <v>35</v>
      </c>
      <c r="P246" s="264"/>
      <c r="Q246" s="267"/>
      <c r="R246" s="241">
        <f>P243-R249</f>
        <v>0.51</v>
      </c>
      <c r="S246" s="75" t="s">
        <v>345</v>
      </c>
      <c r="U246" s="260"/>
      <c r="V246" s="259"/>
      <c r="W246" s="245"/>
      <c r="X246" s="240"/>
      <c r="Z246" s="270"/>
      <c r="AA246" s="271"/>
      <c r="AB246" s="241"/>
      <c r="AC246" s="240"/>
      <c r="AE246" s="56"/>
      <c r="AF246" s="49"/>
      <c r="AG246" s="56"/>
      <c r="AH246" s="49"/>
      <c r="AJ246" s="111"/>
      <c r="AR246" s="111"/>
      <c r="AS246" s="111"/>
      <c r="AT246" s="111"/>
      <c r="AU246" s="111"/>
      <c r="AV246" s="111"/>
      <c r="AW246" s="111"/>
      <c r="AX246" s="111"/>
      <c r="AY246" s="111"/>
      <c r="AZ246" s="111"/>
      <c r="BA246" s="111"/>
    </row>
    <row r="247" spans="1:53" outlineLevel="1" x14ac:dyDescent="0.25">
      <c r="A247" s="261"/>
      <c r="B247" s="260"/>
      <c r="C247" s="259"/>
      <c r="D247" s="246">
        <f>D246</f>
        <v>0.11</v>
      </c>
      <c r="E247" s="70" t="s">
        <v>240</v>
      </c>
      <c r="G247" s="260"/>
      <c r="H247" s="259"/>
      <c r="I247" s="240"/>
      <c r="K247" s="260"/>
      <c r="L247" s="259"/>
      <c r="M247" s="245">
        <v>0.21</v>
      </c>
      <c r="N247" s="70" t="s">
        <v>240</v>
      </c>
      <c r="P247" s="264"/>
      <c r="Q247" s="267"/>
      <c r="R247" s="241"/>
      <c r="S247" s="55"/>
      <c r="U247" s="260"/>
      <c r="V247" s="259"/>
      <c r="W247" s="245"/>
      <c r="X247" s="240"/>
      <c r="Z247" s="270"/>
      <c r="AA247" s="271"/>
      <c r="AB247" s="241"/>
      <c r="AC247" s="240"/>
      <c r="AE247" s="56"/>
      <c r="AF247" s="49"/>
      <c r="AG247" s="56"/>
      <c r="AH247" s="49"/>
      <c r="AJ247" s="111"/>
      <c r="AR247" s="111"/>
      <c r="AS247" s="111"/>
      <c r="AT247" s="111"/>
      <c r="AU247" s="111"/>
      <c r="AV247" s="111"/>
      <c r="AW247" s="111"/>
      <c r="AX247" s="111"/>
      <c r="AY247" s="111"/>
      <c r="AZ247" s="111"/>
      <c r="BA247" s="111"/>
    </row>
    <row r="248" spans="1:53" outlineLevel="1" x14ac:dyDescent="0.25">
      <c r="A248" s="261"/>
      <c r="B248" s="260"/>
      <c r="C248" s="259"/>
      <c r="D248" s="246">
        <f>D246</f>
        <v>0.11</v>
      </c>
      <c r="E248" s="81" t="s">
        <v>241</v>
      </c>
      <c r="G248" s="260"/>
      <c r="H248" s="259"/>
      <c r="I248" s="240"/>
      <c r="K248" s="260"/>
      <c r="L248" s="259"/>
      <c r="M248" s="245">
        <v>0.21</v>
      </c>
      <c r="N248" s="81" t="s">
        <v>241</v>
      </c>
      <c r="P248" s="264"/>
      <c r="Q248" s="267"/>
      <c r="R248" s="56"/>
      <c r="S248" s="49"/>
      <c r="U248" s="260"/>
      <c r="V248" s="259"/>
      <c r="W248" s="245"/>
      <c r="X248" s="240"/>
      <c r="Z248" s="270"/>
      <c r="AA248" s="271"/>
      <c r="AB248" s="241"/>
      <c r="AC248" s="240"/>
      <c r="AE248" s="56"/>
      <c r="AF248" s="49"/>
      <c r="AG248" s="56"/>
      <c r="AH248" s="49"/>
      <c r="AJ248" s="111"/>
      <c r="AR248" s="111"/>
      <c r="AS248" s="111"/>
      <c r="AT248" s="111"/>
      <c r="AU248" s="111"/>
      <c r="AV248" s="111"/>
      <c r="AW248" s="111"/>
      <c r="AX248" s="111"/>
      <c r="AY248" s="111"/>
      <c r="AZ248" s="111"/>
      <c r="BA248" s="111"/>
    </row>
    <row r="249" spans="1:53" outlineLevel="1" x14ac:dyDescent="0.25">
      <c r="A249" s="261"/>
      <c r="B249" s="260"/>
      <c r="C249" s="259"/>
      <c r="D249" s="246">
        <f>D246</f>
        <v>0.11</v>
      </c>
      <c r="E249" s="81" t="s">
        <v>117</v>
      </c>
      <c r="G249" s="260"/>
      <c r="H249" s="259"/>
      <c r="I249" s="240"/>
      <c r="K249" s="260"/>
      <c r="L249" s="259"/>
      <c r="M249" s="245">
        <v>0.21</v>
      </c>
      <c r="N249" s="81" t="s">
        <v>117</v>
      </c>
      <c r="P249" s="264"/>
      <c r="Q249" s="267"/>
      <c r="R249" s="241">
        <f>D249</f>
        <v>0.11</v>
      </c>
      <c r="S249" s="81" t="s">
        <v>117</v>
      </c>
      <c r="U249" s="260"/>
      <c r="V249" s="259"/>
      <c r="W249" s="245">
        <f>U218</f>
        <v>0.05</v>
      </c>
      <c r="X249" s="81" t="s">
        <v>117</v>
      </c>
      <c r="Z249" s="270"/>
      <c r="AA249" s="271"/>
      <c r="AB249" s="241">
        <f>Z231</f>
        <v>0.18</v>
      </c>
      <c r="AC249" s="81" t="s">
        <v>117</v>
      </c>
      <c r="AE249" s="56"/>
      <c r="AF249" s="49"/>
      <c r="AG249" s="56"/>
      <c r="AH249" s="49"/>
      <c r="AJ249" s="111"/>
      <c r="AR249" s="111"/>
      <c r="AS249" s="111"/>
      <c r="AT249" s="111"/>
      <c r="AU249" s="111"/>
      <c r="AV249" s="111"/>
      <c r="AW249" s="111"/>
      <c r="AX249" s="111"/>
      <c r="AY249" s="111"/>
      <c r="AZ249" s="111"/>
      <c r="BA249" s="111"/>
    </row>
    <row r="250" spans="1:53" outlineLevel="1" x14ac:dyDescent="0.25">
      <c r="A250" s="261"/>
      <c r="B250" s="260"/>
      <c r="C250" s="259"/>
      <c r="D250" s="18"/>
      <c r="E250" s="8"/>
      <c r="G250" s="260"/>
      <c r="H250" s="259"/>
      <c r="I250" s="240"/>
      <c r="K250" s="260"/>
      <c r="L250" s="259"/>
      <c r="M250" s="16"/>
      <c r="N250" s="49"/>
      <c r="P250" s="265"/>
      <c r="Q250" s="268"/>
      <c r="R250" s="19"/>
      <c r="S250" s="240"/>
      <c r="U250" s="260"/>
      <c r="V250" s="259"/>
      <c r="W250" s="16"/>
      <c r="X250" s="240"/>
      <c r="Z250" s="270"/>
      <c r="AA250" s="271"/>
      <c r="AB250" s="241"/>
      <c r="AC250" s="240"/>
      <c r="AE250" s="241"/>
      <c r="AF250" s="240"/>
      <c r="AG250" s="241"/>
      <c r="AH250" s="240"/>
      <c r="AJ250" s="111"/>
      <c r="AR250" s="111"/>
      <c r="AS250" s="111"/>
      <c r="AT250" s="111"/>
      <c r="AU250" s="111"/>
      <c r="AV250" s="111"/>
      <c r="AW250" s="111"/>
      <c r="AX250" s="111"/>
      <c r="AY250" s="111"/>
      <c r="AZ250" s="111"/>
      <c r="BA250" s="111"/>
    </row>
    <row r="251" spans="1:53" outlineLevel="1" x14ac:dyDescent="0.25">
      <c r="A251" s="261">
        <v>47</v>
      </c>
      <c r="B251" s="260">
        <v>4.3099999999999996</v>
      </c>
      <c r="C251" s="259">
        <v>11.52</v>
      </c>
      <c r="D251" s="246">
        <f>B251-D253-D254-D252</f>
        <v>3.4899999999999998</v>
      </c>
      <c r="E251" s="249" t="s">
        <v>432</v>
      </c>
      <c r="G251" s="260">
        <v>5.31</v>
      </c>
      <c r="H251" s="259">
        <v>11.64</v>
      </c>
      <c r="I251" s="240"/>
      <c r="K251" s="241">
        <v>0.6</v>
      </c>
      <c r="L251" s="240">
        <v>11.63</v>
      </c>
      <c r="M251" s="245">
        <f>K252+K251+K254-M254-M252-M253</f>
        <v>0.4599999999999998</v>
      </c>
      <c r="N251" s="249" t="s">
        <v>161</v>
      </c>
      <c r="P251" s="263">
        <v>0.23</v>
      </c>
      <c r="Q251" s="266">
        <v>11.75</v>
      </c>
      <c r="R251" s="56"/>
      <c r="S251" s="49"/>
      <c r="U251" s="260"/>
      <c r="V251" s="259"/>
      <c r="W251" s="245"/>
      <c r="X251" s="240"/>
      <c r="Z251" s="270"/>
      <c r="AA251" s="271"/>
      <c r="AB251" s="241"/>
      <c r="AC251" s="240"/>
      <c r="AE251" s="241"/>
      <c r="AF251" s="240"/>
      <c r="AG251" s="241"/>
      <c r="AH251" s="240"/>
      <c r="AJ251" s="111"/>
      <c r="AR251" s="111"/>
      <c r="AS251" s="111"/>
      <c r="AT251" s="111"/>
      <c r="AU251" s="111"/>
      <c r="AV251" s="111"/>
      <c r="AW251" s="111"/>
      <c r="AX251" s="111"/>
      <c r="AY251" s="111"/>
      <c r="AZ251" s="111"/>
      <c r="BA251" s="111"/>
    </row>
    <row r="252" spans="1:53" outlineLevel="1" x14ac:dyDescent="0.25">
      <c r="A252" s="261"/>
      <c r="B252" s="260"/>
      <c r="C252" s="259"/>
      <c r="D252" s="16">
        <f>M252</f>
        <v>0.35</v>
      </c>
      <c r="E252" s="249" t="s">
        <v>242</v>
      </c>
      <c r="G252" s="260"/>
      <c r="H252" s="259"/>
      <c r="I252" s="240"/>
      <c r="K252" s="260">
        <v>0.33</v>
      </c>
      <c r="L252" s="259">
        <v>11.97</v>
      </c>
      <c r="M252" s="245">
        <f>K254</f>
        <v>0.35</v>
      </c>
      <c r="N252" s="249" t="s">
        <v>242</v>
      </c>
      <c r="P252" s="264"/>
      <c r="Q252" s="267"/>
      <c r="R252" s="241"/>
      <c r="S252" s="55"/>
      <c r="U252" s="260"/>
      <c r="V252" s="259"/>
      <c r="W252" s="245"/>
      <c r="X252" s="240"/>
      <c r="Z252" s="270"/>
      <c r="AA252" s="271"/>
      <c r="AB252" s="241"/>
      <c r="AC252" s="240"/>
      <c r="AE252" s="241"/>
      <c r="AF252" s="240"/>
      <c r="AG252" s="241"/>
      <c r="AH252" s="240"/>
      <c r="AJ252" s="111"/>
      <c r="AR252" s="111"/>
      <c r="AS252" s="111"/>
      <c r="AT252" s="111"/>
      <c r="AU252" s="111"/>
      <c r="AV252" s="111"/>
      <c r="AW252" s="111"/>
      <c r="AX252" s="111"/>
      <c r="AY252" s="111"/>
      <c r="AZ252" s="111"/>
      <c r="BA252" s="111"/>
    </row>
    <row r="253" spans="1:53" outlineLevel="1" x14ac:dyDescent="0.25">
      <c r="A253" s="261"/>
      <c r="B253" s="260"/>
      <c r="C253" s="259"/>
      <c r="D253" s="16">
        <v>0.46</v>
      </c>
      <c r="E253" s="237" t="s">
        <v>410</v>
      </c>
      <c r="G253" s="260"/>
      <c r="H253" s="259"/>
      <c r="I253" s="240"/>
      <c r="K253" s="260"/>
      <c r="L253" s="259"/>
      <c r="M253" s="16">
        <f>D253</f>
        <v>0.46</v>
      </c>
      <c r="N253" s="237" t="s">
        <v>410</v>
      </c>
      <c r="P253" s="264"/>
      <c r="Q253" s="267"/>
      <c r="R253" s="19">
        <f>P251</f>
        <v>0.23</v>
      </c>
      <c r="S253" s="237" t="s">
        <v>344</v>
      </c>
      <c r="U253" s="260"/>
      <c r="V253" s="259"/>
      <c r="W253" s="245"/>
      <c r="X253" s="240"/>
      <c r="Z253" s="245"/>
      <c r="AA253" s="246"/>
      <c r="AB253" s="241"/>
      <c r="AC253" s="240"/>
      <c r="AE253" s="241"/>
      <c r="AF253" s="240"/>
      <c r="AG253" s="241"/>
      <c r="AH253" s="240"/>
      <c r="AJ253" s="111"/>
      <c r="AR253" s="111"/>
      <c r="AS253" s="111"/>
      <c r="AT253" s="111"/>
      <c r="AU253" s="111"/>
      <c r="AV253" s="111"/>
      <c r="AW253" s="111"/>
      <c r="AX253" s="111"/>
      <c r="AY253" s="111"/>
      <c r="AZ253" s="111"/>
      <c r="BA253" s="111"/>
    </row>
    <row r="254" spans="1:53" outlineLevel="1" x14ac:dyDescent="0.25">
      <c r="A254" s="261"/>
      <c r="B254" s="260"/>
      <c r="C254" s="259"/>
      <c r="D254" s="245">
        <v>0.01</v>
      </c>
      <c r="E254" s="70" t="s">
        <v>240</v>
      </c>
      <c r="G254" s="260"/>
      <c r="H254" s="259"/>
      <c r="I254" s="240"/>
      <c r="K254" s="241">
        <v>0.35</v>
      </c>
      <c r="L254" s="240">
        <v>12.13</v>
      </c>
      <c r="M254" s="245">
        <f>D254</f>
        <v>0.01</v>
      </c>
      <c r="N254" s="70" t="s">
        <v>240</v>
      </c>
      <c r="P254" s="264"/>
      <c r="Q254" s="267"/>
      <c r="R254" s="56"/>
      <c r="S254" s="49"/>
      <c r="U254" s="260"/>
      <c r="V254" s="259"/>
      <c r="W254" s="245"/>
      <c r="X254" s="240"/>
      <c r="Z254" s="270">
        <v>0.17</v>
      </c>
      <c r="AA254" s="271">
        <v>11.84</v>
      </c>
      <c r="AB254" s="241"/>
      <c r="AC254" s="240"/>
      <c r="AE254" s="241"/>
      <c r="AF254" s="240"/>
      <c r="AG254" s="241"/>
      <c r="AH254" s="240"/>
      <c r="AJ254" s="111"/>
      <c r="AR254" s="111"/>
      <c r="AS254" s="111"/>
      <c r="AT254" s="111"/>
      <c r="AU254" s="111"/>
      <c r="AV254" s="111"/>
      <c r="AW254" s="111"/>
      <c r="AX254" s="111"/>
      <c r="AY254" s="111"/>
      <c r="AZ254" s="111"/>
      <c r="BA254" s="111"/>
    </row>
    <row r="255" spans="1:53" outlineLevel="1" x14ac:dyDescent="0.25">
      <c r="A255" s="261">
        <v>48</v>
      </c>
      <c r="B255" s="260">
        <v>3.06</v>
      </c>
      <c r="C255" s="259">
        <v>11.95</v>
      </c>
      <c r="D255" s="18"/>
      <c r="E255" s="8"/>
      <c r="G255" s="260">
        <v>3.76</v>
      </c>
      <c r="H255" s="259">
        <v>12.05</v>
      </c>
      <c r="I255" s="240"/>
      <c r="K255" s="241">
        <v>0.28000000000000003</v>
      </c>
      <c r="L255" s="240">
        <v>12.49</v>
      </c>
      <c r="M255" s="16"/>
      <c r="N255" s="49"/>
      <c r="P255" s="265"/>
      <c r="Q255" s="268"/>
      <c r="R255" s="56"/>
      <c r="S255" s="49"/>
      <c r="U255" s="260"/>
      <c r="V255" s="259"/>
      <c r="W255" s="245"/>
      <c r="X255" s="240"/>
      <c r="Z255" s="270"/>
      <c r="AA255" s="271"/>
      <c r="AB255" s="241"/>
      <c r="AC255" s="240"/>
      <c r="AE255" s="241"/>
      <c r="AF255" s="240"/>
      <c r="AG255" s="241"/>
      <c r="AH255" s="240"/>
      <c r="AJ255" s="111"/>
      <c r="AR255" s="111"/>
      <c r="AS255" s="111"/>
      <c r="AT255" s="111"/>
      <c r="AU255" s="111"/>
      <c r="AV255" s="111"/>
      <c r="AW255" s="111"/>
      <c r="AX255" s="111"/>
      <c r="AY255" s="111"/>
      <c r="AZ255" s="111"/>
      <c r="BA255" s="111"/>
    </row>
    <row r="256" spans="1:53" outlineLevel="1" x14ac:dyDescent="0.25">
      <c r="A256" s="261"/>
      <c r="B256" s="260"/>
      <c r="C256" s="259"/>
      <c r="D256" s="18"/>
      <c r="E256" s="240"/>
      <c r="G256" s="260"/>
      <c r="H256" s="259"/>
      <c r="I256" s="240"/>
      <c r="K256" s="260">
        <v>0.66</v>
      </c>
      <c r="L256" s="259">
        <v>12.7</v>
      </c>
      <c r="M256" s="245"/>
      <c r="N256" s="56"/>
      <c r="P256" s="260">
        <v>0.86</v>
      </c>
      <c r="Q256" s="259">
        <v>12.59</v>
      </c>
      <c r="R256" s="56"/>
      <c r="S256" s="56"/>
      <c r="U256" s="260"/>
      <c r="V256" s="259"/>
      <c r="W256" s="245"/>
      <c r="X256" s="240"/>
      <c r="Z256" s="270">
        <v>0.2</v>
      </c>
      <c r="AA256" s="271">
        <v>12.6</v>
      </c>
      <c r="AB256" s="241"/>
      <c r="AC256" s="240"/>
      <c r="AE256" s="241"/>
      <c r="AF256" s="240"/>
      <c r="AG256" s="241"/>
      <c r="AH256" s="240"/>
      <c r="AJ256" s="111"/>
      <c r="AR256" s="111"/>
      <c r="AS256" s="111"/>
      <c r="AT256" s="111"/>
      <c r="AU256" s="111"/>
      <c r="AV256" s="111"/>
      <c r="AW256" s="111"/>
      <c r="AX256" s="111"/>
      <c r="AY256" s="111"/>
      <c r="AZ256" s="111"/>
      <c r="BA256" s="111"/>
    </row>
    <row r="257" spans="1:53" outlineLevel="1" x14ac:dyDescent="0.25">
      <c r="A257" s="261"/>
      <c r="B257" s="260"/>
      <c r="C257" s="259"/>
      <c r="D257" s="246"/>
      <c r="E257" s="240"/>
      <c r="G257" s="260"/>
      <c r="H257" s="259"/>
      <c r="I257" s="240"/>
      <c r="K257" s="260"/>
      <c r="L257" s="259"/>
      <c r="M257" s="245"/>
      <c r="N257" s="49"/>
      <c r="P257" s="260"/>
      <c r="Q257" s="259"/>
      <c r="R257" s="56"/>
      <c r="S257" s="49"/>
      <c r="U257" s="260"/>
      <c r="V257" s="259"/>
      <c r="W257" s="245"/>
      <c r="X257" s="240"/>
      <c r="Z257" s="270"/>
      <c r="AA257" s="271"/>
      <c r="AB257" s="241"/>
      <c r="AC257" s="240"/>
      <c r="AE257" s="241"/>
      <c r="AF257" s="240"/>
      <c r="AG257" s="241"/>
      <c r="AH257" s="240"/>
      <c r="AJ257" s="111"/>
      <c r="AR257" s="111"/>
      <c r="AS257" s="111"/>
      <c r="AT257" s="111"/>
      <c r="AU257" s="111"/>
      <c r="AV257" s="111"/>
      <c r="AW257" s="111"/>
      <c r="AX257" s="111"/>
      <c r="AY257" s="111"/>
      <c r="AZ257" s="111"/>
      <c r="BA257" s="111"/>
    </row>
    <row r="258" spans="1:53" outlineLevel="1" x14ac:dyDescent="0.25">
      <c r="A258" s="261"/>
      <c r="B258" s="260"/>
      <c r="C258" s="259"/>
      <c r="D258" s="246"/>
      <c r="E258" s="240"/>
      <c r="G258" s="260"/>
      <c r="H258" s="259"/>
      <c r="I258" s="240"/>
      <c r="K258" s="260"/>
      <c r="L258" s="259"/>
      <c r="M258" s="241"/>
      <c r="N258" s="240"/>
      <c r="P258" s="260"/>
      <c r="Q258" s="259"/>
      <c r="R258" s="241"/>
      <c r="S258" s="49"/>
      <c r="U258" s="260"/>
      <c r="V258" s="259"/>
      <c r="W258" s="245"/>
      <c r="X258" s="240"/>
      <c r="Z258" s="270"/>
      <c r="AA258" s="271"/>
      <c r="AB258" s="241"/>
      <c r="AC258" s="240"/>
      <c r="AE258" s="241"/>
      <c r="AF258" s="240"/>
      <c r="AG258" s="241"/>
      <c r="AH258" s="240"/>
      <c r="AJ258" s="111"/>
      <c r="AR258" s="111"/>
      <c r="AS258" s="111"/>
      <c r="AT258" s="111"/>
      <c r="AU258" s="111"/>
      <c r="AV258" s="111"/>
      <c r="AW258" s="111"/>
      <c r="AX258" s="111"/>
      <c r="AY258" s="111"/>
      <c r="AZ258" s="111"/>
      <c r="BA258" s="111"/>
    </row>
    <row r="259" spans="1:53" outlineLevel="1" x14ac:dyDescent="0.25">
      <c r="A259" s="261"/>
      <c r="B259" s="260"/>
      <c r="C259" s="259"/>
      <c r="D259" s="255">
        <f>B265+B255+B262-D260-D261</f>
        <v>4.8500000000000005</v>
      </c>
      <c r="E259" s="249" t="s">
        <v>433</v>
      </c>
      <c r="G259" s="260"/>
      <c r="H259" s="259"/>
      <c r="I259" s="8"/>
      <c r="K259" s="260"/>
      <c r="L259" s="259"/>
      <c r="M259" s="245">
        <f>K256-M260-M261</f>
        <v>0.64</v>
      </c>
      <c r="N259" s="249" t="s">
        <v>395</v>
      </c>
      <c r="P259" s="260"/>
      <c r="Q259" s="259"/>
      <c r="R259" s="241"/>
      <c r="S259" s="49"/>
      <c r="U259" s="260"/>
      <c r="V259" s="259"/>
      <c r="W259" s="245"/>
      <c r="X259" s="240"/>
      <c r="Z259" s="270"/>
      <c r="AA259" s="271"/>
      <c r="AB259" s="241"/>
      <c r="AC259" s="240"/>
      <c r="AE259" s="241"/>
      <c r="AF259" s="240"/>
      <c r="AG259" s="241"/>
      <c r="AH259" s="240"/>
      <c r="AJ259" s="111"/>
      <c r="AR259" s="111"/>
      <c r="AS259" s="111"/>
      <c r="AT259" s="111"/>
      <c r="AU259" s="111"/>
      <c r="AV259" s="111"/>
      <c r="AW259" s="111"/>
      <c r="AX259" s="111"/>
      <c r="AY259" s="111"/>
      <c r="AZ259" s="111"/>
      <c r="BA259" s="111"/>
    </row>
    <row r="260" spans="1:53" outlineLevel="1" x14ac:dyDescent="0.25">
      <c r="A260" s="261"/>
      <c r="B260" s="260"/>
      <c r="C260" s="259"/>
      <c r="D260" s="245">
        <v>0.01</v>
      </c>
      <c r="E260" s="249" t="s">
        <v>242</v>
      </c>
      <c r="G260" s="260"/>
      <c r="H260" s="259"/>
      <c r="I260" s="240"/>
      <c r="K260" s="260"/>
      <c r="L260" s="259"/>
      <c r="M260" s="245">
        <f>D260</f>
        <v>0.01</v>
      </c>
      <c r="N260" s="249" t="s">
        <v>242</v>
      </c>
      <c r="P260" s="260"/>
      <c r="Q260" s="259"/>
      <c r="R260" s="241"/>
      <c r="S260" s="49"/>
      <c r="U260" s="260"/>
      <c r="V260" s="259"/>
      <c r="W260" s="245"/>
      <c r="X260" s="240"/>
      <c r="Z260" s="270"/>
      <c r="AA260" s="271"/>
      <c r="AB260" s="241"/>
      <c r="AC260" s="240"/>
      <c r="AE260" s="241"/>
      <c r="AF260" s="240"/>
      <c r="AG260" s="241"/>
      <c r="AH260" s="240"/>
      <c r="AJ260" s="111"/>
      <c r="AR260" s="111"/>
      <c r="AS260" s="111"/>
      <c r="AT260" s="111"/>
      <c r="AU260" s="111"/>
      <c r="AV260" s="111"/>
      <c r="AW260" s="111"/>
      <c r="AX260" s="111"/>
      <c r="AY260" s="111"/>
      <c r="AZ260" s="111"/>
      <c r="BA260" s="111"/>
    </row>
    <row r="261" spans="1:53" outlineLevel="1" x14ac:dyDescent="0.25">
      <c r="A261" s="261"/>
      <c r="B261" s="260"/>
      <c r="C261" s="259"/>
      <c r="D261" s="16">
        <v>0.01</v>
      </c>
      <c r="E261" s="81" t="s">
        <v>243</v>
      </c>
      <c r="G261" s="260"/>
      <c r="H261" s="259"/>
      <c r="I261" s="240"/>
      <c r="K261" s="260"/>
      <c r="L261" s="259"/>
      <c r="M261" s="16">
        <f>D261</f>
        <v>0.01</v>
      </c>
      <c r="N261" s="81" t="s">
        <v>243</v>
      </c>
      <c r="P261" s="260"/>
      <c r="Q261" s="259"/>
      <c r="R261" s="19"/>
      <c r="S261" s="240"/>
      <c r="U261" s="260"/>
      <c r="V261" s="259"/>
      <c r="W261" s="245"/>
      <c r="X261" s="240"/>
      <c r="Z261" s="270"/>
      <c r="AA261" s="271"/>
      <c r="AB261" s="241"/>
      <c r="AC261" s="240"/>
      <c r="AE261" s="241"/>
      <c r="AF261" s="240"/>
      <c r="AG261" s="241"/>
      <c r="AH261" s="240"/>
      <c r="AJ261" s="111"/>
      <c r="AR261" s="111"/>
      <c r="AS261" s="111"/>
      <c r="AT261" s="111"/>
      <c r="AU261" s="111"/>
      <c r="AV261" s="111"/>
      <c r="AW261" s="111"/>
      <c r="AX261" s="111"/>
      <c r="AY261" s="111"/>
      <c r="AZ261" s="111"/>
      <c r="BA261" s="111"/>
    </row>
    <row r="262" spans="1:53" outlineLevel="1" x14ac:dyDescent="0.25">
      <c r="A262" s="261">
        <v>49</v>
      </c>
      <c r="B262" s="260">
        <v>1.21</v>
      </c>
      <c r="C262" s="259">
        <v>12.34</v>
      </c>
      <c r="D262" s="246"/>
      <c r="E262" s="240"/>
      <c r="G262" s="260">
        <v>1.4</v>
      </c>
      <c r="H262" s="259">
        <v>12.44</v>
      </c>
      <c r="I262" s="240"/>
      <c r="K262" s="260">
        <v>0.13</v>
      </c>
      <c r="L262" s="259">
        <v>12.88</v>
      </c>
      <c r="M262" s="245"/>
      <c r="N262" s="56"/>
      <c r="P262" s="260"/>
      <c r="Q262" s="259"/>
      <c r="R262" s="241"/>
      <c r="S262" s="56"/>
      <c r="U262" s="260"/>
      <c r="V262" s="259"/>
      <c r="W262" s="245"/>
      <c r="X262" s="240"/>
      <c r="Z262" s="270"/>
      <c r="AA262" s="271"/>
      <c r="AB262" s="241"/>
      <c r="AC262" s="240"/>
      <c r="AE262" s="241"/>
      <c r="AF262" s="240"/>
      <c r="AG262" s="241"/>
      <c r="AH262" s="240"/>
      <c r="AJ262" s="111"/>
      <c r="AR262" s="111"/>
      <c r="AS262" s="111"/>
      <c r="AT262" s="111"/>
      <c r="AU262" s="111"/>
      <c r="AV262" s="111"/>
      <c r="AW262" s="111"/>
      <c r="AX262" s="111"/>
      <c r="AY262" s="111"/>
      <c r="AZ262" s="111"/>
      <c r="BA262" s="111"/>
    </row>
    <row r="263" spans="1:53" outlineLevel="1" x14ac:dyDescent="0.25">
      <c r="A263" s="261"/>
      <c r="B263" s="260"/>
      <c r="C263" s="259"/>
      <c r="D263" s="246"/>
      <c r="E263" s="240"/>
      <c r="G263" s="260"/>
      <c r="H263" s="259"/>
      <c r="I263" s="240"/>
      <c r="K263" s="260"/>
      <c r="L263" s="259"/>
      <c r="M263" s="245"/>
      <c r="N263" s="56"/>
      <c r="P263" s="260"/>
      <c r="Q263" s="259"/>
      <c r="R263" s="241"/>
      <c r="S263" s="56"/>
      <c r="U263" s="260"/>
      <c r="V263" s="259"/>
      <c r="W263" s="245"/>
      <c r="X263" s="240"/>
      <c r="Z263" s="270"/>
      <c r="AA263" s="271"/>
      <c r="AB263" s="241"/>
      <c r="AC263" s="240"/>
      <c r="AE263" s="241"/>
      <c r="AF263" s="240"/>
      <c r="AG263" s="241"/>
      <c r="AH263" s="240"/>
      <c r="AR263" s="111"/>
      <c r="AS263" s="111"/>
      <c r="AT263" s="111"/>
      <c r="AU263" s="111"/>
      <c r="AV263" s="111"/>
      <c r="AW263" s="111"/>
      <c r="AX263" s="111"/>
      <c r="AY263" s="111"/>
      <c r="AZ263" s="111"/>
      <c r="BA263" s="111"/>
    </row>
    <row r="264" spans="1:53" outlineLevel="1" x14ac:dyDescent="0.25">
      <c r="A264" s="261"/>
      <c r="B264" s="260"/>
      <c r="C264" s="259"/>
      <c r="D264" s="18"/>
      <c r="E264" s="19"/>
      <c r="G264" s="260"/>
      <c r="H264" s="259"/>
      <c r="I264" s="19"/>
      <c r="K264" s="260"/>
      <c r="L264" s="259"/>
      <c r="M264" s="245"/>
      <c r="N264" s="49"/>
      <c r="P264" s="260"/>
      <c r="Q264" s="259"/>
      <c r="R264" s="56"/>
      <c r="S264" s="49"/>
      <c r="U264" s="260"/>
      <c r="V264" s="259"/>
      <c r="W264" s="245"/>
      <c r="X264" s="240"/>
      <c r="Z264" s="270"/>
      <c r="AA264" s="271"/>
      <c r="AB264" s="241"/>
      <c r="AC264" s="240"/>
      <c r="AE264" s="241"/>
      <c r="AF264" s="240"/>
      <c r="AG264" s="241"/>
      <c r="AH264" s="240"/>
      <c r="AR264" s="111"/>
      <c r="AS264" s="111"/>
      <c r="AT264" s="111"/>
      <c r="AU264" s="111"/>
      <c r="AV264" s="111"/>
      <c r="AW264" s="111"/>
      <c r="AX264" s="111"/>
      <c r="AY264" s="111"/>
      <c r="AZ264" s="111"/>
      <c r="BA264" s="111"/>
    </row>
    <row r="265" spans="1:53" outlineLevel="1" x14ac:dyDescent="0.25">
      <c r="A265" s="242">
        <v>50</v>
      </c>
      <c r="B265" s="241">
        <v>0.6</v>
      </c>
      <c r="C265" s="240">
        <v>12.49</v>
      </c>
      <c r="D265" s="246"/>
      <c r="E265" s="240"/>
      <c r="G265" s="241">
        <v>0.77</v>
      </c>
      <c r="H265" s="240">
        <v>12.59</v>
      </c>
      <c r="I265" s="240"/>
      <c r="K265" s="260"/>
      <c r="L265" s="259"/>
      <c r="M265" s="245"/>
      <c r="N265" s="240"/>
      <c r="P265" s="241">
        <v>0.09</v>
      </c>
      <c r="Q265" s="240">
        <v>12.83</v>
      </c>
      <c r="R265" s="241"/>
      <c r="S265" s="240"/>
      <c r="U265" s="241"/>
      <c r="V265" s="240"/>
      <c r="W265" s="245"/>
      <c r="X265" s="240"/>
      <c r="Z265" s="241"/>
      <c r="AA265" s="240"/>
      <c r="AB265" s="241"/>
      <c r="AC265" s="240"/>
      <c r="AE265" s="241"/>
      <c r="AF265" s="240"/>
      <c r="AG265" s="241"/>
      <c r="AH265" s="240"/>
      <c r="AR265" s="111"/>
      <c r="AS265" s="111"/>
      <c r="AT265" s="111"/>
      <c r="AU265" s="111"/>
      <c r="AV265" s="111"/>
      <c r="AW265" s="111"/>
      <c r="AX265" s="111"/>
      <c r="AY265" s="111"/>
      <c r="AZ265" s="111"/>
      <c r="BA265" s="111"/>
    </row>
    <row r="266" spans="1:53" outlineLevel="1" x14ac:dyDescent="0.25">
      <c r="A266" s="261">
        <v>51</v>
      </c>
      <c r="B266" s="260">
        <v>0.5</v>
      </c>
      <c r="C266" s="259">
        <v>12.8</v>
      </c>
      <c r="D266" s="246"/>
      <c r="E266" s="240"/>
      <c r="G266" s="260">
        <v>0.56999999999999995</v>
      </c>
      <c r="H266" s="259">
        <v>12.87</v>
      </c>
      <c r="I266" s="240"/>
      <c r="K266" s="260">
        <v>0.11</v>
      </c>
      <c r="L266" s="259">
        <v>13.25</v>
      </c>
      <c r="M266" s="245"/>
      <c r="N266" s="240"/>
      <c r="P266" s="260">
        <v>0.06</v>
      </c>
      <c r="Q266" s="259">
        <v>13.01</v>
      </c>
      <c r="R266" s="241"/>
      <c r="S266" s="240"/>
      <c r="U266" s="241"/>
      <c r="V266" s="240"/>
      <c r="W266" s="245"/>
      <c r="X266" s="240"/>
      <c r="Z266" s="241"/>
      <c r="AA266" s="240"/>
      <c r="AB266" s="241"/>
      <c r="AC266" s="240"/>
      <c r="AE266" s="241"/>
      <c r="AF266" s="240"/>
      <c r="AG266" s="241"/>
      <c r="AH266" s="240"/>
      <c r="AR266" s="111"/>
      <c r="AS266" s="111"/>
      <c r="AT266" s="111"/>
      <c r="AU266" s="111"/>
      <c r="AV266" s="111"/>
      <c r="AW266" s="111"/>
      <c r="AX266" s="111"/>
      <c r="AY266" s="111"/>
      <c r="AZ266" s="111"/>
      <c r="BA266" s="111"/>
    </row>
    <row r="267" spans="1:53" outlineLevel="1" x14ac:dyDescent="0.25">
      <c r="A267" s="261"/>
      <c r="B267" s="260"/>
      <c r="C267" s="259"/>
      <c r="D267" s="246"/>
      <c r="E267" s="240"/>
      <c r="G267" s="260"/>
      <c r="H267" s="259"/>
      <c r="I267" s="240"/>
      <c r="K267" s="260"/>
      <c r="L267" s="259"/>
      <c r="M267" s="245"/>
      <c r="N267" s="240"/>
      <c r="P267" s="260"/>
      <c r="Q267" s="259"/>
      <c r="R267" s="241"/>
      <c r="S267" s="240"/>
      <c r="U267" s="241"/>
      <c r="V267" s="240"/>
      <c r="W267" s="245"/>
      <c r="X267" s="240"/>
      <c r="Z267" s="241"/>
      <c r="AA267" s="240"/>
      <c r="AB267" s="241"/>
      <c r="AC267" s="240"/>
      <c r="AE267" s="241"/>
      <c r="AF267" s="240"/>
      <c r="AG267" s="241"/>
      <c r="AH267" s="240"/>
      <c r="AR267" s="111"/>
      <c r="AS267" s="111"/>
      <c r="AT267" s="111"/>
      <c r="AU267" s="111"/>
      <c r="AV267" s="111"/>
      <c r="AW267" s="111"/>
      <c r="AX267" s="111"/>
      <c r="AY267" s="111"/>
      <c r="AZ267" s="111"/>
      <c r="BA267" s="111"/>
    </row>
    <row r="268" spans="1:53" outlineLevel="1" x14ac:dyDescent="0.25">
      <c r="A268" s="242">
        <v>52</v>
      </c>
      <c r="B268" s="241">
        <v>0.22</v>
      </c>
      <c r="C268" s="240">
        <v>12.98</v>
      </c>
      <c r="D268" s="246"/>
      <c r="E268" s="240"/>
      <c r="G268" s="241">
        <v>0.36</v>
      </c>
      <c r="H268" s="240">
        <v>13.09</v>
      </c>
      <c r="I268" s="241"/>
      <c r="K268" s="260"/>
      <c r="L268" s="259"/>
      <c r="M268" s="245"/>
      <c r="N268" s="240"/>
      <c r="P268" s="241">
        <v>0.12</v>
      </c>
      <c r="Q268" s="240">
        <v>13.3</v>
      </c>
      <c r="R268" s="241"/>
      <c r="S268" s="240"/>
      <c r="U268" s="241"/>
      <c r="V268" s="240"/>
      <c r="W268" s="245"/>
      <c r="X268" s="240"/>
      <c r="Z268" s="241"/>
      <c r="AA268" s="240"/>
      <c r="AB268" s="241"/>
      <c r="AC268" s="240"/>
      <c r="AE268" s="241"/>
      <c r="AF268" s="240"/>
      <c r="AG268" s="241"/>
      <c r="AH268" s="240"/>
      <c r="AR268" s="111"/>
      <c r="AS268" s="111"/>
      <c r="AT268" s="111"/>
      <c r="AU268" s="111"/>
      <c r="AV268" s="111"/>
      <c r="AW268" s="111"/>
      <c r="AX268" s="111"/>
      <c r="AY268" s="111"/>
      <c r="AZ268" s="111"/>
      <c r="BA268" s="111"/>
    </row>
    <row r="269" spans="1:53" outlineLevel="1" x14ac:dyDescent="0.25">
      <c r="A269" s="242">
        <v>53</v>
      </c>
      <c r="B269" s="241">
        <v>0.39</v>
      </c>
      <c r="C269" s="240">
        <v>13.12</v>
      </c>
      <c r="D269" s="246"/>
      <c r="E269" s="240"/>
      <c r="G269" s="241">
        <v>0.5</v>
      </c>
      <c r="H269" s="240">
        <v>13.2</v>
      </c>
      <c r="I269" s="241"/>
      <c r="K269" s="241">
        <v>0.6</v>
      </c>
      <c r="L269" s="240">
        <v>13.77</v>
      </c>
      <c r="M269" s="245"/>
      <c r="N269" s="240"/>
      <c r="P269" s="241">
        <v>0.4</v>
      </c>
      <c r="Q269" s="240">
        <v>13.61</v>
      </c>
      <c r="R269" s="241"/>
      <c r="S269" s="240"/>
      <c r="U269" s="241"/>
      <c r="V269" s="240"/>
      <c r="W269" s="245"/>
      <c r="X269" s="240"/>
      <c r="Z269" s="241"/>
      <c r="AA269" s="240"/>
      <c r="AB269" s="241"/>
      <c r="AC269" s="240"/>
      <c r="AE269" s="241"/>
      <c r="AF269" s="240"/>
      <c r="AG269" s="241"/>
      <c r="AH269" s="240"/>
      <c r="AR269" s="111"/>
      <c r="AS269" s="111"/>
      <c r="AT269" s="111"/>
      <c r="AU269" s="111"/>
      <c r="AV269" s="111"/>
      <c r="AW269" s="111"/>
      <c r="AX269" s="111"/>
      <c r="AY269" s="111"/>
      <c r="AZ269" s="111"/>
      <c r="BA269" s="111"/>
    </row>
    <row r="270" spans="1:53" outlineLevel="1" x14ac:dyDescent="0.25">
      <c r="A270" s="242">
        <v>54</v>
      </c>
      <c r="B270" s="241">
        <v>0.19</v>
      </c>
      <c r="C270" s="240">
        <v>13.61</v>
      </c>
      <c r="D270" s="246"/>
      <c r="E270" s="240"/>
      <c r="G270" s="241">
        <v>0.38</v>
      </c>
      <c r="H270" s="240">
        <v>13.67</v>
      </c>
      <c r="I270" s="241"/>
      <c r="K270" s="241">
        <v>0.05</v>
      </c>
      <c r="L270" s="240">
        <v>14.03</v>
      </c>
      <c r="M270" s="245"/>
      <c r="N270" s="240"/>
      <c r="P270" s="260">
        <v>0.32</v>
      </c>
      <c r="Q270" s="259">
        <v>13.69</v>
      </c>
      <c r="R270" s="241"/>
      <c r="S270" s="240"/>
      <c r="U270" s="241"/>
      <c r="V270" s="240"/>
      <c r="W270" s="245"/>
      <c r="X270" s="240"/>
      <c r="Z270" s="241"/>
      <c r="AA270" s="240"/>
      <c r="AB270" s="241"/>
      <c r="AC270" s="240"/>
      <c r="AE270" s="241"/>
      <c r="AF270" s="240"/>
      <c r="AG270" s="241"/>
      <c r="AH270" s="240"/>
      <c r="AR270" s="111"/>
      <c r="AS270" s="111"/>
      <c r="AT270" s="111"/>
      <c r="AU270" s="111"/>
      <c r="AV270" s="111"/>
      <c r="AW270" s="111"/>
      <c r="AX270" s="111"/>
      <c r="AY270" s="111"/>
      <c r="AZ270" s="111"/>
      <c r="BA270" s="111"/>
    </row>
    <row r="271" spans="1:53" outlineLevel="1" x14ac:dyDescent="0.25">
      <c r="A271" s="242">
        <v>55</v>
      </c>
      <c r="B271" s="241">
        <v>0.21</v>
      </c>
      <c r="C271" s="240">
        <v>13.77</v>
      </c>
      <c r="D271" s="246"/>
      <c r="E271" s="240"/>
      <c r="G271" s="241">
        <v>0.52</v>
      </c>
      <c r="H271" s="240">
        <v>14.15</v>
      </c>
      <c r="I271" s="241"/>
      <c r="K271" s="241">
        <v>0.17</v>
      </c>
      <c r="L271" s="240">
        <v>14.59</v>
      </c>
      <c r="M271" s="245"/>
      <c r="N271" s="240"/>
      <c r="P271" s="260"/>
      <c r="Q271" s="259"/>
      <c r="R271" s="241"/>
      <c r="S271" s="240"/>
      <c r="U271" s="241"/>
      <c r="V271" s="240"/>
      <c r="W271" s="245"/>
      <c r="X271" s="240"/>
      <c r="Z271" s="241"/>
      <c r="AA271" s="240"/>
      <c r="AB271" s="241"/>
      <c r="AC271" s="240"/>
      <c r="AE271" s="241"/>
      <c r="AF271" s="240"/>
      <c r="AG271" s="241"/>
      <c r="AH271" s="240"/>
      <c r="AR271" s="111"/>
      <c r="AS271" s="111"/>
      <c r="AT271" s="111"/>
      <c r="AU271" s="111"/>
      <c r="AV271" s="111"/>
      <c r="AW271" s="111"/>
      <c r="AX271" s="111"/>
      <c r="AY271" s="111"/>
      <c r="AZ271" s="111"/>
      <c r="BA271" s="111"/>
    </row>
    <row r="272" spans="1:53" outlineLevel="1" x14ac:dyDescent="0.25">
      <c r="A272" s="242">
        <v>56</v>
      </c>
      <c r="B272" s="241">
        <v>0.2</v>
      </c>
      <c r="C272" s="240">
        <v>14.21</v>
      </c>
      <c r="D272" s="246"/>
      <c r="E272" s="240"/>
      <c r="G272" s="241">
        <v>0.4</v>
      </c>
      <c r="H272" s="240">
        <v>14.92</v>
      </c>
      <c r="I272" s="241"/>
      <c r="K272" s="241">
        <v>0.36</v>
      </c>
      <c r="L272" s="240">
        <v>14.82</v>
      </c>
      <c r="M272" s="245"/>
      <c r="N272" s="240"/>
      <c r="P272" s="241">
        <v>0.39</v>
      </c>
      <c r="Q272" s="240">
        <v>14.78</v>
      </c>
      <c r="R272" s="241"/>
      <c r="S272" s="240"/>
      <c r="U272" s="56"/>
      <c r="V272" s="49"/>
      <c r="W272" s="19"/>
      <c r="X272" s="8"/>
      <c r="Z272" s="56"/>
      <c r="AA272" s="49"/>
      <c r="AB272" s="56"/>
      <c r="AC272" s="8"/>
      <c r="AE272" s="56"/>
      <c r="AF272" s="49"/>
      <c r="AG272" s="56"/>
      <c r="AH272" s="49"/>
    </row>
    <row r="273" spans="1:34" outlineLevel="1" x14ac:dyDescent="0.25">
      <c r="A273" s="120"/>
      <c r="B273" s="1"/>
      <c r="C273" s="121"/>
      <c r="D273" s="121"/>
      <c r="E273" s="121"/>
      <c r="G273" s="53"/>
      <c r="H273" s="84"/>
      <c r="I273" s="53"/>
      <c r="K273" s="121"/>
      <c r="L273" s="121"/>
      <c r="M273" s="121"/>
      <c r="N273" s="121"/>
      <c r="P273" s="121"/>
      <c r="Q273" s="121"/>
      <c r="R273" s="121"/>
      <c r="S273" s="121"/>
      <c r="U273" s="121"/>
      <c r="V273" s="121"/>
      <c r="W273" s="121"/>
      <c r="X273" s="121"/>
      <c r="Z273" s="121"/>
      <c r="AA273" s="121"/>
      <c r="AB273" s="121"/>
      <c r="AC273" s="121"/>
      <c r="AE273" s="121"/>
      <c r="AF273" s="121"/>
      <c r="AG273" s="121"/>
      <c r="AH273" s="121"/>
    </row>
    <row r="274" spans="1:34" x14ac:dyDescent="0.25">
      <c r="A274" s="121" t="s">
        <v>224</v>
      </c>
      <c r="B274" s="21">
        <f>SUM(B3:B272)</f>
        <v>100.00999999999999</v>
      </c>
      <c r="C274" s="21"/>
      <c r="D274" s="21">
        <f>SUM(D3:D272)</f>
        <v>95.495000000000005</v>
      </c>
      <c r="E274" s="21"/>
      <c r="G274" s="21">
        <f>SUM(G3:G272)</f>
        <v>100.02999999999997</v>
      </c>
      <c r="K274" s="21">
        <f>SUM(K3:K272)</f>
        <v>99.999999999999943</v>
      </c>
      <c r="L274" s="21"/>
      <c r="M274" s="21">
        <f>SUM(M3:M273)</f>
        <v>97.094999999999985</v>
      </c>
      <c r="N274" s="21"/>
      <c r="P274" s="21">
        <f>SUM(P3:P272)</f>
        <v>99.99</v>
      </c>
      <c r="Q274" s="21"/>
      <c r="R274" s="21">
        <f>SUM(R3:R273)</f>
        <v>94.830000000000041</v>
      </c>
      <c r="S274" s="21"/>
      <c r="U274" s="21">
        <f>SUM(U3:U272)</f>
        <v>99.999999999999986</v>
      </c>
      <c r="V274" s="21"/>
      <c r="W274" s="21">
        <f>SUM(W3:W273)</f>
        <v>97.23</v>
      </c>
      <c r="X274" s="21"/>
      <c r="Z274" s="21">
        <f>SUM(Z3:Z272)</f>
        <v>100.01999999999997</v>
      </c>
      <c r="AA274" s="21"/>
      <c r="AB274" s="21">
        <f>SUM(AB3:AB272)</f>
        <v>97.039999999999907</v>
      </c>
      <c r="AC274" s="21"/>
      <c r="AE274" s="21">
        <f>SUM(AE3:AE272)</f>
        <v>100.00999999999998</v>
      </c>
      <c r="AG274" s="21">
        <f>SUM(AG3:AG272)</f>
        <v>97.72999999999999</v>
      </c>
    </row>
    <row r="275" spans="1:34" x14ac:dyDescent="0.25">
      <c r="B275" s="121"/>
      <c r="C275" s="121"/>
      <c r="D275" s="121"/>
      <c r="E275" s="121"/>
      <c r="K275" s="121"/>
      <c r="L275" s="121"/>
      <c r="M275" s="121"/>
      <c r="N275" s="121"/>
      <c r="P275" s="121"/>
      <c r="Q275" s="121"/>
      <c r="R275" s="121"/>
      <c r="S275" s="121"/>
      <c r="U275" s="121"/>
      <c r="V275" s="121"/>
      <c r="W275" s="121"/>
      <c r="X275" s="121"/>
      <c r="Z275" s="121"/>
      <c r="AA275" s="121"/>
      <c r="AB275" s="121"/>
      <c r="AC275" s="121"/>
      <c r="AE275" s="121"/>
      <c r="AF275" s="121"/>
      <c r="AG275" s="121"/>
      <c r="AH275" s="121"/>
    </row>
    <row r="276" spans="1:34" x14ac:dyDescent="0.25">
      <c r="A276" s="121" t="s">
        <v>399</v>
      </c>
      <c r="B276" s="121"/>
      <c r="C276" s="121"/>
      <c r="D276" s="121"/>
      <c r="E276" s="121"/>
      <c r="K276" s="121"/>
      <c r="L276" s="121"/>
      <c r="M276" s="121"/>
      <c r="N276" s="121"/>
      <c r="P276" s="121"/>
      <c r="Q276" s="121"/>
      <c r="R276" s="121"/>
      <c r="S276" s="121"/>
      <c r="U276" s="121"/>
      <c r="V276" s="121"/>
      <c r="W276" s="121"/>
      <c r="X276" s="121"/>
      <c r="Z276" s="121"/>
      <c r="AA276" s="121"/>
      <c r="AB276" s="121"/>
      <c r="AC276" s="121"/>
      <c r="AE276" s="121"/>
      <c r="AF276" s="121"/>
      <c r="AG276" s="121"/>
      <c r="AH276" s="121"/>
    </row>
    <row r="277" spans="1:34" x14ac:dyDescent="0.25">
      <c r="B277" s="121"/>
      <c r="C277" s="121"/>
      <c r="D277" s="121"/>
      <c r="E277" s="121"/>
      <c r="K277" s="121"/>
      <c r="L277" s="121"/>
      <c r="M277" s="121"/>
      <c r="N277" s="121"/>
      <c r="P277" s="121"/>
      <c r="Q277" s="121"/>
      <c r="R277" s="121"/>
      <c r="S277" s="121"/>
      <c r="U277" s="121"/>
      <c r="V277" s="121"/>
      <c r="W277" s="121"/>
      <c r="X277" s="121"/>
      <c r="Z277" s="121"/>
      <c r="AA277" s="121"/>
      <c r="AB277" s="121"/>
      <c r="AC277" s="121"/>
      <c r="AE277" s="121"/>
      <c r="AF277" s="121"/>
      <c r="AG277" s="121"/>
      <c r="AH277" s="121"/>
    </row>
    <row r="278" spans="1:34" x14ac:dyDescent="0.25">
      <c r="B278" s="121"/>
      <c r="C278" s="121"/>
      <c r="D278" s="121"/>
      <c r="E278" s="121"/>
      <c r="K278" s="121"/>
      <c r="L278" s="121"/>
      <c r="M278" s="121"/>
      <c r="N278" s="121"/>
      <c r="P278" s="121"/>
      <c r="Q278" s="121"/>
      <c r="R278" s="121"/>
      <c r="S278" s="121"/>
      <c r="U278" s="121"/>
      <c r="V278" s="121"/>
      <c r="W278" s="121"/>
      <c r="X278" s="121"/>
      <c r="Z278" s="121"/>
      <c r="AA278" s="121"/>
      <c r="AB278" s="121"/>
      <c r="AC278" s="121"/>
      <c r="AE278" s="121"/>
      <c r="AF278" s="121"/>
      <c r="AG278" s="121"/>
      <c r="AH278" s="121"/>
    </row>
    <row r="279" spans="1:34" x14ac:dyDescent="0.25">
      <c r="B279" s="121"/>
      <c r="C279" s="121"/>
      <c r="D279" s="121"/>
      <c r="E279" s="121"/>
      <c r="K279" s="121"/>
      <c r="L279" s="121"/>
      <c r="M279" s="121"/>
      <c r="N279" s="121"/>
      <c r="P279" s="121"/>
      <c r="Q279" s="121"/>
      <c r="R279" s="121"/>
      <c r="S279" s="121"/>
      <c r="U279" s="121"/>
      <c r="V279" s="121"/>
      <c r="W279" s="121"/>
      <c r="X279" s="121"/>
      <c r="Z279" s="121"/>
      <c r="AA279" s="121"/>
      <c r="AB279" s="121"/>
      <c r="AC279" s="121"/>
      <c r="AE279" s="121"/>
      <c r="AF279" s="121"/>
      <c r="AG279" s="121"/>
      <c r="AH279" s="121"/>
    </row>
    <row r="280" spans="1:34" x14ac:dyDescent="0.25">
      <c r="B280" s="121"/>
      <c r="C280" s="121"/>
      <c r="D280" s="121"/>
      <c r="E280" s="121"/>
      <c r="K280" s="121"/>
      <c r="L280" s="121"/>
      <c r="M280" s="121"/>
      <c r="N280" s="121"/>
      <c r="P280" s="121"/>
      <c r="Q280" s="121"/>
      <c r="R280" s="121"/>
      <c r="S280" s="121"/>
      <c r="U280" s="121"/>
      <c r="V280" s="121"/>
      <c r="W280" s="121"/>
      <c r="X280" s="121"/>
      <c r="Z280" s="121"/>
      <c r="AA280" s="121"/>
      <c r="AB280" s="121"/>
      <c r="AC280" s="121"/>
      <c r="AE280" s="121"/>
      <c r="AF280" s="121"/>
      <c r="AG280" s="121"/>
      <c r="AH280" s="121"/>
    </row>
    <row r="281" spans="1:34" x14ac:dyDescent="0.25">
      <c r="B281" s="121"/>
      <c r="C281" s="121"/>
      <c r="D281" s="121"/>
      <c r="E281" s="121"/>
      <c r="K281" s="121"/>
      <c r="L281" s="121"/>
      <c r="M281" s="121"/>
      <c r="N281" s="121"/>
      <c r="P281" s="121"/>
      <c r="Q281" s="121"/>
      <c r="R281" s="121"/>
      <c r="S281" s="121"/>
      <c r="U281" s="121"/>
      <c r="V281" s="121"/>
      <c r="W281" s="121"/>
      <c r="X281" s="121"/>
      <c r="Z281" s="121"/>
      <c r="AA281" s="121"/>
      <c r="AB281" s="121"/>
      <c r="AC281" s="121"/>
      <c r="AE281" s="121"/>
      <c r="AF281" s="121"/>
      <c r="AG281" s="121"/>
      <c r="AH281" s="121"/>
    </row>
    <row r="282" spans="1:34" x14ac:dyDescent="0.25">
      <c r="C282" s="121"/>
      <c r="D282" s="121"/>
      <c r="E282" s="121"/>
      <c r="K282" s="121"/>
      <c r="L282" s="121"/>
      <c r="M282" s="121"/>
      <c r="N282" s="121"/>
      <c r="P282" s="121"/>
      <c r="Q282" s="121"/>
      <c r="R282" s="121"/>
      <c r="S282" s="121"/>
      <c r="U282" s="121"/>
      <c r="V282" s="121"/>
      <c r="W282" s="121"/>
      <c r="X282" s="121"/>
      <c r="Z282" s="121"/>
      <c r="AA282" s="121"/>
      <c r="AB282" s="121"/>
      <c r="AC282" s="121"/>
      <c r="AE282" s="121"/>
      <c r="AF282" s="121"/>
      <c r="AG282" s="121"/>
      <c r="AH282" s="121"/>
    </row>
    <row r="283" spans="1:34" x14ac:dyDescent="0.25">
      <c r="C283" s="121"/>
      <c r="D283" s="121"/>
      <c r="E283" s="121"/>
      <c r="K283" s="121"/>
      <c r="L283" s="121"/>
      <c r="M283" s="121"/>
      <c r="N283" s="121"/>
      <c r="P283" s="121"/>
      <c r="Q283" s="121"/>
      <c r="R283" s="121"/>
      <c r="S283" s="121"/>
      <c r="U283" s="121"/>
      <c r="V283" s="121"/>
      <c r="W283" s="121"/>
      <c r="X283" s="121"/>
      <c r="Z283" s="121"/>
      <c r="AA283" s="121"/>
      <c r="AB283" s="121"/>
      <c r="AC283" s="121"/>
      <c r="AE283" s="121"/>
      <c r="AF283" s="121"/>
      <c r="AG283" s="121"/>
      <c r="AH283" s="121"/>
    </row>
    <row r="284" spans="1:34" x14ac:dyDescent="0.25">
      <c r="C284" s="121"/>
      <c r="D284" s="121"/>
      <c r="E284" s="121"/>
      <c r="K284" s="121"/>
      <c r="L284" s="121"/>
      <c r="M284" s="121"/>
      <c r="N284" s="121"/>
      <c r="P284" s="121"/>
      <c r="Q284" s="121"/>
      <c r="R284" s="121"/>
      <c r="S284" s="121"/>
      <c r="U284" s="121"/>
      <c r="V284" s="121"/>
      <c r="W284" s="121"/>
      <c r="X284" s="121"/>
      <c r="Z284" s="121"/>
      <c r="AA284" s="121"/>
      <c r="AB284" s="121"/>
      <c r="AC284" s="121"/>
      <c r="AE284" s="121"/>
      <c r="AF284" s="121"/>
      <c r="AG284" s="121"/>
      <c r="AH284" s="121"/>
    </row>
    <row r="285" spans="1:34" x14ac:dyDescent="0.25">
      <c r="C285" s="121"/>
      <c r="D285" s="121"/>
      <c r="E285" s="121"/>
      <c r="K285" s="121"/>
      <c r="L285" s="121"/>
      <c r="M285" s="121"/>
      <c r="N285" s="121"/>
      <c r="P285" s="121"/>
      <c r="Q285" s="121"/>
      <c r="R285" s="121"/>
      <c r="S285" s="121"/>
      <c r="U285" s="121"/>
      <c r="V285" s="121"/>
      <c r="W285" s="121"/>
      <c r="X285" s="121"/>
      <c r="Z285" s="121"/>
      <c r="AA285" s="121"/>
      <c r="AB285" s="121"/>
      <c r="AC285" s="121"/>
      <c r="AE285" s="121"/>
      <c r="AF285" s="121"/>
      <c r="AG285" s="121"/>
      <c r="AH285" s="121"/>
    </row>
    <row r="286" spans="1:34" x14ac:dyDescent="0.25">
      <c r="C286" s="121"/>
      <c r="D286" s="121"/>
      <c r="E286" s="121"/>
      <c r="K286" s="121"/>
      <c r="L286" s="121"/>
      <c r="M286" s="121"/>
      <c r="N286" s="121"/>
      <c r="P286" s="121"/>
      <c r="Q286" s="121"/>
      <c r="R286" s="121"/>
      <c r="S286" s="121"/>
      <c r="U286" s="121"/>
      <c r="V286" s="121"/>
      <c r="W286" s="121"/>
      <c r="X286" s="121"/>
      <c r="Z286" s="121"/>
      <c r="AA286" s="121"/>
      <c r="AB286" s="121"/>
      <c r="AC286" s="121"/>
      <c r="AE286" s="121"/>
      <c r="AF286" s="121"/>
      <c r="AG286" s="121"/>
      <c r="AH286" s="121"/>
    </row>
    <row r="287" spans="1:34" x14ac:dyDescent="0.25">
      <c r="C287" s="121"/>
      <c r="D287" s="121"/>
      <c r="E287" s="121"/>
      <c r="K287" s="121"/>
      <c r="L287" s="121"/>
      <c r="M287" s="121"/>
      <c r="N287" s="121"/>
      <c r="P287" s="121"/>
      <c r="Q287" s="121"/>
      <c r="R287" s="121"/>
      <c r="S287" s="121"/>
      <c r="U287" s="121"/>
      <c r="V287" s="121"/>
      <c r="W287" s="121"/>
      <c r="X287" s="121"/>
      <c r="Z287" s="121"/>
      <c r="AA287" s="121"/>
      <c r="AB287" s="121"/>
      <c r="AC287" s="121"/>
      <c r="AE287" s="121"/>
      <c r="AF287" s="121"/>
      <c r="AG287" s="121"/>
      <c r="AH287" s="121"/>
    </row>
    <row r="288" spans="1:34" x14ac:dyDescent="0.25">
      <c r="C288" s="121"/>
      <c r="D288" s="121"/>
      <c r="E288" s="121"/>
      <c r="K288" s="121"/>
      <c r="L288" s="121"/>
      <c r="M288" s="121"/>
      <c r="N288" s="121"/>
      <c r="P288" s="121"/>
      <c r="Q288" s="121"/>
      <c r="R288" s="121"/>
      <c r="S288" s="121"/>
      <c r="U288" s="121"/>
      <c r="V288" s="121"/>
      <c r="W288" s="121"/>
      <c r="X288" s="121"/>
      <c r="Z288" s="121"/>
      <c r="AA288" s="121"/>
      <c r="AB288" s="121"/>
      <c r="AC288" s="121"/>
      <c r="AE288" s="121"/>
      <c r="AF288" s="121"/>
      <c r="AG288" s="121"/>
      <c r="AH288" s="121"/>
    </row>
    <row r="289" spans="3:5" x14ac:dyDescent="0.25">
      <c r="C289" s="121"/>
      <c r="D289" s="121"/>
      <c r="E289" s="121"/>
    </row>
    <row r="290" spans="3:5" x14ac:dyDescent="0.25">
      <c r="C290" s="121"/>
      <c r="D290" s="121"/>
      <c r="E290" s="121"/>
    </row>
    <row r="291" spans="3:5" x14ac:dyDescent="0.25">
      <c r="C291" s="121"/>
      <c r="D291" s="121"/>
      <c r="E291" s="121"/>
    </row>
    <row r="292" spans="3:5" x14ac:dyDescent="0.25">
      <c r="C292" s="121"/>
      <c r="D292" s="121"/>
      <c r="E292" s="121"/>
    </row>
    <row r="293" spans="3:5" x14ac:dyDescent="0.25">
      <c r="C293" s="121"/>
      <c r="D293" s="121"/>
      <c r="E293" s="121"/>
    </row>
    <row r="294" spans="3:5" x14ac:dyDescent="0.25">
      <c r="C294" s="121"/>
      <c r="D294" s="121"/>
      <c r="E294" s="121"/>
    </row>
    <row r="295" spans="3:5" x14ac:dyDescent="0.25">
      <c r="C295" s="121"/>
      <c r="D295" s="121"/>
      <c r="E295" s="121"/>
    </row>
    <row r="296" spans="3:5" x14ac:dyDescent="0.25">
      <c r="C296" s="121"/>
      <c r="D296" s="121"/>
      <c r="E296" s="121"/>
    </row>
    <row r="297" spans="3:5" x14ac:dyDescent="0.25">
      <c r="C297" s="121"/>
      <c r="D297" s="121"/>
      <c r="E297" s="121"/>
    </row>
    <row r="298" spans="3:5" x14ac:dyDescent="0.25">
      <c r="C298" s="121"/>
      <c r="D298" s="121"/>
      <c r="E298" s="121"/>
    </row>
    <row r="299" spans="3:5" x14ac:dyDescent="0.25">
      <c r="C299" s="121"/>
      <c r="D299" s="121"/>
      <c r="E299" s="121"/>
    </row>
    <row r="300" spans="3:5" x14ac:dyDescent="0.25">
      <c r="C300" s="121"/>
      <c r="D300" s="121"/>
      <c r="E300" s="121"/>
    </row>
    <row r="301" spans="3:5" x14ac:dyDescent="0.25">
      <c r="C301" s="121"/>
      <c r="D301" s="121"/>
      <c r="E301" s="121"/>
    </row>
    <row r="302" spans="3:5" x14ac:dyDescent="0.25">
      <c r="C302" s="121"/>
      <c r="D302" s="121"/>
      <c r="E302" s="121"/>
    </row>
    <row r="303" spans="3:5" x14ac:dyDescent="0.25">
      <c r="C303" s="121"/>
      <c r="D303" s="121"/>
      <c r="E303" s="121"/>
    </row>
    <row r="304" spans="3:5" x14ac:dyDescent="0.25">
      <c r="C304" s="121"/>
      <c r="D304" s="121"/>
      <c r="E304" s="121"/>
    </row>
    <row r="305" spans="3:5" x14ac:dyDescent="0.25">
      <c r="C305" s="121"/>
      <c r="D305" s="121"/>
      <c r="E305" s="121"/>
    </row>
    <row r="306" spans="3:5" x14ac:dyDescent="0.25">
      <c r="C306" s="121"/>
      <c r="D306" s="121"/>
      <c r="E306" s="121"/>
    </row>
    <row r="307" spans="3:5" x14ac:dyDescent="0.25">
      <c r="C307" s="121"/>
      <c r="D307" s="121"/>
      <c r="E307" s="121"/>
    </row>
    <row r="308" spans="3:5" x14ac:dyDescent="0.25">
      <c r="C308" s="121"/>
      <c r="D308" s="121"/>
      <c r="E308" s="121"/>
    </row>
    <row r="309" spans="3:5" x14ac:dyDescent="0.25">
      <c r="C309" s="121"/>
      <c r="D309" s="121"/>
      <c r="E309" s="121"/>
    </row>
    <row r="310" spans="3:5" x14ac:dyDescent="0.25">
      <c r="C310" s="121"/>
      <c r="D310" s="121"/>
      <c r="E310" s="121"/>
    </row>
    <row r="311" spans="3:5" x14ac:dyDescent="0.25">
      <c r="C311" s="121"/>
      <c r="D311" s="121"/>
      <c r="E311" s="121"/>
    </row>
    <row r="312" spans="3:5" x14ac:dyDescent="0.25">
      <c r="C312" s="121"/>
      <c r="D312" s="121"/>
      <c r="E312" s="121"/>
    </row>
    <row r="313" spans="3:5" x14ac:dyDescent="0.25">
      <c r="C313" s="121"/>
      <c r="D313" s="121"/>
      <c r="E313" s="121"/>
    </row>
  </sheetData>
  <mergeCells count="683">
    <mergeCell ref="V106:V111"/>
    <mergeCell ref="U102:U105"/>
    <mergeCell ref="Q106:Q111"/>
    <mergeCell ref="U106:U111"/>
    <mergeCell ref="P106:P111"/>
    <mergeCell ref="Z94:Z96"/>
    <mergeCell ref="Z73:Z76"/>
    <mergeCell ref="K33:K36"/>
    <mergeCell ref="K37:K40"/>
    <mergeCell ref="V33:V36"/>
    <mergeCell ref="Z9:Z10"/>
    <mergeCell ref="Z33:Z36"/>
    <mergeCell ref="Z41:Z44"/>
    <mergeCell ref="U33:U36"/>
    <mergeCell ref="U41:U44"/>
    <mergeCell ref="V41:V44"/>
    <mergeCell ref="Q19:Q23"/>
    <mergeCell ref="U19:U23"/>
    <mergeCell ref="V9:V10"/>
    <mergeCell ref="V19:V23"/>
    <mergeCell ref="U9:U10"/>
    <mergeCell ref="Z13:Z15"/>
    <mergeCell ref="Q33:Q36"/>
    <mergeCell ref="U5:U6"/>
    <mergeCell ref="L13:L15"/>
    <mergeCell ref="Q7:Q8"/>
    <mergeCell ref="P7:P8"/>
    <mergeCell ref="P16:P18"/>
    <mergeCell ref="Q24:Q32"/>
    <mergeCell ref="Q59:Q64"/>
    <mergeCell ref="Q68:Q72"/>
    <mergeCell ref="L68:L72"/>
    <mergeCell ref="U24:U32"/>
    <mergeCell ref="L19:L23"/>
    <mergeCell ref="G16:G18"/>
    <mergeCell ref="V7:V8"/>
    <mergeCell ref="V14:V15"/>
    <mergeCell ref="G7:G8"/>
    <mergeCell ref="G9:G10"/>
    <mergeCell ref="H9:H10"/>
    <mergeCell ref="P13:P15"/>
    <mergeCell ref="Q13:Q15"/>
    <mergeCell ref="U14:U15"/>
    <mergeCell ref="Q11:Q12"/>
    <mergeCell ref="K13:K15"/>
    <mergeCell ref="H7:H8"/>
    <mergeCell ref="K9:K10"/>
    <mergeCell ref="L9:L10"/>
    <mergeCell ref="P9:P10"/>
    <mergeCell ref="K16:K18"/>
    <mergeCell ref="H13:H15"/>
    <mergeCell ref="G13:G15"/>
    <mergeCell ref="L11:L12"/>
    <mergeCell ref="Q9:Q10"/>
    <mergeCell ref="B16:B18"/>
    <mergeCell ref="AF7:AF8"/>
    <mergeCell ref="AE5:AE6"/>
    <mergeCell ref="AF16:AF17"/>
    <mergeCell ref="AF59:AF64"/>
    <mergeCell ref="AA73:AA76"/>
    <mergeCell ref="AE59:AE64"/>
    <mergeCell ref="AF33:AF36"/>
    <mergeCell ref="AE33:AE36"/>
    <mergeCell ref="AF50:AF58"/>
    <mergeCell ref="AF68:AF72"/>
    <mergeCell ref="AF9:AF10"/>
    <mergeCell ref="AA68:AA72"/>
    <mergeCell ref="AF73:AF76"/>
    <mergeCell ref="AE14:AE15"/>
    <mergeCell ref="AA16:AA18"/>
    <mergeCell ref="AE9:AE10"/>
    <mergeCell ref="AA19:AA22"/>
    <mergeCell ref="AE16:AE17"/>
    <mergeCell ref="AA9:AA10"/>
    <mergeCell ref="AE37:AE44"/>
    <mergeCell ref="G21:G23"/>
    <mergeCell ref="K11:K12"/>
    <mergeCell ref="L16:L18"/>
    <mergeCell ref="AA13:AA15"/>
    <mergeCell ref="AE26:AE32"/>
    <mergeCell ref="AA11:AA12"/>
    <mergeCell ref="Z11:Z12"/>
    <mergeCell ref="AF12:AF13"/>
    <mergeCell ref="AE12:AE13"/>
    <mergeCell ref="AF14:AF15"/>
    <mergeCell ref="AA37:AA40"/>
    <mergeCell ref="AE24:AE25"/>
    <mergeCell ref="AA26:AA32"/>
    <mergeCell ref="AF20:AF22"/>
    <mergeCell ref="AE20:AE22"/>
    <mergeCell ref="Z37:Z40"/>
    <mergeCell ref="AF26:AF32"/>
    <mergeCell ref="AF24:AF25"/>
    <mergeCell ref="Z24:Z25"/>
    <mergeCell ref="Z26:Z32"/>
    <mergeCell ref="Z16:Z18"/>
    <mergeCell ref="Z19:Z22"/>
    <mergeCell ref="A1:B1"/>
    <mergeCell ref="K1:N1"/>
    <mergeCell ref="C5:C6"/>
    <mergeCell ref="P5:P6"/>
    <mergeCell ref="Q5:Q6"/>
    <mergeCell ref="L5:L6"/>
    <mergeCell ref="K5:K6"/>
    <mergeCell ref="H5:H6"/>
    <mergeCell ref="G5:G6"/>
    <mergeCell ref="P3:P4"/>
    <mergeCell ref="B5:B6"/>
    <mergeCell ref="B3:B4"/>
    <mergeCell ref="C3:C4"/>
    <mergeCell ref="G1:I1"/>
    <mergeCell ref="A5:A6"/>
    <mergeCell ref="C24:C32"/>
    <mergeCell ref="H37:H40"/>
    <mergeCell ref="H16:H18"/>
    <mergeCell ref="H24:H32"/>
    <mergeCell ref="C33:C36"/>
    <mergeCell ref="Z1:AC1"/>
    <mergeCell ref="AE1:AH1"/>
    <mergeCell ref="C1:E1"/>
    <mergeCell ref="U7:U8"/>
    <mergeCell ref="Q3:Q4"/>
    <mergeCell ref="P1:S1"/>
    <mergeCell ref="U1:X1"/>
    <mergeCell ref="K7:K8"/>
    <mergeCell ref="L7:L8"/>
    <mergeCell ref="V5:V6"/>
    <mergeCell ref="AE7:AE8"/>
    <mergeCell ref="AA7:AA8"/>
    <mergeCell ref="Z7:Z8"/>
    <mergeCell ref="H11:H12"/>
    <mergeCell ref="G11:G12"/>
    <mergeCell ref="P11:P12"/>
    <mergeCell ref="V24:V32"/>
    <mergeCell ref="AF5:AF6"/>
    <mergeCell ref="Q16:Q18"/>
    <mergeCell ref="U117:U118"/>
    <mergeCell ref="AA119:AA123"/>
    <mergeCell ref="Z140:Z144"/>
    <mergeCell ref="AE154:AE166"/>
    <mergeCell ref="U148:U153"/>
    <mergeCell ref="V124:V127"/>
    <mergeCell ref="V119:V123"/>
    <mergeCell ref="V137:V139"/>
    <mergeCell ref="V140:V144"/>
    <mergeCell ref="AE117:AE118"/>
    <mergeCell ref="AA128:AA136"/>
    <mergeCell ref="AA140:AA144"/>
    <mergeCell ref="V145:V147"/>
    <mergeCell ref="U145:U147"/>
    <mergeCell ref="Z117:Z118"/>
    <mergeCell ref="V117:V118"/>
    <mergeCell ref="Z137:Z139"/>
    <mergeCell ref="U140:U144"/>
    <mergeCell ref="Z119:Z123"/>
    <mergeCell ref="Z124:Z127"/>
    <mergeCell ref="AA124:AA127"/>
    <mergeCell ref="AA148:AA153"/>
    <mergeCell ref="AA154:AA166"/>
    <mergeCell ref="AA137:AA139"/>
    <mergeCell ref="G214:G217"/>
    <mergeCell ref="B222:B227"/>
    <mergeCell ref="C222:C227"/>
    <mergeCell ref="C218:C221"/>
    <mergeCell ref="K207:K209"/>
    <mergeCell ref="L207:L209"/>
    <mergeCell ref="Q213:Q214"/>
    <mergeCell ref="Q210:Q212"/>
    <mergeCell ref="H218:H221"/>
    <mergeCell ref="Q207:Q209"/>
    <mergeCell ref="C214:C217"/>
    <mergeCell ref="K210:K212"/>
    <mergeCell ref="K214:K217"/>
    <mergeCell ref="L214:L217"/>
    <mergeCell ref="Q215:Q221"/>
    <mergeCell ref="P213:P214"/>
    <mergeCell ref="C207:C209"/>
    <mergeCell ref="H222:H227"/>
    <mergeCell ref="G222:G227"/>
    <mergeCell ref="H207:H213"/>
    <mergeCell ref="G218:G221"/>
    <mergeCell ref="G207:G213"/>
    <mergeCell ref="C228:C230"/>
    <mergeCell ref="B228:B230"/>
    <mergeCell ref="H214:H217"/>
    <mergeCell ref="C210:C213"/>
    <mergeCell ref="B207:B209"/>
    <mergeCell ref="B210:B213"/>
    <mergeCell ref="C231:C241"/>
    <mergeCell ref="K144:K147"/>
    <mergeCell ref="K180:K182"/>
    <mergeCell ref="K196:K206"/>
    <mergeCell ref="B196:B206"/>
    <mergeCell ref="C140:C144"/>
    <mergeCell ref="C154:C156"/>
    <mergeCell ref="C148:C153"/>
    <mergeCell ref="C145:C147"/>
    <mergeCell ref="B154:B156"/>
    <mergeCell ref="C180:C189"/>
    <mergeCell ref="B176:B179"/>
    <mergeCell ref="C176:C179"/>
    <mergeCell ref="C196:C206"/>
    <mergeCell ref="B145:B147"/>
    <mergeCell ref="B148:B153"/>
    <mergeCell ref="B190:B195"/>
    <mergeCell ref="C190:C195"/>
    <mergeCell ref="C157:C166"/>
    <mergeCell ref="B157:B166"/>
    <mergeCell ref="H97:H105"/>
    <mergeCell ref="G97:G105"/>
    <mergeCell ref="L94:L96"/>
    <mergeCell ref="K94:K96"/>
    <mergeCell ref="L180:L182"/>
    <mergeCell ref="B102:B105"/>
    <mergeCell ref="B106:B118"/>
    <mergeCell ref="C167:C175"/>
    <mergeCell ref="H154:H166"/>
    <mergeCell ref="G154:G166"/>
    <mergeCell ref="B97:B101"/>
    <mergeCell ref="B167:B175"/>
    <mergeCell ref="B140:B144"/>
    <mergeCell ref="G128:G136"/>
    <mergeCell ref="B180:B189"/>
    <mergeCell ref="C124:C127"/>
    <mergeCell ref="C102:C105"/>
    <mergeCell ref="C106:C118"/>
    <mergeCell ref="H124:H125"/>
    <mergeCell ref="G126:G127"/>
    <mergeCell ref="H126:H127"/>
    <mergeCell ref="C97:C101"/>
    <mergeCell ref="Q119:Q123"/>
    <mergeCell ref="AA117:AA118"/>
    <mergeCell ref="B73:B76"/>
    <mergeCell ref="C73:C76"/>
    <mergeCell ref="B91:B93"/>
    <mergeCell ref="Z112:Z116"/>
    <mergeCell ref="U112:U116"/>
    <mergeCell ref="Z80:Z83"/>
    <mergeCell ref="Z106:Z111"/>
    <mergeCell ref="U78:U79"/>
    <mergeCell ref="AA112:AA116"/>
    <mergeCell ref="Z84:Z90"/>
    <mergeCell ref="AA94:AA96"/>
    <mergeCell ref="AA91:AA93"/>
    <mergeCell ref="AA84:AA90"/>
    <mergeCell ref="Z97:Z101"/>
    <mergeCell ref="V112:V116"/>
    <mergeCell ref="Z102:Z105"/>
    <mergeCell ref="K119:K123"/>
    <mergeCell ref="P112:P118"/>
    <mergeCell ref="Q112:Q118"/>
    <mergeCell ref="P102:P105"/>
    <mergeCell ref="AA106:AA111"/>
    <mergeCell ref="AA102:AA105"/>
    <mergeCell ref="P148:P153"/>
    <mergeCell ref="Z148:Z153"/>
    <mergeCell ref="P154:P166"/>
    <mergeCell ref="V154:V157"/>
    <mergeCell ref="U167:U180"/>
    <mergeCell ref="Q148:Q153"/>
    <mergeCell ref="B94:B96"/>
    <mergeCell ref="C94:C96"/>
    <mergeCell ref="B119:B123"/>
    <mergeCell ref="C119:C123"/>
    <mergeCell ref="B124:B127"/>
    <mergeCell ref="B128:B136"/>
    <mergeCell ref="V148:V153"/>
    <mergeCell ref="U119:U123"/>
    <mergeCell ref="V128:V136"/>
    <mergeCell ref="Q135:Q136"/>
    <mergeCell ref="P135:P136"/>
    <mergeCell ref="P128:P134"/>
    <mergeCell ref="Q128:Q134"/>
    <mergeCell ref="Q137:Q144"/>
    <mergeCell ref="P137:P144"/>
    <mergeCell ref="Q145:Q147"/>
    <mergeCell ref="Z145:Z147"/>
    <mergeCell ref="G119:G123"/>
    <mergeCell ref="Z128:Z136"/>
    <mergeCell ref="Q102:Q105"/>
    <mergeCell ref="P119:P123"/>
    <mergeCell ref="K137:K143"/>
    <mergeCell ref="K154:K156"/>
    <mergeCell ref="B137:B139"/>
    <mergeCell ref="C137:C139"/>
    <mergeCell ref="C128:C136"/>
    <mergeCell ref="L97:L101"/>
    <mergeCell ref="L106:L118"/>
    <mergeCell ref="H106:H118"/>
    <mergeCell ref="L102:L105"/>
    <mergeCell ref="K97:K101"/>
    <mergeCell ref="K102:K105"/>
    <mergeCell ref="K106:K118"/>
    <mergeCell ref="H137:H143"/>
    <mergeCell ref="H119:H123"/>
    <mergeCell ref="H128:H136"/>
    <mergeCell ref="L124:L127"/>
    <mergeCell ref="L119:L123"/>
    <mergeCell ref="K128:K136"/>
    <mergeCell ref="K124:K127"/>
    <mergeCell ref="G137:G143"/>
    <mergeCell ref="G124:G125"/>
    <mergeCell ref="H231:H241"/>
    <mergeCell ref="G231:G241"/>
    <mergeCell ref="H228:H230"/>
    <mergeCell ref="G228:G230"/>
    <mergeCell ref="U128:U136"/>
    <mergeCell ref="U137:U139"/>
    <mergeCell ref="U124:U127"/>
    <mergeCell ref="P124:P127"/>
    <mergeCell ref="Q124:Q127"/>
    <mergeCell ref="L144:L147"/>
    <mergeCell ref="L154:L156"/>
    <mergeCell ref="L183:L189"/>
    <mergeCell ref="L167:L179"/>
    <mergeCell ref="L148:L153"/>
    <mergeCell ref="L128:L136"/>
    <mergeCell ref="L137:L143"/>
    <mergeCell ref="K190:K195"/>
    <mergeCell ref="L190:L195"/>
    <mergeCell ref="K183:K189"/>
    <mergeCell ref="K167:K179"/>
    <mergeCell ref="K157:K166"/>
    <mergeCell ref="P196:P206"/>
    <mergeCell ref="L157:L166"/>
    <mergeCell ref="P145:P147"/>
    <mergeCell ref="AA231:AA252"/>
    <mergeCell ref="Z231:Z252"/>
    <mergeCell ref="AA222:AA230"/>
    <mergeCell ref="K231:K242"/>
    <mergeCell ref="L218:L227"/>
    <mergeCell ref="K218:K227"/>
    <mergeCell ref="AA207:AA209"/>
    <mergeCell ref="Z215:Z217"/>
    <mergeCell ref="Z222:Z230"/>
    <mergeCell ref="AA196:AA206"/>
    <mergeCell ref="V167:V180"/>
    <mergeCell ref="L196:L206"/>
    <mergeCell ref="V213:V214"/>
    <mergeCell ref="U213:U214"/>
    <mergeCell ref="U207:U209"/>
    <mergeCell ref="V207:V209"/>
    <mergeCell ref="P207:P209"/>
    <mergeCell ref="Q154:Q166"/>
    <mergeCell ref="P167:P180"/>
    <mergeCell ref="Q167:Q180"/>
    <mergeCell ref="AA167:AA180"/>
    <mergeCell ref="Z167:Z180"/>
    <mergeCell ref="AA181:AA195"/>
    <mergeCell ref="Z181:Z195"/>
    <mergeCell ref="U154:U157"/>
    <mergeCell ref="V158:V166"/>
    <mergeCell ref="U158:U166"/>
    <mergeCell ref="Z154:Z166"/>
    <mergeCell ref="Q256:Q264"/>
    <mergeCell ref="P256:P264"/>
    <mergeCell ref="K252:K253"/>
    <mergeCell ref="U210:U212"/>
    <mergeCell ref="U218:U264"/>
    <mergeCell ref="K262:K265"/>
    <mergeCell ref="L262:L265"/>
    <mergeCell ref="L256:L261"/>
    <mergeCell ref="K256:K261"/>
    <mergeCell ref="P210:P212"/>
    <mergeCell ref="K243:K250"/>
    <mergeCell ref="Q243:Q250"/>
    <mergeCell ref="P243:P250"/>
    <mergeCell ref="P251:P255"/>
    <mergeCell ref="Q251:Q255"/>
    <mergeCell ref="L210:L212"/>
    <mergeCell ref="L231:L242"/>
    <mergeCell ref="Q231:Q242"/>
    <mergeCell ref="P231:P242"/>
    <mergeCell ref="P215:P221"/>
    <mergeCell ref="P222:P230"/>
    <mergeCell ref="Q222:Q230"/>
    <mergeCell ref="K228:K230"/>
    <mergeCell ref="L228:L230"/>
    <mergeCell ref="Q270:Q271"/>
    <mergeCell ref="P270:P271"/>
    <mergeCell ref="Z256:Z264"/>
    <mergeCell ref="U181:U195"/>
    <mergeCell ref="AA256:AA264"/>
    <mergeCell ref="Q196:Q206"/>
    <mergeCell ref="AA215:AA217"/>
    <mergeCell ref="AA218:AA221"/>
    <mergeCell ref="Z254:Z255"/>
    <mergeCell ref="Z218:Z221"/>
    <mergeCell ref="V210:V212"/>
    <mergeCell ref="V218:V264"/>
    <mergeCell ref="Q266:Q267"/>
    <mergeCell ref="P266:P267"/>
    <mergeCell ref="V197:V206"/>
    <mergeCell ref="U197:U206"/>
    <mergeCell ref="V181:V195"/>
    <mergeCell ref="AA210:AA214"/>
    <mergeCell ref="Z210:Z214"/>
    <mergeCell ref="Q181:Q195"/>
    <mergeCell ref="Z207:Z209"/>
    <mergeCell ref="P181:P195"/>
    <mergeCell ref="AA254:AA255"/>
    <mergeCell ref="Z196:Z206"/>
    <mergeCell ref="AF84:AF90"/>
    <mergeCell ref="AE84:AE90"/>
    <mergeCell ref="AF80:AF83"/>
    <mergeCell ref="AF196:AF206"/>
    <mergeCell ref="AF148:AF153"/>
    <mergeCell ref="AF140:AF144"/>
    <mergeCell ref="AE140:AE144"/>
    <mergeCell ref="AF137:AF139"/>
    <mergeCell ref="AF119:AF123"/>
    <mergeCell ref="AF97:AF101"/>
    <mergeCell ref="AE97:AE101"/>
    <mergeCell ref="AE167:AE180"/>
    <mergeCell ref="AE181:AE195"/>
    <mergeCell ref="AF154:AF166"/>
    <mergeCell ref="AE106:AE111"/>
    <mergeCell ref="AF106:AF111"/>
    <mergeCell ref="AE119:AE123"/>
    <mergeCell ref="AE148:AE153"/>
    <mergeCell ref="AE102:AE105"/>
    <mergeCell ref="AF102:AF105"/>
    <mergeCell ref="AF94:AF96"/>
    <mergeCell ref="AE112:AE116"/>
    <mergeCell ref="AE137:AE139"/>
    <mergeCell ref="AE128:AE136"/>
    <mergeCell ref="AF91:AF93"/>
    <mergeCell ref="AF167:AF180"/>
    <mergeCell ref="AE124:AE127"/>
    <mergeCell ref="AE94:AE96"/>
    <mergeCell ref="AF112:AF116"/>
    <mergeCell ref="AF128:AF136"/>
    <mergeCell ref="AF124:AF127"/>
    <mergeCell ref="AF207:AF208"/>
    <mergeCell ref="AE207:AE208"/>
    <mergeCell ref="AF145:AF147"/>
    <mergeCell ref="AE145:AE147"/>
    <mergeCell ref="AF181:AF195"/>
    <mergeCell ref="AF117:AF118"/>
    <mergeCell ref="AE91:AE93"/>
    <mergeCell ref="AE196:AE206"/>
    <mergeCell ref="AA145:AA147"/>
    <mergeCell ref="AA59:AA64"/>
    <mergeCell ref="AA48:AA58"/>
    <mergeCell ref="AE68:AE72"/>
    <mergeCell ref="AE66:AE67"/>
    <mergeCell ref="AE80:AE83"/>
    <mergeCell ref="AA24:AA25"/>
    <mergeCell ref="AA65:AA67"/>
    <mergeCell ref="AA45:AA47"/>
    <mergeCell ref="AA41:AA44"/>
    <mergeCell ref="AA78:AA79"/>
    <mergeCell ref="AE73:AE76"/>
    <mergeCell ref="AA97:AA101"/>
    <mergeCell ref="AA80:AA83"/>
    <mergeCell ref="AA33:AA36"/>
    <mergeCell ref="AE45:AE47"/>
    <mergeCell ref="AE50:AE58"/>
    <mergeCell ref="AF77:AF79"/>
    <mergeCell ref="AE77:AE79"/>
    <mergeCell ref="AE48:AE49"/>
    <mergeCell ref="AF48:AF49"/>
    <mergeCell ref="AF37:AF44"/>
    <mergeCell ref="AF45:AF47"/>
    <mergeCell ref="Z45:Z47"/>
    <mergeCell ref="Z48:Z58"/>
    <mergeCell ref="U37:U40"/>
    <mergeCell ref="V37:V40"/>
    <mergeCell ref="AF66:AF67"/>
    <mergeCell ref="Z65:Z67"/>
    <mergeCell ref="Z59:Z64"/>
    <mergeCell ref="Z78:Z79"/>
    <mergeCell ref="V73:V77"/>
    <mergeCell ref="U73:U77"/>
    <mergeCell ref="H33:H36"/>
    <mergeCell ref="G37:G40"/>
    <mergeCell ref="L24:L32"/>
    <mergeCell ref="P41:P47"/>
    <mergeCell ref="P24:P32"/>
    <mergeCell ref="P19:P23"/>
    <mergeCell ref="K19:K23"/>
    <mergeCell ref="L33:L36"/>
    <mergeCell ref="P37:P40"/>
    <mergeCell ref="P33:P36"/>
    <mergeCell ref="L37:L40"/>
    <mergeCell ref="L41:L47"/>
    <mergeCell ref="K41:K47"/>
    <mergeCell ref="H19:H20"/>
    <mergeCell ref="G19:G20"/>
    <mergeCell ref="H41:H47"/>
    <mergeCell ref="G41:G47"/>
    <mergeCell ref="H21:H23"/>
    <mergeCell ref="G48:G58"/>
    <mergeCell ref="V65:V67"/>
    <mergeCell ref="U65:U67"/>
    <mergeCell ref="C37:C40"/>
    <mergeCell ref="U94:U101"/>
    <mergeCell ref="Q77:Q79"/>
    <mergeCell ref="Q41:Q47"/>
    <mergeCell ref="V59:V64"/>
    <mergeCell ref="U45:U47"/>
    <mergeCell ref="V45:V47"/>
    <mergeCell ref="V48:V58"/>
    <mergeCell ref="U48:U58"/>
    <mergeCell ref="U59:U64"/>
    <mergeCell ref="U80:U83"/>
    <mergeCell ref="V80:V83"/>
    <mergeCell ref="V78:V79"/>
    <mergeCell ref="Q80:Q90"/>
    <mergeCell ref="Q37:Q40"/>
    <mergeCell ref="Q48:Q58"/>
    <mergeCell ref="P68:P72"/>
    <mergeCell ref="P59:P64"/>
    <mergeCell ref="Q65:Q67"/>
    <mergeCell ref="P65:P67"/>
    <mergeCell ref="H48:H58"/>
    <mergeCell ref="C41:C47"/>
    <mergeCell ref="P94:P96"/>
    <mergeCell ref="U68:U72"/>
    <mergeCell ref="V102:V105"/>
    <mergeCell ref="V84:V90"/>
    <mergeCell ref="A3:A4"/>
    <mergeCell ref="B80:B90"/>
    <mergeCell ref="C80:C90"/>
    <mergeCell ref="P80:P90"/>
    <mergeCell ref="K80:K90"/>
    <mergeCell ref="B24:B32"/>
    <mergeCell ref="B33:B36"/>
    <mergeCell ref="B41:B47"/>
    <mergeCell ref="B48:B58"/>
    <mergeCell ref="B37:B40"/>
    <mergeCell ref="C77:C79"/>
    <mergeCell ref="G33:G36"/>
    <mergeCell ref="G24:G32"/>
    <mergeCell ref="P48:P58"/>
    <mergeCell ref="P77:P79"/>
    <mergeCell ref="P73:P76"/>
    <mergeCell ref="B59:B67"/>
    <mergeCell ref="B68:B72"/>
    <mergeCell ref="B77:B79"/>
    <mergeCell ref="C59:C67"/>
    <mergeCell ref="K24:K32"/>
    <mergeCell ref="C68:C72"/>
    <mergeCell ref="Z91:Z93"/>
    <mergeCell ref="V94:V101"/>
    <mergeCell ref="U84:U90"/>
    <mergeCell ref="U91:U93"/>
    <mergeCell ref="V68:V72"/>
    <mergeCell ref="C91:C93"/>
    <mergeCell ref="Z68:Z72"/>
    <mergeCell ref="L48:L58"/>
    <mergeCell ref="C48:C58"/>
    <mergeCell ref="K59:K67"/>
    <mergeCell ref="L73:L76"/>
    <mergeCell ref="K68:K72"/>
    <mergeCell ref="L59:L67"/>
    <mergeCell ref="H59:H67"/>
    <mergeCell ref="H68:H72"/>
    <mergeCell ref="G59:G67"/>
    <mergeCell ref="K48:K58"/>
    <mergeCell ref="Q73:Q76"/>
    <mergeCell ref="V91:V93"/>
    <mergeCell ref="Q91:Q93"/>
    <mergeCell ref="P91:P93"/>
    <mergeCell ref="G106:G118"/>
    <mergeCell ref="L80:L90"/>
    <mergeCell ref="L77:L79"/>
    <mergeCell ref="G80:G90"/>
    <mergeCell ref="G73:G79"/>
    <mergeCell ref="K77:K79"/>
    <mergeCell ref="H73:H79"/>
    <mergeCell ref="K73:K76"/>
    <mergeCell ref="L91:L93"/>
    <mergeCell ref="G68:G72"/>
    <mergeCell ref="H80:H90"/>
    <mergeCell ref="G91:G93"/>
    <mergeCell ref="H91:H93"/>
    <mergeCell ref="K91:K93"/>
    <mergeCell ref="H94:H96"/>
    <mergeCell ref="Q94:Q96"/>
    <mergeCell ref="Q97:Q101"/>
    <mergeCell ref="P97:P101"/>
    <mergeCell ref="G94:G96"/>
    <mergeCell ref="G196:G206"/>
    <mergeCell ref="G190:G195"/>
    <mergeCell ref="G180:G182"/>
    <mergeCell ref="H180:H182"/>
    <mergeCell ref="G183:G189"/>
    <mergeCell ref="H183:H189"/>
    <mergeCell ref="H144:H147"/>
    <mergeCell ref="G144:G147"/>
    <mergeCell ref="K148:K153"/>
    <mergeCell ref="H196:H206"/>
    <mergeCell ref="H190:H195"/>
    <mergeCell ref="G148:G153"/>
    <mergeCell ref="H148:H153"/>
    <mergeCell ref="H167:H179"/>
    <mergeCell ref="G167:G179"/>
    <mergeCell ref="A41:A47"/>
    <mergeCell ref="A48:A58"/>
    <mergeCell ref="A59:A67"/>
    <mergeCell ref="A68:A72"/>
    <mergeCell ref="B7:B8"/>
    <mergeCell ref="C7:C8"/>
    <mergeCell ref="C16:C18"/>
    <mergeCell ref="B19:B23"/>
    <mergeCell ref="B11:B12"/>
    <mergeCell ref="B9:B10"/>
    <mergeCell ref="B13:B15"/>
    <mergeCell ref="C13:C15"/>
    <mergeCell ref="C19:C23"/>
    <mergeCell ref="A7:A8"/>
    <mergeCell ref="A9:A10"/>
    <mergeCell ref="A11:A12"/>
    <mergeCell ref="A13:A15"/>
    <mergeCell ref="A16:A18"/>
    <mergeCell ref="A19:A23"/>
    <mergeCell ref="A24:A32"/>
    <mergeCell ref="A33:A36"/>
    <mergeCell ref="A37:A40"/>
    <mergeCell ref="C11:C12"/>
    <mergeCell ref="C9:C10"/>
    <mergeCell ref="A73:A76"/>
    <mergeCell ref="A77:A79"/>
    <mergeCell ref="A80:A90"/>
    <mergeCell ref="A91:A93"/>
    <mergeCell ref="A94:A96"/>
    <mergeCell ref="A97:A101"/>
    <mergeCell ref="A102:A105"/>
    <mergeCell ref="A106:A118"/>
    <mergeCell ref="A119:A123"/>
    <mergeCell ref="A124:A127"/>
    <mergeCell ref="A128:A136"/>
    <mergeCell ref="A137:A139"/>
    <mergeCell ref="A140:A144"/>
    <mergeCell ref="A145:A147"/>
    <mergeCell ref="A148:A153"/>
    <mergeCell ref="A154:A156"/>
    <mergeCell ref="A157:A166"/>
    <mergeCell ref="A167:A175"/>
    <mergeCell ref="A176:A179"/>
    <mergeCell ref="A180:A189"/>
    <mergeCell ref="A190:A195"/>
    <mergeCell ref="A196:A206"/>
    <mergeCell ref="A255:A261"/>
    <mergeCell ref="B243:B250"/>
    <mergeCell ref="A262:A264"/>
    <mergeCell ref="A266:A267"/>
    <mergeCell ref="A207:A209"/>
    <mergeCell ref="A210:A213"/>
    <mergeCell ref="A214:A217"/>
    <mergeCell ref="A218:A221"/>
    <mergeCell ref="A222:A227"/>
    <mergeCell ref="A228:A230"/>
    <mergeCell ref="A231:A241"/>
    <mergeCell ref="A243:A250"/>
    <mergeCell ref="A251:A254"/>
    <mergeCell ref="B266:B267"/>
    <mergeCell ref="B231:B241"/>
    <mergeCell ref="B262:B264"/>
    <mergeCell ref="B218:B221"/>
    <mergeCell ref="B214:B217"/>
    <mergeCell ref="B255:B261"/>
    <mergeCell ref="C255:C261"/>
    <mergeCell ref="C251:C254"/>
    <mergeCell ref="B251:B254"/>
    <mergeCell ref="L243:L250"/>
    <mergeCell ref="K266:K268"/>
    <mergeCell ref="L266:L268"/>
    <mergeCell ref="C266:C267"/>
    <mergeCell ref="H266:H267"/>
    <mergeCell ref="G266:G267"/>
    <mergeCell ref="L252:L253"/>
    <mergeCell ref="C243:C250"/>
    <mergeCell ref="C262:C264"/>
    <mergeCell ref="H262:H264"/>
    <mergeCell ref="H251:H254"/>
    <mergeCell ref="H242:H250"/>
    <mergeCell ref="H255:H261"/>
    <mergeCell ref="G262:G264"/>
    <mergeCell ref="G255:G261"/>
    <mergeCell ref="G242:G250"/>
    <mergeCell ref="G251:G254"/>
  </mergeCells>
  <pageMargins left="0.7" right="0.7" top="0.75" bottom="0.75" header="0.3" footer="0.3"/>
  <pageSetup paperSize="8" scale="34" fitToHeight="0" orientation="portrait" r:id="rId1"/>
  <ignoredErrors>
    <ignoredError sqref="M215 M1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293"/>
  <sheetViews>
    <sheetView topLeftCell="AA1" zoomScale="80" zoomScaleNormal="80" workbookViewId="0">
      <pane ySplit="1" topLeftCell="A54" activePane="bottomLeft" state="frozen"/>
      <selection pane="bottomLeft" activeCell="AJ67" sqref="AJ66:AJ67"/>
    </sheetView>
  </sheetViews>
  <sheetFormatPr defaultColWidth="9.140625" defaultRowHeight="15" x14ac:dyDescent="0.25"/>
  <cols>
    <col min="1" max="1" width="16.7109375" style="85" bestFit="1" customWidth="1"/>
    <col min="2" max="2" width="9.7109375" style="27" bestFit="1" customWidth="1"/>
    <col min="3" max="3" width="7.85546875" style="137" bestFit="1" customWidth="1"/>
    <col min="4" max="4" width="8.85546875" style="137" customWidth="1"/>
    <col min="5" max="5" width="26" style="137" bestFit="1" customWidth="1"/>
    <col min="6" max="6" width="2.140625" style="113" customWidth="1"/>
    <col min="7" max="7" width="9.7109375" style="27" bestFit="1" customWidth="1"/>
    <col min="8" max="8" width="7.85546875" style="5" bestFit="1" customWidth="1"/>
    <col min="9" max="9" width="9.7109375" style="5" bestFit="1" customWidth="1"/>
    <col min="10" max="10" width="2.140625" style="113" customWidth="1"/>
    <col min="11" max="11" width="9.7109375" style="138" bestFit="1" customWidth="1"/>
    <col min="12" max="12" width="8.85546875" style="154" bestFit="1" customWidth="1"/>
    <col min="13" max="13" width="8.85546875" style="196" bestFit="1" customWidth="1"/>
    <col min="14" max="14" width="26" style="5" bestFit="1" customWidth="1"/>
    <col min="15" max="15" width="2.140625" style="113" customWidth="1"/>
    <col min="16" max="16" width="9.7109375" style="27" bestFit="1" customWidth="1"/>
    <col min="17" max="17" width="7.85546875" style="5" bestFit="1" customWidth="1"/>
    <col min="18" max="18" width="8.85546875" style="99" bestFit="1" customWidth="1"/>
    <col min="19" max="19" width="17.85546875" style="5" bestFit="1" customWidth="1"/>
    <col min="20" max="20" width="2.140625" style="113" customWidth="1"/>
    <col min="21" max="21" width="9.7109375" style="234" bestFit="1" customWidth="1"/>
    <col min="22" max="22" width="7.85546875" style="5" bestFit="1" customWidth="1"/>
    <col min="23" max="23" width="8.85546875" style="27" bestFit="1" customWidth="1"/>
    <col min="24" max="24" width="22.140625" style="5" customWidth="1"/>
    <col min="25" max="25" width="2.140625" style="113" customWidth="1"/>
    <col min="26" max="26" width="9.7109375" style="27" bestFit="1" customWidth="1"/>
    <col min="27" max="27" width="7.85546875" style="5" bestFit="1" customWidth="1"/>
    <col min="28" max="28" width="8.85546875" style="102" bestFit="1" customWidth="1"/>
    <col min="29" max="29" width="22.42578125" style="5" bestFit="1" customWidth="1"/>
    <col min="30" max="30" width="2.140625" style="113" customWidth="1"/>
    <col min="31" max="31" width="9.7109375" style="27" bestFit="1" customWidth="1"/>
    <col min="32" max="32" width="7.85546875" style="5" bestFit="1" customWidth="1"/>
    <col min="33" max="33" width="8.85546875" style="188" bestFit="1" customWidth="1"/>
    <col min="34" max="34" width="22.42578125" style="84" bestFit="1" customWidth="1"/>
    <col min="35" max="35" width="2.140625" style="32" customWidth="1"/>
    <col min="36" max="36" width="26.7109375" style="28" bestFit="1" customWidth="1"/>
    <col min="37" max="39" width="6.85546875" style="28" bestFit="1" customWidth="1"/>
    <col min="40" max="40" width="11.42578125" style="35" bestFit="1" customWidth="1"/>
    <col min="41" max="41" width="11.140625" style="28" bestFit="1" customWidth="1"/>
    <col min="42" max="42" width="17.140625" style="28" bestFit="1" customWidth="1"/>
    <col min="43" max="43" width="9.140625" style="28" customWidth="1"/>
    <col min="44" max="44" width="15.28515625" style="28" customWidth="1"/>
    <col min="45" max="51" width="9.140625" style="29" customWidth="1"/>
    <col min="52" max="16384" width="9.140625" style="29"/>
  </cols>
  <sheetData>
    <row r="1" spans="1:49" x14ac:dyDescent="0.25">
      <c r="A1" s="275" t="s">
        <v>9</v>
      </c>
      <c r="B1" s="275"/>
      <c r="C1" s="276" t="s">
        <v>1</v>
      </c>
      <c r="D1" s="276"/>
      <c r="E1" s="276"/>
      <c r="G1" s="274" t="s">
        <v>3</v>
      </c>
      <c r="H1" s="274"/>
      <c r="I1" s="274"/>
      <c r="K1" s="277" t="s">
        <v>2</v>
      </c>
      <c r="L1" s="277"/>
      <c r="M1" s="277"/>
      <c r="N1" s="277"/>
      <c r="P1" s="276" t="s">
        <v>4</v>
      </c>
      <c r="Q1" s="276"/>
      <c r="R1" s="276"/>
      <c r="S1" s="276"/>
      <c r="U1" s="272" t="s">
        <v>16</v>
      </c>
      <c r="V1" s="272"/>
      <c r="W1" s="272"/>
      <c r="X1" s="272"/>
      <c r="Z1" s="276" t="s">
        <v>5</v>
      </c>
      <c r="AA1" s="276"/>
      <c r="AB1" s="276"/>
      <c r="AC1" s="276"/>
      <c r="AE1" s="272" t="s">
        <v>6</v>
      </c>
      <c r="AF1" s="272"/>
      <c r="AG1" s="272"/>
      <c r="AH1" s="272"/>
      <c r="AJ1" s="84"/>
      <c r="AK1" s="84"/>
      <c r="AL1" s="84"/>
      <c r="AO1" s="84"/>
      <c r="AP1" s="84"/>
      <c r="AQ1" s="84"/>
      <c r="AR1" s="84"/>
    </row>
    <row r="2" spans="1:49" x14ac:dyDescent="0.25">
      <c r="A2" s="112" t="s">
        <v>55</v>
      </c>
      <c r="B2" s="122" t="s">
        <v>7</v>
      </c>
      <c r="C2" s="123" t="s">
        <v>8</v>
      </c>
      <c r="D2" s="124" t="s">
        <v>213</v>
      </c>
      <c r="E2" s="125" t="s">
        <v>17</v>
      </c>
      <c r="G2" s="122" t="s">
        <v>7</v>
      </c>
      <c r="H2" s="126" t="s">
        <v>8</v>
      </c>
      <c r="I2" s="125" t="s">
        <v>17</v>
      </c>
      <c r="K2" s="127" t="s">
        <v>7</v>
      </c>
      <c r="L2" s="127" t="s">
        <v>8</v>
      </c>
      <c r="M2" s="124" t="s">
        <v>213</v>
      </c>
      <c r="N2" s="125" t="s">
        <v>17</v>
      </c>
      <c r="P2" s="122" t="s">
        <v>7</v>
      </c>
      <c r="Q2" s="122" t="s">
        <v>8</v>
      </c>
      <c r="R2" s="124" t="s">
        <v>213</v>
      </c>
      <c r="S2" s="125" t="s">
        <v>17</v>
      </c>
      <c r="U2" s="122" t="s">
        <v>7</v>
      </c>
      <c r="V2" s="122" t="s">
        <v>8</v>
      </c>
      <c r="W2" s="124" t="s">
        <v>213</v>
      </c>
      <c r="X2" s="125" t="s">
        <v>17</v>
      </c>
      <c r="Z2" s="122" t="s">
        <v>7</v>
      </c>
      <c r="AA2" s="122" t="s">
        <v>8</v>
      </c>
      <c r="AB2" s="124" t="s">
        <v>213</v>
      </c>
      <c r="AC2" s="125" t="s">
        <v>17</v>
      </c>
      <c r="AE2" s="122" t="s">
        <v>7</v>
      </c>
      <c r="AF2" s="122" t="s">
        <v>8</v>
      </c>
      <c r="AG2" s="124" t="s">
        <v>213</v>
      </c>
      <c r="AH2" s="125" t="s">
        <v>17</v>
      </c>
      <c r="AJ2" s="241"/>
      <c r="AK2" s="222" t="s">
        <v>1</v>
      </c>
      <c r="AL2" s="105" t="s">
        <v>2</v>
      </c>
      <c r="AM2" s="222" t="s">
        <v>4</v>
      </c>
      <c r="AN2" s="105" t="s">
        <v>16</v>
      </c>
      <c r="AO2" s="222" t="s">
        <v>5</v>
      </c>
      <c r="AP2" s="222" t="s">
        <v>6</v>
      </c>
      <c r="AQ2" s="84"/>
      <c r="AR2" s="53"/>
    </row>
    <row r="3" spans="1:49" s="25" customFormat="1" ht="15.75" thickBot="1" x14ac:dyDescent="0.3">
      <c r="A3" s="261">
        <v>1</v>
      </c>
      <c r="B3" s="260">
        <v>12.38</v>
      </c>
      <c r="C3" s="259">
        <v>4.13</v>
      </c>
      <c r="D3" s="240">
        <f>B3-D4</f>
        <v>11.700000000000001</v>
      </c>
      <c r="E3" s="54" t="s">
        <v>34</v>
      </c>
      <c r="F3" s="113"/>
      <c r="G3" s="241">
        <v>15.54</v>
      </c>
      <c r="H3" s="240">
        <v>4.0999999999999996</v>
      </c>
      <c r="I3" s="241"/>
      <c r="J3" s="113"/>
      <c r="K3" s="241">
        <v>11.21</v>
      </c>
      <c r="L3" s="240">
        <v>4.18</v>
      </c>
      <c r="M3" s="241">
        <f>K3</f>
        <v>11.21</v>
      </c>
      <c r="N3" s="54" t="s">
        <v>34</v>
      </c>
      <c r="O3" s="113"/>
      <c r="P3" s="260">
        <v>11.95</v>
      </c>
      <c r="Q3" s="259">
        <v>4.08</v>
      </c>
      <c r="R3" s="245">
        <f>P3-R4</f>
        <v>11.27</v>
      </c>
      <c r="S3" s="54" t="s">
        <v>34</v>
      </c>
      <c r="T3" s="113"/>
      <c r="U3" s="260">
        <v>12.77</v>
      </c>
      <c r="V3" s="259">
        <v>4.12</v>
      </c>
      <c r="W3" s="241">
        <f>U3-W4</f>
        <v>12.09</v>
      </c>
      <c r="X3" s="54" t="s">
        <v>34</v>
      </c>
      <c r="Y3" s="113"/>
      <c r="Z3" s="241">
        <v>11.83</v>
      </c>
      <c r="AA3" s="240">
        <v>4.04</v>
      </c>
      <c r="AB3" s="245">
        <f>Z3</f>
        <v>11.83</v>
      </c>
      <c r="AC3" s="54" t="s">
        <v>34</v>
      </c>
      <c r="AD3" s="113"/>
      <c r="AE3" s="241">
        <v>10.85</v>
      </c>
      <c r="AF3" s="240">
        <v>4.17</v>
      </c>
      <c r="AG3" s="245">
        <f>AE3</f>
        <v>10.85</v>
      </c>
      <c r="AH3" s="54" t="s">
        <v>34</v>
      </c>
      <c r="AI3" s="32"/>
      <c r="AJ3" s="160" t="s">
        <v>32</v>
      </c>
      <c r="AK3" s="16">
        <f>D4+D29+D58+D72+D89+D124+D126+D154+D59+D86+D91</f>
        <v>19.170000000000002</v>
      </c>
      <c r="AL3" s="16">
        <f>M4+M29+M55+M58+M59+M72+M89+M86+M91+M124+M126+M154</f>
        <v>20.080000000000002</v>
      </c>
      <c r="AM3" s="16">
        <f>R4+R29+R28++R55+R58+R59+R72+R74+R86+R91+R126+R154</f>
        <v>18.96</v>
      </c>
      <c r="AN3" s="16">
        <f>W4+W28+W29+W55+W58+W59+W72+W74+W86+W91+W126+W154</f>
        <v>20.64</v>
      </c>
      <c r="AO3" s="16">
        <f>AB4+AB29+AB47+AB58+AB59+AB69+AB72+AB86+AB91+AB126+AB154+AB28</f>
        <v>20.570000000000004</v>
      </c>
      <c r="AP3" s="241">
        <f>AG4+AG7+AG11+AG29+AG58+AG59+AG86+AG91+AG126+AG154</f>
        <v>47.64</v>
      </c>
      <c r="AQ3" s="160">
        <f>AVERAGE(AK3:AP3)</f>
        <v>24.51</v>
      </c>
      <c r="AR3" s="111"/>
      <c r="AS3" s="111"/>
      <c r="AT3" s="111"/>
    </row>
    <row r="4" spans="1:49" s="25" customFormat="1" x14ac:dyDescent="0.25">
      <c r="A4" s="261"/>
      <c r="B4" s="260"/>
      <c r="C4" s="259"/>
      <c r="D4" s="241">
        <f>R4</f>
        <v>0.68</v>
      </c>
      <c r="E4" s="80" t="s">
        <v>28</v>
      </c>
      <c r="F4" s="113"/>
      <c r="G4" s="241">
        <v>0.34</v>
      </c>
      <c r="H4" s="240">
        <v>4.28</v>
      </c>
      <c r="I4" s="116"/>
      <c r="J4" s="113"/>
      <c r="K4" s="241">
        <v>0.61</v>
      </c>
      <c r="L4" s="240">
        <v>4.3</v>
      </c>
      <c r="M4" s="241">
        <f>K4</f>
        <v>0.61</v>
      </c>
      <c r="N4" s="80" t="s">
        <v>28</v>
      </c>
      <c r="O4" s="113"/>
      <c r="P4" s="260"/>
      <c r="Q4" s="259"/>
      <c r="R4" s="245">
        <f>AB4</f>
        <v>0.68</v>
      </c>
      <c r="S4" s="80" t="s">
        <v>28</v>
      </c>
      <c r="T4" s="113"/>
      <c r="U4" s="260"/>
      <c r="V4" s="259"/>
      <c r="W4" s="241">
        <f>R4</f>
        <v>0.68</v>
      </c>
      <c r="X4" s="80" t="s">
        <v>28</v>
      </c>
      <c r="Y4" s="113"/>
      <c r="Z4" s="241">
        <v>0.68</v>
      </c>
      <c r="AA4" s="240">
        <v>4.13</v>
      </c>
      <c r="AB4" s="245">
        <f>Z4</f>
        <v>0.68</v>
      </c>
      <c r="AC4" s="80" t="s">
        <v>28</v>
      </c>
      <c r="AD4" s="113"/>
      <c r="AE4" s="241">
        <v>20.76</v>
      </c>
      <c r="AF4" s="240">
        <v>4.3099999999999996</v>
      </c>
      <c r="AG4" s="245">
        <f>AE4</f>
        <v>20.76</v>
      </c>
      <c r="AH4" s="80" t="s">
        <v>28</v>
      </c>
      <c r="AI4" s="32"/>
      <c r="AJ4" s="161" t="s">
        <v>97</v>
      </c>
      <c r="AK4" s="16">
        <f>D8+D73+D92</f>
        <v>1.79</v>
      </c>
      <c r="AL4" s="16">
        <f>M8+M73+M92</f>
        <v>1.48</v>
      </c>
      <c r="AM4" s="16">
        <f>R8+R73+R92</f>
        <v>1.52</v>
      </c>
      <c r="AN4" s="16">
        <f>W8+W73+W92</f>
        <v>1.74</v>
      </c>
      <c r="AO4" s="16">
        <f>AB8+AB73+AB65</f>
        <v>1.68</v>
      </c>
      <c r="AP4" s="245">
        <f>AG8+AG40+AG12+AG65</f>
        <v>11.85</v>
      </c>
      <c r="AQ4" s="161">
        <f>AVERAGE(AK4:AO4)</f>
        <v>1.6420000000000001</v>
      </c>
      <c r="AR4" s="168">
        <f>AQ3+AQ4</f>
        <v>26.152000000000001</v>
      </c>
      <c r="AS4" s="169" t="s">
        <v>292</v>
      </c>
      <c r="AT4" s="111"/>
      <c r="AV4" s="174" t="s">
        <v>287</v>
      </c>
      <c r="AW4" s="175"/>
    </row>
    <row r="5" spans="1:49" s="25" customFormat="1" x14ac:dyDescent="0.25">
      <c r="A5" s="261">
        <v>2</v>
      </c>
      <c r="B5" s="260">
        <v>0.03</v>
      </c>
      <c r="C5" s="259">
        <v>4.53</v>
      </c>
      <c r="D5" s="240"/>
      <c r="E5" s="8"/>
      <c r="F5" s="113"/>
      <c r="G5" s="260">
        <v>0.02</v>
      </c>
      <c r="H5" s="259">
        <v>4.43</v>
      </c>
      <c r="I5" s="8"/>
      <c r="J5" s="113"/>
      <c r="K5" s="260">
        <v>0.01</v>
      </c>
      <c r="L5" s="259">
        <v>4.47</v>
      </c>
      <c r="M5" s="241"/>
      <c r="N5" s="49"/>
      <c r="O5" s="113"/>
      <c r="P5" s="260">
        <v>0.02</v>
      </c>
      <c r="Q5" s="259">
        <v>4.4800000000000004</v>
      </c>
      <c r="R5" s="245"/>
      <c r="S5" s="49"/>
      <c r="T5" s="113"/>
      <c r="U5" s="241">
        <v>0.02</v>
      </c>
      <c r="V5" s="240">
        <v>4.4400000000000004</v>
      </c>
      <c r="W5" s="241"/>
      <c r="X5" s="8"/>
      <c r="Y5" s="113"/>
      <c r="Z5" s="241">
        <v>0.06</v>
      </c>
      <c r="AA5" s="240">
        <v>4.38</v>
      </c>
      <c r="AB5" s="245"/>
      <c r="AC5" s="8"/>
      <c r="AD5" s="113"/>
      <c r="AE5" s="260">
        <v>0.05</v>
      </c>
      <c r="AF5" s="259">
        <v>4.5999999999999996</v>
      </c>
      <c r="AG5" s="245"/>
      <c r="AH5" s="56"/>
      <c r="AI5" s="32"/>
      <c r="AJ5" s="162" t="s">
        <v>122</v>
      </c>
      <c r="AK5" s="16"/>
      <c r="AL5" s="16"/>
      <c r="AM5" s="16"/>
      <c r="AN5" s="16"/>
      <c r="AO5" s="16"/>
      <c r="AP5" s="26"/>
      <c r="AQ5" s="162">
        <v>0</v>
      </c>
      <c r="AR5" s="111"/>
      <c r="AS5" s="111"/>
      <c r="AT5" s="111"/>
      <c r="AV5" s="176" t="s">
        <v>288</v>
      </c>
      <c r="AW5" s="177"/>
    </row>
    <row r="6" spans="1:49" s="25" customFormat="1" x14ac:dyDescent="0.25">
      <c r="A6" s="261"/>
      <c r="B6" s="260"/>
      <c r="C6" s="259"/>
      <c r="D6" s="240"/>
      <c r="E6" s="240"/>
      <c r="F6" s="113"/>
      <c r="G6" s="260"/>
      <c r="H6" s="259"/>
      <c r="I6" s="240"/>
      <c r="J6" s="113"/>
      <c r="K6" s="260"/>
      <c r="L6" s="259"/>
      <c r="M6" s="241"/>
      <c r="N6" s="240"/>
      <c r="O6" s="113"/>
      <c r="P6" s="260"/>
      <c r="Q6" s="259"/>
      <c r="R6" s="245"/>
      <c r="S6" s="240"/>
      <c r="T6" s="113"/>
      <c r="U6" s="241">
        <v>0.04</v>
      </c>
      <c r="V6" s="240">
        <v>4.51</v>
      </c>
      <c r="W6" s="241"/>
      <c r="X6" s="240"/>
      <c r="Y6" s="113"/>
      <c r="Z6" s="241">
        <v>0.03</v>
      </c>
      <c r="AA6" s="240">
        <v>4.47</v>
      </c>
      <c r="AB6" s="245"/>
      <c r="AC6" s="240"/>
      <c r="AD6" s="113"/>
      <c r="AE6" s="260"/>
      <c r="AF6" s="259"/>
      <c r="AG6" s="245"/>
      <c r="AH6" s="55"/>
      <c r="AI6" s="32"/>
      <c r="AJ6" s="162" t="s">
        <v>124</v>
      </c>
      <c r="AK6" s="16">
        <f>D74</f>
        <v>0.16</v>
      </c>
      <c r="AL6" s="16">
        <f>M74</f>
        <v>0.16</v>
      </c>
      <c r="AM6" s="16">
        <f>R24</f>
        <v>0.16</v>
      </c>
      <c r="AN6" s="16">
        <f>W24</f>
        <v>0.16</v>
      </c>
      <c r="AO6" s="16">
        <f>AB13</f>
        <v>0.16</v>
      </c>
      <c r="AP6" s="241">
        <f>AG13</f>
        <v>0.16</v>
      </c>
      <c r="AQ6" s="162">
        <f t="shared" ref="AQ6:AQ12" si="0">AVERAGE(AK6:AO6)</f>
        <v>0.16</v>
      </c>
      <c r="AR6" s="111"/>
      <c r="AS6" s="111"/>
      <c r="AT6" s="111"/>
      <c r="AV6" s="178" t="s">
        <v>289</v>
      </c>
      <c r="AW6" s="179"/>
    </row>
    <row r="7" spans="1:49" s="25" customFormat="1" x14ac:dyDescent="0.25">
      <c r="A7" s="261">
        <v>3</v>
      </c>
      <c r="B7" s="260">
        <v>1.01</v>
      </c>
      <c r="C7" s="259">
        <v>4.7</v>
      </c>
      <c r="D7" s="240"/>
      <c r="E7" s="16"/>
      <c r="F7" s="113"/>
      <c r="G7" s="260">
        <v>0.06</v>
      </c>
      <c r="H7" s="259">
        <v>4.5999999999999996</v>
      </c>
      <c r="I7" s="240"/>
      <c r="J7" s="113"/>
      <c r="K7" s="260">
        <v>1</v>
      </c>
      <c r="L7" s="259">
        <v>4.78</v>
      </c>
      <c r="M7" s="241"/>
      <c r="N7" s="16"/>
      <c r="O7" s="113"/>
      <c r="P7" s="260">
        <v>1.03</v>
      </c>
      <c r="Q7" s="259">
        <v>4.6399999999999997</v>
      </c>
      <c r="R7" s="245"/>
      <c r="S7" s="16"/>
      <c r="T7" s="113"/>
      <c r="U7" s="260">
        <v>1.07</v>
      </c>
      <c r="V7" s="259">
        <v>4.6900000000000004</v>
      </c>
      <c r="W7" s="241"/>
      <c r="X7" s="19"/>
      <c r="Y7" s="113"/>
      <c r="Z7" s="260">
        <v>1.06</v>
      </c>
      <c r="AA7" s="259">
        <v>4.58</v>
      </c>
      <c r="AB7" s="245"/>
      <c r="AC7" s="19"/>
      <c r="AD7" s="113"/>
      <c r="AE7" s="260">
        <v>19.850000000000001</v>
      </c>
      <c r="AF7" s="259">
        <v>4.78</v>
      </c>
      <c r="AG7" s="16">
        <f>AE7-AG8</f>
        <v>10.850000000000001</v>
      </c>
      <c r="AH7" s="109" t="s">
        <v>225</v>
      </c>
      <c r="AI7" s="32"/>
      <c r="AJ7" s="162" t="s">
        <v>31</v>
      </c>
      <c r="AK7" s="245">
        <f>D12+D30</f>
        <v>0.32999999999999996</v>
      </c>
      <c r="AL7" s="245">
        <f>M12+M30</f>
        <v>0.37</v>
      </c>
      <c r="AM7" s="245">
        <f>R12+R30</f>
        <v>0.39999999999999997</v>
      </c>
      <c r="AN7" s="245">
        <f>W12+W30</f>
        <v>0.33999999999999997</v>
      </c>
      <c r="AO7" s="245">
        <f>AB12</f>
        <v>0.36</v>
      </c>
      <c r="AP7" s="241"/>
      <c r="AQ7" s="162">
        <f t="shared" si="0"/>
        <v>0.36</v>
      </c>
      <c r="AR7" s="111"/>
      <c r="AS7" s="169" t="s">
        <v>193</v>
      </c>
      <c r="AT7" s="111"/>
      <c r="AV7" s="180" t="s">
        <v>290</v>
      </c>
      <c r="AW7" s="181"/>
    </row>
    <row r="8" spans="1:49" s="25" customFormat="1" ht="15.75" thickBot="1" x14ac:dyDescent="0.3">
      <c r="A8" s="261"/>
      <c r="B8" s="260"/>
      <c r="C8" s="259"/>
      <c r="D8" s="246">
        <f>B7</f>
        <v>1.01</v>
      </c>
      <c r="E8" s="15" t="s">
        <v>19</v>
      </c>
      <c r="F8" s="113"/>
      <c r="G8" s="260"/>
      <c r="H8" s="259"/>
      <c r="I8" s="240"/>
      <c r="J8" s="113"/>
      <c r="K8" s="260"/>
      <c r="L8" s="259"/>
      <c r="M8" s="241">
        <f>K7</f>
        <v>1</v>
      </c>
      <c r="N8" s="15" t="s">
        <v>19</v>
      </c>
      <c r="O8" s="113"/>
      <c r="P8" s="260"/>
      <c r="Q8" s="259"/>
      <c r="R8" s="245">
        <f>P7</f>
        <v>1.03</v>
      </c>
      <c r="S8" s="15" t="s">
        <v>19</v>
      </c>
      <c r="T8" s="113"/>
      <c r="U8" s="260"/>
      <c r="V8" s="259"/>
      <c r="W8" s="241">
        <f>U7-W7</f>
        <v>1.07</v>
      </c>
      <c r="X8" s="15" t="s">
        <v>19</v>
      </c>
      <c r="Y8" s="113"/>
      <c r="Z8" s="260"/>
      <c r="AA8" s="259"/>
      <c r="AB8" s="245">
        <f>Z7</f>
        <v>1.06</v>
      </c>
      <c r="AC8" s="15" t="s">
        <v>19</v>
      </c>
      <c r="AD8" s="113"/>
      <c r="AE8" s="260"/>
      <c r="AF8" s="259"/>
      <c r="AG8" s="245">
        <v>9</v>
      </c>
      <c r="AH8" s="15" t="s">
        <v>19</v>
      </c>
      <c r="AI8" s="32"/>
      <c r="AJ8" s="162" t="s">
        <v>59</v>
      </c>
      <c r="AK8" s="16">
        <f>D18</f>
        <v>0.34</v>
      </c>
      <c r="AL8" s="16">
        <f>M18</f>
        <v>0.37</v>
      </c>
      <c r="AM8" s="245">
        <f>R18</f>
        <v>0.36499999999999999</v>
      </c>
      <c r="AN8" s="245">
        <f>W18</f>
        <v>0.36499999999999999</v>
      </c>
      <c r="AO8" s="245">
        <f>AB18</f>
        <v>0.36499999999999999</v>
      </c>
      <c r="AP8" s="241">
        <f>AG18</f>
        <v>0.08</v>
      </c>
      <c r="AQ8" s="162">
        <f t="shared" si="0"/>
        <v>0.36099999999999999</v>
      </c>
      <c r="AR8" s="170">
        <f>SUM(AQ5:AQ8)</f>
        <v>0.88100000000000001</v>
      </c>
      <c r="AS8" s="169" t="s">
        <v>293</v>
      </c>
      <c r="AT8" s="111"/>
      <c r="AV8" s="182" t="s">
        <v>291</v>
      </c>
      <c r="AW8" s="183"/>
    </row>
    <row r="9" spans="1:49" s="25" customFormat="1" x14ac:dyDescent="0.25">
      <c r="A9" s="242">
        <v>4</v>
      </c>
      <c r="B9" s="241">
        <v>5.89</v>
      </c>
      <c r="C9" s="240">
        <v>4.82</v>
      </c>
      <c r="D9" s="240">
        <f>B9</f>
        <v>5.89</v>
      </c>
      <c r="E9" s="54" t="s">
        <v>34</v>
      </c>
      <c r="F9" s="113"/>
      <c r="G9" s="241">
        <v>7.23</v>
      </c>
      <c r="H9" s="240">
        <v>4.8</v>
      </c>
      <c r="I9" s="241"/>
      <c r="J9" s="113"/>
      <c r="K9" s="241">
        <v>5.41</v>
      </c>
      <c r="L9" s="240">
        <v>4.9000000000000004</v>
      </c>
      <c r="M9" s="241">
        <f>K9</f>
        <v>5.41</v>
      </c>
      <c r="N9" s="54" t="s">
        <v>34</v>
      </c>
      <c r="O9" s="113"/>
      <c r="P9" s="241">
        <v>5.61</v>
      </c>
      <c r="Q9" s="240">
        <v>4.76</v>
      </c>
      <c r="R9" s="245">
        <f>P9</f>
        <v>5.61</v>
      </c>
      <c r="S9" s="54" t="s">
        <v>34</v>
      </c>
      <c r="T9" s="113"/>
      <c r="U9" s="241">
        <v>5.93</v>
      </c>
      <c r="V9" s="240">
        <v>4.82</v>
      </c>
      <c r="W9" s="241">
        <f>U9</f>
        <v>5.93</v>
      </c>
      <c r="X9" s="54" t="s">
        <v>34</v>
      </c>
      <c r="Y9" s="113"/>
      <c r="Z9" s="241">
        <v>5.71</v>
      </c>
      <c r="AA9" s="240">
        <v>4.71</v>
      </c>
      <c r="AB9" s="245">
        <f>Z9</f>
        <v>5.71</v>
      </c>
      <c r="AC9" s="54" t="s">
        <v>34</v>
      </c>
      <c r="AD9" s="113"/>
      <c r="AE9" s="241">
        <v>5.67</v>
      </c>
      <c r="AF9" s="240">
        <v>4.9000000000000004</v>
      </c>
      <c r="AG9" s="245">
        <f>AE9</f>
        <v>5.67</v>
      </c>
      <c r="AH9" s="54" t="s">
        <v>34</v>
      </c>
      <c r="AI9" s="32"/>
      <c r="AJ9" s="163" t="s">
        <v>29</v>
      </c>
      <c r="AK9" s="241">
        <f>D14+D31+D33+D62+D109+D178+D163+D161</f>
        <v>3.4249999999999998</v>
      </c>
      <c r="AL9" s="241">
        <f>M14+M31+M33+M62+M109+M178</f>
        <v>3.4249999999999998</v>
      </c>
      <c r="AM9" s="241">
        <f>R14+R31+R33+R62</f>
        <v>3.28</v>
      </c>
      <c r="AN9" s="245">
        <f>W14+W31+W33+W62</f>
        <v>4.09</v>
      </c>
      <c r="AO9" s="245">
        <f>AB14</f>
        <v>3.9099999999999993</v>
      </c>
      <c r="AP9" s="241"/>
      <c r="AQ9" s="163">
        <f t="shared" si="0"/>
        <v>3.6259999999999999</v>
      </c>
      <c r="AR9" s="111"/>
      <c r="AS9" s="111"/>
      <c r="AT9" s="111"/>
    </row>
    <row r="10" spans="1:49" s="25" customFormat="1" x14ac:dyDescent="0.25">
      <c r="A10" s="261">
        <v>5</v>
      </c>
      <c r="B10" s="260">
        <v>0.17</v>
      </c>
      <c r="C10" s="259">
        <v>5.08</v>
      </c>
      <c r="D10" s="240"/>
      <c r="E10" s="240"/>
      <c r="F10" s="113"/>
      <c r="G10" s="260">
        <v>0.27</v>
      </c>
      <c r="H10" s="259">
        <v>4.97</v>
      </c>
      <c r="I10" s="240"/>
      <c r="J10" s="113"/>
      <c r="K10" s="260">
        <v>0.23</v>
      </c>
      <c r="L10" s="259">
        <v>5.15</v>
      </c>
      <c r="M10" s="241"/>
      <c r="N10" s="8"/>
      <c r="O10" s="113"/>
      <c r="P10" s="260">
        <v>0.27</v>
      </c>
      <c r="Q10" s="259">
        <v>5</v>
      </c>
      <c r="R10" s="245"/>
      <c r="S10" s="8"/>
      <c r="T10" s="113"/>
      <c r="U10" s="241">
        <v>0.05</v>
      </c>
      <c r="V10" s="240">
        <v>5</v>
      </c>
      <c r="W10" s="241"/>
      <c r="X10" s="8"/>
      <c r="Y10" s="113"/>
      <c r="Z10" s="260">
        <v>0.14000000000000001</v>
      </c>
      <c r="AA10" s="259">
        <v>4.95</v>
      </c>
      <c r="AB10" s="245"/>
      <c r="AC10" s="8"/>
      <c r="AD10" s="113"/>
      <c r="AE10" s="241">
        <v>0.57999999999999996</v>
      </c>
      <c r="AF10" s="240">
        <v>5.15</v>
      </c>
      <c r="AG10" s="245"/>
      <c r="AH10" s="24"/>
      <c r="AI10" s="32"/>
      <c r="AJ10" s="163" t="s">
        <v>58</v>
      </c>
      <c r="AK10" s="19">
        <f>D21+D45+D71+D98+D144</f>
        <v>3.8600000000000003</v>
      </c>
      <c r="AL10" s="19">
        <f>M21+M45+M71+M98+M144</f>
        <v>3.29</v>
      </c>
      <c r="AM10" s="241">
        <f>R21+R45+R71</f>
        <v>2.6349999999999998</v>
      </c>
      <c r="AN10" s="241">
        <f>W21+W45+W71</f>
        <v>2.6349999999999998</v>
      </c>
      <c r="AO10" s="241">
        <f>AB21</f>
        <v>2.87</v>
      </c>
      <c r="AP10" s="241">
        <f>AG21</f>
        <v>0.01</v>
      </c>
      <c r="AQ10" s="163">
        <f t="shared" si="0"/>
        <v>3.0579999999999998</v>
      </c>
      <c r="AR10" s="111"/>
      <c r="AS10" s="111"/>
      <c r="AT10" s="111"/>
    </row>
    <row r="11" spans="1:49" s="25" customFormat="1" x14ac:dyDescent="0.25">
      <c r="A11" s="261"/>
      <c r="B11" s="260"/>
      <c r="C11" s="259"/>
      <c r="D11" s="240"/>
      <c r="E11" s="240"/>
      <c r="F11" s="113"/>
      <c r="G11" s="260"/>
      <c r="H11" s="259"/>
      <c r="I11" s="240"/>
      <c r="J11" s="113"/>
      <c r="K11" s="260"/>
      <c r="L11" s="259"/>
      <c r="M11" s="241"/>
      <c r="N11" s="240"/>
      <c r="O11" s="113"/>
      <c r="P11" s="260"/>
      <c r="Q11" s="259"/>
      <c r="R11" s="245"/>
      <c r="S11" s="240"/>
      <c r="T11" s="113"/>
      <c r="U11" s="241">
        <v>0.19</v>
      </c>
      <c r="V11" s="240">
        <v>5.0599999999999996</v>
      </c>
      <c r="W11" s="241"/>
      <c r="X11" s="56"/>
      <c r="Y11" s="113"/>
      <c r="Z11" s="260"/>
      <c r="AA11" s="259"/>
      <c r="AB11" s="24"/>
      <c r="AC11" s="24"/>
      <c r="AD11" s="113"/>
      <c r="AE11" s="260">
        <v>1.91</v>
      </c>
      <c r="AF11" s="259">
        <v>5.26</v>
      </c>
      <c r="AG11" s="245">
        <f>AB28</f>
        <v>0.06</v>
      </c>
      <c r="AH11" s="80" t="s">
        <v>30</v>
      </c>
      <c r="AI11" s="32"/>
      <c r="AJ11" s="163" t="s">
        <v>18</v>
      </c>
      <c r="AK11" s="16">
        <f>D40+D69+D162</f>
        <v>1.52</v>
      </c>
      <c r="AL11" s="16">
        <f>M40+M69+M120+M162</f>
        <v>1.7999999999999998</v>
      </c>
      <c r="AM11" s="16">
        <f>R40+R69</f>
        <v>1.22</v>
      </c>
      <c r="AN11" s="16">
        <f>W19+W40+W69</f>
        <v>1.31</v>
      </c>
      <c r="AO11" s="16">
        <f>AB19</f>
        <v>1.25</v>
      </c>
      <c r="AP11" s="241">
        <f>AG19</f>
        <v>0.01</v>
      </c>
      <c r="AQ11" s="163">
        <f t="shared" si="0"/>
        <v>1.42</v>
      </c>
      <c r="AR11" s="111"/>
      <c r="AS11" s="111"/>
      <c r="AT11" s="111"/>
    </row>
    <row r="12" spans="1:49" s="25" customFormat="1" x14ac:dyDescent="0.25">
      <c r="A12" s="261">
        <v>6</v>
      </c>
      <c r="B12" s="260">
        <v>0.3</v>
      </c>
      <c r="C12" s="259">
        <v>5.25</v>
      </c>
      <c r="D12" s="240">
        <f>B12-D14</f>
        <v>0.28999999999999998</v>
      </c>
      <c r="E12" s="9" t="s">
        <v>31</v>
      </c>
      <c r="F12" s="113"/>
      <c r="G12" s="260">
        <v>0.33</v>
      </c>
      <c r="H12" s="259">
        <v>5.29</v>
      </c>
      <c r="I12" s="240"/>
      <c r="J12" s="113"/>
      <c r="K12" s="260">
        <v>0.34</v>
      </c>
      <c r="L12" s="259">
        <v>5.35</v>
      </c>
      <c r="M12" s="241">
        <f>K12-M14</f>
        <v>0.33</v>
      </c>
      <c r="N12" s="9" t="s">
        <v>31</v>
      </c>
      <c r="O12" s="113"/>
      <c r="P12" s="260">
        <v>0.37</v>
      </c>
      <c r="Q12" s="259">
        <v>5.18</v>
      </c>
      <c r="R12" s="16">
        <f>P12-R14</f>
        <v>0.36</v>
      </c>
      <c r="S12" s="9" t="s">
        <v>31</v>
      </c>
      <c r="T12" s="113"/>
      <c r="U12" s="241">
        <v>0.3</v>
      </c>
      <c r="V12" s="240">
        <v>5.25</v>
      </c>
      <c r="W12" s="241">
        <f>U12</f>
        <v>0.3</v>
      </c>
      <c r="X12" s="9" t="s">
        <v>31</v>
      </c>
      <c r="Y12" s="113"/>
      <c r="Z12" s="260">
        <v>4.43</v>
      </c>
      <c r="AA12" s="259">
        <v>5.18</v>
      </c>
      <c r="AB12" s="16">
        <v>0.36</v>
      </c>
      <c r="AC12" s="9" t="s">
        <v>31</v>
      </c>
      <c r="AD12" s="113"/>
      <c r="AE12" s="260"/>
      <c r="AF12" s="259"/>
      <c r="AG12" s="16">
        <f>AE11+AE10-AG11-AG13</f>
        <v>2.2699999999999996</v>
      </c>
      <c r="AH12" s="74" t="s">
        <v>332</v>
      </c>
      <c r="AI12" s="32"/>
      <c r="AJ12" s="163" t="s">
        <v>60</v>
      </c>
      <c r="AK12" s="16">
        <f>D23+D47+D76+D83+D108+D116+D157</f>
        <v>0.63944444444444437</v>
      </c>
      <c r="AL12" s="16">
        <f>M23+M47+M76+M83+M108+M116+M157</f>
        <v>0.39444444444444438</v>
      </c>
      <c r="AM12" s="16">
        <f>R47+R76+R83</f>
        <v>0.84444444444444444</v>
      </c>
      <c r="AN12" s="16">
        <f>W47+W76+W83</f>
        <v>0.84444444444444444</v>
      </c>
      <c r="AO12" s="16">
        <f>AB27</f>
        <v>0.84</v>
      </c>
      <c r="AP12" s="241">
        <f>AG27</f>
        <v>0.01</v>
      </c>
      <c r="AQ12" s="163">
        <f t="shared" si="0"/>
        <v>0.71255555555555561</v>
      </c>
      <c r="AR12" s="171">
        <f>SUM(AQ9:AQ12)</f>
        <v>8.8165555555555546</v>
      </c>
      <c r="AS12" s="169" t="s">
        <v>296</v>
      </c>
      <c r="AT12" s="111"/>
    </row>
    <row r="13" spans="1:49" s="25" customFormat="1" x14ac:dyDescent="0.25">
      <c r="A13" s="261"/>
      <c r="B13" s="260"/>
      <c r="C13" s="259"/>
      <c r="D13" s="24"/>
      <c r="E13" s="24"/>
      <c r="F13" s="113"/>
      <c r="G13" s="260"/>
      <c r="H13" s="259"/>
      <c r="I13" s="56"/>
      <c r="J13" s="113"/>
      <c r="K13" s="260"/>
      <c r="L13" s="259"/>
      <c r="M13" s="24"/>
      <c r="N13" s="24"/>
      <c r="O13" s="113"/>
      <c r="P13" s="260"/>
      <c r="Q13" s="259"/>
      <c r="R13" s="24"/>
      <c r="S13" s="24"/>
      <c r="T13" s="113"/>
      <c r="U13" s="260">
        <v>0.39</v>
      </c>
      <c r="V13" s="259">
        <v>5.31</v>
      </c>
      <c r="W13" s="24"/>
      <c r="X13" s="24"/>
      <c r="Y13" s="113"/>
      <c r="Z13" s="260"/>
      <c r="AA13" s="259"/>
      <c r="AB13" s="245">
        <f>W24</f>
        <v>0.16</v>
      </c>
      <c r="AC13" s="128" t="s">
        <v>124</v>
      </c>
      <c r="AD13" s="113"/>
      <c r="AE13" s="260"/>
      <c r="AF13" s="259"/>
      <c r="AG13" s="245">
        <f>AB13</f>
        <v>0.16</v>
      </c>
      <c r="AH13" s="128" t="s">
        <v>124</v>
      </c>
      <c r="AI13" s="32"/>
      <c r="AJ13" s="164" t="s">
        <v>27</v>
      </c>
      <c r="AK13" s="16">
        <f>D41+D78+D95+D103+D104+D102+D133+D149+D183+D184+D189+D202+D207</f>
        <v>11.248888888888889</v>
      </c>
      <c r="AL13" s="16">
        <f>M41+M78+M95+M103+M104+M102+M133+M149+M183+M184+M189+M202+M207</f>
        <v>10.790555555555555</v>
      </c>
      <c r="AM13" s="16">
        <f>R41+R78+R103+R104+R102</f>
        <v>11.59</v>
      </c>
      <c r="AN13" s="16">
        <f>W41+W78+W104+W20</f>
        <v>11.209999999999999</v>
      </c>
      <c r="AO13" s="16">
        <f>AB20</f>
        <v>11.6</v>
      </c>
      <c r="AP13" s="241">
        <f>AG20</f>
        <v>0.14000000000000001</v>
      </c>
      <c r="AQ13" s="164">
        <f t="shared" ref="AQ13:AQ19" si="1">AVERAGE(AK13:AO13)</f>
        <v>11.28788888888889</v>
      </c>
      <c r="AR13" s="111"/>
      <c r="AS13" s="111"/>
      <c r="AT13" s="111"/>
    </row>
    <row r="14" spans="1:49" s="25" customFormat="1" x14ac:dyDescent="0.25">
      <c r="A14" s="261"/>
      <c r="B14" s="260"/>
      <c r="C14" s="259"/>
      <c r="D14" s="241">
        <f>R14</f>
        <v>0.01</v>
      </c>
      <c r="E14" s="63" t="s">
        <v>29</v>
      </c>
      <c r="F14" s="113"/>
      <c r="G14" s="260"/>
      <c r="H14" s="259"/>
      <c r="I14" s="8"/>
      <c r="J14" s="113"/>
      <c r="K14" s="260"/>
      <c r="L14" s="259"/>
      <c r="M14" s="241">
        <f>D14</f>
        <v>0.01</v>
      </c>
      <c r="N14" s="7" t="s">
        <v>29</v>
      </c>
      <c r="O14" s="113"/>
      <c r="P14" s="260"/>
      <c r="Q14" s="259"/>
      <c r="R14" s="16">
        <v>0.01</v>
      </c>
      <c r="S14" s="7" t="s">
        <v>29</v>
      </c>
      <c r="T14" s="113"/>
      <c r="U14" s="260"/>
      <c r="V14" s="259"/>
      <c r="W14" s="241">
        <f>U13</f>
        <v>0.39</v>
      </c>
      <c r="X14" s="7" t="s">
        <v>29</v>
      </c>
      <c r="Y14" s="113"/>
      <c r="Z14" s="260"/>
      <c r="AA14" s="259"/>
      <c r="AB14" s="16">
        <f>Z12-AB12-AB13</f>
        <v>3.9099999999999993</v>
      </c>
      <c r="AC14" s="7" t="s">
        <v>29</v>
      </c>
      <c r="AD14" s="113"/>
      <c r="AE14" s="241">
        <v>0.03</v>
      </c>
      <c r="AF14" s="240">
        <v>5.44</v>
      </c>
      <c r="AG14" s="245"/>
      <c r="AH14" s="240"/>
      <c r="AI14" s="32"/>
      <c r="AJ14" s="164" t="s">
        <v>61</v>
      </c>
      <c r="AK14" s="16">
        <f>D24+D79+D121+D159+D182+D208</f>
        <v>3.1400000000000006</v>
      </c>
      <c r="AL14" s="16">
        <f>M24+M79+M121+M159+M182+M208+M96</f>
        <v>2.8400000000000007</v>
      </c>
      <c r="AM14" s="16">
        <f>R25+R79+R96</f>
        <v>4.1000000000000005</v>
      </c>
      <c r="AN14" s="16">
        <f>W25+W79+W96</f>
        <v>3.1600000000000028</v>
      </c>
      <c r="AO14" s="16">
        <f>AB32</f>
        <v>3.5</v>
      </c>
      <c r="AP14" s="241">
        <f>AG32</f>
        <v>0.06</v>
      </c>
      <c r="AQ14" s="164">
        <f t="shared" si="1"/>
        <v>3.3480000000000012</v>
      </c>
      <c r="AR14" s="111"/>
      <c r="AS14" s="111"/>
      <c r="AT14" s="111"/>
    </row>
    <row r="15" spans="1:49" s="25" customFormat="1" x14ac:dyDescent="0.25">
      <c r="A15" s="261"/>
      <c r="B15" s="260"/>
      <c r="C15" s="259"/>
      <c r="D15" s="240"/>
      <c r="E15" s="24"/>
      <c r="F15" s="113"/>
      <c r="G15" s="260"/>
      <c r="H15" s="259"/>
      <c r="I15" s="240"/>
      <c r="J15" s="113"/>
      <c r="K15" s="260"/>
      <c r="L15" s="259"/>
      <c r="M15" s="241"/>
      <c r="N15" s="24"/>
      <c r="O15" s="113"/>
      <c r="P15" s="260"/>
      <c r="Q15" s="259"/>
      <c r="R15" s="245"/>
      <c r="S15" s="24"/>
      <c r="T15" s="113"/>
      <c r="U15" s="241">
        <v>0</v>
      </c>
      <c r="V15" s="240">
        <v>5.44</v>
      </c>
      <c r="W15" s="241"/>
      <c r="X15" s="24"/>
      <c r="Y15" s="113"/>
      <c r="Z15" s="241">
        <v>0.1</v>
      </c>
      <c r="AA15" s="240">
        <v>5.3</v>
      </c>
      <c r="AB15" s="245"/>
      <c r="AC15" s="24"/>
      <c r="AD15" s="113"/>
      <c r="AE15" s="241">
        <v>0.08</v>
      </c>
      <c r="AF15" s="240">
        <v>5.53</v>
      </c>
      <c r="AG15" s="245"/>
      <c r="AH15" s="24"/>
      <c r="AI15" s="32"/>
      <c r="AJ15" s="164" t="s">
        <v>21</v>
      </c>
      <c r="AK15" s="16">
        <f>D32+D112</f>
        <v>0.37</v>
      </c>
      <c r="AL15" s="16">
        <f>M32+M112</f>
        <v>0.25</v>
      </c>
      <c r="AM15" s="16">
        <f>R32+R63+R112</f>
        <v>0.37</v>
      </c>
      <c r="AN15" s="16">
        <f>W32+W112</f>
        <v>0.37</v>
      </c>
      <c r="AO15" s="16">
        <f>AB25</f>
        <v>0.37</v>
      </c>
      <c r="AP15" s="241"/>
      <c r="AQ15" s="164">
        <f t="shared" si="1"/>
        <v>0.34599999999999997</v>
      </c>
      <c r="AR15" s="111"/>
      <c r="AS15" s="111"/>
      <c r="AT15" s="111"/>
    </row>
    <row r="16" spans="1:49" s="25" customFormat="1" x14ac:dyDescent="0.25">
      <c r="A16" s="261">
        <v>7</v>
      </c>
      <c r="B16" s="260">
        <v>7.06</v>
      </c>
      <c r="C16" s="259">
        <v>5.58</v>
      </c>
      <c r="D16" s="240"/>
      <c r="E16" s="8"/>
      <c r="F16" s="113"/>
      <c r="G16" s="260">
        <v>7.93</v>
      </c>
      <c r="H16" s="259">
        <v>5.56</v>
      </c>
      <c r="I16" s="8"/>
      <c r="J16" s="113"/>
      <c r="K16" s="260">
        <v>6.41</v>
      </c>
      <c r="L16" s="259">
        <v>5.67</v>
      </c>
      <c r="M16" s="241"/>
      <c r="N16" s="8"/>
      <c r="O16" s="113"/>
      <c r="P16" s="260">
        <v>6.6</v>
      </c>
      <c r="Q16" s="259">
        <v>5.51</v>
      </c>
      <c r="R16" s="245"/>
      <c r="S16" s="8"/>
      <c r="T16" s="113"/>
      <c r="U16" s="241">
        <v>0</v>
      </c>
      <c r="V16" s="240">
        <v>5.47</v>
      </c>
      <c r="W16" s="241"/>
      <c r="X16" s="24"/>
      <c r="Y16" s="113"/>
      <c r="Z16" s="260">
        <v>6.54</v>
      </c>
      <c r="AA16" s="259">
        <v>5.44</v>
      </c>
      <c r="AB16" s="245"/>
      <c r="AC16" s="24"/>
      <c r="AD16" s="113"/>
      <c r="AE16" s="260">
        <v>7.01</v>
      </c>
      <c r="AF16" s="259">
        <v>5.67</v>
      </c>
      <c r="AG16" s="245">
        <v>3</v>
      </c>
      <c r="AH16" s="74" t="s">
        <v>335</v>
      </c>
      <c r="AI16" s="32"/>
      <c r="AJ16" s="164" t="s">
        <v>101</v>
      </c>
      <c r="AK16" s="16">
        <f>D42+D125+D186</f>
        <v>0.99</v>
      </c>
      <c r="AL16" s="16">
        <f>M42+M125+M186</f>
        <v>1.0166666666666666</v>
      </c>
      <c r="AM16" s="16">
        <f>R42+R125</f>
        <v>1.03</v>
      </c>
      <c r="AN16" s="16">
        <f>W42+W125</f>
        <v>1.03</v>
      </c>
      <c r="AO16" s="16">
        <f>AB42</f>
        <v>0.57999999999999996</v>
      </c>
      <c r="AP16" s="241">
        <f>AG42</f>
        <v>0.31</v>
      </c>
      <c r="AQ16" s="164">
        <f t="shared" si="1"/>
        <v>0.92933333333333346</v>
      </c>
      <c r="AR16" s="172">
        <f>SUM(AQ13:AQ16)</f>
        <v>15.911222222222225</v>
      </c>
      <c r="AS16" s="169" t="s">
        <v>295</v>
      </c>
      <c r="AT16" s="111"/>
    </row>
    <row r="17" spans="1:46" s="25" customFormat="1" x14ac:dyDescent="0.25">
      <c r="A17" s="261"/>
      <c r="B17" s="260"/>
      <c r="C17" s="259"/>
      <c r="D17" s="240">
        <f>B16-D16</f>
        <v>7.06</v>
      </c>
      <c r="E17" s="54" t="s">
        <v>34</v>
      </c>
      <c r="F17" s="115"/>
      <c r="G17" s="260"/>
      <c r="H17" s="259"/>
      <c r="I17" s="241"/>
      <c r="J17" s="115"/>
      <c r="K17" s="260"/>
      <c r="L17" s="259"/>
      <c r="M17" s="241">
        <f>K16-M16</f>
        <v>6.41</v>
      </c>
      <c r="N17" s="54" t="s">
        <v>34</v>
      </c>
      <c r="O17" s="115"/>
      <c r="P17" s="260"/>
      <c r="Q17" s="259"/>
      <c r="R17" s="245">
        <f>P16</f>
        <v>6.6</v>
      </c>
      <c r="S17" s="54" t="s">
        <v>34</v>
      </c>
      <c r="T17" s="115"/>
      <c r="U17" s="241">
        <v>6.94</v>
      </c>
      <c r="V17" s="240">
        <v>5.58</v>
      </c>
      <c r="W17" s="241">
        <f>U17-W20</f>
        <v>6.94</v>
      </c>
      <c r="X17" s="54" t="s">
        <v>34</v>
      </c>
      <c r="Y17" s="115"/>
      <c r="Z17" s="260"/>
      <c r="AA17" s="259"/>
      <c r="AB17" s="245">
        <v>10</v>
      </c>
      <c r="AC17" s="54" t="s">
        <v>34</v>
      </c>
      <c r="AD17" s="115"/>
      <c r="AE17" s="260"/>
      <c r="AF17" s="259"/>
      <c r="AG17" s="245">
        <f>AE16-AG16</f>
        <v>4.01</v>
      </c>
      <c r="AH17" s="54" t="s">
        <v>34</v>
      </c>
      <c r="AI17" s="32"/>
      <c r="AJ17" s="165" t="s">
        <v>22</v>
      </c>
      <c r="AK17" s="16">
        <f>D39+D172</f>
        <v>0.91</v>
      </c>
      <c r="AL17" s="16">
        <f>M39+M172</f>
        <v>0.91</v>
      </c>
      <c r="AM17" s="16">
        <f>R39+R172+R147</f>
        <v>0.31</v>
      </c>
      <c r="AN17" s="16">
        <f>W39+W147</f>
        <v>0.31</v>
      </c>
      <c r="AO17" s="16">
        <f>AB43</f>
        <v>0.31</v>
      </c>
      <c r="AP17" s="26"/>
      <c r="AQ17" s="165">
        <f t="shared" si="1"/>
        <v>0.55000000000000004</v>
      </c>
      <c r="AR17" s="111"/>
      <c r="AS17" s="111"/>
      <c r="AT17" s="111"/>
    </row>
    <row r="18" spans="1:46" s="25" customFormat="1" x14ac:dyDescent="0.25">
      <c r="A18" s="261">
        <v>8</v>
      </c>
      <c r="B18" s="260">
        <v>0.68</v>
      </c>
      <c r="C18" s="259">
        <v>5.78</v>
      </c>
      <c r="D18" s="240">
        <f>D21</f>
        <v>0.34</v>
      </c>
      <c r="E18" s="10" t="s">
        <v>59</v>
      </c>
      <c r="F18" s="113"/>
      <c r="G18" s="260">
        <v>1.3</v>
      </c>
      <c r="H18" s="259">
        <v>5.75</v>
      </c>
      <c r="I18" s="240"/>
      <c r="J18" s="113"/>
      <c r="K18" s="260">
        <v>0.74</v>
      </c>
      <c r="L18" s="259">
        <v>5.89</v>
      </c>
      <c r="M18" s="241">
        <f>M21</f>
        <v>0.37</v>
      </c>
      <c r="N18" s="10" t="s">
        <v>59</v>
      </c>
      <c r="O18" s="113"/>
      <c r="P18" s="260">
        <v>0.73</v>
      </c>
      <c r="Q18" s="259">
        <v>5.7</v>
      </c>
      <c r="R18" s="245">
        <f>R21</f>
        <v>0.36499999999999999</v>
      </c>
      <c r="S18" s="10" t="s">
        <v>59</v>
      </c>
      <c r="T18" s="113"/>
      <c r="U18" s="260">
        <v>1.55</v>
      </c>
      <c r="V18" s="259">
        <v>5.78</v>
      </c>
      <c r="W18" s="241">
        <f>R18</f>
        <v>0.36499999999999999</v>
      </c>
      <c r="X18" s="10" t="s">
        <v>59</v>
      </c>
      <c r="Y18" s="113"/>
      <c r="Z18" s="260">
        <v>18.59</v>
      </c>
      <c r="AA18" s="259">
        <v>5.62</v>
      </c>
      <c r="AB18" s="245">
        <f>R18+R37+R67</f>
        <v>0.36499999999999999</v>
      </c>
      <c r="AC18" s="10" t="s">
        <v>59</v>
      </c>
      <c r="AD18" s="113"/>
      <c r="AE18" s="241">
        <v>0.08</v>
      </c>
      <c r="AF18" s="240">
        <v>5.78</v>
      </c>
      <c r="AG18" s="245">
        <f>AE18</f>
        <v>0.08</v>
      </c>
      <c r="AH18" s="10" t="s">
        <v>59</v>
      </c>
      <c r="AI18" s="32"/>
      <c r="AJ18" s="165" t="s">
        <v>63</v>
      </c>
      <c r="AK18" s="16">
        <f>D50+D168</f>
        <v>1.44</v>
      </c>
      <c r="AL18" s="16">
        <f>M50+M168</f>
        <v>2.7255555555555553</v>
      </c>
      <c r="AM18" s="16">
        <f>R50+R168</f>
        <v>2.0555555555555554</v>
      </c>
      <c r="AN18" s="16">
        <f>W50+W168</f>
        <v>2.27</v>
      </c>
      <c r="AO18" s="16">
        <f>AB50+AB88+AB102</f>
        <v>1.0299999999999998</v>
      </c>
      <c r="AP18" s="26">
        <f>AG50</f>
        <v>8.9999999999999969E-2</v>
      </c>
      <c r="AQ18" s="165">
        <f t="shared" si="1"/>
        <v>1.9042222222222218</v>
      </c>
      <c r="AR18" s="111"/>
      <c r="AS18" s="111"/>
      <c r="AT18" s="111"/>
    </row>
    <row r="19" spans="1:46" s="25" customFormat="1" ht="15" customHeight="1" x14ac:dyDescent="0.25">
      <c r="A19" s="261"/>
      <c r="B19" s="260"/>
      <c r="C19" s="259"/>
      <c r="D19" s="24"/>
      <c r="E19" s="24"/>
      <c r="F19" s="113"/>
      <c r="G19" s="260"/>
      <c r="H19" s="259"/>
      <c r="I19" s="8"/>
      <c r="J19" s="113"/>
      <c r="K19" s="260"/>
      <c r="L19" s="259"/>
      <c r="M19" s="24"/>
      <c r="N19" s="24"/>
      <c r="O19" s="113"/>
      <c r="P19" s="260"/>
      <c r="Q19" s="259"/>
      <c r="R19" s="24"/>
      <c r="S19" s="24"/>
      <c r="T19" s="113"/>
      <c r="U19" s="260"/>
      <c r="V19" s="259"/>
      <c r="W19" s="241">
        <f>U18-W18-W21</f>
        <v>0.82000000000000006</v>
      </c>
      <c r="X19" s="58" t="s">
        <v>18</v>
      </c>
      <c r="Y19" s="113"/>
      <c r="Z19" s="260"/>
      <c r="AA19" s="259"/>
      <c r="AB19" s="245">
        <v>1.25</v>
      </c>
      <c r="AC19" s="58" t="s">
        <v>18</v>
      </c>
      <c r="AD19" s="113"/>
      <c r="AE19" s="260">
        <v>0.16</v>
      </c>
      <c r="AF19" s="259">
        <v>5.84</v>
      </c>
      <c r="AG19" s="245">
        <v>0.01</v>
      </c>
      <c r="AH19" s="58" t="s">
        <v>18</v>
      </c>
      <c r="AI19" s="39"/>
      <c r="AJ19" s="165" t="s">
        <v>39</v>
      </c>
      <c r="AK19" s="16">
        <f>D81</f>
        <v>0.01</v>
      </c>
      <c r="AL19" s="16">
        <f>M81</f>
        <v>0.01</v>
      </c>
      <c r="AM19" s="16">
        <f>R81</f>
        <v>0.01</v>
      </c>
      <c r="AN19" s="16">
        <f>W81</f>
        <v>0.01</v>
      </c>
      <c r="AO19" s="16">
        <f>AB49</f>
        <v>0.01</v>
      </c>
      <c r="AP19" s="26"/>
      <c r="AQ19" s="165">
        <f t="shared" si="1"/>
        <v>0.01</v>
      </c>
      <c r="AR19" s="111"/>
      <c r="AS19" s="111"/>
      <c r="AT19" s="111"/>
    </row>
    <row r="20" spans="1:46" s="25" customFormat="1" ht="15" customHeight="1" x14ac:dyDescent="0.25">
      <c r="A20" s="261"/>
      <c r="B20" s="260"/>
      <c r="C20" s="259"/>
      <c r="D20" s="24"/>
      <c r="E20" s="24"/>
      <c r="F20" s="113"/>
      <c r="G20" s="263">
        <v>0.21</v>
      </c>
      <c r="H20" s="266">
        <v>5.93</v>
      </c>
      <c r="I20" s="8"/>
      <c r="J20" s="113"/>
      <c r="K20" s="260"/>
      <c r="L20" s="259"/>
      <c r="M20" s="24"/>
      <c r="N20" s="24"/>
      <c r="O20" s="113"/>
      <c r="P20" s="260"/>
      <c r="Q20" s="259"/>
      <c r="R20" s="24"/>
      <c r="S20" s="24"/>
      <c r="T20" s="113"/>
      <c r="U20" s="260"/>
      <c r="V20" s="259"/>
      <c r="W20" s="19"/>
      <c r="X20" s="240"/>
      <c r="Y20" s="113"/>
      <c r="Z20" s="260"/>
      <c r="AA20" s="259"/>
      <c r="AB20" s="245">
        <v>11.6</v>
      </c>
      <c r="AC20" s="249" t="s">
        <v>27</v>
      </c>
      <c r="AD20" s="113"/>
      <c r="AE20" s="260"/>
      <c r="AF20" s="259"/>
      <c r="AG20" s="245">
        <v>0.14000000000000001</v>
      </c>
      <c r="AH20" s="249" t="s">
        <v>27</v>
      </c>
      <c r="AI20" s="39"/>
      <c r="AJ20" s="165" t="s">
        <v>98</v>
      </c>
      <c r="AK20" s="26"/>
      <c r="AL20" s="26"/>
      <c r="AM20" s="26"/>
      <c r="AN20" s="26"/>
      <c r="AO20" s="26"/>
      <c r="AP20" s="26"/>
      <c r="AQ20" s="165">
        <v>0</v>
      </c>
      <c r="AR20" s="173">
        <f>SUM(AQ17:AQ20)</f>
        <v>2.4642222222222214</v>
      </c>
      <c r="AS20" s="169" t="s">
        <v>294</v>
      </c>
      <c r="AT20" s="111"/>
    </row>
    <row r="21" spans="1:46" s="25" customFormat="1" x14ac:dyDescent="0.25">
      <c r="A21" s="261"/>
      <c r="B21" s="260"/>
      <c r="C21" s="259"/>
      <c r="D21" s="240">
        <f>B18/2</f>
        <v>0.34</v>
      </c>
      <c r="E21" s="7" t="s">
        <v>58</v>
      </c>
      <c r="F21" s="113"/>
      <c r="G21" s="264"/>
      <c r="H21" s="267"/>
      <c r="I21" s="8"/>
      <c r="J21" s="113"/>
      <c r="K21" s="260"/>
      <c r="L21" s="259"/>
      <c r="M21" s="241">
        <f>K18/2</f>
        <v>0.37</v>
      </c>
      <c r="N21" s="7" t="s">
        <v>58</v>
      </c>
      <c r="O21" s="113"/>
      <c r="P21" s="260"/>
      <c r="Q21" s="259"/>
      <c r="R21" s="245">
        <f>P18/2</f>
        <v>0.36499999999999999</v>
      </c>
      <c r="S21" s="7" t="s">
        <v>58</v>
      </c>
      <c r="T21" s="113"/>
      <c r="U21" s="260"/>
      <c r="V21" s="259"/>
      <c r="W21" s="241">
        <f>R21</f>
        <v>0.36499999999999999</v>
      </c>
      <c r="X21" s="7" t="s">
        <v>58</v>
      </c>
      <c r="Y21" s="113"/>
      <c r="Z21" s="260"/>
      <c r="AA21" s="259"/>
      <c r="AB21" s="245">
        <v>2.87</v>
      </c>
      <c r="AC21" s="7" t="s">
        <v>58</v>
      </c>
      <c r="AD21" s="113"/>
      <c r="AE21" s="260"/>
      <c r="AF21" s="259"/>
      <c r="AG21" s="245">
        <v>0.01</v>
      </c>
      <c r="AH21" s="7" t="s">
        <v>58</v>
      </c>
      <c r="AI21" s="39"/>
      <c r="AJ21" s="166" t="s">
        <v>182</v>
      </c>
      <c r="AK21" s="19">
        <f>D210+D198+D188+D187+D146</f>
        <v>1.6749999999999998</v>
      </c>
      <c r="AL21" s="19">
        <f>M198+M210+M188+M187+M173+M161+M146</f>
        <v>2.1949999999999998</v>
      </c>
      <c r="AM21" s="19">
        <f>R146+R167+R198+R173</f>
        <v>1.3599999999999999</v>
      </c>
      <c r="AN21" s="19">
        <f>W82+W84+W120+W163</f>
        <v>1.38</v>
      </c>
      <c r="AO21" s="19">
        <f>AB82+AB84+AB120+AB163</f>
        <v>1.34</v>
      </c>
      <c r="AP21" s="244"/>
      <c r="AQ21" s="166">
        <f>AVERAGE(AK21:AO21)</f>
        <v>1.5899999999999999</v>
      </c>
      <c r="AR21" s="111"/>
      <c r="AS21" s="111"/>
      <c r="AT21" s="111"/>
    </row>
    <row r="22" spans="1:46" s="25" customFormat="1" x14ac:dyDescent="0.25">
      <c r="A22" s="261"/>
      <c r="B22" s="260"/>
      <c r="C22" s="259"/>
      <c r="D22" s="240"/>
      <c r="E22" s="24"/>
      <c r="F22" s="113"/>
      <c r="G22" s="265"/>
      <c r="H22" s="268"/>
      <c r="I22" s="56"/>
      <c r="J22" s="113"/>
      <c r="K22" s="260"/>
      <c r="L22" s="259"/>
      <c r="M22" s="241"/>
      <c r="N22" s="24"/>
      <c r="O22" s="113"/>
      <c r="P22" s="260"/>
      <c r="Q22" s="259"/>
      <c r="R22" s="245"/>
      <c r="S22" s="24"/>
      <c r="T22" s="113"/>
      <c r="U22" s="260"/>
      <c r="V22" s="259"/>
      <c r="W22" s="24"/>
      <c r="X22" s="24"/>
      <c r="Y22" s="113"/>
      <c r="Z22" s="241">
        <v>0.46</v>
      </c>
      <c r="AA22" s="240">
        <v>5.73</v>
      </c>
      <c r="AB22" s="24"/>
      <c r="AC22" s="24"/>
      <c r="AD22" s="113"/>
      <c r="AE22" s="241">
        <v>0.05</v>
      </c>
      <c r="AF22" s="240">
        <v>5.99</v>
      </c>
      <c r="AG22" s="245"/>
      <c r="AH22" s="24"/>
      <c r="AI22" s="32"/>
      <c r="AJ22" s="159" t="s">
        <v>183</v>
      </c>
      <c r="AK22" s="19">
        <f>D25+D27+D35+D36+D44+D48+D46+D75+D80+D77+D88+D99+D106+D115+D113+D118+D111+D127+D128+D132+D134+D135+D136+D138+D140+D145+D150+D148+D152+D153+D156+D158+D166+D185+D190+D191+D204+D203+D209+D212</f>
        <v>16.16333333333333</v>
      </c>
      <c r="AL22" s="19">
        <f>M25+M66+M35+M36+M44+M48+M46+M80+M77+M88+M99+M106+M115+M118+M111+M127+M128+M132+M134+M135+M136+M138+M140+M145+M150+M148+M152+M153+M156+M158+M166+M171+M185+M190+M191+M204+M203+M209+M212+M75+M113+M181+M114</f>
        <v>16.682777777777783</v>
      </c>
      <c r="AM22" s="19">
        <f>R26+R35+R36+R44+R48+R46+R66+R80+R77+R99+R106+R115+R113+R118+R111+R128+R134+R135+R137+R140+R152+R153+R158+R171+R204+R75+R70+R114</f>
        <v>14.450000000000003</v>
      </c>
      <c r="AN22" s="19">
        <f>W26+W35+W36+W44+W48+W46+W80+W77+W99+W106+W113+W115+W111+W118+W128+W134+W135+W137+W140+W152+W153+W158+W171+W65+W75+W70+W114+W204</f>
        <v>14.248888888888889</v>
      </c>
      <c r="AO22" s="19">
        <f>AB26+AB35+AB36+AB44+AB48+AB46+AB80+AB77+AB106+AB113+AB111+AB128+AB134+AB135+AB171+AB62+AB63+AB115+AB140+AB158+AB119+AB70+AB114+AB204+AB145</f>
        <v>12.94</v>
      </c>
      <c r="AP22" s="204">
        <f>AG16+AG26+AG35+AG36+AG44+AG46+AG48+AG62+AG63+AG70+AG77+AG80+AG106+AG115+AG111+AG114+AG113+AG119+AG128+AG134+AG135+AG140+AG163+AG171+AG158+AG57+AG145+AG61</f>
        <v>12.978333333333337</v>
      </c>
      <c r="AQ22" s="159">
        <f>AVERAGE(AK22:AP22)</f>
        <v>14.577222222222224</v>
      </c>
      <c r="AR22" s="111"/>
      <c r="AS22" s="111"/>
      <c r="AT22" s="111"/>
    </row>
    <row r="23" spans="1:46" s="25" customFormat="1" x14ac:dyDescent="0.25">
      <c r="A23" s="261">
        <v>9</v>
      </c>
      <c r="B23" s="260">
        <v>1.67</v>
      </c>
      <c r="C23" s="259">
        <v>6.11</v>
      </c>
      <c r="D23" s="240"/>
      <c r="E23" s="246"/>
      <c r="F23" s="113"/>
      <c r="G23" s="260">
        <v>0.78</v>
      </c>
      <c r="H23" s="259">
        <v>6.2</v>
      </c>
      <c r="I23" s="240"/>
      <c r="J23" s="113"/>
      <c r="K23" s="260">
        <v>1.57</v>
      </c>
      <c r="L23" s="259">
        <v>6.23</v>
      </c>
      <c r="M23" s="241"/>
      <c r="N23" s="246"/>
      <c r="O23" s="113"/>
      <c r="P23" s="260">
        <v>1.74</v>
      </c>
      <c r="Q23" s="259">
        <v>6.05</v>
      </c>
      <c r="R23" s="24"/>
      <c r="S23" s="24"/>
      <c r="T23" s="113"/>
      <c r="U23" s="260">
        <v>3.31</v>
      </c>
      <c r="V23" s="259">
        <v>6.16</v>
      </c>
      <c r="W23" s="241"/>
      <c r="X23" s="24"/>
      <c r="Y23" s="113"/>
      <c r="Z23" s="241">
        <v>0.49</v>
      </c>
      <c r="AA23" s="240">
        <v>5.9</v>
      </c>
      <c r="AB23" s="24"/>
      <c r="AC23" s="24"/>
      <c r="AD23" s="113"/>
      <c r="AE23" s="260">
        <v>1.92</v>
      </c>
      <c r="AF23" s="259">
        <v>6.22</v>
      </c>
      <c r="AG23" s="16"/>
      <c r="AH23" s="24"/>
      <c r="AI23" s="32"/>
      <c r="AJ23" s="19" t="s">
        <v>34</v>
      </c>
      <c r="AK23" s="19">
        <f>D34+D3+D9+D17+D60+D85</f>
        <v>29.81</v>
      </c>
      <c r="AL23" s="19">
        <f>M3+M9+M17+M34+M60+M85</f>
        <v>28.010000000000005</v>
      </c>
      <c r="AM23" s="19">
        <f>R3+R9+R17+R34+R60+R85</f>
        <v>30.48</v>
      </c>
      <c r="AN23" s="19">
        <f>W3+W9+W17+W34+W60+W85</f>
        <v>32.68</v>
      </c>
      <c r="AO23" s="19">
        <f>AB3+AB9+AB17+AB34+AB60+AB85</f>
        <v>32.19</v>
      </c>
      <c r="AP23" s="241">
        <f>AG3+AG17+AG34+AG60+AG85+AG9</f>
        <v>24.155000000000001</v>
      </c>
      <c r="AQ23" s="3"/>
      <c r="AR23" s="2"/>
    </row>
    <row r="24" spans="1:46" s="25" customFormat="1" x14ac:dyDescent="0.25">
      <c r="A24" s="261"/>
      <c r="B24" s="260"/>
      <c r="C24" s="259"/>
      <c r="D24" s="240"/>
      <c r="E24" s="246"/>
      <c r="F24" s="113"/>
      <c r="G24" s="260"/>
      <c r="H24" s="259"/>
      <c r="I24" s="240"/>
      <c r="J24" s="113"/>
      <c r="K24" s="260"/>
      <c r="L24" s="259"/>
      <c r="M24" s="241"/>
      <c r="N24" s="246"/>
      <c r="O24" s="113"/>
      <c r="P24" s="260"/>
      <c r="Q24" s="259"/>
      <c r="R24" s="245">
        <v>0.16</v>
      </c>
      <c r="S24" s="128" t="s">
        <v>320</v>
      </c>
      <c r="T24" s="113"/>
      <c r="U24" s="260"/>
      <c r="V24" s="259"/>
      <c r="W24" s="241">
        <v>0.16</v>
      </c>
      <c r="X24" s="128" t="s">
        <v>320</v>
      </c>
      <c r="Y24" s="113"/>
      <c r="Z24" s="260">
        <v>8.58</v>
      </c>
      <c r="AA24" s="259">
        <v>6</v>
      </c>
      <c r="AB24" s="24"/>
      <c r="AC24" s="24"/>
      <c r="AD24" s="113"/>
      <c r="AE24" s="260"/>
      <c r="AF24" s="259"/>
      <c r="AG24" s="245"/>
      <c r="AH24" s="246"/>
      <c r="AI24" s="32"/>
      <c r="AJ24" s="19" t="s">
        <v>33</v>
      </c>
      <c r="AK24" s="241">
        <f t="shared" ref="AK24:AP24" si="2">SUM(AK3:AK23)</f>
        <v>96.99166666666666</v>
      </c>
      <c r="AL24" s="241">
        <f t="shared" si="2"/>
        <v>96.800000000000011</v>
      </c>
      <c r="AM24" s="241">
        <f t="shared" si="2"/>
        <v>95.14</v>
      </c>
      <c r="AN24" s="241">
        <f t="shared" si="2"/>
        <v>98.793333333333351</v>
      </c>
      <c r="AO24" s="241">
        <f t="shared" si="2"/>
        <v>95.875</v>
      </c>
      <c r="AP24" s="241">
        <f t="shared" si="2"/>
        <v>97.493333333333339</v>
      </c>
      <c r="AQ24" s="3"/>
      <c r="AR24" s="2"/>
    </row>
    <row r="25" spans="1:46" s="25" customFormat="1" x14ac:dyDescent="0.25">
      <c r="A25" s="261"/>
      <c r="B25" s="260"/>
      <c r="C25" s="259"/>
      <c r="D25" s="240"/>
      <c r="E25" s="18"/>
      <c r="F25" s="113"/>
      <c r="G25" s="260"/>
      <c r="H25" s="259"/>
      <c r="I25" s="240"/>
      <c r="J25" s="113"/>
      <c r="K25" s="260"/>
      <c r="L25" s="259"/>
      <c r="M25" s="241"/>
      <c r="N25" s="18"/>
      <c r="O25" s="113"/>
      <c r="P25" s="260"/>
      <c r="Q25" s="259"/>
      <c r="R25" s="241"/>
      <c r="S25" s="240"/>
      <c r="T25" s="113"/>
      <c r="U25" s="260"/>
      <c r="V25" s="259"/>
      <c r="W25" s="241"/>
      <c r="X25" s="240"/>
      <c r="Y25" s="113"/>
      <c r="Z25" s="260"/>
      <c r="AA25" s="259"/>
      <c r="AB25" s="245">
        <v>0.37</v>
      </c>
      <c r="AC25" s="62" t="s">
        <v>21</v>
      </c>
      <c r="AD25" s="113"/>
      <c r="AE25" s="260"/>
      <c r="AF25" s="259"/>
      <c r="AG25" s="245"/>
      <c r="AH25" s="246"/>
      <c r="AI25" s="32"/>
      <c r="AK25" s="36">
        <f>D224</f>
        <v>96.991666666666617</v>
      </c>
      <c r="AL25" s="36">
        <f>M224</f>
        <v>96.799999999999955</v>
      </c>
      <c r="AM25" s="36">
        <f>R224</f>
        <v>95.139999999999972</v>
      </c>
      <c r="AN25" s="36">
        <f>W224</f>
        <v>98.793333333333308</v>
      </c>
      <c r="AO25" s="36">
        <f>AB224</f>
        <v>95.875000000000028</v>
      </c>
      <c r="AP25" s="117">
        <f>AG224</f>
        <v>97.493333333333382</v>
      </c>
      <c r="AQ25" s="3"/>
      <c r="AR25" s="2"/>
    </row>
    <row r="26" spans="1:46" s="25" customFormat="1" x14ac:dyDescent="0.25">
      <c r="A26" s="261"/>
      <c r="B26" s="260"/>
      <c r="C26" s="259"/>
      <c r="D26" s="240"/>
      <c r="E26" s="8"/>
      <c r="F26" s="113"/>
      <c r="G26" s="260"/>
      <c r="H26" s="259"/>
      <c r="I26" s="240"/>
      <c r="J26" s="113"/>
      <c r="K26" s="260"/>
      <c r="L26" s="259"/>
      <c r="M26" s="241"/>
      <c r="N26" s="18"/>
      <c r="O26" s="113"/>
      <c r="P26" s="260"/>
      <c r="Q26" s="259"/>
      <c r="R26" s="241"/>
      <c r="S26" s="8"/>
      <c r="T26" s="113"/>
      <c r="U26" s="260"/>
      <c r="V26" s="259"/>
      <c r="W26" s="241"/>
      <c r="X26" s="8"/>
      <c r="Y26" s="113"/>
      <c r="Z26" s="260"/>
      <c r="AA26" s="259"/>
      <c r="AB26" s="245">
        <f>R26+R75</f>
        <v>0.36</v>
      </c>
      <c r="AC26" s="7" t="s">
        <v>95</v>
      </c>
      <c r="AD26" s="113"/>
      <c r="AE26" s="260"/>
      <c r="AF26" s="259"/>
      <c r="AG26" s="245">
        <f>AB26</f>
        <v>0.36</v>
      </c>
      <c r="AH26" s="7" t="s">
        <v>95</v>
      </c>
      <c r="AI26" s="32"/>
      <c r="AN26" s="36"/>
      <c r="AP26" s="21"/>
      <c r="AQ26" s="3"/>
      <c r="AR26" s="2"/>
    </row>
    <row r="27" spans="1:46" s="25" customFormat="1" x14ac:dyDescent="0.25">
      <c r="A27" s="261"/>
      <c r="B27" s="260"/>
      <c r="C27" s="259"/>
      <c r="D27" s="240"/>
      <c r="E27" s="18"/>
      <c r="F27" s="113"/>
      <c r="G27" s="260"/>
      <c r="H27" s="259"/>
      <c r="I27" s="240"/>
      <c r="J27" s="113"/>
      <c r="K27" s="260"/>
      <c r="L27" s="259"/>
      <c r="M27" s="241"/>
      <c r="N27" s="18"/>
      <c r="O27" s="113"/>
      <c r="P27" s="260"/>
      <c r="Q27" s="259"/>
      <c r="R27" s="24"/>
      <c r="S27" s="24"/>
      <c r="T27" s="113"/>
      <c r="U27" s="260"/>
      <c r="V27" s="259"/>
      <c r="W27" s="24"/>
      <c r="X27" s="24"/>
      <c r="Y27" s="113"/>
      <c r="Z27" s="260"/>
      <c r="AA27" s="259"/>
      <c r="AB27" s="16">
        <v>0.84</v>
      </c>
      <c r="AC27" s="58" t="s">
        <v>60</v>
      </c>
      <c r="AD27" s="113"/>
      <c r="AE27" s="260"/>
      <c r="AF27" s="259"/>
      <c r="AG27" s="245">
        <v>0.01</v>
      </c>
      <c r="AH27" s="58" t="s">
        <v>60</v>
      </c>
      <c r="AI27" s="32"/>
      <c r="AJ27" s="185" t="s">
        <v>311</v>
      </c>
      <c r="AK27" s="19">
        <f>D8+D42+D74+D76+D92+D108+D99+D115+D113+D125+D128+D134+D136+D135+D168+D204+D248+D18+D21+D45+D47+D50+D71+D73+D77+D79+D80+D83+D140+D152+D153+D158+D98+D116+D121+D127+D138+D144+D148+D156+D157+D159+D182+D186+D188+D208+D212</f>
        <v>21.60777777777778</v>
      </c>
      <c r="AL27" s="19">
        <f>M8+M42+M74+M76+M92+M96+M99+M115+M113+M125+M128+M134+M136+M135+M168+M173+M204+M248+M18+M21+M45+M47+M50+M71+M73+M77+M79+M80+M83+M140+M152+M153+M158+M98+M116+M121+M127+M138+M144+M148+M156+M157+M159+M169+M182+M186+M188+M208+M212</f>
        <v>21.521111111111107</v>
      </c>
      <c r="AM27" s="19">
        <f>R8+R42+R70+R76+R92+R96+R99+R115+R113+R125+R128+R134+R137+R135+R168+R173+R204+R248+R18+R21+R24+R45+R47+R50+R71+R73+R77+R79+R80+R83+R140+R152+R153+R158</f>
        <v>21.864999999999998</v>
      </c>
      <c r="AN27" s="19">
        <f>W8+W18+W21+W24+W50+W70+W76+W83+W92+W99+W115+W113+W128+W134+W137+W140+W135+W153+W204+W248+W42+W45+W47+W71+W73+W77+W79+W80+W96+W125+W152+W158+W163+W168</f>
        <v>20.437777777777775</v>
      </c>
      <c r="AO27" s="19">
        <f>AB8+AB13+AB18+AB21+AB27+AB50+AB63+AB65+AB70+AB73+AB113+AB115+AB119+AB128+AB134+AB140+AB158+AB163+AB204+AB248+AB32+AB42+AB77+AB80+AB135</f>
        <v>17.224999999999994</v>
      </c>
      <c r="AP27" s="244">
        <f>AG12+AG27+AG42+AG40+AG50+AG65+AG73+AG63+AG70+AG77+AG80+AG115+AG113+AG119+AG128+AG134+AG135+AG140+AG163+AG158+AG18+AG13+AG21+AG32+AG8+AG57</f>
        <v>19.000000000000004</v>
      </c>
      <c r="AQ27" s="185">
        <f>AVERAGE(AK27:AP27)</f>
        <v>20.27611111111111</v>
      </c>
      <c r="AR27" s="2"/>
    </row>
    <row r="28" spans="1:46" s="25" customFormat="1" x14ac:dyDescent="0.25">
      <c r="A28" s="261"/>
      <c r="B28" s="260"/>
      <c r="C28" s="259"/>
      <c r="D28" s="240"/>
      <c r="E28" s="16"/>
      <c r="F28" s="113"/>
      <c r="G28" s="260"/>
      <c r="H28" s="259"/>
      <c r="I28" s="240"/>
      <c r="J28" s="113"/>
      <c r="K28" s="260"/>
      <c r="L28" s="259"/>
      <c r="M28" s="241"/>
      <c r="N28" s="16"/>
      <c r="O28" s="113"/>
      <c r="P28" s="260"/>
      <c r="Q28" s="259"/>
      <c r="R28" s="245"/>
      <c r="S28" s="16"/>
      <c r="T28" s="113"/>
      <c r="U28" s="260"/>
      <c r="V28" s="259"/>
      <c r="W28" s="241"/>
      <c r="X28" s="240"/>
      <c r="Y28" s="113"/>
      <c r="Z28" s="260"/>
      <c r="AA28" s="259"/>
      <c r="AB28" s="245">
        <v>0.06</v>
      </c>
      <c r="AC28" s="6" t="s">
        <v>170</v>
      </c>
      <c r="AD28" s="113"/>
      <c r="AE28" s="260"/>
      <c r="AF28" s="259"/>
      <c r="AG28" s="245"/>
      <c r="AH28" s="246"/>
      <c r="AI28" s="32"/>
      <c r="AJ28" s="186" t="s">
        <v>312</v>
      </c>
      <c r="AK28" s="19">
        <f>D12+D18+D69+D83+D92+D115+D125+D134+D153+D158+D204+D248+D30+D31+D35+D40+D42+D44+D47+D48+D77+D76+D81+D112+D111+D140+D162+D116+D157+D186+D187+D108</f>
        <v>8.2227777777777789</v>
      </c>
      <c r="AL28" s="19">
        <f>M12+M18+M69+M83+M92+M115+M125+M134+M153+M158+M204+M248+M30+M31+M35+M40+M42+M44+M47+M48+M77+M76+M81+M112+M111+M140+M162+M120+M116+M157+M186+M187</f>
        <v>7.7494444444444444</v>
      </c>
      <c r="AM28" s="19">
        <f>R12+R18+R69+R83+R92+R115+R125+R134+R153+R158+R204+R248+R30+R31+R35+R40+R42+R44+R47+R48+R77+R76+R81+R112+R111+R140+R167</f>
        <v>8.1027777777777779</v>
      </c>
      <c r="AN28" s="19">
        <f>W12+W18+W44+W48+W69+W83+W92+W115+W125+W134+W153+W158+W204+W248+W19+W30+W31+W35+W40+W42+W47+W84+W77+W76+W81+W112+W111+W140</f>
        <v>8.1677777777777774</v>
      </c>
      <c r="AO28" s="19">
        <f>AB19+AB25+AB12+AB18+AB27+AB48+AB84+AB65+AB77+AB115+AB134+AB135+AB158+AB248+AB35+AB42+AB44+AB49+AB111+AB119+AB140+AB204</f>
        <v>6.9099999999999993</v>
      </c>
      <c r="AP28" s="56"/>
      <c r="AQ28" s="186">
        <f>AVERAGE(AK28:AP28)</f>
        <v>7.8305555555555557</v>
      </c>
      <c r="AR28" s="2"/>
    </row>
    <row r="29" spans="1:46" s="25" customFormat="1" x14ac:dyDescent="0.25">
      <c r="A29" s="261"/>
      <c r="B29" s="260"/>
      <c r="C29" s="259"/>
      <c r="D29" s="240">
        <f>R29</f>
        <v>1.5</v>
      </c>
      <c r="E29" s="6" t="s">
        <v>20</v>
      </c>
      <c r="F29" s="113"/>
      <c r="G29" s="260"/>
      <c r="H29" s="259"/>
      <c r="I29" s="116"/>
      <c r="J29" s="113"/>
      <c r="K29" s="260"/>
      <c r="L29" s="259"/>
      <c r="M29" s="241">
        <f>D29</f>
        <v>1.5</v>
      </c>
      <c r="N29" s="6" t="s">
        <v>20</v>
      </c>
      <c r="O29" s="113"/>
      <c r="P29" s="260"/>
      <c r="Q29" s="259"/>
      <c r="R29" s="245">
        <v>1.5</v>
      </c>
      <c r="S29" s="6" t="s">
        <v>20</v>
      </c>
      <c r="T29" s="113"/>
      <c r="U29" s="260"/>
      <c r="V29" s="259"/>
      <c r="W29" s="241">
        <f>U23-W31-W30-W24</f>
        <v>3.07</v>
      </c>
      <c r="X29" s="6" t="s">
        <v>20</v>
      </c>
      <c r="Y29" s="113"/>
      <c r="Z29" s="260"/>
      <c r="AA29" s="259"/>
      <c r="AB29" s="245">
        <f>Z24-AB27-AB32-AB26-AB28-AB25</f>
        <v>3.45</v>
      </c>
      <c r="AC29" s="6" t="s">
        <v>20</v>
      </c>
      <c r="AD29" s="113"/>
      <c r="AE29" s="260"/>
      <c r="AF29" s="259"/>
      <c r="AG29" s="245">
        <f>AE23-AG26-AG27</f>
        <v>1.55</v>
      </c>
      <c r="AH29" s="6" t="s">
        <v>20</v>
      </c>
      <c r="AI29" s="32"/>
      <c r="AQ29" s="3"/>
      <c r="AR29" s="2"/>
    </row>
    <row r="30" spans="1:46" s="25" customFormat="1" x14ac:dyDescent="0.25">
      <c r="A30" s="261"/>
      <c r="B30" s="260"/>
      <c r="C30" s="259"/>
      <c r="D30" s="241">
        <v>0.04</v>
      </c>
      <c r="E30" s="9" t="s">
        <v>434</v>
      </c>
      <c r="F30" s="113"/>
      <c r="G30" s="260"/>
      <c r="H30" s="259"/>
      <c r="I30" s="8"/>
      <c r="J30" s="113"/>
      <c r="K30" s="260"/>
      <c r="L30" s="259"/>
      <c r="M30" s="241">
        <f>D30</f>
        <v>0.04</v>
      </c>
      <c r="N30" s="9" t="s">
        <v>434</v>
      </c>
      <c r="O30" s="113"/>
      <c r="P30" s="260"/>
      <c r="Q30" s="259"/>
      <c r="R30" s="245">
        <v>0.04</v>
      </c>
      <c r="S30" s="9" t="s">
        <v>125</v>
      </c>
      <c r="T30" s="113"/>
      <c r="U30" s="260"/>
      <c r="V30" s="259"/>
      <c r="W30" s="241">
        <v>0.04</v>
      </c>
      <c r="X30" s="9" t="s">
        <v>125</v>
      </c>
      <c r="Y30" s="113"/>
      <c r="Z30" s="260"/>
      <c r="AA30" s="259"/>
      <c r="AB30" s="24"/>
      <c r="AC30" s="24"/>
      <c r="AD30" s="113"/>
      <c r="AE30" s="260">
        <v>0.06</v>
      </c>
      <c r="AF30" s="259">
        <v>6.38</v>
      </c>
      <c r="AG30" s="245"/>
      <c r="AH30" s="240"/>
      <c r="AI30" s="32"/>
      <c r="AQ30" s="3"/>
      <c r="AR30" s="2"/>
    </row>
    <row r="31" spans="1:46" s="25" customFormat="1" x14ac:dyDescent="0.25">
      <c r="A31" s="261"/>
      <c r="B31" s="260"/>
      <c r="C31" s="259"/>
      <c r="D31" s="241">
        <f>R31</f>
        <v>0.04</v>
      </c>
      <c r="E31" s="205" t="s">
        <v>435</v>
      </c>
      <c r="F31" s="113"/>
      <c r="G31" s="260"/>
      <c r="H31" s="259"/>
      <c r="I31" s="8"/>
      <c r="J31" s="113"/>
      <c r="K31" s="260"/>
      <c r="L31" s="259"/>
      <c r="M31" s="241">
        <f>D31</f>
        <v>0.04</v>
      </c>
      <c r="N31" s="205" t="s">
        <v>435</v>
      </c>
      <c r="O31" s="113"/>
      <c r="P31" s="260"/>
      <c r="Q31" s="259"/>
      <c r="R31" s="245">
        <v>0.04</v>
      </c>
      <c r="S31" s="205" t="s">
        <v>46</v>
      </c>
      <c r="T31" s="113"/>
      <c r="U31" s="260"/>
      <c r="V31" s="259"/>
      <c r="W31" s="241">
        <f>R31</f>
        <v>0.04</v>
      </c>
      <c r="X31" s="205" t="s">
        <v>46</v>
      </c>
      <c r="Y31" s="113"/>
      <c r="Z31" s="260"/>
      <c r="AA31" s="259"/>
      <c r="AB31" s="24"/>
      <c r="AC31" s="24"/>
      <c r="AD31" s="113"/>
      <c r="AE31" s="260"/>
      <c r="AF31" s="259"/>
      <c r="AG31" s="245"/>
      <c r="AH31" s="240"/>
      <c r="AI31" s="32"/>
      <c r="AQ31" s="3"/>
      <c r="AR31" s="2"/>
    </row>
    <row r="32" spans="1:46" s="25" customFormat="1" ht="15.75" thickBot="1" x14ac:dyDescent="0.3">
      <c r="A32" s="261"/>
      <c r="B32" s="260"/>
      <c r="C32" s="259"/>
      <c r="D32" s="241"/>
      <c r="E32" s="246"/>
      <c r="F32" s="113"/>
      <c r="G32" s="260"/>
      <c r="H32" s="259"/>
      <c r="I32" s="240"/>
      <c r="J32" s="113"/>
      <c r="K32" s="260"/>
      <c r="L32" s="259"/>
      <c r="M32" s="241"/>
      <c r="N32" s="246"/>
      <c r="O32" s="113"/>
      <c r="P32" s="260"/>
      <c r="Q32" s="259"/>
      <c r="R32" s="245"/>
      <c r="S32" s="246"/>
      <c r="T32" s="113"/>
      <c r="U32" s="260"/>
      <c r="V32" s="259"/>
      <c r="W32" s="241"/>
      <c r="X32" s="240"/>
      <c r="Y32" s="113"/>
      <c r="Z32" s="260"/>
      <c r="AA32" s="259"/>
      <c r="AB32" s="245">
        <v>3.5</v>
      </c>
      <c r="AC32" s="249" t="s">
        <v>61</v>
      </c>
      <c r="AD32" s="113"/>
      <c r="AE32" s="260"/>
      <c r="AF32" s="259"/>
      <c r="AG32" s="245">
        <f>AE30</f>
        <v>0.06</v>
      </c>
      <c r="AH32" s="249" t="s">
        <v>61</v>
      </c>
      <c r="AI32" s="32"/>
      <c r="AQ32" s="3"/>
      <c r="AR32" s="2"/>
    </row>
    <row r="33" spans="1:44" s="25" customFormat="1" ht="17.25" customHeight="1" x14ac:dyDescent="0.25">
      <c r="A33" s="261">
        <v>10</v>
      </c>
      <c r="B33" s="260">
        <v>2.85</v>
      </c>
      <c r="C33" s="259">
        <v>6.34</v>
      </c>
      <c r="D33" s="241">
        <v>0.01</v>
      </c>
      <c r="E33" s="205" t="s">
        <v>435</v>
      </c>
      <c r="F33" s="113"/>
      <c r="G33" s="260">
        <v>3.5</v>
      </c>
      <c r="H33" s="259">
        <v>6.33</v>
      </c>
      <c r="I33" s="8"/>
      <c r="J33" s="113"/>
      <c r="K33" s="260">
        <v>2.75</v>
      </c>
      <c r="L33" s="259">
        <v>6.46</v>
      </c>
      <c r="M33" s="241">
        <f>D33</f>
        <v>0.01</v>
      </c>
      <c r="N33" s="205" t="s">
        <v>435</v>
      </c>
      <c r="O33" s="113"/>
      <c r="P33" s="260">
        <v>2.76</v>
      </c>
      <c r="Q33" s="259">
        <v>6.28</v>
      </c>
      <c r="R33" s="245">
        <v>0.01</v>
      </c>
      <c r="S33" s="205" t="s">
        <v>502</v>
      </c>
      <c r="T33" s="113"/>
      <c r="U33" s="260">
        <v>4.1900000000000004</v>
      </c>
      <c r="V33" s="259">
        <v>6.36</v>
      </c>
      <c r="W33" s="241">
        <v>0.44</v>
      </c>
      <c r="X33" s="205" t="s">
        <v>46</v>
      </c>
      <c r="Y33" s="113"/>
      <c r="Z33" s="260">
        <v>2.66</v>
      </c>
      <c r="AA33" s="259">
        <v>6.19</v>
      </c>
      <c r="AB33" s="245"/>
      <c r="AC33" s="19"/>
      <c r="AD33" s="113"/>
      <c r="AE33" s="260">
        <v>2.59</v>
      </c>
      <c r="AF33" s="259">
        <v>6.46</v>
      </c>
      <c r="AG33" s="245"/>
      <c r="AH33" s="240"/>
      <c r="AI33" s="32"/>
      <c r="AJ33" s="30" t="s">
        <v>174</v>
      </c>
      <c r="AK33" s="41" t="s">
        <v>1</v>
      </c>
      <c r="AL33" s="38" t="s">
        <v>2</v>
      </c>
      <c r="AM33" s="41" t="s">
        <v>4</v>
      </c>
      <c r="AN33" s="38" t="s">
        <v>16</v>
      </c>
      <c r="AO33" s="41" t="s">
        <v>5</v>
      </c>
      <c r="AQ33" s="3"/>
      <c r="AR33" s="2"/>
    </row>
    <row r="34" spans="1:44" s="25" customFormat="1" x14ac:dyDescent="0.25">
      <c r="A34" s="261"/>
      <c r="B34" s="260"/>
      <c r="C34" s="259"/>
      <c r="D34" s="240">
        <f>B33-D33</f>
        <v>2.8400000000000003</v>
      </c>
      <c r="E34" s="54" t="s">
        <v>34</v>
      </c>
      <c r="F34" s="113"/>
      <c r="G34" s="260"/>
      <c r="H34" s="259"/>
      <c r="I34" s="241"/>
      <c r="J34" s="113"/>
      <c r="K34" s="260"/>
      <c r="L34" s="259"/>
      <c r="M34" s="241">
        <f>K33-M33</f>
        <v>2.74</v>
      </c>
      <c r="N34" s="54" t="s">
        <v>34</v>
      </c>
      <c r="O34" s="113"/>
      <c r="P34" s="260"/>
      <c r="Q34" s="259"/>
      <c r="R34" s="245">
        <f>P33-R33</f>
        <v>2.75</v>
      </c>
      <c r="S34" s="54" t="s">
        <v>34</v>
      </c>
      <c r="T34" s="113"/>
      <c r="U34" s="260"/>
      <c r="V34" s="259"/>
      <c r="W34" s="241">
        <f>U33-W33</f>
        <v>3.7500000000000004</v>
      </c>
      <c r="X34" s="54" t="s">
        <v>34</v>
      </c>
      <c r="Y34" s="113"/>
      <c r="Z34" s="260"/>
      <c r="AA34" s="259"/>
      <c r="AB34" s="245">
        <f>Z33</f>
        <v>2.66</v>
      </c>
      <c r="AC34" s="54" t="s">
        <v>34</v>
      </c>
      <c r="AD34" s="113"/>
      <c r="AE34" s="260"/>
      <c r="AF34" s="259"/>
      <c r="AG34" s="245">
        <f>AE33</f>
        <v>2.59</v>
      </c>
      <c r="AH34" s="54" t="s">
        <v>34</v>
      </c>
      <c r="AI34" s="32"/>
      <c r="AJ34" s="31" t="s">
        <v>175</v>
      </c>
      <c r="AK34" s="241"/>
      <c r="AL34" s="241"/>
      <c r="AM34" s="241"/>
      <c r="AN34" s="241"/>
      <c r="AO34" s="19"/>
      <c r="AQ34" s="3"/>
      <c r="AR34" s="2"/>
    </row>
    <row r="35" spans="1:44" s="25" customFormat="1" x14ac:dyDescent="0.25">
      <c r="A35" s="261">
        <v>11</v>
      </c>
      <c r="B35" s="260">
        <v>0.47</v>
      </c>
      <c r="C35" s="259">
        <v>6.47</v>
      </c>
      <c r="D35" s="240">
        <f>B35/2</f>
        <v>0.23499999999999999</v>
      </c>
      <c r="E35" s="59" t="s">
        <v>103</v>
      </c>
      <c r="F35" s="113"/>
      <c r="G35" s="260">
        <v>0.83</v>
      </c>
      <c r="H35" s="259">
        <v>6.47</v>
      </c>
      <c r="I35" s="240"/>
      <c r="J35" s="113"/>
      <c r="K35" s="260">
        <v>0.48</v>
      </c>
      <c r="L35" s="259">
        <v>6.61</v>
      </c>
      <c r="M35" s="241">
        <f>D35</f>
        <v>0.23499999999999999</v>
      </c>
      <c r="N35" s="59" t="s">
        <v>103</v>
      </c>
      <c r="O35" s="113"/>
      <c r="P35" s="260">
        <v>0.47</v>
      </c>
      <c r="Q35" s="259">
        <v>6.41</v>
      </c>
      <c r="R35" s="245">
        <f>P35/2</f>
        <v>0.23499999999999999</v>
      </c>
      <c r="S35" s="59" t="s">
        <v>103</v>
      </c>
      <c r="T35" s="113"/>
      <c r="U35" s="260">
        <v>0.68</v>
      </c>
      <c r="V35" s="259">
        <v>6.49</v>
      </c>
      <c r="W35" s="241">
        <f>R35</f>
        <v>0.23499999999999999</v>
      </c>
      <c r="X35" s="59" t="s">
        <v>103</v>
      </c>
      <c r="Y35" s="113"/>
      <c r="Z35" s="260">
        <v>3.2</v>
      </c>
      <c r="AA35" s="259">
        <v>6.29</v>
      </c>
      <c r="AB35" s="245">
        <f>R35</f>
        <v>0.23499999999999999</v>
      </c>
      <c r="AC35" s="59" t="s">
        <v>103</v>
      </c>
      <c r="AD35" s="113"/>
      <c r="AE35" s="260">
        <v>1.18</v>
      </c>
      <c r="AF35" s="259">
        <v>6.61</v>
      </c>
      <c r="AG35" s="245">
        <v>0.24</v>
      </c>
      <c r="AH35" s="59" t="s">
        <v>103</v>
      </c>
      <c r="AI35" s="32"/>
      <c r="AJ35" s="31" t="s">
        <v>181</v>
      </c>
      <c r="AK35" s="245">
        <f>D188</f>
        <v>0.53</v>
      </c>
      <c r="AL35" s="245">
        <f>M173+M188</f>
        <v>0.5</v>
      </c>
      <c r="AM35" s="245">
        <f>R173</f>
        <v>0.35</v>
      </c>
      <c r="AN35" s="245">
        <f>W163</f>
        <v>0.56999999999999995</v>
      </c>
      <c r="AO35" s="16">
        <f>AB163</f>
        <v>0.53</v>
      </c>
      <c r="AP35" s="3"/>
      <c r="AQ35" s="3"/>
      <c r="AR35" s="2"/>
    </row>
    <row r="36" spans="1:44" s="25" customFormat="1" x14ac:dyDescent="0.25">
      <c r="A36" s="261"/>
      <c r="B36" s="260"/>
      <c r="C36" s="259"/>
      <c r="D36" s="240">
        <f>R36</f>
        <v>0.24</v>
      </c>
      <c r="E36" s="249" t="s">
        <v>64</v>
      </c>
      <c r="F36" s="113"/>
      <c r="G36" s="260"/>
      <c r="H36" s="259"/>
      <c r="I36" s="240"/>
      <c r="J36" s="113"/>
      <c r="K36" s="260"/>
      <c r="L36" s="259"/>
      <c r="M36" s="241">
        <f>D36</f>
        <v>0.24</v>
      </c>
      <c r="N36" s="249" t="s">
        <v>64</v>
      </c>
      <c r="O36" s="113"/>
      <c r="P36" s="260"/>
      <c r="Q36" s="259"/>
      <c r="R36" s="245">
        <f>0.24</f>
        <v>0.24</v>
      </c>
      <c r="S36" s="249" t="s">
        <v>64</v>
      </c>
      <c r="T36" s="113"/>
      <c r="U36" s="260"/>
      <c r="V36" s="259"/>
      <c r="W36" s="241">
        <f>U35+U40+U44-W45-W47-W42-W40-W41-W35</f>
        <v>3.0305555555555563</v>
      </c>
      <c r="X36" s="249" t="s">
        <v>64</v>
      </c>
      <c r="Y36" s="113"/>
      <c r="Z36" s="260"/>
      <c r="AA36" s="259"/>
      <c r="AB36" s="245">
        <f>Z35-AB35-AB43</f>
        <v>2.6550000000000002</v>
      </c>
      <c r="AC36" s="249" t="s">
        <v>64</v>
      </c>
      <c r="AD36" s="113"/>
      <c r="AE36" s="260"/>
      <c r="AF36" s="259"/>
      <c r="AG36" s="16">
        <f>(AE35-AG35)/3</f>
        <v>0.3133333333333333</v>
      </c>
      <c r="AH36" s="249" t="s">
        <v>64</v>
      </c>
      <c r="AI36" s="32"/>
      <c r="AJ36" s="31" t="s">
        <v>176</v>
      </c>
      <c r="AK36" s="245">
        <f>D146</f>
        <v>0.15</v>
      </c>
      <c r="AL36" s="245">
        <f>M146</f>
        <v>0.15</v>
      </c>
      <c r="AM36" s="245">
        <f>R146</f>
        <v>0.15</v>
      </c>
      <c r="AN36" s="245">
        <f>W82</f>
        <v>0.15</v>
      </c>
      <c r="AO36" s="16">
        <f>AB82</f>
        <v>0.15</v>
      </c>
      <c r="AP36" s="3"/>
      <c r="AQ36" s="3"/>
      <c r="AR36" s="2"/>
    </row>
    <row r="37" spans="1:44" s="25" customFormat="1" x14ac:dyDescent="0.25">
      <c r="A37" s="261"/>
      <c r="B37" s="260"/>
      <c r="C37" s="259"/>
      <c r="D37" s="240"/>
      <c r="E37" s="18"/>
      <c r="F37" s="113"/>
      <c r="G37" s="260"/>
      <c r="H37" s="259"/>
      <c r="I37" s="240"/>
      <c r="J37" s="113"/>
      <c r="K37" s="260"/>
      <c r="L37" s="259"/>
      <c r="M37" s="241"/>
      <c r="N37" s="18"/>
      <c r="O37" s="113"/>
      <c r="P37" s="260"/>
      <c r="Q37" s="259"/>
      <c r="R37" s="245"/>
      <c r="S37" s="18"/>
      <c r="T37" s="113"/>
      <c r="U37" s="260"/>
      <c r="V37" s="259"/>
      <c r="W37" s="241"/>
      <c r="X37" s="241"/>
      <c r="Y37" s="113"/>
      <c r="Z37" s="260"/>
      <c r="AA37" s="259"/>
      <c r="AB37" s="245"/>
      <c r="AC37" s="241"/>
      <c r="AD37" s="113"/>
      <c r="AE37" s="260"/>
      <c r="AF37" s="259"/>
      <c r="AG37" s="245"/>
      <c r="AH37" s="241"/>
      <c r="AI37" s="32"/>
      <c r="AJ37" s="31" t="s">
        <v>177</v>
      </c>
      <c r="AK37" s="245">
        <f>D198+D210</f>
        <v>0.83499999999999996</v>
      </c>
      <c r="AL37" s="245">
        <f>M198+M210</f>
        <v>1.385</v>
      </c>
      <c r="AM37" s="245">
        <f>R198</f>
        <v>0.7</v>
      </c>
      <c r="AN37" s="245">
        <f>W120</f>
        <v>0.5</v>
      </c>
      <c r="AO37" s="16">
        <f>AB120</f>
        <v>0.5</v>
      </c>
      <c r="AP37" s="3"/>
      <c r="AQ37" s="3"/>
      <c r="AR37" s="2"/>
    </row>
    <row r="38" spans="1:44" s="25" customFormat="1" x14ac:dyDescent="0.25">
      <c r="A38" s="261"/>
      <c r="B38" s="260"/>
      <c r="C38" s="259"/>
      <c r="D38" s="240"/>
      <c r="E38" s="24"/>
      <c r="F38" s="113"/>
      <c r="G38" s="260"/>
      <c r="H38" s="259"/>
      <c r="I38" s="240"/>
      <c r="J38" s="113"/>
      <c r="K38" s="260"/>
      <c r="L38" s="259"/>
      <c r="M38" s="241"/>
      <c r="N38" s="8"/>
      <c r="O38" s="113"/>
      <c r="P38" s="260"/>
      <c r="Q38" s="259"/>
      <c r="R38" s="245"/>
      <c r="S38" s="8"/>
      <c r="T38" s="113"/>
      <c r="U38" s="260"/>
      <c r="V38" s="259"/>
      <c r="W38" s="241"/>
      <c r="X38" s="241"/>
      <c r="Y38" s="113"/>
      <c r="Z38" s="260"/>
      <c r="AA38" s="259"/>
      <c r="AB38" s="24"/>
      <c r="AC38" s="24"/>
      <c r="AD38" s="113"/>
      <c r="AE38" s="260"/>
      <c r="AF38" s="259"/>
      <c r="AG38" s="245"/>
      <c r="AH38" s="241"/>
      <c r="AI38" s="32"/>
      <c r="AJ38" s="117" t="s">
        <v>208</v>
      </c>
      <c r="AK38" s="16"/>
      <c r="AL38" s="16"/>
      <c r="AM38" s="16"/>
      <c r="AN38" s="16"/>
      <c r="AO38" s="16"/>
      <c r="AP38" s="3"/>
      <c r="AQ38" s="3"/>
      <c r="AR38" s="2"/>
    </row>
    <row r="39" spans="1:44" s="25" customFormat="1" x14ac:dyDescent="0.25">
      <c r="A39" s="261"/>
      <c r="B39" s="260"/>
      <c r="C39" s="259"/>
      <c r="D39" s="240"/>
      <c r="E39" s="246"/>
      <c r="F39" s="113"/>
      <c r="G39" s="260"/>
      <c r="H39" s="259"/>
      <c r="I39" s="240"/>
      <c r="J39" s="113"/>
      <c r="K39" s="260"/>
      <c r="L39" s="259"/>
      <c r="M39" s="241"/>
      <c r="N39" s="246"/>
      <c r="O39" s="113"/>
      <c r="P39" s="260"/>
      <c r="Q39" s="259"/>
      <c r="R39" s="245"/>
      <c r="S39" s="246"/>
      <c r="T39" s="113"/>
      <c r="U39" s="260"/>
      <c r="V39" s="259"/>
      <c r="W39" s="241"/>
      <c r="X39" s="246"/>
      <c r="Y39" s="113"/>
      <c r="Z39" s="260"/>
      <c r="AA39" s="259"/>
      <c r="AB39" s="24"/>
      <c r="AC39" s="24"/>
      <c r="AD39" s="113"/>
      <c r="AE39" s="260"/>
      <c r="AF39" s="259"/>
      <c r="AG39" s="245"/>
      <c r="AH39" s="24"/>
      <c r="AI39" s="32"/>
      <c r="AJ39" s="31" t="s">
        <v>178</v>
      </c>
      <c r="AK39" s="245">
        <f>D187</f>
        <v>0.16</v>
      </c>
      <c r="AL39" s="245">
        <f>M187+M161</f>
        <v>0.16</v>
      </c>
      <c r="AM39" s="245">
        <f>R167</f>
        <v>0.16</v>
      </c>
      <c r="AN39" s="245">
        <f>W84</f>
        <v>0.16</v>
      </c>
      <c r="AO39" s="16">
        <f>AB84</f>
        <v>0.16</v>
      </c>
      <c r="AP39" s="3"/>
      <c r="AQ39" s="3"/>
      <c r="AR39" s="2"/>
    </row>
    <row r="40" spans="1:44" s="25" customFormat="1" x14ac:dyDescent="0.25">
      <c r="A40" s="261">
        <v>12</v>
      </c>
      <c r="B40" s="260">
        <v>0.38</v>
      </c>
      <c r="C40" s="259">
        <v>6.58</v>
      </c>
      <c r="D40" s="240">
        <v>0.1</v>
      </c>
      <c r="E40" s="249" t="s">
        <v>409</v>
      </c>
      <c r="F40" s="113"/>
      <c r="G40" s="260">
        <v>0.63</v>
      </c>
      <c r="H40" s="259">
        <v>6.6</v>
      </c>
      <c r="I40" s="240"/>
      <c r="J40" s="113"/>
      <c r="K40" s="260">
        <v>0.41</v>
      </c>
      <c r="L40" s="259">
        <v>6.73</v>
      </c>
      <c r="M40" s="241">
        <f>D40</f>
        <v>0.1</v>
      </c>
      <c r="N40" s="249" t="s">
        <v>409</v>
      </c>
      <c r="O40" s="113"/>
      <c r="P40" s="260">
        <v>0.53</v>
      </c>
      <c r="Q40" s="259">
        <v>6.52</v>
      </c>
      <c r="R40" s="245">
        <f>D40</f>
        <v>0.1</v>
      </c>
      <c r="S40" s="249" t="s">
        <v>51</v>
      </c>
      <c r="T40" s="113"/>
      <c r="U40" s="260">
        <v>1.96</v>
      </c>
      <c r="V40" s="259">
        <v>6.6</v>
      </c>
      <c r="W40" s="241">
        <f>R40</f>
        <v>0.1</v>
      </c>
      <c r="X40" s="249" t="s">
        <v>51</v>
      </c>
      <c r="Y40" s="113"/>
      <c r="Z40" s="260">
        <v>0.84</v>
      </c>
      <c r="AA40" s="259">
        <v>6.41</v>
      </c>
      <c r="AB40" s="24"/>
      <c r="AC40" s="24"/>
      <c r="AD40" s="113"/>
      <c r="AE40" s="260"/>
      <c r="AF40" s="259"/>
      <c r="AG40" s="245">
        <v>0.31</v>
      </c>
      <c r="AH40" s="129" t="s">
        <v>62</v>
      </c>
      <c r="AI40" s="32"/>
      <c r="AJ40" s="36" t="s">
        <v>193</v>
      </c>
      <c r="AK40" s="98">
        <f>SUM(AK34:AK39)</f>
        <v>1.675</v>
      </c>
      <c r="AL40" s="98">
        <f>SUM(AL34:AL39)</f>
        <v>2.1950000000000003</v>
      </c>
      <c r="AM40" s="98">
        <f>SUM(AM34:AM39)</f>
        <v>1.3599999999999999</v>
      </c>
      <c r="AN40" s="98">
        <f>SUM(AN34:AN39)</f>
        <v>1.38</v>
      </c>
      <c r="AO40" s="98">
        <f>SUM(AO34:AO39)</f>
        <v>1.34</v>
      </c>
      <c r="AP40" s="3"/>
      <c r="AQ40" s="3"/>
      <c r="AR40" s="2"/>
    </row>
    <row r="41" spans="1:44" s="25" customFormat="1" ht="15.75" thickBot="1" x14ac:dyDescent="0.3">
      <c r="A41" s="261"/>
      <c r="B41" s="260"/>
      <c r="C41" s="259"/>
      <c r="D41" s="240">
        <v>0.1</v>
      </c>
      <c r="E41" s="249" t="s">
        <v>408</v>
      </c>
      <c r="F41" s="113"/>
      <c r="G41" s="260"/>
      <c r="H41" s="259"/>
      <c r="I41" s="240"/>
      <c r="J41" s="113"/>
      <c r="K41" s="260"/>
      <c r="L41" s="259"/>
      <c r="M41" s="241">
        <f>D41</f>
        <v>0.1</v>
      </c>
      <c r="N41" s="249" t="s">
        <v>408</v>
      </c>
      <c r="O41" s="113"/>
      <c r="P41" s="260"/>
      <c r="Q41" s="259"/>
      <c r="R41" s="245">
        <f>D41</f>
        <v>0.1</v>
      </c>
      <c r="S41" s="249" t="s">
        <v>423</v>
      </c>
      <c r="T41" s="113"/>
      <c r="U41" s="260"/>
      <c r="V41" s="259"/>
      <c r="W41" s="241">
        <v>1.76</v>
      </c>
      <c r="X41" s="249" t="s">
        <v>50</v>
      </c>
      <c r="Y41" s="113"/>
      <c r="Z41" s="260"/>
      <c r="AA41" s="259"/>
      <c r="AB41" s="91"/>
      <c r="AC41" s="24"/>
      <c r="AD41" s="113"/>
      <c r="AE41" s="260"/>
      <c r="AF41" s="259"/>
      <c r="AG41" s="245"/>
      <c r="AH41" s="240"/>
      <c r="AI41" s="32"/>
      <c r="AN41" s="36"/>
      <c r="AP41" s="3"/>
      <c r="AQ41" s="3"/>
      <c r="AR41" s="2"/>
    </row>
    <row r="42" spans="1:44" s="25" customFormat="1" x14ac:dyDescent="0.25">
      <c r="A42" s="261"/>
      <c r="B42" s="260"/>
      <c r="C42" s="259"/>
      <c r="D42" s="240">
        <v>0.1</v>
      </c>
      <c r="E42" s="62" t="s">
        <v>101</v>
      </c>
      <c r="F42" s="113"/>
      <c r="G42" s="260"/>
      <c r="H42" s="259"/>
      <c r="I42" s="240"/>
      <c r="J42" s="113"/>
      <c r="K42" s="260"/>
      <c r="L42" s="259"/>
      <c r="M42" s="241">
        <f>D42</f>
        <v>0.1</v>
      </c>
      <c r="N42" s="62" t="s">
        <v>101</v>
      </c>
      <c r="O42" s="113"/>
      <c r="P42" s="260"/>
      <c r="Q42" s="259"/>
      <c r="R42" s="16">
        <v>0.1</v>
      </c>
      <c r="S42" s="62" t="s">
        <v>101</v>
      </c>
      <c r="T42" s="113"/>
      <c r="U42" s="260"/>
      <c r="V42" s="259"/>
      <c r="W42" s="241">
        <f>R42</f>
        <v>0.1</v>
      </c>
      <c r="X42" s="62" t="s">
        <v>101</v>
      </c>
      <c r="Y42" s="113"/>
      <c r="Z42" s="260"/>
      <c r="AA42" s="259"/>
      <c r="AB42" s="245">
        <f>Z40+Z44-AB43-AB44</f>
        <v>0.57999999999999996</v>
      </c>
      <c r="AC42" s="62" t="s">
        <v>101</v>
      </c>
      <c r="AD42" s="113"/>
      <c r="AE42" s="260"/>
      <c r="AF42" s="259"/>
      <c r="AG42" s="245">
        <v>0.31</v>
      </c>
      <c r="AH42" s="62" t="s">
        <v>101</v>
      </c>
      <c r="AI42" s="32"/>
      <c r="AJ42" s="30" t="s">
        <v>179</v>
      </c>
      <c r="AK42" s="41" t="s">
        <v>1</v>
      </c>
      <c r="AL42" s="38" t="s">
        <v>2</v>
      </c>
      <c r="AM42" s="41" t="s">
        <v>4</v>
      </c>
      <c r="AN42" s="38" t="s">
        <v>16</v>
      </c>
      <c r="AO42" s="41" t="s">
        <v>5</v>
      </c>
      <c r="AP42" s="222" t="s">
        <v>6</v>
      </c>
      <c r="AQ42" s="3"/>
      <c r="AR42" s="2"/>
    </row>
    <row r="43" spans="1:44" s="25" customFormat="1" x14ac:dyDescent="0.25">
      <c r="A43" s="261"/>
      <c r="B43" s="260"/>
      <c r="C43" s="259"/>
      <c r="D43" s="24"/>
      <c r="E43" s="24"/>
      <c r="F43" s="113"/>
      <c r="G43" s="260"/>
      <c r="H43" s="259"/>
      <c r="I43" s="240"/>
      <c r="J43" s="113"/>
      <c r="K43" s="260"/>
      <c r="L43" s="259"/>
      <c r="M43" s="24"/>
      <c r="N43" s="24"/>
      <c r="O43" s="113"/>
      <c r="P43" s="260"/>
      <c r="Q43" s="259"/>
      <c r="R43" s="24"/>
      <c r="S43" s="24"/>
      <c r="T43" s="113"/>
      <c r="U43" s="260"/>
      <c r="V43" s="259"/>
      <c r="W43" s="24"/>
      <c r="X43" s="24"/>
      <c r="Y43" s="113"/>
      <c r="Z43" s="260"/>
      <c r="AA43" s="259"/>
      <c r="AB43" s="245">
        <v>0.31</v>
      </c>
      <c r="AC43" s="70" t="s">
        <v>22</v>
      </c>
      <c r="AD43" s="113"/>
      <c r="AE43" s="260"/>
      <c r="AF43" s="259"/>
      <c r="AG43" s="245"/>
      <c r="AH43" s="240"/>
      <c r="AI43" s="32"/>
      <c r="AJ43" s="31" t="s">
        <v>184</v>
      </c>
      <c r="AK43" s="245">
        <f>D27+D44</f>
        <v>0.08</v>
      </c>
      <c r="AL43" s="245">
        <f>M44+M27</f>
        <v>0.08</v>
      </c>
      <c r="AM43" s="245">
        <f>R44</f>
        <v>0.08</v>
      </c>
      <c r="AN43" s="245">
        <f>W44</f>
        <v>0.08</v>
      </c>
      <c r="AO43" s="245">
        <f>AB44</f>
        <v>0.08</v>
      </c>
      <c r="AP43" s="21"/>
      <c r="AQ43" s="3"/>
      <c r="AR43" s="2"/>
    </row>
    <row r="44" spans="1:44" s="25" customFormat="1" ht="16.5" customHeight="1" x14ac:dyDescent="0.25">
      <c r="A44" s="261">
        <v>13</v>
      </c>
      <c r="B44" s="260">
        <v>0.46</v>
      </c>
      <c r="C44" s="259">
        <v>6.86</v>
      </c>
      <c r="D44" s="241">
        <v>0.08</v>
      </c>
      <c r="E44" s="10" t="s">
        <v>105</v>
      </c>
      <c r="F44" s="113"/>
      <c r="G44" s="260">
        <v>1.01</v>
      </c>
      <c r="H44" s="259">
        <v>6.88</v>
      </c>
      <c r="I44" s="56"/>
      <c r="J44" s="113"/>
      <c r="K44" s="260">
        <v>0.49</v>
      </c>
      <c r="L44" s="259">
        <v>7.01</v>
      </c>
      <c r="M44" s="241">
        <f>R44</f>
        <v>0.08</v>
      </c>
      <c r="N44" s="10" t="s">
        <v>105</v>
      </c>
      <c r="O44" s="113"/>
      <c r="P44" s="260">
        <v>0.57999999999999996</v>
      </c>
      <c r="Q44" s="259">
        <v>6.8</v>
      </c>
      <c r="R44" s="245">
        <f>D44</f>
        <v>0.08</v>
      </c>
      <c r="S44" s="10" t="s">
        <v>105</v>
      </c>
      <c r="T44" s="113"/>
      <c r="U44" s="260">
        <v>2.71</v>
      </c>
      <c r="V44" s="259">
        <v>6.72</v>
      </c>
      <c r="W44" s="241">
        <v>0.08</v>
      </c>
      <c r="X44" s="10" t="s">
        <v>105</v>
      </c>
      <c r="Y44" s="113"/>
      <c r="Z44" s="260">
        <v>0.13</v>
      </c>
      <c r="AA44" s="259">
        <v>6.55</v>
      </c>
      <c r="AB44" s="16">
        <f>R44</f>
        <v>0.08</v>
      </c>
      <c r="AC44" s="10" t="s">
        <v>105</v>
      </c>
      <c r="AD44" s="113"/>
      <c r="AE44" s="260">
        <v>0.06</v>
      </c>
      <c r="AF44" s="259">
        <v>6.83</v>
      </c>
      <c r="AG44" s="245">
        <f>AE44</f>
        <v>0.06</v>
      </c>
      <c r="AH44" s="10" t="s">
        <v>105</v>
      </c>
      <c r="AI44" s="32"/>
      <c r="AJ44" s="31" t="s">
        <v>185</v>
      </c>
      <c r="AK44" s="245"/>
      <c r="AL44" s="245"/>
      <c r="AM44" s="245"/>
      <c r="AN44" s="245"/>
      <c r="AO44" s="245">
        <f>AG61</f>
        <v>0.12499999999999997</v>
      </c>
      <c r="AP44" s="3"/>
      <c r="AQ44" s="3"/>
      <c r="AR44" s="2"/>
    </row>
    <row r="45" spans="1:44" s="25" customFormat="1" x14ac:dyDescent="0.25">
      <c r="A45" s="261"/>
      <c r="B45" s="260"/>
      <c r="C45" s="259"/>
      <c r="D45" s="241">
        <f>R45</f>
        <v>0.06</v>
      </c>
      <c r="E45" s="63" t="s">
        <v>436</v>
      </c>
      <c r="F45" s="113"/>
      <c r="G45" s="260"/>
      <c r="H45" s="259"/>
      <c r="I45" s="8"/>
      <c r="J45" s="113"/>
      <c r="K45" s="260"/>
      <c r="L45" s="259"/>
      <c r="M45" s="241">
        <f>R45</f>
        <v>0.06</v>
      </c>
      <c r="N45" s="63" t="s">
        <v>436</v>
      </c>
      <c r="O45" s="113"/>
      <c r="P45" s="260"/>
      <c r="Q45" s="259"/>
      <c r="R45" s="245">
        <v>0.06</v>
      </c>
      <c r="S45" s="63" t="s">
        <v>127</v>
      </c>
      <c r="T45" s="113"/>
      <c r="U45" s="260"/>
      <c r="V45" s="259"/>
      <c r="W45" s="241">
        <v>0.06</v>
      </c>
      <c r="X45" s="63" t="s">
        <v>127</v>
      </c>
      <c r="Y45" s="113"/>
      <c r="Z45" s="260"/>
      <c r="AA45" s="259"/>
      <c r="AB45" s="24"/>
      <c r="AC45" s="24"/>
      <c r="AD45" s="113"/>
      <c r="AE45" s="260"/>
      <c r="AF45" s="259"/>
      <c r="AG45" s="245"/>
      <c r="AH45" s="24"/>
      <c r="AI45" s="40"/>
      <c r="AJ45" s="31" t="s">
        <v>186</v>
      </c>
      <c r="AK45" s="245">
        <f>D25+D46+D75+D106+D132</f>
        <v>0.92499999999999993</v>
      </c>
      <c r="AL45" s="245">
        <f>M25+M46+M75+M106+M132</f>
        <v>1.04</v>
      </c>
      <c r="AM45" s="245">
        <f>R26+R46+R75+R106</f>
        <v>1.23</v>
      </c>
      <c r="AN45" s="245">
        <f>W26+W46+W75+W106</f>
        <v>0.78</v>
      </c>
      <c r="AO45" s="245">
        <f>AB26+AB46+AB106</f>
        <v>1.2</v>
      </c>
      <c r="AP45" s="4"/>
      <c r="AQ45" s="3"/>
      <c r="AR45" s="2"/>
    </row>
    <row r="46" spans="1:44" s="25" customFormat="1" x14ac:dyDescent="0.25">
      <c r="A46" s="261"/>
      <c r="B46" s="260"/>
      <c r="C46" s="259"/>
      <c r="D46" s="241">
        <v>0.08</v>
      </c>
      <c r="E46" s="7" t="s">
        <v>106</v>
      </c>
      <c r="F46" s="113"/>
      <c r="G46" s="260"/>
      <c r="H46" s="259"/>
      <c r="I46" s="240"/>
      <c r="J46" s="113"/>
      <c r="K46" s="260"/>
      <c r="L46" s="259"/>
      <c r="M46" s="241">
        <f>R46</f>
        <v>0.08</v>
      </c>
      <c r="N46" s="7" t="s">
        <v>106</v>
      </c>
      <c r="O46" s="113"/>
      <c r="P46" s="260"/>
      <c r="Q46" s="259"/>
      <c r="R46" s="245">
        <f>D46</f>
        <v>0.08</v>
      </c>
      <c r="S46" s="7" t="s">
        <v>106</v>
      </c>
      <c r="T46" s="113"/>
      <c r="U46" s="260">
        <v>1.75</v>
      </c>
      <c r="V46" s="259">
        <v>6.89</v>
      </c>
      <c r="W46" s="241">
        <v>0.08</v>
      </c>
      <c r="X46" s="7" t="s">
        <v>106</v>
      </c>
      <c r="Y46" s="113"/>
      <c r="Z46" s="260">
        <v>1.6</v>
      </c>
      <c r="AA46" s="259">
        <v>6.71</v>
      </c>
      <c r="AB46" s="16">
        <v>0.34</v>
      </c>
      <c r="AC46" s="7" t="s">
        <v>106</v>
      </c>
      <c r="AD46" s="113"/>
      <c r="AE46" s="260">
        <v>0.51</v>
      </c>
      <c r="AF46" s="259">
        <v>7.01</v>
      </c>
      <c r="AG46" s="245">
        <f>AB46</f>
        <v>0.34</v>
      </c>
      <c r="AH46" s="7" t="s">
        <v>106</v>
      </c>
      <c r="AI46" s="40"/>
      <c r="AJ46" s="31" t="s">
        <v>187</v>
      </c>
      <c r="AK46" s="245">
        <f>D99+D113+D127+D128+D136+D148+D156</f>
        <v>4.32</v>
      </c>
      <c r="AL46" s="245">
        <f>M99+M113+M127+M128+M136+M148+M156</f>
        <v>5.1111111111111107</v>
      </c>
      <c r="AM46" s="245">
        <f>R99+R113+R128</f>
        <v>5.22</v>
      </c>
      <c r="AN46" s="245">
        <f>W99+W113+W128</f>
        <v>4.4399999999999977</v>
      </c>
      <c r="AO46" s="245">
        <f>AB113+AB128+AB63</f>
        <v>3.41</v>
      </c>
      <c r="AP46" s="4"/>
      <c r="AQ46" s="4"/>
      <c r="AR46" s="53"/>
    </row>
    <row r="47" spans="1:44" s="25" customFormat="1" x14ac:dyDescent="0.25">
      <c r="A47" s="261"/>
      <c r="B47" s="260"/>
      <c r="C47" s="259"/>
      <c r="D47" s="26">
        <f>R47</f>
        <v>6.4444444444444443E-2</v>
      </c>
      <c r="E47" s="59" t="s">
        <v>407</v>
      </c>
      <c r="F47" s="113"/>
      <c r="G47" s="260"/>
      <c r="H47" s="259"/>
      <c r="I47" s="240"/>
      <c r="J47" s="113"/>
      <c r="K47" s="260"/>
      <c r="L47" s="259"/>
      <c r="M47" s="241">
        <f>R47</f>
        <v>6.4444444444444443E-2</v>
      </c>
      <c r="N47" s="59" t="s">
        <v>407</v>
      </c>
      <c r="O47" s="113"/>
      <c r="P47" s="260"/>
      <c r="Q47" s="259"/>
      <c r="R47" s="245">
        <f>P44/9</f>
        <v>6.4444444444444443E-2</v>
      </c>
      <c r="S47" s="59" t="s">
        <v>126</v>
      </c>
      <c r="T47" s="113"/>
      <c r="U47" s="260"/>
      <c r="V47" s="259"/>
      <c r="W47" s="241">
        <f>R47</f>
        <v>6.4444444444444443E-2</v>
      </c>
      <c r="X47" s="59" t="s">
        <v>126</v>
      </c>
      <c r="Y47" s="113"/>
      <c r="Z47" s="260"/>
      <c r="AA47" s="259"/>
      <c r="AB47" s="16">
        <v>0.06</v>
      </c>
      <c r="AC47" s="6" t="s">
        <v>121</v>
      </c>
      <c r="AD47" s="113"/>
      <c r="AE47" s="260"/>
      <c r="AF47" s="259"/>
      <c r="AG47" s="245"/>
      <c r="AH47" s="24"/>
      <c r="AI47" s="40"/>
      <c r="AJ47" s="31" t="s">
        <v>188</v>
      </c>
      <c r="AK47" s="245">
        <f>D35+D111</f>
        <v>0.47499999999999998</v>
      </c>
      <c r="AL47" s="245">
        <f>M35+M111</f>
        <v>0.47499999999999998</v>
      </c>
      <c r="AM47" s="245">
        <f>R35+R111</f>
        <v>0.47499999999999998</v>
      </c>
      <c r="AN47" s="245">
        <f>W35+W111</f>
        <v>0.47499999999999998</v>
      </c>
      <c r="AO47" s="245">
        <f>AB35+AB111</f>
        <v>0.47499999999999998</v>
      </c>
      <c r="AP47" s="3"/>
      <c r="AQ47" s="3"/>
      <c r="AR47" s="131"/>
    </row>
    <row r="48" spans="1:44" s="25" customFormat="1" x14ac:dyDescent="0.25">
      <c r="A48" s="261"/>
      <c r="B48" s="260"/>
      <c r="C48" s="259"/>
      <c r="D48" s="241">
        <v>0.08</v>
      </c>
      <c r="E48" s="62" t="s">
        <v>66</v>
      </c>
      <c r="F48" s="113"/>
      <c r="G48" s="260"/>
      <c r="H48" s="259"/>
      <c r="I48" s="240"/>
      <c r="J48" s="113"/>
      <c r="K48" s="260"/>
      <c r="L48" s="259"/>
      <c r="M48" s="241">
        <f>R48</f>
        <v>0.08</v>
      </c>
      <c r="N48" s="62" t="s">
        <v>66</v>
      </c>
      <c r="O48" s="113"/>
      <c r="P48" s="260"/>
      <c r="Q48" s="259"/>
      <c r="R48" s="245">
        <f>D48</f>
        <v>0.08</v>
      </c>
      <c r="S48" s="62" t="s">
        <v>66</v>
      </c>
      <c r="T48" s="113"/>
      <c r="U48" s="260"/>
      <c r="V48" s="259"/>
      <c r="W48" s="241">
        <v>0.08</v>
      </c>
      <c r="X48" s="62" t="s">
        <v>66</v>
      </c>
      <c r="Y48" s="113"/>
      <c r="Z48" s="260"/>
      <c r="AA48" s="259"/>
      <c r="AB48" s="16">
        <f>R48</f>
        <v>0.08</v>
      </c>
      <c r="AC48" s="62" t="s">
        <v>66</v>
      </c>
      <c r="AD48" s="113"/>
      <c r="AE48" s="260"/>
      <c r="AF48" s="259"/>
      <c r="AG48" s="245">
        <f>AB48</f>
        <v>0.08</v>
      </c>
      <c r="AH48" s="62" t="s">
        <v>66</v>
      </c>
      <c r="AI48" s="40"/>
      <c r="AJ48" s="31" t="s">
        <v>189</v>
      </c>
      <c r="AK48" s="245">
        <f>D77+D115+D134+D140+D158</f>
        <v>1.7983333333333333</v>
      </c>
      <c r="AL48" s="245">
        <f>M77+M115+M134+M140+M158</f>
        <v>1.8933333333333335</v>
      </c>
      <c r="AM48" s="245">
        <f>R77+R115+R134+R140+R158</f>
        <v>1.9283333333333332</v>
      </c>
      <c r="AN48" s="245">
        <f>W77+W115+W134+W140+W158</f>
        <v>2.3933333333333335</v>
      </c>
      <c r="AO48" s="245">
        <f>AB77+AB134+AB140+AB115+AB158</f>
        <v>1.3433333333333333</v>
      </c>
      <c r="AP48" s="3"/>
      <c r="AQ48" s="3"/>
      <c r="AR48" s="131"/>
    </row>
    <row r="49" spans="1:44" s="25" customFormat="1" x14ac:dyDescent="0.25">
      <c r="A49" s="261"/>
      <c r="B49" s="260"/>
      <c r="C49" s="259"/>
      <c r="D49" s="24"/>
      <c r="E49" s="24"/>
      <c r="F49" s="113"/>
      <c r="G49" s="260"/>
      <c r="H49" s="259"/>
      <c r="I49" s="240"/>
      <c r="J49" s="113"/>
      <c r="K49" s="260"/>
      <c r="L49" s="259"/>
      <c r="M49" s="24"/>
      <c r="N49" s="24"/>
      <c r="O49" s="113"/>
      <c r="P49" s="260"/>
      <c r="Q49" s="259"/>
      <c r="R49" s="24"/>
      <c r="S49" s="24"/>
      <c r="T49" s="113"/>
      <c r="U49" s="260"/>
      <c r="V49" s="259"/>
      <c r="W49" s="24"/>
      <c r="X49" s="24"/>
      <c r="Y49" s="113"/>
      <c r="Z49" s="260"/>
      <c r="AA49" s="259"/>
      <c r="AB49" s="16">
        <v>0.01</v>
      </c>
      <c r="AC49" s="68" t="s">
        <v>39</v>
      </c>
      <c r="AD49" s="113"/>
      <c r="AE49" s="260"/>
      <c r="AF49" s="259"/>
      <c r="AG49" s="245"/>
      <c r="AH49" s="24"/>
      <c r="AI49" s="40"/>
      <c r="AJ49" s="31" t="s">
        <v>190</v>
      </c>
      <c r="AK49" s="245">
        <f>D36+D88+D118+D145+D150+D166+D185+D190+D191+D203+D209</f>
        <v>5.8849999999999998</v>
      </c>
      <c r="AL49" s="245">
        <f>M36+M88+M118+M145+M150+M166+M185+M190+M191+M203+M209+M171+M114+M66</f>
        <v>5.6833333333333327</v>
      </c>
      <c r="AM49" s="245">
        <f>R36+R66+R118+R171+R114</f>
        <v>3.7800000000000002</v>
      </c>
      <c r="AN49" s="245">
        <f>W65+W118+W171+W36+W114</f>
        <v>5.1705555555555573</v>
      </c>
      <c r="AO49" s="245">
        <f>AB36+AB171+AB62+AB114</f>
        <v>5.3049999999999997</v>
      </c>
      <c r="AP49" s="3"/>
      <c r="AQ49" s="3"/>
      <c r="AR49" s="131"/>
    </row>
    <row r="50" spans="1:44" s="25" customFormat="1" x14ac:dyDescent="0.25">
      <c r="A50" s="261"/>
      <c r="B50" s="260"/>
      <c r="C50" s="259"/>
      <c r="D50" s="240">
        <v>0.1</v>
      </c>
      <c r="E50" s="70" t="s">
        <v>63</v>
      </c>
      <c r="F50" s="113"/>
      <c r="G50" s="260"/>
      <c r="H50" s="259"/>
      <c r="I50" s="240"/>
      <c r="J50" s="113"/>
      <c r="K50" s="260"/>
      <c r="L50" s="259"/>
      <c r="M50" s="241">
        <f>K44-M47-M45-M44-M48-M46-M55</f>
        <v>5.5555555555555525E-2</v>
      </c>
      <c r="N50" s="70" t="s">
        <v>63</v>
      </c>
      <c r="O50" s="113"/>
      <c r="P50" s="260"/>
      <c r="Q50" s="259"/>
      <c r="R50" s="245">
        <f>P44-R47-R45-R44-R46-R48-R55</f>
        <v>0.1555555555555555</v>
      </c>
      <c r="S50" s="70" t="s">
        <v>63</v>
      </c>
      <c r="T50" s="113"/>
      <c r="U50" s="260"/>
      <c r="V50" s="259"/>
      <c r="W50" s="241">
        <v>1.45</v>
      </c>
      <c r="X50" s="70" t="s">
        <v>63</v>
      </c>
      <c r="Y50" s="113"/>
      <c r="Z50" s="260"/>
      <c r="AA50" s="259"/>
      <c r="AB50" s="16">
        <f>Z46-AB49-AB47-AB44-AB48-AB46</f>
        <v>1.0299999999999998</v>
      </c>
      <c r="AC50" s="70" t="s">
        <v>63</v>
      </c>
      <c r="AD50" s="113"/>
      <c r="AE50" s="260"/>
      <c r="AF50" s="259"/>
      <c r="AG50" s="245">
        <f>AE46-AG48-AG46</f>
        <v>8.9999999999999969E-2</v>
      </c>
      <c r="AH50" s="70" t="s">
        <v>63</v>
      </c>
      <c r="AI50" s="40"/>
      <c r="AJ50" s="31" t="s">
        <v>191</v>
      </c>
      <c r="AK50" s="245">
        <f>D80+D135+D138+D152+D212</f>
        <v>1.98</v>
      </c>
      <c r="AL50" s="245">
        <f>M80+M135+M138+M152+M212+M181</f>
        <v>1.9799999999999998</v>
      </c>
      <c r="AM50" s="245">
        <f>R80+R135+R152+R137+R70</f>
        <v>1.0366666666666666</v>
      </c>
      <c r="AN50" s="245">
        <f>W80+W135+W152+W137+W70</f>
        <v>0.64</v>
      </c>
      <c r="AO50" s="245">
        <f>AB80+AB135+AB70</f>
        <v>0.74666666666666615</v>
      </c>
      <c r="AP50" s="3"/>
      <c r="AQ50" s="2"/>
      <c r="AR50" s="2"/>
    </row>
    <row r="51" spans="1:44" s="25" customFormat="1" x14ac:dyDescent="0.25">
      <c r="A51" s="261"/>
      <c r="B51" s="260"/>
      <c r="C51" s="259"/>
      <c r="D51" s="24"/>
      <c r="E51" s="24"/>
      <c r="F51" s="113"/>
      <c r="G51" s="260"/>
      <c r="H51" s="259"/>
      <c r="I51" s="240"/>
      <c r="J51" s="113"/>
      <c r="K51" s="260"/>
      <c r="L51" s="259"/>
      <c r="M51" s="24"/>
      <c r="N51" s="24"/>
      <c r="O51" s="113"/>
      <c r="P51" s="260"/>
      <c r="Q51" s="259"/>
      <c r="R51" s="245"/>
      <c r="S51" s="18"/>
      <c r="T51" s="113"/>
      <c r="U51" s="260"/>
      <c r="V51" s="259"/>
      <c r="W51" s="24"/>
      <c r="X51" s="24"/>
      <c r="Y51" s="113"/>
      <c r="Z51" s="260"/>
      <c r="AA51" s="259"/>
      <c r="AB51" s="24"/>
      <c r="AC51" s="24"/>
      <c r="AD51" s="113"/>
      <c r="AE51" s="260"/>
      <c r="AF51" s="259"/>
      <c r="AG51" s="245"/>
      <c r="AH51" s="24"/>
      <c r="AI51" s="40"/>
      <c r="AJ51" s="36" t="s">
        <v>203</v>
      </c>
      <c r="AK51" s="16">
        <f>D48</f>
        <v>0.08</v>
      </c>
      <c r="AL51" s="16">
        <f>M48</f>
        <v>0.08</v>
      </c>
      <c r="AM51" s="16">
        <f>R48</f>
        <v>0.08</v>
      </c>
      <c r="AN51" s="16">
        <f>W48</f>
        <v>0.08</v>
      </c>
      <c r="AO51" s="16">
        <f>AB48</f>
        <v>0.08</v>
      </c>
      <c r="AP51" s="3"/>
      <c r="AQ51" s="2"/>
      <c r="AR51" s="2"/>
    </row>
    <row r="52" spans="1:44" s="25" customFormat="1" x14ac:dyDescent="0.25">
      <c r="A52" s="261"/>
      <c r="B52" s="260"/>
      <c r="C52" s="259"/>
      <c r="D52" s="24"/>
      <c r="E52" s="24"/>
      <c r="F52" s="113"/>
      <c r="G52" s="260"/>
      <c r="H52" s="259"/>
      <c r="I52" s="240"/>
      <c r="J52" s="113"/>
      <c r="K52" s="260"/>
      <c r="L52" s="259"/>
      <c r="M52" s="24"/>
      <c r="N52" s="24"/>
      <c r="O52" s="113"/>
      <c r="P52" s="260"/>
      <c r="Q52" s="259"/>
      <c r="R52" s="24"/>
      <c r="S52" s="24"/>
      <c r="T52" s="113"/>
      <c r="U52" s="260"/>
      <c r="V52" s="259"/>
      <c r="W52" s="24"/>
      <c r="X52" s="24"/>
      <c r="Y52" s="113"/>
      <c r="Z52" s="260"/>
      <c r="AA52" s="259"/>
      <c r="AB52" s="24"/>
      <c r="AC52" s="24"/>
      <c r="AD52" s="113"/>
      <c r="AE52" s="260"/>
      <c r="AF52" s="259"/>
      <c r="AG52" s="245"/>
      <c r="AH52" s="24"/>
      <c r="AI52" s="40"/>
      <c r="AJ52" s="36" t="s">
        <v>204</v>
      </c>
      <c r="AK52" s="16">
        <f>D153</f>
        <v>0.13</v>
      </c>
      <c r="AL52" s="16">
        <f>M153</f>
        <v>0.13</v>
      </c>
      <c r="AM52" s="16">
        <f>R153</f>
        <v>0.13</v>
      </c>
      <c r="AN52" s="16">
        <f>W153</f>
        <v>0.13</v>
      </c>
      <c r="AO52" s="16">
        <f>AB119</f>
        <v>0</v>
      </c>
      <c r="AP52" s="3"/>
      <c r="AQ52" s="2"/>
      <c r="AR52" s="2"/>
    </row>
    <row r="53" spans="1:44" s="25" customFormat="1" x14ac:dyDescent="0.25">
      <c r="A53" s="261"/>
      <c r="B53" s="260"/>
      <c r="C53" s="259"/>
      <c r="D53" s="24"/>
      <c r="E53" s="24"/>
      <c r="F53" s="113"/>
      <c r="G53" s="260"/>
      <c r="H53" s="259"/>
      <c r="I53" s="240"/>
      <c r="J53" s="113"/>
      <c r="K53" s="260"/>
      <c r="L53" s="259"/>
      <c r="M53" s="24"/>
      <c r="N53" s="24"/>
      <c r="O53" s="113"/>
      <c r="P53" s="260"/>
      <c r="Q53" s="259"/>
      <c r="R53" s="24"/>
      <c r="S53" s="24"/>
      <c r="T53" s="113"/>
      <c r="U53" s="260"/>
      <c r="V53" s="259"/>
      <c r="W53" s="24"/>
      <c r="X53" s="24"/>
      <c r="Y53" s="113"/>
      <c r="Z53" s="260"/>
      <c r="AA53" s="259"/>
      <c r="AB53" s="24"/>
      <c r="AC53" s="24"/>
      <c r="AD53" s="113"/>
      <c r="AE53" s="260"/>
      <c r="AF53" s="259"/>
      <c r="AG53" s="245"/>
      <c r="AH53" s="24"/>
      <c r="AI53" s="40"/>
      <c r="AJ53" s="36" t="s">
        <v>198</v>
      </c>
      <c r="AK53" s="16"/>
      <c r="AL53" s="16"/>
      <c r="AM53" s="16"/>
      <c r="AN53" s="16"/>
      <c r="AO53" s="16"/>
      <c r="AP53" s="3"/>
      <c r="AQ53" s="2"/>
      <c r="AR53" s="2"/>
    </row>
    <row r="54" spans="1:44" s="25" customFormat="1" x14ac:dyDescent="0.25">
      <c r="A54" s="261"/>
      <c r="B54" s="260"/>
      <c r="C54" s="259"/>
      <c r="D54" s="24"/>
      <c r="E54" s="24"/>
      <c r="F54" s="113"/>
      <c r="G54" s="260"/>
      <c r="H54" s="259"/>
      <c r="I54" s="240"/>
      <c r="J54" s="113"/>
      <c r="K54" s="260"/>
      <c r="L54" s="259"/>
      <c r="M54" s="24"/>
      <c r="N54" s="24"/>
      <c r="O54" s="113"/>
      <c r="P54" s="260"/>
      <c r="Q54" s="259"/>
      <c r="R54" s="24"/>
      <c r="S54" s="24"/>
      <c r="T54" s="113"/>
      <c r="U54" s="260"/>
      <c r="V54" s="259"/>
      <c r="W54" s="24"/>
      <c r="X54" s="24"/>
      <c r="Y54" s="113"/>
      <c r="Z54" s="260"/>
      <c r="AA54" s="259"/>
      <c r="AB54" s="24"/>
      <c r="AC54" s="24"/>
      <c r="AD54" s="113"/>
      <c r="AE54" s="260"/>
      <c r="AF54" s="259"/>
      <c r="AG54" s="245"/>
      <c r="AH54" s="24"/>
      <c r="AI54" s="40"/>
      <c r="AJ54" s="36" t="s">
        <v>199</v>
      </c>
      <c r="AK54" s="16"/>
      <c r="AL54" s="16"/>
      <c r="AM54" s="16"/>
      <c r="AN54" s="16"/>
      <c r="AO54" s="16"/>
      <c r="AP54" s="3"/>
      <c r="AQ54" s="2"/>
      <c r="AR54" s="2"/>
    </row>
    <row r="55" spans="1:44" s="25" customFormat="1" x14ac:dyDescent="0.25">
      <c r="A55" s="261"/>
      <c r="B55" s="260"/>
      <c r="C55" s="259"/>
      <c r="D55" s="240"/>
      <c r="E55" s="16"/>
      <c r="F55" s="113"/>
      <c r="G55" s="260"/>
      <c r="H55" s="259"/>
      <c r="I55" s="240"/>
      <c r="J55" s="113"/>
      <c r="K55" s="260"/>
      <c r="L55" s="259"/>
      <c r="M55" s="241">
        <v>7.0000000000000007E-2</v>
      </c>
      <c r="N55" s="6" t="s">
        <v>171</v>
      </c>
      <c r="O55" s="113"/>
      <c r="P55" s="260"/>
      <c r="Q55" s="259"/>
      <c r="R55" s="245">
        <v>0.06</v>
      </c>
      <c r="S55" s="6" t="s">
        <v>171</v>
      </c>
      <c r="T55" s="113"/>
      <c r="U55" s="260"/>
      <c r="V55" s="259"/>
      <c r="W55" s="241">
        <v>0.06</v>
      </c>
      <c r="X55" s="6" t="s">
        <v>171</v>
      </c>
      <c r="Y55" s="113"/>
      <c r="Z55" s="260"/>
      <c r="AA55" s="259"/>
      <c r="AB55" s="16"/>
      <c r="AC55" s="24"/>
      <c r="AD55" s="113"/>
      <c r="AE55" s="260"/>
      <c r="AF55" s="259"/>
      <c r="AG55" s="245"/>
      <c r="AH55" s="24"/>
      <c r="AI55" s="40"/>
      <c r="AJ55" s="31" t="s">
        <v>192</v>
      </c>
      <c r="AK55" s="245"/>
      <c r="AL55" s="245"/>
      <c r="AM55" s="245"/>
      <c r="AN55" s="245"/>
      <c r="AO55" s="245"/>
      <c r="AP55" s="3"/>
      <c r="AQ55" s="2"/>
      <c r="AR55" s="2"/>
    </row>
    <row r="56" spans="1:44" s="25" customFormat="1" x14ac:dyDescent="0.25">
      <c r="A56" s="261"/>
      <c r="B56" s="260"/>
      <c r="C56" s="259"/>
      <c r="D56" s="240"/>
      <c r="E56" s="8"/>
      <c r="F56" s="113"/>
      <c r="G56" s="260"/>
      <c r="H56" s="259"/>
      <c r="I56" s="56"/>
      <c r="J56" s="113"/>
      <c r="K56" s="260"/>
      <c r="L56" s="259"/>
      <c r="M56" s="241"/>
      <c r="N56" s="24"/>
      <c r="O56" s="113"/>
      <c r="P56" s="260"/>
      <c r="Q56" s="259"/>
      <c r="R56" s="16"/>
      <c r="S56" s="24"/>
      <c r="T56" s="113"/>
      <c r="U56" s="260"/>
      <c r="V56" s="259"/>
      <c r="W56" s="241"/>
      <c r="X56" s="24"/>
      <c r="Y56" s="113"/>
      <c r="Z56" s="260"/>
      <c r="AA56" s="259"/>
      <c r="AB56" s="245"/>
      <c r="AC56" s="24"/>
      <c r="AD56" s="113"/>
      <c r="AE56" s="260"/>
      <c r="AF56" s="259"/>
      <c r="AG56" s="245"/>
      <c r="AH56" s="60"/>
      <c r="AI56" s="40"/>
      <c r="AJ56" s="36" t="s">
        <v>205</v>
      </c>
      <c r="AK56" s="245">
        <f>D204</f>
        <v>0.49</v>
      </c>
      <c r="AL56" s="245">
        <f>M204</f>
        <v>0.21</v>
      </c>
      <c r="AM56" s="16">
        <f>R204</f>
        <v>0.49</v>
      </c>
      <c r="AN56" s="16">
        <f>W204</f>
        <v>0.06</v>
      </c>
      <c r="AO56" s="16">
        <f>AB204</f>
        <v>0.17</v>
      </c>
      <c r="AP56" s="3"/>
      <c r="AQ56" s="2"/>
      <c r="AR56" s="2"/>
    </row>
    <row r="57" spans="1:44" s="25" customFormat="1" x14ac:dyDescent="0.25">
      <c r="A57" s="261"/>
      <c r="B57" s="260"/>
      <c r="C57" s="259"/>
      <c r="D57" s="240"/>
      <c r="E57" s="18"/>
      <c r="F57" s="113"/>
      <c r="G57" s="260"/>
      <c r="H57" s="259"/>
      <c r="I57" s="8"/>
      <c r="J57" s="113"/>
      <c r="K57" s="260"/>
      <c r="L57" s="259"/>
      <c r="M57" s="241"/>
      <c r="N57" s="18"/>
      <c r="O57" s="113"/>
      <c r="P57" s="260"/>
      <c r="Q57" s="259"/>
      <c r="R57" s="19"/>
      <c r="S57" s="8"/>
      <c r="T57" s="113"/>
      <c r="U57" s="260"/>
      <c r="V57" s="259"/>
      <c r="W57" s="19"/>
      <c r="X57" s="8"/>
      <c r="Y57" s="113"/>
      <c r="Z57" s="260"/>
      <c r="AA57" s="259"/>
      <c r="AB57" s="245"/>
      <c r="AC57" s="8"/>
      <c r="AD57" s="113"/>
      <c r="AE57" s="241">
        <v>0.91</v>
      </c>
      <c r="AF57" s="240">
        <v>7.07</v>
      </c>
      <c r="AG57" s="245">
        <f>AE57</f>
        <v>0.91</v>
      </c>
      <c r="AH57" s="74" t="s">
        <v>333</v>
      </c>
      <c r="AI57" s="40"/>
      <c r="AJ57" s="36" t="s">
        <v>193</v>
      </c>
      <c r="AK57" s="1">
        <f>SUM(AK43:AK56)</f>
        <v>16.163333333333334</v>
      </c>
      <c r="AL57" s="1">
        <f>SUM(AL43:AL56)</f>
        <v>16.682777777777776</v>
      </c>
      <c r="AM57" s="1">
        <f>SUM(AM43:AM56)</f>
        <v>14.45</v>
      </c>
      <c r="AN57" s="1">
        <f>SUM(AN43:AN56)</f>
        <v>14.24888888888889</v>
      </c>
      <c r="AO57" s="1">
        <f>SUM(AO43:AO56)</f>
        <v>12.934999999999999</v>
      </c>
      <c r="AP57" s="3"/>
      <c r="AQ57" s="2"/>
      <c r="AR57" s="2"/>
    </row>
    <row r="58" spans="1:44" s="25" customFormat="1" x14ac:dyDescent="0.25">
      <c r="A58" s="261">
        <v>14</v>
      </c>
      <c r="B58" s="260">
        <v>6.58</v>
      </c>
      <c r="C58" s="259">
        <v>7</v>
      </c>
      <c r="D58" s="246">
        <v>1.62</v>
      </c>
      <c r="E58" s="6" t="s">
        <v>48</v>
      </c>
      <c r="F58" s="113"/>
      <c r="G58" s="260">
        <v>2.8</v>
      </c>
      <c r="H58" s="259">
        <v>7.09</v>
      </c>
      <c r="I58" s="116"/>
      <c r="J58" s="113"/>
      <c r="K58" s="260">
        <v>6.5</v>
      </c>
      <c r="L58" s="259">
        <v>7.15</v>
      </c>
      <c r="M58" s="241">
        <f>D58</f>
        <v>1.62</v>
      </c>
      <c r="N58" s="6" t="s">
        <v>48</v>
      </c>
      <c r="O58" s="113"/>
      <c r="P58" s="260">
        <v>4.87</v>
      </c>
      <c r="Q58" s="259">
        <v>6.95</v>
      </c>
      <c r="R58" s="245">
        <v>1.62</v>
      </c>
      <c r="S58" s="6" t="s">
        <v>48</v>
      </c>
      <c r="T58" s="113"/>
      <c r="U58" s="260">
        <v>6.52</v>
      </c>
      <c r="V58" s="259">
        <v>7.03</v>
      </c>
      <c r="W58" s="241">
        <f>AB58</f>
        <v>1.62</v>
      </c>
      <c r="X58" s="6" t="s">
        <v>48</v>
      </c>
      <c r="Y58" s="113"/>
      <c r="Z58" s="260">
        <v>5.39</v>
      </c>
      <c r="AA58" s="259">
        <v>6.85</v>
      </c>
      <c r="AB58" s="245">
        <v>1.62</v>
      </c>
      <c r="AC58" s="6" t="s">
        <v>48</v>
      </c>
      <c r="AD58" s="113"/>
      <c r="AE58" s="260">
        <v>6.28</v>
      </c>
      <c r="AF58" s="259">
        <v>7.15</v>
      </c>
      <c r="AG58" s="245">
        <f>AB58</f>
        <v>1.62</v>
      </c>
      <c r="AH58" s="6" t="s">
        <v>48</v>
      </c>
      <c r="AI58" s="40"/>
      <c r="AN58" s="36"/>
      <c r="AP58" s="4"/>
      <c r="AQ58" s="2"/>
      <c r="AR58" s="2"/>
    </row>
    <row r="59" spans="1:44" s="25" customFormat="1" ht="15.75" thickBot="1" x14ac:dyDescent="0.3">
      <c r="A59" s="261"/>
      <c r="B59" s="260"/>
      <c r="C59" s="259"/>
      <c r="D59" s="246">
        <v>1.62</v>
      </c>
      <c r="E59" s="6" t="s">
        <v>49</v>
      </c>
      <c r="F59" s="113"/>
      <c r="G59" s="260"/>
      <c r="H59" s="259"/>
      <c r="I59" s="116"/>
      <c r="J59" s="113"/>
      <c r="K59" s="260"/>
      <c r="L59" s="259"/>
      <c r="M59" s="241">
        <f>D59</f>
        <v>1.62</v>
      </c>
      <c r="N59" s="6" t="s">
        <v>49</v>
      </c>
      <c r="O59" s="113"/>
      <c r="P59" s="260"/>
      <c r="Q59" s="259"/>
      <c r="R59" s="245">
        <v>1.62</v>
      </c>
      <c r="S59" s="6" t="s">
        <v>49</v>
      </c>
      <c r="T59" s="113"/>
      <c r="U59" s="260"/>
      <c r="V59" s="259"/>
      <c r="W59" s="241">
        <f>AB59</f>
        <v>1.62</v>
      </c>
      <c r="X59" s="6" t="s">
        <v>49</v>
      </c>
      <c r="Y59" s="113"/>
      <c r="Z59" s="260"/>
      <c r="AA59" s="259"/>
      <c r="AB59" s="245">
        <v>1.62</v>
      </c>
      <c r="AC59" s="6" t="s">
        <v>49</v>
      </c>
      <c r="AD59" s="113"/>
      <c r="AE59" s="260"/>
      <c r="AF59" s="259"/>
      <c r="AG59" s="245">
        <v>2.2000000000000002</v>
      </c>
      <c r="AH59" s="6" t="s">
        <v>49</v>
      </c>
      <c r="AI59" s="40"/>
      <c r="AN59" s="36"/>
      <c r="AP59" s="3"/>
      <c r="AQ59" s="2"/>
      <c r="AR59" s="2"/>
    </row>
    <row r="60" spans="1:44" s="25" customFormat="1" x14ac:dyDescent="0.25">
      <c r="A60" s="261"/>
      <c r="B60" s="260"/>
      <c r="C60" s="259"/>
      <c r="D60" s="241">
        <v>1.63</v>
      </c>
      <c r="E60" s="54" t="s">
        <v>34</v>
      </c>
      <c r="F60" s="113"/>
      <c r="G60" s="260"/>
      <c r="H60" s="259"/>
      <c r="I60" s="241"/>
      <c r="J60" s="113"/>
      <c r="K60" s="260"/>
      <c r="L60" s="259"/>
      <c r="M60" s="241">
        <v>1.55</v>
      </c>
      <c r="N60" s="54" t="s">
        <v>34</v>
      </c>
      <c r="O60" s="113"/>
      <c r="P60" s="260"/>
      <c r="Q60" s="259"/>
      <c r="R60" s="245">
        <f>P58-R58-R59+P61-R62</f>
        <v>3.5600000000000005</v>
      </c>
      <c r="S60" s="54" t="s">
        <v>34</v>
      </c>
      <c r="T60" s="113"/>
      <c r="U60" s="260"/>
      <c r="V60" s="259"/>
      <c r="W60" s="241">
        <f>U58-W58-W59</f>
        <v>3.2799999999999994</v>
      </c>
      <c r="X60" s="54" t="s">
        <v>34</v>
      </c>
      <c r="Y60" s="113"/>
      <c r="Z60" s="260"/>
      <c r="AA60" s="259"/>
      <c r="AB60" s="245">
        <v>1.1499999999999999</v>
      </c>
      <c r="AC60" s="54" t="s">
        <v>34</v>
      </c>
      <c r="AD60" s="113"/>
      <c r="AE60" s="260"/>
      <c r="AF60" s="259"/>
      <c r="AG60" s="245">
        <f>AE58-AG58-AG59+AE57-AG62-AG63+AE61+AE63-AG57-AG61</f>
        <v>0.32500000000000029</v>
      </c>
      <c r="AH60" s="54" t="s">
        <v>34</v>
      </c>
      <c r="AI60" s="40"/>
      <c r="AJ60" s="153" t="s">
        <v>277</v>
      </c>
      <c r="AK60" s="41" t="s">
        <v>1</v>
      </c>
      <c r="AL60" s="38" t="s">
        <v>2</v>
      </c>
      <c r="AM60" s="41" t="s">
        <v>4</v>
      </c>
      <c r="AN60" s="21"/>
      <c r="AO60" s="21"/>
      <c r="AP60" s="3"/>
      <c r="AQ60" s="2"/>
      <c r="AR60" s="2"/>
    </row>
    <row r="61" spans="1:44" s="25" customFormat="1" x14ac:dyDescent="0.25">
      <c r="A61" s="261"/>
      <c r="B61" s="260"/>
      <c r="C61" s="259"/>
      <c r="D61" s="24"/>
      <c r="E61" s="24"/>
      <c r="F61" s="113"/>
      <c r="G61" s="260"/>
      <c r="H61" s="259"/>
      <c r="I61" s="241"/>
      <c r="J61" s="113"/>
      <c r="K61" s="260"/>
      <c r="L61" s="259"/>
      <c r="M61" s="24"/>
      <c r="N61" s="24"/>
      <c r="O61" s="113"/>
      <c r="P61" s="260">
        <v>5.15</v>
      </c>
      <c r="Q61" s="259">
        <v>7.02</v>
      </c>
      <c r="R61" s="24"/>
      <c r="S61" s="24"/>
      <c r="T61" s="113"/>
      <c r="U61" s="260">
        <v>3.38</v>
      </c>
      <c r="V61" s="259">
        <v>7.1</v>
      </c>
      <c r="W61" s="24"/>
      <c r="X61" s="24"/>
      <c r="Y61" s="113"/>
      <c r="Z61" s="260">
        <v>3.04</v>
      </c>
      <c r="AA61" s="259">
        <v>6.92</v>
      </c>
      <c r="AD61" s="113"/>
      <c r="AE61" s="260">
        <v>0.3</v>
      </c>
      <c r="AF61" s="259">
        <v>7.28</v>
      </c>
      <c r="AG61" s="245">
        <f>AB77-AG77</f>
        <v>0.12499999999999997</v>
      </c>
      <c r="AH61" s="74" t="s">
        <v>338</v>
      </c>
      <c r="AI61" s="40"/>
      <c r="AJ61" s="111" t="s">
        <v>272</v>
      </c>
      <c r="AK61" s="19">
        <f>D4+D8+D59+D72+D154+D199+D12+D14+D18+D21+D29+D35+D36+D42+D48+D50+D58+D73+D86+D91+D126</f>
        <v>21.764999999999997</v>
      </c>
      <c r="AL61" s="19">
        <f>M4+M8+M59+M72+M154+M12+M14+M18+M21+M29+M35+M36+M42+M48+M50+M58+M73+M86+M91+M126</f>
        <v>22.720555555555553</v>
      </c>
      <c r="AM61" s="19">
        <f>R4+R8+R59+R72+R154+R12+R14+R18+R21+R29+R35+R36+R42+R48+R50+R58+R73+R86+R91+R126+R70</f>
        <v>21.790555555555553</v>
      </c>
      <c r="AN61" s="19">
        <f>AVERAGE(AK61:AM61)</f>
        <v>22.092037037037034</v>
      </c>
      <c r="AO61" s="21" t="s">
        <v>297</v>
      </c>
      <c r="AP61" s="3"/>
      <c r="AQ61" s="2"/>
      <c r="AR61" s="2"/>
    </row>
    <row r="62" spans="1:44" s="25" customFormat="1" x14ac:dyDescent="0.25">
      <c r="A62" s="261"/>
      <c r="B62" s="260"/>
      <c r="C62" s="259"/>
      <c r="D62" s="241">
        <f>B58-D58-D59-D60</f>
        <v>1.71</v>
      </c>
      <c r="E62" s="63" t="s">
        <v>405</v>
      </c>
      <c r="F62" s="113"/>
      <c r="G62" s="260"/>
      <c r="H62" s="259"/>
      <c r="I62" s="241"/>
      <c r="J62" s="113"/>
      <c r="K62" s="260"/>
      <c r="L62" s="259"/>
      <c r="M62" s="241">
        <f>D62</f>
        <v>1.71</v>
      </c>
      <c r="N62" s="63" t="s">
        <v>405</v>
      </c>
      <c r="O62" s="113"/>
      <c r="P62" s="260"/>
      <c r="Q62" s="259"/>
      <c r="R62" s="245">
        <f>W62</f>
        <v>3.2199999999999998</v>
      </c>
      <c r="S62" s="63" t="s">
        <v>222</v>
      </c>
      <c r="T62" s="113"/>
      <c r="U62" s="260"/>
      <c r="V62" s="259"/>
      <c r="W62" s="241">
        <f>U61-W84</f>
        <v>3.2199999999999998</v>
      </c>
      <c r="X62" s="63" t="s">
        <v>222</v>
      </c>
      <c r="Y62" s="113"/>
      <c r="Z62" s="260"/>
      <c r="AA62" s="259"/>
      <c r="AB62" s="16">
        <f>(Z61+Z58-AB58-AB59-AB60-AB63-AB84)</f>
        <v>1.8799999999999992</v>
      </c>
      <c r="AC62" s="249" t="s">
        <v>211</v>
      </c>
      <c r="AD62" s="113"/>
      <c r="AE62" s="260"/>
      <c r="AF62" s="259"/>
      <c r="AG62" s="245">
        <v>0.4</v>
      </c>
      <c r="AH62" s="249" t="s">
        <v>211</v>
      </c>
      <c r="AI62" s="40"/>
      <c r="AJ62" s="111" t="s">
        <v>273</v>
      </c>
      <c r="AK62" s="19">
        <f>D44+D47+D40+D74+D81+D88+D30+D31+D33+D41+D45+D46+D77+D80+D89+D92+D124+D204</f>
        <v>2.9044444444444437</v>
      </c>
      <c r="AL62" s="19">
        <f>M44+M47+M40+M74+M81+M88+M30+M31+M33+M41+M45+M46+M77+M80+M89+M92+M124+M204</f>
        <v>2.1844444444444444</v>
      </c>
      <c r="AM62" s="19">
        <f>R44+R47+R40+R74+R81+R30+R31+R33+R41+R45+R46+R77+R80+R92+R204+R55</f>
        <v>2.3144444444444443</v>
      </c>
      <c r="AN62" s="19">
        <f>AVERAGE(AK62:AM62)</f>
        <v>2.4677777777777776</v>
      </c>
      <c r="AO62" s="21" t="s">
        <v>300</v>
      </c>
      <c r="AP62" s="3"/>
      <c r="AQ62" s="2"/>
      <c r="AR62" s="2"/>
    </row>
    <row r="63" spans="1:44" s="25" customFormat="1" x14ac:dyDescent="0.25">
      <c r="A63" s="261"/>
      <c r="B63" s="260"/>
      <c r="C63" s="259"/>
      <c r="D63" s="240"/>
      <c r="E63" s="8"/>
      <c r="F63" s="113"/>
      <c r="G63" s="260"/>
      <c r="H63" s="259"/>
      <c r="I63" s="8"/>
      <c r="J63" s="113"/>
      <c r="K63" s="260"/>
      <c r="L63" s="259"/>
      <c r="M63" s="241"/>
      <c r="N63" s="246"/>
      <c r="O63" s="113"/>
      <c r="P63" s="260"/>
      <c r="Q63" s="259"/>
      <c r="R63" s="245"/>
      <c r="S63" s="246"/>
      <c r="T63" s="113"/>
      <c r="U63" s="260"/>
      <c r="V63" s="259"/>
      <c r="W63" s="24"/>
      <c r="X63" s="24"/>
      <c r="Y63" s="113"/>
      <c r="Z63" s="260"/>
      <c r="AA63" s="259"/>
      <c r="AB63" s="245">
        <v>2</v>
      </c>
      <c r="AC63" s="7" t="s">
        <v>75</v>
      </c>
      <c r="AD63" s="113"/>
      <c r="AE63" s="241">
        <v>0.09</v>
      </c>
      <c r="AF63" s="240">
        <v>7.33</v>
      </c>
      <c r="AG63" s="245">
        <v>2</v>
      </c>
      <c r="AH63" s="7" t="s">
        <v>75</v>
      </c>
      <c r="AI63" s="40"/>
      <c r="AJ63" s="111" t="s">
        <v>274</v>
      </c>
      <c r="AK63" s="19">
        <f>D62+D71+D83+D75+D76+D78+D106+D109+D108+D115+D121+D132+D144+D145+D148+D156+D178+D188+D191+D69+D79+D95+D98+D99+D111+D113+D116+D127+D128+D134+D135+D136+D138+D140+D146+D157+D158+D162</f>
        <v>19.773333333333337</v>
      </c>
      <c r="AL63" s="19">
        <f>M62+M71+M83+M75+M76+M78+M106+M109+M115+M121+M132+M144+M145+M148+M156+M178+M188+M191+M69+M79+M95+M98+M99+M111+M120+M116+M127+M128+M134+M135+M136+M138+M140+M146+M157+M158+M162+M114+M113+M173</f>
        <v>20.659444444444443</v>
      </c>
      <c r="AM63" s="19">
        <f>R62+R71+R83+R75+R76+R78+R106+R115+R132+R144+R145+R148+R156+R173+R188+R191+R69+R79+R99+R111+R127+R128+R134+R135+R136+R138+R140+R146+R157+R158+R162+R114+R113</f>
        <v>20.488333333333337</v>
      </c>
      <c r="AN63" s="19">
        <f>AVERAGE(AK63:AM63)</f>
        <v>20.307037037037038</v>
      </c>
      <c r="AO63" s="21" t="s">
        <v>301</v>
      </c>
      <c r="AP63" s="3"/>
      <c r="AQ63" s="2"/>
      <c r="AR63" s="2"/>
    </row>
    <row r="64" spans="1:44" s="25" customFormat="1" x14ac:dyDescent="0.25">
      <c r="A64" s="261">
        <v>15</v>
      </c>
      <c r="B64" s="260">
        <v>0.64</v>
      </c>
      <c r="C64" s="259">
        <v>7.28</v>
      </c>
      <c r="D64" s="240"/>
      <c r="E64" s="18"/>
      <c r="F64" s="113"/>
      <c r="G64" s="260">
        <v>1.47</v>
      </c>
      <c r="H64" s="259">
        <v>7.31</v>
      </c>
      <c r="I64" s="240"/>
      <c r="J64" s="113"/>
      <c r="K64" s="260">
        <v>0.82</v>
      </c>
      <c r="L64" s="259">
        <v>7.44</v>
      </c>
      <c r="M64" s="241"/>
      <c r="N64" s="18"/>
      <c r="O64" s="113"/>
      <c r="P64" s="260">
        <v>1.1499999999999999</v>
      </c>
      <c r="Q64" s="259">
        <v>7.22</v>
      </c>
      <c r="R64" s="245"/>
      <c r="S64" s="18"/>
      <c r="T64" s="113"/>
      <c r="U64" s="260">
        <v>0.39</v>
      </c>
      <c r="V64" s="259">
        <v>7.25</v>
      </c>
      <c r="W64" s="241"/>
      <c r="X64" s="18"/>
      <c r="Y64" s="113"/>
      <c r="Z64" s="260">
        <v>0.43</v>
      </c>
      <c r="AA64" s="259">
        <v>7.13</v>
      </c>
      <c r="AB64" s="16"/>
      <c r="AC64" s="18"/>
      <c r="AD64" s="113"/>
      <c r="AE64" s="260">
        <v>0.27</v>
      </c>
      <c r="AF64" s="259">
        <v>7.46</v>
      </c>
      <c r="AG64" s="245"/>
      <c r="AH64" s="24"/>
      <c r="AI64" s="40"/>
      <c r="AJ64" s="111" t="s">
        <v>275</v>
      </c>
      <c r="AK64" s="19">
        <f>D104+D112+D118+D125+D149+D152+D153+D171+D182+D184+D203+D208+D212+D103+D133+D150+D159+D166+D169+D172+D183+D185+D186+D189+D190+D191+D202+D207+D209</f>
        <v>20.173888888888886</v>
      </c>
      <c r="AL64" s="19">
        <f>M104+M112+M118+M125+M149+M152+M153+M171+M182+M184+M203+M208+M212+M96+M103+M133+M150+M159+M166+M169+M172+M183+M185+M186+M189+M190+M191+M202+M207+M209</f>
        <v>14.990555555555552</v>
      </c>
      <c r="AM64" s="19">
        <f>R104+R112+R118+R125+R147+R137+R152+R153+R171+R175+R177+R203+R208+R210+R96+R103</f>
        <v>15.616666666666669</v>
      </c>
      <c r="AN64" s="19">
        <f>AVERAGE(AK64:AM64)</f>
        <v>16.927037037037035</v>
      </c>
      <c r="AO64" s="21" t="s">
        <v>298</v>
      </c>
      <c r="AP64" s="3"/>
      <c r="AQ64" s="2"/>
      <c r="AR64" s="2"/>
    </row>
    <row r="65" spans="1:45" s="25" customFormat="1" x14ac:dyDescent="0.25">
      <c r="A65" s="261"/>
      <c r="B65" s="260"/>
      <c r="C65" s="259"/>
      <c r="D65" s="24"/>
      <c r="E65" s="24"/>
      <c r="F65" s="113"/>
      <c r="G65" s="260"/>
      <c r="H65" s="259"/>
      <c r="I65" s="240"/>
      <c r="J65" s="113"/>
      <c r="K65" s="260"/>
      <c r="L65" s="259"/>
      <c r="M65" s="241"/>
      <c r="N65" s="246"/>
      <c r="O65" s="113"/>
      <c r="P65" s="260"/>
      <c r="Q65" s="259"/>
      <c r="R65" s="245"/>
      <c r="S65" s="246"/>
      <c r="T65" s="113"/>
      <c r="U65" s="260"/>
      <c r="V65" s="259"/>
      <c r="W65" s="241"/>
      <c r="X65" s="246"/>
      <c r="Y65" s="113"/>
      <c r="Z65" s="260"/>
      <c r="AA65" s="259"/>
      <c r="AB65" s="245">
        <f>Z64</f>
        <v>0.43</v>
      </c>
      <c r="AC65" s="15" t="s">
        <v>212</v>
      </c>
      <c r="AD65" s="113"/>
      <c r="AE65" s="260"/>
      <c r="AF65" s="259"/>
      <c r="AG65" s="245">
        <f>AE64</f>
        <v>0.27</v>
      </c>
      <c r="AH65" s="15" t="s">
        <v>212</v>
      </c>
      <c r="AI65" s="40"/>
      <c r="AJ65" s="111" t="s">
        <v>276</v>
      </c>
      <c r="AK65" s="19">
        <f>D187+D168+D198</f>
        <v>2.2399999999999998</v>
      </c>
      <c r="AL65" s="19">
        <f>M168+M198+M187</f>
        <v>4.12</v>
      </c>
      <c r="AM65" s="19">
        <f>R168+R198+R167</f>
        <v>2.76</v>
      </c>
      <c r="AN65" s="19">
        <f>AVERAGE(AK65:AM65)</f>
        <v>3.0399999999999996</v>
      </c>
      <c r="AO65" s="21" t="s">
        <v>299</v>
      </c>
      <c r="AP65" s="53"/>
      <c r="AQ65" s="2"/>
      <c r="AR65" s="2"/>
      <c r="AS65" s="53"/>
    </row>
    <row r="66" spans="1:45" s="25" customFormat="1" x14ac:dyDescent="0.25">
      <c r="A66" s="261"/>
      <c r="B66" s="260"/>
      <c r="C66" s="259"/>
      <c r="D66" s="24"/>
      <c r="E66" s="24"/>
      <c r="F66" s="113"/>
      <c r="G66" s="260"/>
      <c r="H66" s="259"/>
      <c r="I66" s="240"/>
      <c r="J66" s="113"/>
      <c r="K66" s="260"/>
      <c r="L66" s="259"/>
      <c r="M66" s="241">
        <v>7.0000000000000007E-2</v>
      </c>
      <c r="N66" s="249" t="s">
        <v>211</v>
      </c>
      <c r="O66" s="113"/>
      <c r="P66" s="260"/>
      <c r="Q66" s="259"/>
      <c r="R66" s="245">
        <v>0.03</v>
      </c>
      <c r="S66" s="249" t="s">
        <v>211</v>
      </c>
      <c r="T66" s="113"/>
      <c r="U66" s="260"/>
      <c r="V66" s="259"/>
      <c r="W66" s="241"/>
      <c r="X66" s="18"/>
      <c r="Y66" s="113"/>
      <c r="Z66" s="260"/>
      <c r="AA66" s="259"/>
      <c r="AB66" s="245"/>
      <c r="AC66" s="18"/>
      <c r="AD66" s="113"/>
      <c r="AE66" s="260"/>
      <c r="AF66" s="259"/>
      <c r="AG66" s="245"/>
      <c r="AH66" s="24"/>
      <c r="AI66" s="40"/>
      <c r="AJ66" s="111" t="s">
        <v>555</v>
      </c>
      <c r="AK66" s="21"/>
      <c r="AL66" s="21"/>
      <c r="AM66" s="21"/>
      <c r="AN66" s="19">
        <f>R55+R47+R45+R41+R40+R33+R31+R30+R24+R62+R71+R74+R76+R78+R79+R81+R83+R92+R96+R104+R112+R125+R147+R168</f>
        <v>20.014444444444443</v>
      </c>
      <c r="AO66" s="21"/>
      <c r="AP66" s="53"/>
      <c r="AQ66" s="1"/>
      <c r="AR66" s="2"/>
      <c r="AS66" s="53"/>
    </row>
    <row r="67" spans="1:45" s="25" customFormat="1" x14ac:dyDescent="0.25">
      <c r="A67" s="261"/>
      <c r="B67" s="260"/>
      <c r="C67" s="259"/>
      <c r="D67" s="240"/>
      <c r="E67" s="18"/>
      <c r="F67" s="113"/>
      <c r="G67" s="260"/>
      <c r="H67" s="259"/>
      <c r="I67" s="240"/>
      <c r="J67" s="113"/>
      <c r="K67" s="260"/>
      <c r="L67" s="259"/>
      <c r="M67" s="241"/>
      <c r="N67" s="18"/>
      <c r="O67" s="113"/>
      <c r="P67" s="260"/>
      <c r="Q67" s="259"/>
      <c r="R67" s="245"/>
      <c r="S67" s="18"/>
      <c r="T67" s="113"/>
      <c r="U67" s="260"/>
      <c r="V67" s="259"/>
      <c r="W67" s="241"/>
      <c r="X67" s="18"/>
      <c r="Y67" s="113"/>
      <c r="Z67" s="260"/>
      <c r="AA67" s="259"/>
      <c r="AB67" s="245"/>
      <c r="AC67" s="18"/>
      <c r="AD67" s="113"/>
      <c r="AE67" s="260"/>
      <c r="AF67" s="259"/>
      <c r="AG67" s="245"/>
      <c r="AH67" s="24"/>
      <c r="AI67" s="40"/>
      <c r="AJ67" s="111" t="s">
        <v>556</v>
      </c>
      <c r="AN67" s="26">
        <f>R69+R146+R167+R198</f>
        <v>2.13</v>
      </c>
      <c r="AP67" s="53"/>
      <c r="AQ67" s="1"/>
      <c r="AR67" s="2"/>
      <c r="AS67" s="53"/>
    </row>
    <row r="68" spans="1:45" s="25" customFormat="1" x14ac:dyDescent="0.25">
      <c r="A68" s="261"/>
      <c r="B68" s="260"/>
      <c r="C68" s="259"/>
      <c r="D68" s="240"/>
      <c r="E68" s="18"/>
      <c r="F68" s="113"/>
      <c r="G68" s="260"/>
      <c r="H68" s="259"/>
      <c r="I68" s="240"/>
      <c r="J68" s="113"/>
      <c r="K68" s="260"/>
      <c r="L68" s="259"/>
      <c r="M68" s="241"/>
      <c r="N68" s="18"/>
      <c r="O68" s="113"/>
      <c r="P68" s="260"/>
      <c r="Q68" s="259"/>
      <c r="R68" s="241"/>
      <c r="S68" s="8"/>
      <c r="T68" s="113"/>
      <c r="U68" s="260"/>
      <c r="V68" s="259"/>
      <c r="W68" s="241"/>
      <c r="X68" s="8"/>
      <c r="Y68" s="113"/>
      <c r="Z68" s="260"/>
      <c r="AA68" s="259"/>
      <c r="AB68" s="241"/>
      <c r="AC68" s="8"/>
      <c r="AD68" s="113"/>
      <c r="AE68" s="260"/>
      <c r="AF68" s="259"/>
      <c r="AG68" s="245"/>
      <c r="AH68" s="24"/>
      <c r="AI68" s="40"/>
      <c r="AJ68" s="111" t="s">
        <v>286</v>
      </c>
      <c r="AN68" s="26">
        <f>R103+R102</f>
        <v>6.48</v>
      </c>
      <c r="AP68" s="53"/>
      <c r="AQ68" s="1"/>
      <c r="AR68" s="2"/>
      <c r="AS68" s="53"/>
    </row>
    <row r="69" spans="1:45" s="25" customFormat="1" x14ac:dyDescent="0.25">
      <c r="A69" s="261"/>
      <c r="B69" s="260"/>
      <c r="C69" s="259"/>
      <c r="D69" s="240">
        <f>B64</f>
        <v>0.64</v>
      </c>
      <c r="E69" s="14" t="s">
        <v>420</v>
      </c>
      <c r="F69" s="113"/>
      <c r="G69" s="260"/>
      <c r="H69" s="259"/>
      <c r="I69" s="56"/>
      <c r="J69" s="113"/>
      <c r="K69" s="260"/>
      <c r="L69" s="259"/>
      <c r="M69" s="241">
        <f>K64-M66</f>
        <v>0.75</v>
      </c>
      <c r="N69" s="14" t="s">
        <v>420</v>
      </c>
      <c r="O69" s="113"/>
      <c r="P69" s="260"/>
      <c r="Q69" s="259"/>
      <c r="R69" s="245">
        <f>P64-R66</f>
        <v>1.1199999999999999</v>
      </c>
      <c r="S69" s="14" t="s">
        <v>501</v>
      </c>
      <c r="T69" s="113"/>
      <c r="U69" s="260"/>
      <c r="V69" s="259"/>
      <c r="W69" s="241">
        <f>U64-W65-W64</f>
        <v>0.39</v>
      </c>
      <c r="X69" s="14" t="s">
        <v>129</v>
      </c>
      <c r="Y69" s="113"/>
      <c r="Z69" s="260"/>
      <c r="AA69" s="259"/>
      <c r="AB69" s="245"/>
      <c r="AC69" s="24"/>
      <c r="AD69" s="113"/>
      <c r="AE69" s="260"/>
      <c r="AF69" s="259"/>
      <c r="AG69" s="245"/>
      <c r="AH69" s="240"/>
      <c r="AI69" s="40"/>
      <c r="AJ69" s="111" t="s">
        <v>547</v>
      </c>
      <c r="AN69" s="26">
        <f>R55+R47+R45+R41+R40+R33+R31+R30+R24+R62+R71+R74+R76+R78+R79+R81+R83+R92+R96+R104+R112+R125+R147+R168+R69+R146+R167+R198+R103+R102+R44+R46+R66+R75+R77+R80+R99+R106+R111+R113+R114+R115+R118+R134+R135+R137+R140+R152+R153+R158+R171+R173+R204</f>
        <v>42.869444444444454</v>
      </c>
      <c r="AP69" s="53"/>
      <c r="AQ69" s="1"/>
      <c r="AR69" s="2"/>
      <c r="AS69" s="2"/>
    </row>
    <row r="70" spans="1:45" s="25" customFormat="1" ht="15.75" thickBot="1" x14ac:dyDescent="0.3">
      <c r="A70" s="242">
        <v>16</v>
      </c>
      <c r="B70" s="241">
        <v>0.11</v>
      </c>
      <c r="C70" s="240">
        <v>7.4</v>
      </c>
      <c r="D70" s="240"/>
      <c r="E70" s="246"/>
      <c r="F70" s="113"/>
      <c r="G70" s="260">
        <v>1.34</v>
      </c>
      <c r="H70" s="259">
        <v>7.52</v>
      </c>
      <c r="I70" s="240"/>
      <c r="J70" s="113"/>
      <c r="K70" s="241">
        <v>0.25</v>
      </c>
      <c r="L70" s="240">
        <v>7.52</v>
      </c>
      <c r="M70" s="241"/>
      <c r="N70" s="246"/>
      <c r="O70" s="113"/>
      <c r="P70" s="241">
        <v>0.38</v>
      </c>
      <c r="Q70" s="240">
        <v>7.3</v>
      </c>
      <c r="R70" s="245"/>
      <c r="S70" s="246"/>
      <c r="T70" s="113"/>
      <c r="U70" s="260">
        <v>1.28</v>
      </c>
      <c r="V70" s="259">
        <v>7.36</v>
      </c>
      <c r="W70" s="245"/>
      <c r="X70" s="246"/>
      <c r="Y70" s="113"/>
      <c r="Z70" s="241">
        <v>0.34</v>
      </c>
      <c r="AA70" s="240">
        <v>7.23</v>
      </c>
      <c r="AB70" s="16"/>
      <c r="AC70" s="246"/>
      <c r="AD70" s="113"/>
      <c r="AE70" s="241">
        <v>0.05</v>
      </c>
      <c r="AF70" s="240">
        <v>7.51</v>
      </c>
      <c r="AG70" s="245"/>
      <c r="AH70" s="246"/>
      <c r="AI70" s="40"/>
      <c r="AP70" s="53"/>
      <c r="AQ70" s="1"/>
      <c r="AR70" s="2"/>
      <c r="AS70" s="2"/>
    </row>
    <row r="71" spans="1:45" s="25" customFormat="1" x14ac:dyDescent="0.25">
      <c r="A71" s="261">
        <v>17</v>
      </c>
      <c r="B71" s="260">
        <v>0.79</v>
      </c>
      <c r="C71" s="259">
        <v>7.48</v>
      </c>
      <c r="D71" s="241">
        <v>0.01</v>
      </c>
      <c r="E71" s="7" t="s">
        <v>422</v>
      </c>
      <c r="F71" s="113"/>
      <c r="G71" s="260"/>
      <c r="H71" s="259"/>
      <c r="I71" s="8"/>
      <c r="J71" s="113"/>
      <c r="K71" s="260">
        <v>1.61</v>
      </c>
      <c r="L71" s="259">
        <v>7.65</v>
      </c>
      <c r="M71" s="241">
        <f>K71-M72-M73</f>
        <v>0.8</v>
      </c>
      <c r="N71" s="7" t="s">
        <v>422</v>
      </c>
      <c r="O71" s="113"/>
      <c r="P71" s="260">
        <v>3.02</v>
      </c>
      <c r="Q71" s="259">
        <v>7.43</v>
      </c>
      <c r="R71" s="245">
        <f>P71-R72-R73</f>
        <v>2.21</v>
      </c>
      <c r="S71" s="7" t="s">
        <v>266</v>
      </c>
      <c r="T71" s="113"/>
      <c r="U71" s="260"/>
      <c r="V71" s="259"/>
      <c r="W71" s="241">
        <f>R71</f>
        <v>2.21</v>
      </c>
      <c r="X71" s="7" t="s">
        <v>266</v>
      </c>
      <c r="Y71" s="113"/>
      <c r="Z71" s="260">
        <v>0.8</v>
      </c>
      <c r="AA71" s="259">
        <v>7.27</v>
      </c>
      <c r="AB71" s="91"/>
      <c r="AC71" s="24"/>
      <c r="AD71" s="113"/>
      <c r="AE71" s="241">
        <v>0.11</v>
      </c>
      <c r="AF71" s="240">
        <v>7.56</v>
      </c>
      <c r="AG71" s="245"/>
      <c r="AH71" s="24"/>
      <c r="AI71" s="40"/>
      <c r="AJ71" s="153" t="s">
        <v>278</v>
      </c>
      <c r="AK71" s="184" t="s">
        <v>1</v>
      </c>
      <c r="AL71" s="21"/>
      <c r="AM71" s="21"/>
      <c r="AN71" s="21"/>
      <c r="AO71" s="21"/>
      <c r="AP71" s="53"/>
      <c r="AQ71" s="1"/>
      <c r="AR71" s="2"/>
      <c r="AS71" s="1"/>
    </row>
    <row r="72" spans="1:45" s="25" customFormat="1" x14ac:dyDescent="0.25">
      <c r="A72" s="261"/>
      <c r="B72" s="260"/>
      <c r="C72" s="259"/>
      <c r="D72" s="240">
        <f>B71-D71-D73</f>
        <v>0.77</v>
      </c>
      <c r="E72" s="6" t="s">
        <v>38</v>
      </c>
      <c r="F72" s="113"/>
      <c r="G72" s="260"/>
      <c r="H72" s="259"/>
      <c r="I72" s="116"/>
      <c r="J72" s="113"/>
      <c r="K72" s="260"/>
      <c r="L72" s="259"/>
      <c r="M72" s="241">
        <f>R72</f>
        <v>0.8</v>
      </c>
      <c r="N72" s="6" t="s">
        <v>38</v>
      </c>
      <c r="O72" s="113"/>
      <c r="P72" s="260"/>
      <c r="Q72" s="259"/>
      <c r="R72" s="245">
        <f>W72</f>
        <v>0.8</v>
      </c>
      <c r="S72" s="6" t="s">
        <v>38</v>
      </c>
      <c r="T72" s="113"/>
      <c r="U72" s="260">
        <v>4.58</v>
      </c>
      <c r="V72" s="259">
        <v>7.47</v>
      </c>
      <c r="W72" s="241">
        <f>AB72</f>
        <v>0.8</v>
      </c>
      <c r="X72" s="6" t="s">
        <v>38</v>
      </c>
      <c r="Y72" s="113"/>
      <c r="Z72" s="260"/>
      <c r="AA72" s="259"/>
      <c r="AB72" s="245">
        <f>Z71</f>
        <v>0.8</v>
      </c>
      <c r="AC72" s="6" t="s">
        <v>38</v>
      </c>
      <c r="AD72" s="113"/>
      <c r="AE72" s="241"/>
      <c r="AF72" s="240"/>
      <c r="AG72" s="245"/>
      <c r="AH72" s="24"/>
      <c r="AI72" s="40"/>
      <c r="AJ72" s="111" t="s">
        <v>279</v>
      </c>
      <c r="AK72" s="19">
        <f>D4+D8+D12+D14+D18+D21+D29+D30+D31+D33+D35+D36+D40+D42+D41+D44+D45+D46+D47+D48+D50+D58+D59+D62+D69+D71+D72+D73+D75+D76+D77+D78+D79+D80+D81+D83+D86+D91+D92+D99+D103+D104+D106+D115+D112+D111+D113+D118+D125+D126+D128+D134+D135+D140+D146+D152+D153+D154+D158+D168+D198+D204</f>
        <v>35.872777777777785</v>
      </c>
      <c r="AL72" s="21"/>
      <c r="AM72" s="21"/>
      <c r="AN72" s="21"/>
      <c r="AO72" s="21" t="s">
        <v>302</v>
      </c>
      <c r="AP72" s="53"/>
      <c r="AQ72" s="53"/>
      <c r="AR72" s="53"/>
      <c r="AS72" s="1"/>
    </row>
    <row r="73" spans="1:45" s="25" customFormat="1" x14ac:dyDescent="0.25">
      <c r="A73" s="261"/>
      <c r="B73" s="260"/>
      <c r="C73" s="259"/>
      <c r="D73" s="241">
        <v>0.01</v>
      </c>
      <c r="E73" s="15" t="s">
        <v>68</v>
      </c>
      <c r="F73" s="113"/>
      <c r="G73" s="260"/>
      <c r="H73" s="259"/>
      <c r="I73" s="240"/>
      <c r="J73" s="113"/>
      <c r="K73" s="260"/>
      <c r="L73" s="259"/>
      <c r="M73" s="241">
        <f>R73</f>
        <v>0.01</v>
      </c>
      <c r="N73" s="15" t="s">
        <v>68</v>
      </c>
      <c r="O73" s="113"/>
      <c r="P73" s="260"/>
      <c r="Q73" s="259"/>
      <c r="R73" s="245">
        <v>0.01</v>
      </c>
      <c r="S73" s="15" t="s">
        <v>68</v>
      </c>
      <c r="T73" s="113"/>
      <c r="U73" s="260"/>
      <c r="V73" s="259"/>
      <c r="W73" s="241">
        <f>AB73</f>
        <v>0.19</v>
      </c>
      <c r="X73" s="15" t="s">
        <v>68</v>
      </c>
      <c r="Y73" s="113"/>
      <c r="Z73" s="241">
        <v>0.19</v>
      </c>
      <c r="AA73" s="240">
        <v>7.36</v>
      </c>
      <c r="AB73" s="245">
        <f>Z73</f>
        <v>0.19</v>
      </c>
      <c r="AC73" s="15" t="s">
        <v>68</v>
      </c>
      <c r="AD73" s="113"/>
      <c r="AE73" s="241">
        <v>0.08</v>
      </c>
      <c r="AF73" s="240">
        <v>7.71</v>
      </c>
      <c r="AG73" s="245"/>
      <c r="AH73" s="240"/>
      <c r="AI73" s="40"/>
      <c r="AJ73" s="111" t="s">
        <v>280</v>
      </c>
      <c r="AK73" s="19">
        <f>D74+D88+D89+D95+D98+D108+D109+D116+D121+D124+D127+D133+D136+D138+D145+D148+D149+D150+D156+D159+D166+D172+D185+D187+D188+D210</f>
        <v>11.163888888888888</v>
      </c>
      <c r="AL73" s="21"/>
      <c r="AM73" s="21"/>
      <c r="AN73" s="21"/>
      <c r="AO73" s="21" t="s">
        <v>303</v>
      </c>
      <c r="AP73" s="53"/>
      <c r="AQ73" s="53"/>
      <c r="AR73" s="53"/>
      <c r="AS73" s="1"/>
    </row>
    <row r="74" spans="1:45" s="25" customFormat="1" x14ac:dyDescent="0.25">
      <c r="A74" s="261">
        <v>18</v>
      </c>
      <c r="B74" s="260">
        <v>2.95</v>
      </c>
      <c r="C74" s="259">
        <v>7.64</v>
      </c>
      <c r="D74" s="241">
        <v>0.16</v>
      </c>
      <c r="E74" s="74" t="s">
        <v>145</v>
      </c>
      <c r="F74" s="113"/>
      <c r="G74" s="260">
        <v>4.08</v>
      </c>
      <c r="H74" s="259">
        <v>7.68</v>
      </c>
      <c r="I74" s="8"/>
      <c r="J74" s="113"/>
      <c r="K74" s="260">
        <v>3.74</v>
      </c>
      <c r="L74" s="259">
        <v>7.81</v>
      </c>
      <c r="M74" s="241">
        <f>D74</f>
        <v>0.16</v>
      </c>
      <c r="N74" s="74" t="s">
        <v>145</v>
      </c>
      <c r="O74" s="113"/>
      <c r="P74" s="260">
        <v>4.97</v>
      </c>
      <c r="Q74" s="259">
        <v>7.59</v>
      </c>
      <c r="R74" s="245">
        <v>0.06</v>
      </c>
      <c r="S74" s="6" t="s">
        <v>313</v>
      </c>
      <c r="T74" s="113"/>
      <c r="U74" s="260">
        <v>3.39</v>
      </c>
      <c r="V74" s="259">
        <v>7.57</v>
      </c>
      <c r="W74" s="241">
        <f>R74</f>
        <v>0.06</v>
      </c>
      <c r="X74" s="6" t="s">
        <v>313</v>
      </c>
      <c r="Y74" s="113"/>
      <c r="Z74" s="260">
        <v>0.35</v>
      </c>
      <c r="AA74" s="259">
        <v>7.42</v>
      </c>
      <c r="AB74" s="245"/>
      <c r="AC74" s="24"/>
      <c r="AD74" s="113"/>
      <c r="AE74" s="260">
        <v>0.33</v>
      </c>
      <c r="AF74" s="259">
        <v>7.8</v>
      </c>
      <c r="AG74" s="245"/>
      <c r="AH74" s="240"/>
      <c r="AI74" s="40"/>
      <c r="AJ74" s="111" t="s">
        <v>281</v>
      </c>
      <c r="AK74" s="19">
        <f>D132+D144+D157+D162+D178+D182+D183+D184+D186+D190+D191+D203</f>
        <v>7.839999999999999</v>
      </c>
      <c r="AL74" s="21"/>
      <c r="AM74" s="21"/>
      <c r="AN74" s="21"/>
      <c r="AO74" s="21" t="s">
        <v>304</v>
      </c>
      <c r="AP74" s="53"/>
      <c r="AQ74" s="53"/>
      <c r="AR74" s="53"/>
      <c r="AS74" s="1"/>
    </row>
    <row r="75" spans="1:45" s="25" customFormat="1" x14ac:dyDescent="0.25">
      <c r="A75" s="261"/>
      <c r="B75" s="260"/>
      <c r="C75" s="259"/>
      <c r="D75" s="241">
        <f>R75</f>
        <v>0.36</v>
      </c>
      <c r="E75" s="7" t="s">
        <v>354</v>
      </c>
      <c r="F75" s="113"/>
      <c r="G75" s="260"/>
      <c r="H75" s="259"/>
      <c r="I75" s="240"/>
      <c r="J75" s="113"/>
      <c r="K75" s="260"/>
      <c r="L75" s="259"/>
      <c r="M75" s="241">
        <f>D75</f>
        <v>0.36</v>
      </c>
      <c r="N75" s="7" t="s">
        <v>354</v>
      </c>
      <c r="O75" s="113"/>
      <c r="P75" s="260"/>
      <c r="Q75" s="259"/>
      <c r="R75" s="245">
        <v>0.36</v>
      </c>
      <c r="S75" s="7" t="s">
        <v>354</v>
      </c>
      <c r="T75" s="113"/>
      <c r="U75" s="260"/>
      <c r="V75" s="259"/>
      <c r="W75" s="241">
        <f>R75</f>
        <v>0.36</v>
      </c>
      <c r="X75" s="7" t="s">
        <v>354</v>
      </c>
      <c r="Y75" s="113"/>
      <c r="Z75" s="260"/>
      <c r="AA75" s="259"/>
      <c r="AB75" s="245"/>
      <c r="AC75" s="24"/>
      <c r="AD75" s="113"/>
      <c r="AE75" s="260"/>
      <c r="AF75" s="259"/>
      <c r="AG75" s="245"/>
      <c r="AH75" s="240"/>
      <c r="AI75" s="40"/>
      <c r="AJ75" s="111" t="s">
        <v>282</v>
      </c>
      <c r="AK75" s="19">
        <f>D189+D202+D208+D209+D212</f>
        <v>8.8550000000000004</v>
      </c>
      <c r="AL75" s="21"/>
      <c r="AM75" s="21"/>
      <c r="AN75" s="21"/>
      <c r="AO75" s="21" t="s">
        <v>305</v>
      </c>
      <c r="AP75" s="53"/>
      <c r="AQ75" s="53"/>
      <c r="AR75" s="53"/>
      <c r="AS75" s="1"/>
    </row>
    <row r="76" spans="1:45" s="25" customFormat="1" x14ac:dyDescent="0.25">
      <c r="A76" s="261"/>
      <c r="B76" s="260"/>
      <c r="C76" s="259"/>
      <c r="D76" s="241">
        <v>0.01</v>
      </c>
      <c r="E76" s="58" t="s">
        <v>417</v>
      </c>
      <c r="F76" s="113"/>
      <c r="G76" s="260"/>
      <c r="H76" s="259"/>
      <c r="I76" s="8"/>
      <c r="J76" s="113"/>
      <c r="K76" s="260"/>
      <c r="L76" s="259"/>
      <c r="M76" s="241">
        <v>0.01</v>
      </c>
      <c r="N76" s="58" t="s">
        <v>417</v>
      </c>
      <c r="O76" s="113"/>
      <c r="P76" s="260"/>
      <c r="Q76" s="259"/>
      <c r="R76" s="16">
        <v>0.59</v>
      </c>
      <c r="S76" s="58" t="s">
        <v>130</v>
      </c>
      <c r="T76" s="113"/>
      <c r="U76" s="260"/>
      <c r="V76" s="259"/>
      <c r="W76" s="241">
        <f>R76</f>
        <v>0.59</v>
      </c>
      <c r="X76" s="58" t="s">
        <v>130</v>
      </c>
      <c r="Y76" s="113"/>
      <c r="Z76" s="260"/>
      <c r="AA76" s="259"/>
      <c r="AB76" s="24"/>
      <c r="AC76" s="24"/>
      <c r="AD76" s="113"/>
      <c r="AE76" s="260"/>
      <c r="AF76" s="259"/>
      <c r="AG76" s="245"/>
      <c r="AH76" s="240"/>
      <c r="AI76" s="40"/>
      <c r="AJ76" s="111" t="s">
        <v>283</v>
      </c>
      <c r="AK76" s="19">
        <f>D207</f>
        <v>2.46</v>
      </c>
      <c r="AL76" s="21"/>
      <c r="AM76" s="21"/>
      <c r="AN76" s="21"/>
      <c r="AO76" s="21" t="s">
        <v>306</v>
      </c>
      <c r="AP76" s="53"/>
      <c r="AQ76" s="53"/>
      <c r="AR76" s="53"/>
      <c r="AS76" s="1"/>
    </row>
    <row r="77" spans="1:45" s="25" customFormat="1" x14ac:dyDescent="0.25">
      <c r="A77" s="261"/>
      <c r="B77" s="260"/>
      <c r="C77" s="259"/>
      <c r="D77" s="241">
        <f>R77</f>
        <v>0.28999999999999998</v>
      </c>
      <c r="E77" s="59" t="s">
        <v>74</v>
      </c>
      <c r="F77" s="113"/>
      <c r="G77" s="260"/>
      <c r="H77" s="259"/>
      <c r="I77" s="8"/>
      <c r="J77" s="113"/>
      <c r="K77" s="260"/>
      <c r="L77" s="259"/>
      <c r="M77" s="241">
        <f>D77</f>
        <v>0.28999999999999998</v>
      </c>
      <c r="N77" s="59" t="s">
        <v>74</v>
      </c>
      <c r="O77" s="113"/>
      <c r="P77" s="260"/>
      <c r="Q77" s="259"/>
      <c r="R77" s="245">
        <f>AB77</f>
        <v>0.28999999999999998</v>
      </c>
      <c r="S77" s="59" t="s">
        <v>74</v>
      </c>
      <c r="T77" s="113"/>
      <c r="U77" s="260"/>
      <c r="V77" s="259"/>
      <c r="W77" s="241">
        <f>R77</f>
        <v>0.28999999999999998</v>
      </c>
      <c r="X77" s="59" t="s">
        <v>74</v>
      </c>
      <c r="Y77" s="113"/>
      <c r="Z77" s="260"/>
      <c r="AA77" s="259"/>
      <c r="AB77" s="245">
        <v>0.28999999999999998</v>
      </c>
      <c r="AC77" s="59" t="s">
        <v>74</v>
      </c>
      <c r="AD77" s="113"/>
      <c r="AE77" s="260"/>
      <c r="AF77" s="259"/>
      <c r="AG77" s="245">
        <f>AE74/2</f>
        <v>0.16500000000000001</v>
      </c>
      <c r="AH77" s="59" t="s">
        <v>74</v>
      </c>
      <c r="AI77" s="40"/>
      <c r="AJ77" s="111" t="s">
        <v>285</v>
      </c>
      <c r="AK77" s="19">
        <f>D108+D203+D88+D89+D144+D188+D189+D190+D191+D202+D207+D208+D209+D156</f>
        <v>17.069999999999997</v>
      </c>
      <c r="AL77" s="21"/>
      <c r="AM77" s="21"/>
      <c r="AN77" s="21"/>
      <c r="AO77" s="21" t="s">
        <v>307</v>
      </c>
      <c r="AP77" s="53"/>
      <c r="AQ77" s="53"/>
      <c r="AR77" s="53"/>
      <c r="AS77" s="1"/>
    </row>
    <row r="78" spans="1:45" s="25" customFormat="1" x14ac:dyDescent="0.25">
      <c r="A78" s="261"/>
      <c r="B78" s="260"/>
      <c r="C78" s="259"/>
      <c r="D78" s="241">
        <v>0.01</v>
      </c>
      <c r="E78" s="22" t="s">
        <v>406</v>
      </c>
      <c r="F78" s="113"/>
      <c r="G78" s="260"/>
      <c r="H78" s="259"/>
      <c r="I78" s="8"/>
      <c r="J78" s="113"/>
      <c r="K78" s="260"/>
      <c r="L78" s="259"/>
      <c r="M78" s="241">
        <f>K74-M75-M76-M79-M80-M81-M77-M74</f>
        <v>0.79999999999999993</v>
      </c>
      <c r="N78" s="22" t="s">
        <v>406</v>
      </c>
      <c r="O78" s="113"/>
      <c r="P78" s="260"/>
      <c r="Q78" s="259"/>
      <c r="R78" s="245">
        <v>0.01</v>
      </c>
      <c r="S78" s="22" t="s">
        <v>425</v>
      </c>
      <c r="T78" s="113"/>
      <c r="U78" s="260"/>
      <c r="V78" s="259"/>
      <c r="W78" s="241">
        <v>4.8099999999999996</v>
      </c>
      <c r="X78" s="22" t="s">
        <v>209</v>
      </c>
      <c r="Y78" s="113"/>
      <c r="Z78" s="260">
        <v>0.44</v>
      </c>
      <c r="AA78" s="259">
        <v>7.51</v>
      </c>
      <c r="AB78" s="24"/>
      <c r="AC78" s="24"/>
      <c r="AD78" s="113"/>
      <c r="AE78" s="260"/>
      <c r="AF78" s="259"/>
      <c r="AG78" s="245"/>
      <c r="AH78" s="24"/>
      <c r="AI78" s="40"/>
      <c r="AJ78" s="111" t="s">
        <v>284</v>
      </c>
      <c r="AK78" s="19">
        <f>D74+D87+D95+D98+D109+D116+D121+D124+D127+D133+D136+D138+D145+D148+D149+D150+D166+D172+D185+D187+D210+D132+D143+D157+D162+D178+D182+D183+D184+D186+D159</f>
        <v>11.85888888888889</v>
      </c>
      <c r="AL78" s="21"/>
      <c r="AM78" s="21"/>
      <c r="AN78" s="21"/>
      <c r="AO78" s="21" t="s">
        <v>308</v>
      </c>
      <c r="AP78" s="53"/>
      <c r="AQ78" s="53"/>
      <c r="AR78" s="53"/>
      <c r="AS78" s="1"/>
    </row>
    <row r="79" spans="1:45" s="25" customFormat="1" x14ac:dyDescent="0.25">
      <c r="A79" s="261"/>
      <c r="B79" s="260"/>
      <c r="C79" s="259"/>
      <c r="D79" s="241">
        <f>B74-D75-D76-D81-D80-D77-D74-D78</f>
        <v>1.7600000000000007</v>
      </c>
      <c r="E79" s="249" t="s">
        <v>403</v>
      </c>
      <c r="F79" s="113"/>
      <c r="G79" s="260"/>
      <c r="H79" s="259"/>
      <c r="I79" s="8"/>
      <c r="J79" s="113"/>
      <c r="K79" s="260"/>
      <c r="L79" s="259"/>
      <c r="M79" s="241">
        <f>D79</f>
        <v>1.7600000000000007</v>
      </c>
      <c r="N79" s="249" t="s">
        <v>403</v>
      </c>
      <c r="O79" s="113"/>
      <c r="P79" s="260"/>
      <c r="Q79" s="259"/>
      <c r="R79" s="16">
        <f>P74+P71-R71-R72-R73-R75-R76-R81-R80-R77-R74-R78+P70-R70</f>
        <v>3.6800000000000006</v>
      </c>
      <c r="S79" s="249" t="s">
        <v>426</v>
      </c>
      <c r="T79" s="113"/>
      <c r="U79" s="260"/>
      <c r="V79" s="259"/>
      <c r="W79" s="241">
        <f>U82+U74+U72+U70-W70-W71-W72-W73-W75-W76-W81-W80-W77-W82-W74-W78</f>
        <v>1.8400000000000025</v>
      </c>
      <c r="X79" s="249" t="s">
        <v>131</v>
      </c>
      <c r="Y79" s="113"/>
      <c r="Z79" s="260"/>
      <c r="AA79" s="259"/>
      <c r="AB79" s="24"/>
      <c r="AC79" s="24"/>
      <c r="AD79" s="113"/>
      <c r="AE79" s="260"/>
      <c r="AF79" s="259"/>
      <c r="AG79" s="245"/>
      <c r="AH79" s="24"/>
      <c r="AI79" s="40"/>
      <c r="AJ79" s="111" t="s">
        <v>286</v>
      </c>
      <c r="AK79" s="19">
        <f>D212+D206+D206+D206+D201+D192+D192+D192+D192+D160+D160+D90</f>
        <v>1.39</v>
      </c>
      <c r="AL79" s="21"/>
      <c r="AM79" s="21"/>
      <c r="AN79" s="21"/>
      <c r="AO79" s="21"/>
      <c r="AP79" s="53"/>
      <c r="AQ79" s="53"/>
      <c r="AR79" s="53"/>
      <c r="AS79" s="1"/>
    </row>
    <row r="80" spans="1:45" s="25" customFormat="1" x14ac:dyDescent="0.25">
      <c r="A80" s="261"/>
      <c r="B80" s="260"/>
      <c r="C80" s="259"/>
      <c r="D80" s="240">
        <f>R80</f>
        <v>0.34999999999999992</v>
      </c>
      <c r="E80" s="249" t="s">
        <v>73</v>
      </c>
      <c r="F80" s="113"/>
      <c r="G80" s="260"/>
      <c r="H80" s="259"/>
      <c r="I80" s="8"/>
      <c r="J80" s="113"/>
      <c r="K80" s="260"/>
      <c r="L80" s="259"/>
      <c r="M80" s="241">
        <f>D80</f>
        <v>0.34999999999999992</v>
      </c>
      <c r="N80" s="249" t="s">
        <v>73</v>
      </c>
      <c r="O80" s="113"/>
      <c r="P80" s="260"/>
      <c r="Q80" s="259"/>
      <c r="R80" s="245">
        <f>AB80</f>
        <v>0.34999999999999992</v>
      </c>
      <c r="S80" s="249" t="s">
        <v>73</v>
      </c>
      <c r="T80" s="113"/>
      <c r="U80" s="260"/>
      <c r="V80" s="259"/>
      <c r="W80" s="241">
        <v>0.27</v>
      </c>
      <c r="X80" s="249" t="s">
        <v>73</v>
      </c>
      <c r="Y80" s="113"/>
      <c r="Z80" s="260"/>
      <c r="AA80" s="259"/>
      <c r="AB80" s="245">
        <f>Z78+Z74+Z83-AB85-AB82-AB77</f>
        <v>0.34999999999999992</v>
      </c>
      <c r="AC80" s="249" t="s">
        <v>73</v>
      </c>
      <c r="AD80" s="113"/>
      <c r="AE80" s="260"/>
      <c r="AF80" s="259"/>
      <c r="AG80" s="245">
        <f>AG77</f>
        <v>0.16500000000000001</v>
      </c>
      <c r="AH80" s="249" t="s">
        <v>73</v>
      </c>
      <c r="AI80" s="40"/>
      <c r="AJ80" s="111" t="s">
        <v>309</v>
      </c>
      <c r="AK80" s="19">
        <f>D74+D88+D89+D95+D98+D109+D116+D121+D124+D127+D133+D136+D138+D145+D148+D149+D150+D156+D159+D166+D172+D185+D187+D188+D210+D132+D144+D157+D162+D178+D182+D183+D184+D186+D190+D191+D203+D189+D202+D208+D209+D212+D207+D108</f>
        <v>30.318888888888889</v>
      </c>
      <c r="AL80" s="21"/>
      <c r="AM80" s="21"/>
      <c r="AN80" s="21"/>
      <c r="AO80" s="21" t="s">
        <v>310</v>
      </c>
      <c r="AP80" s="53"/>
      <c r="AQ80" s="53"/>
      <c r="AR80" s="53"/>
      <c r="AS80" s="1"/>
    </row>
    <row r="81" spans="1:45" s="25" customFormat="1" x14ac:dyDescent="0.25">
      <c r="A81" s="261"/>
      <c r="B81" s="260"/>
      <c r="C81" s="259"/>
      <c r="D81" s="241">
        <v>0.01</v>
      </c>
      <c r="E81" s="68" t="s">
        <v>440</v>
      </c>
      <c r="F81" s="113"/>
      <c r="G81" s="260"/>
      <c r="H81" s="259"/>
      <c r="I81" s="8"/>
      <c r="J81" s="113"/>
      <c r="K81" s="260"/>
      <c r="L81" s="259"/>
      <c r="M81" s="241">
        <f>D81</f>
        <v>0.01</v>
      </c>
      <c r="N81" s="68" t="s">
        <v>440</v>
      </c>
      <c r="O81" s="113"/>
      <c r="P81" s="260"/>
      <c r="Q81" s="259"/>
      <c r="R81" s="16">
        <v>0.01</v>
      </c>
      <c r="S81" s="68" t="s">
        <v>132</v>
      </c>
      <c r="T81" s="113"/>
      <c r="U81" s="260"/>
      <c r="V81" s="259"/>
      <c r="W81" s="241">
        <f>R81</f>
        <v>0.01</v>
      </c>
      <c r="X81" s="68" t="s">
        <v>132</v>
      </c>
      <c r="Y81" s="113"/>
      <c r="Z81" s="260"/>
      <c r="AA81" s="259"/>
      <c r="AB81" s="245"/>
      <c r="AC81" s="24"/>
      <c r="AD81" s="113"/>
      <c r="AE81" s="260"/>
      <c r="AF81" s="259"/>
      <c r="AG81" s="245"/>
      <c r="AH81" s="240"/>
      <c r="AI81" s="40"/>
      <c r="AP81" s="53"/>
      <c r="AQ81" s="53"/>
      <c r="AR81" s="53"/>
      <c r="AS81" s="1"/>
    </row>
    <row r="82" spans="1:45" s="25" customFormat="1" x14ac:dyDescent="0.25">
      <c r="A82" s="261"/>
      <c r="B82" s="260"/>
      <c r="C82" s="259"/>
      <c r="D82" s="24"/>
      <c r="E82" s="24"/>
      <c r="F82" s="113"/>
      <c r="G82" s="260"/>
      <c r="H82" s="259"/>
      <c r="I82" s="241"/>
      <c r="J82" s="113"/>
      <c r="K82" s="260"/>
      <c r="L82" s="259"/>
      <c r="M82" s="24"/>
      <c r="N82" s="24"/>
      <c r="O82" s="113"/>
      <c r="P82" s="260"/>
      <c r="Q82" s="259"/>
      <c r="R82" s="24"/>
      <c r="S82" s="24"/>
      <c r="T82" s="113"/>
      <c r="U82" s="241">
        <v>2.33</v>
      </c>
      <c r="V82" s="240">
        <v>7.68</v>
      </c>
      <c r="W82" s="241">
        <f>AB82</f>
        <v>0.15</v>
      </c>
      <c r="X82" s="75" t="s">
        <v>44</v>
      </c>
      <c r="Y82" s="113"/>
      <c r="Z82" s="260"/>
      <c r="AA82" s="259"/>
      <c r="AB82" s="245">
        <v>0.15</v>
      </c>
      <c r="AC82" s="75" t="s">
        <v>44</v>
      </c>
      <c r="AD82" s="113"/>
      <c r="AE82" s="260"/>
      <c r="AF82" s="259"/>
      <c r="AG82" s="245"/>
      <c r="AH82" s="24"/>
      <c r="AI82" s="40"/>
      <c r="AN82" s="36"/>
      <c r="AP82" s="53"/>
      <c r="AQ82" s="53"/>
      <c r="AR82" s="53"/>
      <c r="AS82" s="1"/>
    </row>
    <row r="83" spans="1:45" s="25" customFormat="1" x14ac:dyDescent="0.25">
      <c r="A83" s="261">
        <v>19</v>
      </c>
      <c r="B83" s="260">
        <v>0.69</v>
      </c>
      <c r="C83" s="259">
        <v>7.77</v>
      </c>
      <c r="D83" s="241">
        <v>0.01</v>
      </c>
      <c r="E83" s="22" t="s">
        <v>417</v>
      </c>
      <c r="F83" s="113"/>
      <c r="G83" s="260">
        <v>0.88</v>
      </c>
      <c r="H83" s="259">
        <v>7.8</v>
      </c>
      <c r="I83" s="56"/>
      <c r="J83" s="113"/>
      <c r="K83" s="260">
        <v>0.83</v>
      </c>
      <c r="L83" s="259">
        <v>7.92</v>
      </c>
      <c r="M83" s="241">
        <f>K83-M85</f>
        <v>0.14000000000000001</v>
      </c>
      <c r="N83" s="22" t="s">
        <v>417</v>
      </c>
      <c r="O83" s="113"/>
      <c r="P83" s="260">
        <v>0.88</v>
      </c>
      <c r="Q83" s="259">
        <v>7.72</v>
      </c>
      <c r="R83" s="245">
        <f>P83-R85</f>
        <v>0.19000000000000006</v>
      </c>
      <c r="S83" s="22" t="s">
        <v>130</v>
      </c>
      <c r="T83" s="113"/>
      <c r="U83" s="260">
        <v>0.88</v>
      </c>
      <c r="V83" s="259">
        <v>7.81</v>
      </c>
      <c r="W83" s="241">
        <f>R83</f>
        <v>0.19000000000000006</v>
      </c>
      <c r="X83" s="22" t="s">
        <v>130</v>
      </c>
      <c r="Y83" s="113"/>
      <c r="Z83" s="260">
        <v>0.84</v>
      </c>
      <c r="AA83" s="259">
        <v>7.62</v>
      </c>
      <c r="AB83" s="245"/>
      <c r="AC83" s="246"/>
      <c r="AD83" s="113"/>
      <c r="AE83" s="260">
        <v>0.71</v>
      </c>
      <c r="AF83" s="259">
        <v>7.92</v>
      </c>
      <c r="AG83" s="245"/>
      <c r="AH83" s="24"/>
      <c r="AI83" s="40"/>
      <c r="AN83" s="36"/>
      <c r="AP83" s="3"/>
      <c r="AQ83" s="53"/>
      <c r="AR83" s="53"/>
      <c r="AS83" s="2"/>
    </row>
    <row r="84" spans="1:45" s="25" customFormat="1" x14ac:dyDescent="0.25">
      <c r="A84" s="261"/>
      <c r="B84" s="260"/>
      <c r="C84" s="259"/>
      <c r="D84" s="240"/>
      <c r="E84" s="73"/>
      <c r="F84" s="113"/>
      <c r="G84" s="260"/>
      <c r="H84" s="259"/>
      <c r="I84" s="240"/>
      <c r="J84" s="113"/>
      <c r="K84" s="260"/>
      <c r="L84" s="259"/>
      <c r="M84" s="241"/>
      <c r="N84" s="246"/>
      <c r="O84" s="113"/>
      <c r="P84" s="260"/>
      <c r="Q84" s="259"/>
      <c r="R84" s="245"/>
      <c r="S84" s="246"/>
      <c r="T84" s="113"/>
      <c r="U84" s="260"/>
      <c r="V84" s="259"/>
      <c r="W84" s="241">
        <f>AB84</f>
        <v>0.16</v>
      </c>
      <c r="X84" s="75" t="s">
        <v>196</v>
      </c>
      <c r="Y84" s="113"/>
      <c r="Z84" s="260"/>
      <c r="AA84" s="259"/>
      <c r="AB84" s="241">
        <v>0.16</v>
      </c>
      <c r="AC84" s="75" t="s">
        <v>196</v>
      </c>
      <c r="AD84" s="113"/>
      <c r="AE84" s="260"/>
      <c r="AF84" s="259"/>
      <c r="AG84" s="245"/>
      <c r="AH84" s="24"/>
      <c r="AI84" s="40"/>
      <c r="AN84" s="36"/>
      <c r="AP84" s="3"/>
      <c r="AQ84" s="53"/>
      <c r="AR84" s="53"/>
      <c r="AS84" s="2"/>
    </row>
    <row r="85" spans="1:45" s="25" customFormat="1" x14ac:dyDescent="0.25">
      <c r="A85" s="261"/>
      <c r="B85" s="260"/>
      <c r="C85" s="259"/>
      <c r="D85" s="240">
        <f>B83</f>
        <v>0.69</v>
      </c>
      <c r="E85" s="54" t="s">
        <v>34</v>
      </c>
      <c r="F85" s="113"/>
      <c r="G85" s="260"/>
      <c r="H85" s="259"/>
      <c r="I85" s="241"/>
      <c r="J85" s="113"/>
      <c r="K85" s="260"/>
      <c r="L85" s="259"/>
      <c r="M85" s="241">
        <f>R85</f>
        <v>0.69</v>
      </c>
      <c r="N85" s="54" t="s">
        <v>34</v>
      </c>
      <c r="O85" s="113"/>
      <c r="P85" s="260"/>
      <c r="Q85" s="259"/>
      <c r="R85" s="245">
        <f>D85</f>
        <v>0.69</v>
      </c>
      <c r="S85" s="54" t="s">
        <v>34</v>
      </c>
      <c r="T85" s="113"/>
      <c r="U85" s="260"/>
      <c r="V85" s="259"/>
      <c r="W85" s="241">
        <v>0.69</v>
      </c>
      <c r="X85" s="54" t="s">
        <v>34</v>
      </c>
      <c r="Y85" s="113"/>
      <c r="Z85" s="260"/>
      <c r="AA85" s="259"/>
      <c r="AB85" s="245">
        <f>1-0.16</f>
        <v>0.84</v>
      </c>
      <c r="AC85" s="54" t="s">
        <v>34</v>
      </c>
      <c r="AD85" s="113"/>
      <c r="AE85" s="260"/>
      <c r="AF85" s="259"/>
      <c r="AG85" s="245">
        <f>AE83</f>
        <v>0.71</v>
      </c>
      <c r="AH85" s="54" t="s">
        <v>34</v>
      </c>
      <c r="AI85" s="40"/>
      <c r="AN85" s="36"/>
      <c r="AP85" s="3"/>
      <c r="AQ85" s="53"/>
      <c r="AR85" s="53"/>
      <c r="AS85" s="1"/>
    </row>
    <row r="86" spans="1:45" s="25" customFormat="1" x14ac:dyDescent="0.25">
      <c r="A86" s="261">
        <v>20</v>
      </c>
      <c r="B86" s="260">
        <v>4.0199999999999996</v>
      </c>
      <c r="C86" s="259">
        <v>7.88</v>
      </c>
      <c r="D86" s="240">
        <f>R86</f>
        <v>1.91</v>
      </c>
      <c r="E86" s="6" t="s">
        <v>23</v>
      </c>
      <c r="F86" s="113"/>
      <c r="G86" s="260">
        <v>0.53</v>
      </c>
      <c r="H86" s="259">
        <v>7.88</v>
      </c>
      <c r="I86" s="116"/>
      <c r="J86" s="113"/>
      <c r="K86" s="260">
        <v>3.88</v>
      </c>
      <c r="L86" s="259">
        <v>8.0399999999999991</v>
      </c>
      <c r="M86" s="241">
        <f>D86</f>
        <v>1.91</v>
      </c>
      <c r="N86" s="6" t="s">
        <v>23</v>
      </c>
      <c r="O86" s="113"/>
      <c r="P86" s="260">
        <v>3.82</v>
      </c>
      <c r="Q86" s="259">
        <v>7.83</v>
      </c>
      <c r="R86" s="245">
        <f>P86/2</f>
        <v>1.91</v>
      </c>
      <c r="S86" s="6" t="s">
        <v>23</v>
      </c>
      <c r="T86" s="113"/>
      <c r="U86" s="260">
        <v>5.27</v>
      </c>
      <c r="V86" s="259">
        <v>7.92</v>
      </c>
      <c r="W86" s="241">
        <f>AB86</f>
        <v>1.71</v>
      </c>
      <c r="X86" s="6" t="s">
        <v>23</v>
      </c>
      <c r="Y86" s="113"/>
      <c r="Z86" s="260">
        <v>3.7</v>
      </c>
      <c r="AA86" s="259">
        <v>7.72</v>
      </c>
      <c r="AB86" s="245">
        <f>AG86</f>
        <v>1.71</v>
      </c>
      <c r="AC86" s="6" t="s">
        <v>23</v>
      </c>
      <c r="AD86" s="113"/>
      <c r="AE86" s="260">
        <v>3.42</v>
      </c>
      <c r="AF86" s="259">
        <v>8.0399999999999991</v>
      </c>
      <c r="AG86" s="245">
        <f>AE86/2</f>
        <v>1.71</v>
      </c>
      <c r="AH86" s="6" t="s">
        <v>23</v>
      </c>
      <c r="AI86" s="40"/>
      <c r="AN86" s="36"/>
      <c r="AP86" s="3"/>
      <c r="AQ86" s="53"/>
      <c r="AR86" s="53"/>
      <c r="AS86" s="1"/>
    </row>
    <row r="87" spans="1:45" s="25" customFormat="1" x14ac:dyDescent="0.25">
      <c r="A87" s="261"/>
      <c r="B87" s="260"/>
      <c r="C87" s="259"/>
      <c r="D87" s="240"/>
      <c r="E87" s="246"/>
      <c r="F87" s="113"/>
      <c r="G87" s="260"/>
      <c r="H87" s="259"/>
      <c r="I87" s="240"/>
      <c r="J87" s="113"/>
      <c r="K87" s="260"/>
      <c r="L87" s="259"/>
      <c r="M87" s="241"/>
      <c r="N87" s="246"/>
      <c r="O87" s="113"/>
      <c r="P87" s="260"/>
      <c r="Q87" s="259"/>
      <c r="R87" s="245"/>
      <c r="S87" s="246"/>
      <c r="T87" s="113"/>
      <c r="U87" s="260"/>
      <c r="V87" s="259"/>
      <c r="W87" s="241"/>
      <c r="X87" s="246"/>
      <c r="Y87" s="113"/>
      <c r="Z87" s="260"/>
      <c r="AA87" s="259"/>
      <c r="AB87" s="245"/>
      <c r="AC87" s="246"/>
      <c r="AD87" s="113"/>
      <c r="AE87" s="260"/>
      <c r="AF87" s="259"/>
      <c r="AG87" s="26"/>
      <c r="AH87" s="24"/>
      <c r="AI87" s="40"/>
      <c r="AN87" s="36"/>
      <c r="AP87" s="3"/>
      <c r="AQ87" s="53"/>
      <c r="AR87" s="53"/>
      <c r="AS87" s="1"/>
    </row>
    <row r="88" spans="1:45" s="25" customFormat="1" x14ac:dyDescent="0.25">
      <c r="A88" s="261"/>
      <c r="B88" s="260"/>
      <c r="C88" s="259"/>
      <c r="D88" s="241">
        <f>(B86-D86-D91)/2</f>
        <v>9.9999999999999756E-2</v>
      </c>
      <c r="E88" s="249" t="s">
        <v>460</v>
      </c>
      <c r="F88" s="113"/>
      <c r="G88" s="260"/>
      <c r="H88" s="259"/>
      <c r="I88" s="240"/>
      <c r="J88" s="113"/>
      <c r="K88" s="260"/>
      <c r="L88" s="259"/>
      <c r="M88" s="241">
        <f>(K86-M86-M91)/2</f>
        <v>3.0000000000000027E-2</v>
      </c>
      <c r="N88" s="249" t="s">
        <v>146</v>
      </c>
      <c r="O88" s="113"/>
      <c r="P88" s="260"/>
      <c r="Q88" s="259"/>
      <c r="R88" s="245"/>
      <c r="S88" s="246"/>
      <c r="T88" s="113"/>
      <c r="U88" s="260"/>
      <c r="V88" s="259"/>
      <c r="W88" s="241"/>
      <c r="X88" s="246"/>
      <c r="Y88" s="113"/>
      <c r="Z88" s="260"/>
      <c r="AA88" s="259"/>
      <c r="AB88" s="245"/>
      <c r="AC88" s="246"/>
      <c r="AD88" s="113"/>
      <c r="AE88" s="260"/>
      <c r="AF88" s="259"/>
      <c r="AG88" s="245"/>
      <c r="AH88" s="241"/>
      <c r="AI88" s="40"/>
      <c r="AN88" s="36"/>
      <c r="AP88" s="3"/>
      <c r="AQ88" s="53"/>
      <c r="AR88" s="53"/>
      <c r="AS88" s="1"/>
    </row>
    <row r="89" spans="1:45" s="25" customFormat="1" x14ac:dyDescent="0.25">
      <c r="A89" s="261"/>
      <c r="B89" s="260"/>
      <c r="C89" s="259"/>
      <c r="D89" s="241">
        <f>D88</f>
        <v>9.9999999999999756E-2</v>
      </c>
      <c r="E89" s="6" t="s">
        <v>459</v>
      </c>
      <c r="F89" s="113"/>
      <c r="G89" s="260"/>
      <c r="H89" s="259"/>
      <c r="I89" s="116"/>
      <c r="J89" s="113"/>
      <c r="K89" s="260"/>
      <c r="L89" s="259"/>
      <c r="M89" s="241">
        <f>M88</f>
        <v>3.0000000000000027E-2</v>
      </c>
      <c r="N89" s="6" t="s">
        <v>147</v>
      </c>
      <c r="O89" s="113"/>
      <c r="P89" s="260"/>
      <c r="Q89" s="259"/>
      <c r="R89" s="245"/>
      <c r="S89" s="246"/>
      <c r="T89" s="113"/>
      <c r="U89" s="260"/>
      <c r="V89" s="259"/>
      <c r="W89" s="241"/>
      <c r="X89" s="18"/>
      <c r="Y89" s="113"/>
      <c r="Z89" s="260"/>
      <c r="AA89" s="259"/>
      <c r="AB89" s="245"/>
      <c r="AC89" s="18"/>
      <c r="AD89" s="113"/>
      <c r="AE89" s="260"/>
      <c r="AF89" s="259"/>
      <c r="AG89" s="245"/>
      <c r="AH89" s="241"/>
      <c r="AI89" s="40"/>
      <c r="AN89" s="36"/>
      <c r="AP89" s="3"/>
      <c r="AQ89" s="3"/>
      <c r="AR89" s="53"/>
      <c r="AS89" s="1"/>
    </row>
    <row r="90" spans="1:45" s="25" customFormat="1" x14ac:dyDescent="0.25">
      <c r="A90" s="261"/>
      <c r="B90" s="260"/>
      <c r="C90" s="259"/>
      <c r="D90" s="240"/>
      <c r="E90" s="246"/>
      <c r="F90" s="113"/>
      <c r="G90" s="260"/>
      <c r="H90" s="259"/>
      <c r="I90" s="240"/>
      <c r="J90" s="113"/>
      <c r="K90" s="260"/>
      <c r="L90" s="259"/>
      <c r="M90" s="241"/>
      <c r="N90" s="18"/>
      <c r="O90" s="113"/>
      <c r="P90" s="260"/>
      <c r="Q90" s="259"/>
      <c r="R90" s="16"/>
      <c r="S90" s="18"/>
      <c r="T90" s="113"/>
      <c r="U90" s="260"/>
      <c r="V90" s="259"/>
      <c r="W90" s="241"/>
      <c r="X90" s="18"/>
      <c r="Y90" s="113"/>
      <c r="Z90" s="260"/>
      <c r="AA90" s="259"/>
      <c r="AB90" s="245"/>
      <c r="AC90" s="18"/>
      <c r="AD90" s="113"/>
      <c r="AE90" s="260"/>
      <c r="AF90" s="259"/>
      <c r="AG90" s="245"/>
      <c r="AH90" s="241"/>
      <c r="AI90" s="40"/>
      <c r="AN90" s="36"/>
      <c r="AP90" s="3"/>
      <c r="AQ90" s="3"/>
      <c r="AR90" s="53"/>
      <c r="AS90" s="1"/>
    </row>
    <row r="91" spans="1:45" s="25" customFormat="1" x14ac:dyDescent="0.25">
      <c r="A91" s="261"/>
      <c r="B91" s="260"/>
      <c r="C91" s="259"/>
      <c r="D91" s="240">
        <f>R91</f>
        <v>1.91</v>
      </c>
      <c r="E91" s="6" t="s">
        <v>24</v>
      </c>
      <c r="F91" s="113"/>
      <c r="G91" s="260"/>
      <c r="H91" s="259"/>
      <c r="I91" s="116"/>
      <c r="J91" s="113"/>
      <c r="K91" s="260"/>
      <c r="L91" s="259"/>
      <c r="M91" s="241">
        <f>D91</f>
        <v>1.91</v>
      </c>
      <c r="N91" s="6" t="s">
        <v>24</v>
      </c>
      <c r="O91" s="113"/>
      <c r="P91" s="260"/>
      <c r="Q91" s="259"/>
      <c r="R91" s="245">
        <f>R86</f>
        <v>1.91</v>
      </c>
      <c r="S91" s="6" t="s">
        <v>24</v>
      </c>
      <c r="T91" s="113"/>
      <c r="U91" s="260"/>
      <c r="V91" s="259"/>
      <c r="W91" s="241">
        <f>W86</f>
        <v>1.71</v>
      </c>
      <c r="X91" s="6" t="s">
        <v>24</v>
      </c>
      <c r="Y91" s="113"/>
      <c r="Z91" s="260"/>
      <c r="AA91" s="259"/>
      <c r="AB91" s="245">
        <v>1.71</v>
      </c>
      <c r="AC91" s="6" t="s">
        <v>24</v>
      </c>
      <c r="AD91" s="113"/>
      <c r="AE91" s="260"/>
      <c r="AF91" s="259"/>
      <c r="AG91" s="245">
        <v>1.71</v>
      </c>
      <c r="AH91" s="6" t="s">
        <v>24</v>
      </c>
      <c r="AI91" s="40"/>
      <c r="AN91" s="36"/>
      <c r="AP91" s="3"/>
      <c r="AQ91" s="3"/>
      <c r="AR91" s="53"/>
    </row>
    <row r="92" spans="1:45" s="25" customFormat="1" x14ac:dyDescent="0.25">
      <c r="A92" s="261">
        <v>21</v>
      </c>
      <c r="B92" s="260">
        <v>0.77</v>
      </c>
      <c r="C92" s="259">
        <v>7.98</v>
      </c>
      <c r="D92" s="240">
        <f>B92</f>
        <v>0.77</v>
      </c>
      <c r="E92" s="15" t="s">
        <v>439</v>
      </c>
      <c r="F92" s="113"/>
      <c r="G92" s="260">
        <v>0.72</v>
      </c>
      <c r="H92" s="259">
        <v>8.06</v>
      </c>
      <c r="I92" s="240"/>
      <c r="J92" s="113"/>
      <c r="K92" s="260">
        <v>0.47</v>
      </c>
      <c r="L92" s="259">
        <v>8.15</v>
      </c>
      <c r="M92" s="241">
        <f>K92</f>
        <v>0.47</v>
      </c>
      <c r="N92" s="15" t="s">
        <v>439</v>
      </c>
      <c r="O92" s="113"/>
      <c r="P92" s="241">
        <v>0.48</v>
      </c>
      <c r="Q92" s="240">
        <v>7.94</v>
      </c>
      <c r="R92" s="26">
        <f>P92</f>
        <v>0.48</v>
      </c>
      <c r="S92" s="15" t="s">
        <v>321</v>
      </c>
      <c r="T92" s="113"/>
      <c r="U92" s="260"/>
      <c r="V92" s="259"/>
      <c r="W92" s="241">
        <f>R92</f>
        <v>0.48</v>
      </c>
      <c r="X92" s="15" t="s">
        <v>321</v>
      </c>
      <c r="Y92" s="113"/>
      <c r="Z92" s="241">
        <v>0.53</v>
      </c>
      <c r="AA92" s="240">
        <v>7.82</v>
      </c>
      <c r="AB92" s="24"/>
      <c r="AC92" s="24"/>
      <c r="AD92" s="113"/>
      <c r="AE92" s="241">
        <v>0.35</v>
      </c>
      <c r="AF92" s="240">
        <v>8.14</v>
      </c>
      <c r="AG92" s="26"/>
      <c r="AH92" s="24"/>
      <c r="AI92" s="40"/>
      <c r="AN92" s="36"/>
      <c r="AP92" s="3"/>
      <c r="AQ92" s="3"/>
      <c r="AR92" s="53"/>
    </row>
    <row r="93" spans="1:45" s="25" customFormat="1" x14ac:dyDescent="0.25">
      <c r="A93" s="261"/>
      <c r="B93" s="260"/>
      <c r="C93" s="259"/>
      <c r="F93" s="113"/>
      <c r="G93" s="260"/>
      <c r="H93" s="259"/>
      <c r="I93" s="240"/>
      <c r="J93" s="113"/>
      <c r="K93" s="260"/>
      <c r="L93" s="259"/>
      <c r="M93" s="24"/>
      <c r="N93" s="24"/>
      <c r="O93" s="113"/>
      <c r="P93" s="260">
        <v>0.42</v>
      </c>
      <c r="Q93" s="259">
        <v>8.01</v>
      </c>
      <c r="R93" s="245"/>
      <c r="S93" s="24"/>
      <c r="T93" s="113"/>
      <c r="U93" s="260">
        <v>1.32</v>
      </c>
      <c r="V93" s="259">
        <v>8.09</v>
      </c>
      <c r="W93" s="241"/>
      <c r="X93" s="240"/>
      <c r="Y93" s="113"/>
      <c r="Z93" s="260">
        <v>0.44</v>
      </c>
      <c r="AA93" s="259">
        <v>7.92</v>
      </c>
      <c r="AB93" s="245"/>
      <c r="AC93" s="240"/>
      <c r="AD93" s="113"/>
      <c r="AE93" s="260">
        <v>0.28999999999999998</v>
      </c>
      <c r="AF93" s="259">
        <v>8.26</v>
      </c>
      <c r="AG93" s="245"/>
      <c r="AH93" s="240"/>
      <c r="AI93" s="40"/>
      <c r="AN93" s="36"/>
      <c r="AP93" s="3"/>
      <c r="AQ93" s="4"/>
      <c r="AR93" s="53"/>
    </row>
    <row r="94" spans="1:45" s="25" customFormat="1" x14ac:dyDescent="0.25">
      <c r="A94" s="261">
        <v>22</v>
      </c>
      <c r="B94" s="260">
        <v>0.13</v>
      </c>
      <c r="C94" s="259">
        <v>8.11</v>
      </c>
      <c r="D94" s="24"/>
      <c r="E94" s="24"/>
      <c r="F94" s="113"/>
      <c r="G94" s="260"/>
      <c r="H94" s="259"/>
      <c r="I94" s="240"/>
      <c r="J94" s="113"/>
      <c r="K94" s="260"/>
      <c r="L94" s="259"/>
      <c r="M94" s="24"/>
      <c r="N94" s="24"/>
      <c r="O94" s="113"/>
      <c r="P94" s="260"/>
      <c r="Q94" s="259"/>
      <c r="R94" s="245"/>
      <c r="S94" s="91"/>
      <c r="T94" s="113"/>
      <c r="U94" s="260"/>
      <c r="V94" s="259"/>
      <c r="W94" s="241"/>
      <c r="X94" s="246"/>
      <c r="Y94" s="113"/>
      <c r="Z94" s="260"/>
      <c r="AA94" s="259"/>
      <c r="AB94" s="245"/>
      <c r="AC94" s="246"/>
      <c r="AD94" s="113"/>
      <c r="AE94" s="260"/>
      <c r="AF94" s="259"/>
      <c r="AG94" s="245"/>
      <c r="AH94" s="240"/>
      <c r="AI94" s="40"/>
      <c r="AN94" s="36"/>
      <c r="AP94" s="3"/>
      <c r="AQ94" s="3"/>
      <c r="AR94" s="53"/>
    </row>
    <row r="95" spans="1:45" s="25" customFormat="1" x14ac:dyDescent="0.25">
      <c r="A95" s="261"/>
      <c r="B95" s="260"/>
      <c r="C95" s="259"/>
      <c r="D95" s="240">
        <f>B94</f>
        <v>0.13</v>
      </c>
      <c r="E95" s="249" t="s">
        <v>53</v>
      </c>
      <c r="F95" s="113"/>
      <c r="G95" s="260"/>
      <c r="H95" s="259"/>
      <c r="I95" s="240"/>
      <c r="J95" s="113"/>
      <c r="K95" s="260">
        <v>0.49</v>
      </c>
      <c r="L95" s="259">
        <v>8.25</v>
      </c>
      <c r="M95" s="241">
        <f>D95</f>
        <v>0.13</v>
      </c>
      <c r="N95" s="249" t="s">
        <v>53</v>
      </c>
      <c r="O95" s="113"/>
      <c r="P95" s="260"/>
      <c r="Q95" s="259"/>
      <c r="R95" s="26"/>
      <c r="S95" s="24"/>
      <c r="T95" s="113"/>
      <c r="U95" s="260"/>
      <c r="V95" s="259"/>
      <c r="W95" s="241"/>
      <c r="X95" s="246"/>
      <c r="Y95" s="113"/>
      <c r="Z95" s="260"/>
      <c r="AA95" s="259"/>
      <c r="AB95" s="245"/>
      <c r="AC95" s="246"/>
      <c r="AD95" s="113"/>
      <c r="AE95" s="260"/>
      <c r="AF95" s="259"/>
      <c r="AG95" s="245"/>
      <c r="AH95" s="240"/>
      <c r="AI95" s="40"/>
      <c r="AN95" s="36"/>
      <c r="AP95" s="3"/>
      <c r="AQ95" s="3"/>
      <c r="AR95" s="53"/>
    </row>
    <row r="96" spans="1:45" s="25" customFormat="1" x14ac:dyDescent="0.25">
      <c r="A96" s="261"/>
      <c r="B96" s="260"/>
      <c r="C96" s="259"/>
      <c r="D96" s="240"/>
      <c r="E96" s="240"/>
      <c r="F96" s="113"/>
      <c r="G96" s="260"/>
      <c r="H96" s="259"/>
      <c r="I96" s="240"/>
      <c r="J96" s="113"/>
      <c r="K96" s="260"/>
      <c r="L96" s="259"/>
      <c r="M96" s="241">
        <f>K95-M95</f>
        <v>0.36</v>
      </c>
      <c r="N96" s="249" t="s">
        <v>269</v>
      </c>
      <c r="O96" s="113"/>
      <c r="P96" s="260"/>
      <c r="Q96" s="259"/>
      <c r="R96" s="245">
        <f>P93</f>
        <v>0.42</v>
      </c>
      <c r="S96" s="249" t="s">
        <v>500</v>
      </c>
      <c r="T96" s="113"/>
      <c r="U96" s="260"/>
      <c r="V96" s="259"/>
      <c r="W96" s="241">
        <f>U93</f>
        <v>1.32</v>
      </c>
      <c r="X96" s="249" t="s">
        <v>135</v>
      </c>
      <c r="Y96" s="113"/>
      <c r="Z96" s="260"/>
      <c r="AA96" s="259"/>
      <c r="AB96" s="245"/>
      <c r="AC96" s="246"/>
      <c r="AD96" s="113"/>
      <c r="AE96" s="260"/>
      <c r="AF96" s="259"/>
      <c r="AG96" s="245"/>
      <c r="AH96" s="240"/>
      <c r="AI96" s="40"/>
      <c r="AN96" s="36"/>
      <c r="AP96" s="3"/>
      <c r="AQ96" s="3"/>
      <c r="AR96" s="53"/>
    </row>
    <row r="97" spans="1:44" s="25" customFormat="1" x14ac:dyDescent="0.25">
      <c r="A97" s="261"/>
      <c r="B97" s="260"/>
      <c r="C97" s="259"/>
      <c r="D97" s="240"/>
      <c r="E97" s="18"/>
      <c r="F97" s="113"/>
      <c r="G97" s="260"/>
      <c r="H97" s="259"/>
      <c r="I97" s="240"/>
      <c r="J97" s="113"/>
      <c r="K97" s="260"/>
      <c r="L97" s="259"/>
      <c r="M97" s="241"/>
      <c r="N97" s="246"/>
      <c r="O97" s="113"/>
      <c r="P97" s="260"/>
      <c r="Q97" s="259"/>
      <c r="R97" s="245"/>
      <c r="S97" s="246"/>
      <c r="T97" s="113"/>
      <c r="U97" s="260"/>
      <c r="V97" s="259"/>
      <c r="W97" s="241"/>
      <c r="X97" s="24"/>
      <c r="Y97" s="113"/>
      <c r="Z97" s="260"/>
      <c r="AA97" s="259"/>
      <c r="AB97" s="245"/>
      <c r="AC97" s="24"/>
      <c r="AD97" s="113"/>
      <c r="AE97" s="260"/>
      <c r="AF97" s="259"/>
      <c r="AG97" s="245"/>
      <c r="AH97" s="24"/>
      <c r="AI97" s="32"/>
      <c r="AN97" s="36"/>
      <c r="AP97" s="3"/>
      <c r="AQ97" s="3"/>
      <c r="AR97" s="53"/>
    </row>
    <row r="98" spans="1:44" s="25" customFormat="1" x14ac:dyDescent="0.25">
      <c r="A98" s="261">
        <v>23</v>
      </c>
      <c r="B98" s="260">
        <v>1.87</v>
      </c>
      <c r="C98" s="259">
        <v>8.26</v>
      </c>
      <c r="D98" s="240">
        <f>B98-D99-D103-D104-D105</f>
        <v>1.86</v>
      </c>
      <c r="E98" s="7" t="s">
        <v>78</v>
      </c>
      <c r="F98" s="113"/>
      <c r="G98" s="260">
        <v>2.3199999999999998</v>
      </c>
      <c r="H98" s="259">
        <v>8.32</v>
      </c>
      <c r="I98" s="240"/>
      <c r="J98" s="113"/>
      <c r="K98" s="260">
        <v>4.4800000000000004</v>
      </c>
      <c r="L98" s="259">
        <v>8.4499999999999993</v>
      </c>
      <c r="M98" s="241">
        <f>D98</f>
        <v>1.86</v>
      </c>
      <c r="N98" s="7" t="s">
        <v>78</v>
      </c>
      <c r="O98" s="113"/>
      <c r="P98" s="260">
        <v>3.78</v>
      </c>
      <c r="Q98" s="259">
        <v>8.1199999999999992</v>
      </c>
      <c r="R98" s="26"/>
      <c r="S98" s="24"/>
      <c r="T98" s="113"/>
      <c r="U98" s="260">
        <v>1.72</v>
      </c>
      <c r="V98" s="259">
        <v>8.1999999999999993</v>
      </c>
      <c r="W98" s="241"/>
      <c r="X98" s="24"/>
      <c r="Y98" s="113"/>
      <c r="Z98" s="260">
        <v>0.4</v>
      </c>
      <c r="AA98" s="259">
        <v>8</v>
      </c>
      <c r="AB98" s="245"/>
      <c r="AC98" s="24"/>
      <c r="AD98" s="113"/>
      <c r="AE98" s="260">
        <v>0.16</v>
      </c>
      <c r="AF98" s="259">
        <v>8.39</v>
      </c>
      <c r="AG98" s="245"/>
      <c r="AH98" s="240"/>
      <c r="AI98" s="32"/>
      <c r="AN98" s="36"/>
      <c r="AP98" s="3"/>
      <c r="AQ98" s="3"/>
      <c r="AR98" s="53"/>
    </row>
    <row r="99" spans="1:44" s="25" customFormat="1" x14ac:dyDescent="0.25">
      <c r="A99" s="261"/>
      <c r="B99" s="260"/>
      <c r="C99" s="259"/>
      <c r="D99" s="241">
        <v>0.01</v>
      </c>
      <c r="E99" s="7" t="s">
        <v>353</v>
      </c>
      <c r="F99" s="113"/>
      <c r="G99" s="260"/>
      <c r="H99" s="259"/>
      <c r="I99" s="240"/>
      <c r="J99" s="113"/>
      <c r="K99" s="260"/>
      <c r="L99" s="259"/>
      <c r="M99" s="241">
        <f>D99</f>
        <v>0.01</v>
      </c>
      <c r="N99" s="7" t="s">
        <v>353</v>
      </c>
      <c r="O99" s="113"/>
      <c r="P99" s="260"/>
      <c r="Q99" s="259"/>
      <c r="R99" s="245">
        <f>P98</f>
        <v>3.78</v>
      </c>
      <c r="S99" s="7" t="s">
        <v>353</v>
      </c>
      <c r="T99" s="113"/>
      <c r="U99" s="260"/>
      <c r="V99" s="259"/>
      <c r="W99" s="241">
        <f>U98+U86+U93-W86-W91-W92-W96</f>
        <v>3.0899999999999981</v>
      </c>
      <c r="X99" s="7" t="s">
        <v>353</v>
      </c>
      <c r="Y99" s="113"/>
      <c r="Z99" s="260"/>
      <c r="AA99" s="259"/>
      <c r="AB99" s="245"/>
      <c r="AC99" s="24"/>
      <c r="AD99" s="113"/>
      <c r="AE99" s="260"/>
      <c r="AF99" s="259"/>
      <c r="AG99" s="245"/>
      <c r="AH99" s="240"/>
      <c r="AI99" s="32"/>
      <c r="AN99" s="36"/>
      <c r="AP99" s="3"/>
      <c r="AQ99" s="3"/>
      <c r="AR99" s="53"/>
    </row>
    <row r="100" spans="1:44" s="25" customFormat="1" x14ac:dyDescent="0.25">
      <c r="A100" s="261"/>
      <c r="B100" s="260"/>
      <c r="C100" s="259"/>
      <c r="D100" s="240"/>
      <c r="E100" s="240"/>
      <c r="F100" s="113"/>
      <c r="G100" s="260"/>
      <c r="H100" s="259"/>
      <c r="I100" s="240"/>
      <c r="J100" s="113"/>
      <c r="K100" s="260"/>
      <c r="L100" s="259"/>
      <c r="M100" s="241"/>
      <c r="N100" s="246"/>
      <c r="O100" s="113"/>
      <c r="P100" s="260"/>
      <c r="Q100" s="259"/>
      <c r="R100" s="245"/>
      <c r="S100" s="246"/>
      <c r="T100" s="113"/>
      <c r="U100" s="260"/>
      <c r="V100" s="259"/>
      <c r="W100" s="241"/>
      <c r="X100" s="246"/>
      <c r="Y100" s="113"/>
      <c r="Z100" s="260"/>
      <c r="AA100" s="259"/>
      <c r="AB100" s="245"/>
      <c r="AC100" s="246"/>
      <c r="AD100" s="113"/>
      <c r="AE100" s="260"/>
      <c r="AF100" s="259"/>
      <c r="AG100" s="245"/>
      <c r="AH100" s="240"/>
      <c r="AI100" s="32"/>
      <c r="AN100" s="36"/>
      <c r="AP100" s="3"/>
      <c r="AQ100" s="3"/>
      <c r="AR100" s="53"/>
    </row>
    <row r="101" spans="1:44" s="25" customFormat="1" x14ac:dyDescent="0.25">
      <c r="A101" s="261"/>
      <c r="B101" s="260"/>
      <c r="C101" s="259"/>
      <c r="D101" s="24"/>
      <c r="E101" s="24"/>
      <c r="F101" s="113"/>
      <c r="G101" s="260"/>
      <c r="H101" s="259"/>
      <c r="I101" s="240"/>
      <c r="J101" s="113"/>
      <c r="K101" s="260"/>
      <c r="L101" s="259"/>
      <c r="M101" s="24"/>
      <c r="N101" s="24"/>
      <c r="O101" s="113"/>
      <c r="P101" s="260">
        <v>11.48</v>
      </c>
      <c r="Q101" s="259">
        <v>8.23</v>
      </c>
      <c r="R101" s="245"/>
      <c r="S101" s="245"/>
      <c r="T101" s="113"/>
      <c r="U101" s="260">
        <v>4.6399999999999997</v>
      </c>
      <c r="V101" s="259">
        <v>8.31</v>
      </c>
      <c r="W101" s="241"/>
      <c r="X101" s="246"/>
      <c r="Y101" s="113"/>
      <c r="Z101" s="260">
        <v>0.28000000000000003</v>
      </c>
      <c r="AA101" s="259">
        <v>8.15</v>
      </c>
      <c r="AB101" s="245"/>
      <c r="AC101" s="246"/>
      <c r="AD101" s="113"/>
      <c r="AE101" s="241">
        <v>0.25</v>
      </c>
      <c r="AF101" s="240">
        <v>8.4600000000000009</v>
      </c>
      <c r="AG101" s="245"/>
      <c r="AH101" s="55"/>
      <c r="AI101" s="32"/>
      <c r="AN101" s="36"/>
      <c r="AP101" s="3"/>
      <c r="AQ101" s="3"/>
      <c r="AR101" s="53"/>
    </row>
    <row r="102" spans="1:44" s="25" customFormat="1" x14ac:dyDescent="0.25">
      <c r="A102" s="261"/>
      <c r="B102" s="260"/>
      <c r="C102" s="259"/>
      <c r="D102" s="19">
        <f>0.01+0.32+0.66</f>
        <v>0.99</v>
      </c>
      <c r="E102" s="249" t="s">
        <v>402</v>
      </c>
      <c r="F102" s="113"/>
      <c r="G102" s="260"/>
      <c r="H102" s="259"/>
      <c r="I102" s="240"/>
      <c r="J102" s="113"/>
      <c r="K102" s="260"/>
      <c r="L102" s="259"/>
      <c r="M102" s="241">
        <f>0.2+1+2.4</f>
        <v>3.5999999999999996</v>
      </c>
      <c r="N102" s="249" t="s">
        <v>402</v>
      </c>
      <c r="O102" s="113"/>
      <c r="P102" s="260"/>
      <c r="Q102" s="259"/>
      <c r="R102" s="245">
        <v>1.5</v>
      </c>
      <c r="S102" s="249" t="s">
        <v>41</v>
      </c>
      <c r="T102" s="113"/>
      <c r="U102" s="260"/>
      <c r="V102" s="259"/>
      <c r="W102" s="241"/>
      <c r="X102" s="240"/>
      <c r="Y102" s="113"/>
      <c r="Z102" s="260"/>
      <c r="AA102" s="259"/>
      <c r="AB102" s="245"/>
      <c r="AC102" s="240"/>
      <c r="AD102" s="113"/>
      <c r="AE102" s="241"/>
      <c r="AF102" s="240"/>
      <c r="AG102" s="245"/>
      <c r="AH102" s="55"/>
      <c r="AI102" s="32"/>
      <c r="AN102" s="36"/>
      <c r="AP102" s="3"/>
      <c r="AQ102" s="3"/>
      <c r="AR102" s="53"/>
    </row>
    <row r="103" spans="1:44" s="25" customFormat="1" x14ac:dyDescent="0.25">
      <c r="A103" s="261"/>
      <c r="B103" s="260"/>
      <c r="C103" s="259"/>
      <c r="D103" s="241"/>
      <c r="E103" s="55"/>
      <c r="F103" s="113"/>
      <c r="G103" s="260"/>
      <c r="H103" s="259"/>
      <c r="I103" s="240"/>
      <c r="J103" s="113"/>
      <c r="K103" s="260"/>
      <c r="L103" s="259"/>
      <c r="M103" s="241"/>
      <c r="N103" s="240"/>
      <c r="O103" s="113"/>
      <c r="P103" s="260"/>
      <c r="Q103" s="259"/>
      <c r="R103" s="245">
        <f>P101-R104-R102</f>
        <v>4.9800000000000004</v>
      </c>
      <c r="S103" s="249" t="s">
        <v>334</v>
      </c>
      <c r="T103" s="113"/>
      <c r="U103" s="260"/>
      <c r="V103" s="259"/>
      <c r="W103" s="241"/>
      <c r="X103" s="246"/>
      <c r="Y103" s="113"/>
      <c r="Z103" s="260">
        <v>0.16</v>
      </c>
      <c r="AA103" s="259">
        <v>8.23</v>
      </c>
      <c r="AB103" s="245"/>
      <c r="AC103" s="246"/>
      <c r="AD103" s="113"/>
      <c r="AE103" s="241"/>
      <c r="AF103" s="240"/>
      <c r="AG103" s="245"/>
      <c r="AH103" s="55"/>
      <c r="AI103" s="32"/>
      <c r="AN103" s="36"/>
      <c r="AP103" s="3"/>
      <c r="AQ103" s="3"/>
      <c r="AR103" s="53"/>
    </row>
    <row r="104" spans="1:44" s="25" customFormat="1" x14ac:dyDescent="0.25">
      <c r="A104" s="261"/>
      <c r="B104" s="260"/>
      <c r="C104" s="259"/>
      <c r="D104" s="241"/>
      <c r="E104" s="55"/>
      <c r="F104" s="113"/>
      <c r="G104" s="260"/>
      <c r="H104" s="259"/>
      <c r="I104" s="240"/>
      <c r="J104" s="113"/>
      <c r="K104" s="260"/>
      <c r="L104" s="259"/>
      <c r="M104" s="241"/>
      <c r="N104" s="240"/>
      <c r="O104" s="113"/>
      <c r="P104" s="260"/>
      <c r="Q104" s="259"/>
      <c r="R104" s="245">
        <v>5</v>
      </c>
      <c r="S104" s="249" t="s">
        <v>221</v>
      </c>
      <c r="T104" s="113"/>
      <c r="U104" s="260"/>
      <c r="V104" s="259"/>
      <c r="W104" s="241">
        <f>U101</f>
        <v>4.6399999999999997</v>
      </c>
      <c r="X104" s="249" t="s">
        <v>221</v>
      </c>
      <c r="Y104" s="113"/>
      <c r="Z104" s="260"/>
      <c r="AA104" s="259"/>
      <c r="AB104" s="245"/>
      <c r="AC104" s="246"/>
      <c r="AD104" s="113"/>
      <c r="AE104" s="241"/>
      <c r="AF104" s="240"/>
      <c r="AG104" s="245"/>
      <c r="AH104" s="55"/>
      <c r="AI104" s="32"/>
      <c r="AN104" s="36"/>
      <c r="AP104" s="3"/>
      <c r="AQ104" s="3"/>
      <c r="AR104" s="53"/>
    </row>
    <row r="105" spans="1:44" s="25" customFormat="1" x14ac:dyDescent="0.25">
      <c r="A105" s="261"/>
      <c r="B105" s="260"/>
      <c r="C105" s="259"/>
      <c r="D105" s="241"/>
      <c r="E105" s="240"/>
      <c r="F105" s="113"/>
      <c r="G105" s="260"/>
      <c r="H105" s="259"/>
      <c r="I105" s="240"/>
      <c r="J105" s="113"/>
      <c r="K105" s="260"/>
      <c r="L105" s="259"/>
      <c r="M105" s="241"/>
      <c r="N105" s="240"/>
      <c r="O105" s="113"/>
      <c r="P105" s="260"/>
      <c r="Q105" s="259"/>
      <c r="R105" s="245"/>
      <c r="S105" s="240"/>
      <c r="T105" s="113"/>
      <c r="U105" s="260"/>
      <c r="V105" s="259"/>
      <c r="W105" s="241"/>
      <c r="X105" s="18"/>
      <c r="Y105" s="113"/>
      <c r="Z105" s="260"/>
      <c r="AA105" s="259"/>
      <c r="AB105" s="245"/>
      <c r="AC105" s="18"/>
      <c r="AD105" s="113"/>
      <c r="AE105" s="241">
        <v>0.14000000000000001</v>
      </c>
      <c r="AF105" s="240">
        <v>8.57</v>
      </c>
      <c r="AG105" s="245"/>
      <c r="AH105" s="55"/>
      <c r="AI105" s="32"/>
      <c r="AN105" s="36"/>
      <c r="AP105" s="3"/>
      <c r="AQ105" s="3"/>
      <c r="AR105" s="53"/>
    </row>
    <row r="106" spans="1:44" s="25" customFormat="1" x14ac:dyDescent="0.25">
      <c r="A106" s="261">
        <v>24</v>
      </c>
      <c r="B106" s="260">
        <v>0.75</v>
      </c>
      <c r="C106" s="259">
        <v>8.3699999999999992</v>
      </c>
      <c r="D106" s="240">
        <f>B106/2</f>
        <v>0.375</v>
      </c>
      <c r="E106" s="7" t="s">
        <v>107</v>
      </c>
      <c r="F106" s="113"/>
      <c r="G106" s="260">
        <v>0.88</v>
      </c>
      <c r="H106" s="259">
        <v>8.44</v>
      </c>
      <c r="I106" s="240"/>
      <c r="J106" s="113"/>
      <c r="K106" s="260">
        <v>0.49</v>
      </c>
      <c r="L106" s="259">
        <v>8.66</v>
      </c>
      <c r="M106" s="241">
        <f>K106-M108</f>
        <v>0.49</v>
      </c>
      <c r="N106" s="7" t="s">
        <v>107</v>
      </c>
      <c r="O106" s="113"/>
      <c r="P106" s="260">
        <v>0.79</v>
      </c>
      <c r="Q106" s="259">
        <v>8.35</v>
      </c>
      <c r="R106" s="245">
        <f>P106</f>
        <v>0.79</v>
      </c>
      <c r="S106" s="7" t="s">
        <v>107</v>
      </c>
      <c r="T106" s="113"/>
      <c r="U106" s="260">
        <v>0.34</v>
      </c>
      <c r="V106" s="259">
        <v>8.42</v>
      </c>
      <c r="W106" s="241">
        <f>U106</f>
        <v>0.34</v>
      </c>
      <c r="X106" s="7" t="s">
        <v>107</v>
      </c>
      <c r="Y106" s="113"/>
      <c r="Z106" s="260">
        <v>0.5</v>
      </c>
      <c r="AA106" s="259">
        <v>8.33</v>
      </c>
      <c r="AB106" s="245">
        <f>Z106</f>
        <v>0.5</v>
      </c>
      <c r="AC106" s="7" t="s">
        <v>107</v>
      </c>
      <c r="AD106" s="113"/>
      <c r="AE106" s="260">
        <v>0.53</v>
      </c>
      <c r="AF106" s="259">
        <v>8.66</v>
      </c>
      <c r="AG106" s="245">
        <f>AE106</f>
        <v>0.53</v>
      </c>
      <c r="AH106" s="7" t="s">
        <v>107</v>
      </c>
      <c r="AI106" s="32"/>
      <c r="AN106" s="36"/>
      <c r="AP106" s="3"/>
      <c r="AQ106" s="3"/>
      <c r="AR106" s="53"/>
    </row>
    <row r="107" spans="1:44" s="25" customFormat="1" x14ac:dyDescent="0.25">
      <c r="A107" s="261"/>
      <c r="B107" s="260"/>
      <c r="C107" s="259"/>
      <c r="D107" s="240"/>
      <c r="E107" s="240"/>
      <c r="F107" s="113"/>
      <c r="G107" s="260"/>
      <c r="H107" s="259"/>
      <c r="I107" s="240"/>
      <c r="J107" s="113"/>
      <c r="K107" s="260"/>
      <c r="L107" s="259"/>
      <c r="M107" s="241"/>
      <c r="N107" s="240"/>
      <c r="O107" s="113"/>
      <c r="P107" s="260"/>
      <c r="Q107" s="259"/>
      <c r="R107" s="245"/>
      <c r="S107" s="240"/>
      <c r="T107" s="113"/>
      <c r="U107" s="260"/>
      <c r="V107" s="259"/>
      <c r="W107" s="241"/>
      <c r="X107" s="246"/>
      <c r="Y107" s="113"/>
      <c r="Z107" s="260"/>
      <c r="AA107" s="259"/>
      <c r="AB107" s="245"/>
      <c r="AC107" s="246"/>
      <c r="AD107" s="113"/>
      <c r="AE107" s="260"/>
      <c r="AF107" s="259"/>
      <c r="AG107" s="245"/>
      <c r="AH107" s="246"/>
      <c r="AI107" s="32"/>
      <c r="AN107" s="36"/>
      <c r="AP107" s="3"/>
      <c r="AQ107" s="3"/>
      <c r="AR107" s="53"/>
    </row>
    <row r="108" spans="1:44" s="25" customFormat="1" x14ac:dyDescent="0.25">
      <c r="A108" s="261"/>
      <c r="B108" s="260"/>
      <c r="C108" s="259"/>
      <c r="D108" s="240">
        <f>B106-D106</f>
        <v>0.375</v>
      </c>
      <c r="E108" s="22" t="s">
        <v>148</v>
      </c>
      <c r="F108" s="113"/>
      <c r="G108" s="241"/>
      <c r="H108" s="240"/>
      <c r="I108" s="240"/>
      <c r="J108" s="113"/>
      <c r="K108" s="260"/>
      <c r="L108" s="259"/>
      <c r="M108" s="241"/>
      <c r="N108" s="73"/>
      <c r="O108" s="113"/>
      <c r="P108" s="260">
        <v>0.5</v>
      </c>
      <c r="Q108" s="259">
        <v>8.44</v>
      </c>
      <c r="R108" s="245"/>
      <c r="S108" s="246"/>
      <c r="T108" s="113"/>
      <c r="U108" s="260">
        <v>1.0900000000000001</v>
      </c>
      <c r="V108" s="259">
        <v>8.52</v>
      </c>
      <c r="W108" s="241"/>
      <c r="X108" s="91"/>
      <c r="Y108" s="113"/>
      <c r="Z108" s="260">
        <v>0.34</v>
      </c>
      <c r="AA108" s="259">
        <v>8.4700000000000006</v>
      </c>
      <c r="AB108" s="245"/>
      <c r="AC108" s="91"/>
      <c r="AD108" s="113"/>
      <c r="AE108" s="260">
        <v>0.25</v>
      </c>
      <c r="AF108" s="259">
        <v>8.7799999999999994</v>
      </c>
      <c r="AG108" s="245"/>
      <c r="AH108" s="91"/>
      <c r="AI108" s="32"/>
      <c r="AN108" s="36"/>
      <c r="AP108" s="3"/>
      <c r="AQ108" s="3"/>
      <c r="AR108" s="53"/>
    </row>
    <row r="109" spans="1:44" s="25" customFormat="1" ht="15.75" customHeight="1" x14ac:dyDescent="0.25">
      <c r="A109" s="261">
        <v>25</v>
      </c>
      <c r="B109" s="260">
        <v>0.89</v>
      </c>
      <c r="C109" s="259">
        <v>8.48</v>
      </c>
      <c r="D109" s="241">
        <f>B109-D115-D112</f>
        <v>0.15500000000000003</v>
      </c>
      <c r="E109" s="7" t="s">
        <v>149</v>
      </c>
      <c r="F109" s="113"/>
      <c r="G109" s="260">
        <v>0.71</v>
      </c>
      <c r="H109" s="259">
        <v>8.5500000000000007</v>
      </c>
      <c r="I109" s="240"/>
      <c r="J109" s="113"/>
      <c r="K109" s="260">
        <v>0.65</v>
      </c>
      <c r="L109" s="259">
        <v>8.73</v>
      </c>
      <c r="M109" s="241">
        <f>D109</f>
        <v>0.15500000000000003</v>
      </c>
      <c r="N109" s="7" t="s">
        <v>149</v>
      </c>
      <c r="O109" s="113"/>
      <c r="P109" s="260"/>
      <c r="Q109" s="259"/>
      <c r="R109" s="245"/>
      <c r="S109" s="246"/>
      <c r="T109" s="113"/>
      <c r="U109" s="260"/>
      <c r="V109" s="259"/>
      <c r="W109" s="241"/>
      <c r="X109" s="246"/>
      <c r="Y109" s="113"/>
      <c r="Z109" s="260"/>
      <c r="AA109" s="259"/>
      <c r="AB109" s="245"/>
      <c r="AC109" s="246"/>
      <c r="AD109" s="113"/>
      <c r="AE109" s="260"/>
      <c r="AF109" s="259"/>
      <c r="AG109" s="245"/>
      <c r="AH109" s="246"/>
      <c r="AI109" s="32"/>
      <c r="AN109" s="36"/>
      <c r="AP109" s="3"/>
      <c r="AQ109" s="3"/>
      <c r="AR109" s="53"/>
    </row>
    <row r="110" spans="1:44" s="25" customFormat="1" ht="15.75" customHeight="1" x14ac:dyDescent="0.25">
      <c r="A110" s="261"/>
      <c r="B110" s="260"/>
      <c r="C110" s="259"/>
      <c r="D110" s="24"/>
      <c r="E110" s="24"/>
      <c r="F110" s="113"/>
      <c r="G110" s="260"/>
      <c r="H110" s="259"/>
      <c r="I110" s="240"/>
      <c r="J110" s="113"/>
      <c r="K110" s="260"/>
      <c r="L110" s="259"/>
      <c r="M110" s="24"/>
      <c r="N110" s="24"/>
      <c r="O110" s="113"/>
      <c r="P110" s="260">
        <v>0.73</v>
      </c>
      <c r="Q110" s="259">
        <v>8.5</v>
      </c>
      <c r="R110" s="24"/>
      <c r="S110" s="24"/>
      <c r="T110" s="113"/>
      <c r="U110" s="260">
        <v>0.37</v>
      </c>
      <c r="V110" s="259">
        <v>8.61</v>
      </c>
      <c r="W110" s="24"/>
      <c r="X110" s="24"/>
      <c r="Y110" s="113"/>
      <c r="Z110" s="260"/>
      <c r="AA110" s="259"/>
      <c r="AB110" s="24"/>
      <c r="AC110" s="24"/>
      <c r="AD110" s="113"/>
      <c r="AE110" s="260"/>
      <c r="AF110" s="259"/>
      <c r="AG110" s="24"/>
      <c r="AH110" s="24"/>
      <c r="AI110" s="32"/>
      <c r="AN110" s="36"/>
      <c r="AP110" s="3"/>
      <c r="AQ110" s="3"/>
      <c r="AR110" s="53"/>
    </row>
    <row r="111" spans="1:44" s="25" customFormat="1" ht="15.75" customHeight="1" x14ac:dyDescent="0.25">
      <c r="A111" s="261"/>
      <c r="B111" s="260"/>
      <c r="C111" s="259"/>
      <c r="D111" s="241">
        <f>R111</f>
        <v>0.24</v>
      </c>
      <c r="E111" s="59" t="s">
        <v>109</v>
      </c>
      <c r="F111" s="113"/>
      <c r="G111" s="260"/>
      <c r="H111" s="259"/>
      <c r="I111" s="240"/>
      <c r="J111" s="113"/>
      <c r="K111" s="260"/>
      <c r="L111" s="259"/>
      <c r="M111" s="241">
        <f>D111</f>
        <v>0.24</v>
      </c>
      <c r="N111" s="59" t="s">
        <v>109</v>
      </c>
      <c r="O111" s="113"/>
      <c r="P111" s="260"/>
      <c r="Q111" s="259"/>
      <c r="R111" s="16">
        <f>AB111</f>
        <v>0.24</v>
      </c>
      <c r="S111" s="59" t="s">
        <v>109</v>
      </c>
      <c r="T111" s="113"/>
      <c r="U111" s="260"/>
      <c r="V111" s="259"/>
      <c r="W111" s="241">
        <f>AB111</f>
        <v>0.24</v>
      </c>
      <c r="X111" s="59" t="s">
        <v>109</v>
      </c>
      <c r="Y111" s="113"/>
      <c r="Z111" s="260"/>
      <c r="AA111" s="259"/>
      <c r="AB111" s="245">
        <v>0.24</v>
      </c>
      <c r="AC111" s="59" t="s">
        <v>109</v>
      </c>
      <c r="AD111" s="113"/>
      <c r="AE111" s="260"/>
      <c r="AF111" s="259"/>
      <c r="AG111" s="245">
        <f>AB111</f>
        <v>0.24</v>
      </c>
      <c r="AH111" s="59" t="s">
        <v>109</v>
      </c>
      <c r="AI111" s="32"/>
      <c r="AN111" s="36"/>
      <c r="AP111" s="53"/>
      <c r="AQ111" s="3"/>
      <c r="AR111" s="53"/>
    </row>
    <row r="112" spans="1:44" s="25" customFormat="1" ht="14.25" customHeight="1" x14ac:dyDescent="0.25">
      <c r="A112" s="261"/>
      <c r="B112" s="260"/>
      <c r="C112" s="259"/>
      <c r="D112" s="240">
        <f>R112</f>
        <v>0.37</v>
      </c>
      <c r="E112" s="62" t="s">
        <v>415</v>
      </c>
      <c r="F112" s="113"/>
      <c r="G112" s="260"/>
      <c r="H112" s="259"/>
      <c r="I112" s="241"/>
      <c r="J112" s="113"/>
      <c r="K112" s="260"/>
      <c r="L112" s="259"/>
      <c r="M112" s="241">
        <v>0.25</v>
      </c>
      <c r="N112" s="62" t="s">
        <v>415</v>
      </c>
      <c r="O112" s="113"/>
      <c r="P112" s="260"/>
      <c r="Q112" s="259"/>
      <c r="R112" s="245">
        <v>0.37</v>
      </c>
      <c r="S112" s="62" t="s">
        <v>314</v>
      </c>
      <c r="T112" s="113"/>
      <c r="U112" s="260"/>
      <c r="V112" s="259"/>
      <c r="W112" s="241">
        <f>R112</f>
        <v>0.37</v>
      </c>
      <c r="X112" s="62" t="s">
        <v>314</v>
      </c>
      <c r="Y112" s="113"/>
      <c r="Z112" s="260"/>
      <c r="AA112" s="259"/>
      <c r="AB112" s="24"/>
      <c r="AC112" s="24"/>
      <c r="AD112" s="113"/>
      <c r="AE112" s="260"/>
      <c r="AF112" s="259"/>
      <c r="AG112" s="245"/>
      <c r="AH112" s="8"/>
      <c r="AI112" s="32"/>
      <c r="AN112" s="36"/>
      <c r="AP112" s="53"/>
      <c r="AQ112" s="3"/>
      <c r="AR112" s="53"/>
    </row>
    <row r="113" spans="1:44" s="25" customFormat="1" x14ac:dyDescent="0.25">
      <c r="A113" s="261">
        <v>26</v>
      </c>
      <c r="B113" s="260">
        <v>7.92</v>
      </c>
      <c r="C113" s="259">
        <v>8.7200000000000006</v>
      </c>
      <c r="D113" s="241">
        <v>0.4</v>
      </c>
      <c r="E113" s="7" t="s">
        <v>72</v>
      </c>
      <c r="F113" s="113"/>
      <c r="G113" s="263">
        <v>0.26</v>
      </c>
      <c r="H113" s="266">
        <v>8.6199999999999992</v>
      </c>
      <c r="I113" s="8"/>
      <c r="J113" s="113"/>
      <c r="K113" s="260">
        <v>9.17</v>
      </c>
      <c r="L113" s="259">
        <v>8.92</v>
      </c>
      <c r="M113" s="241">
        <v>0.4</v>
      </c>
      <c r="N113" s="7" t="s">
        <v>72</v>
      </c>
      <c r="O113" s="113"/>
      <c r="P113" s="260">
        <v>2.25</v>
      </c>
      <c r="Q113" s="259">
        <v>8.61</v>
      </c>
      <c r="R113" s="19">
        <v>1.44</v>
      </c>
      <c r="S113" s="7" t="s">
        <v>72</v>
      </c>
      <c r="T113" s="113"/>
      <c r="U113" s="260">
        <v>7.57</v>
      </c>
      <c r="V113" s="259">
        <v>8.76</v>
      </c>
      <c r="W113" s="241">
        <v>1.35</v>
      </c>
      <c r="X113" s="7" t="s">
        <v>72</v>
      </c>
      <c r="Y113" s="113"/>
      <c r="Z113" s="260">
        <v>6.3</v>
      </c>
      <c r="AA113" s="259">
        <v>8.57</v>
      </c>
      <c r="AB113" s="241">
        <v>1.41</v>
      </c>
      <c r="AC113" s="7" t="s">
        <v>72</v>
      </c>
      <c r="AD113" s="113"/>
      <c r="AE113" s="260">
        <v>5.83</v>
      </c>
      <c r="AF113" s="259">
        <v>8.91</v>
      </c>
      <c r="AG113" s="241">
        <v>1.8</v>
      </c>
      <c r="AH113" s="7" t="s">
        <v>72</v>
      </c>
      <c r="AI113" s="32"/>
      <c r="AN113" s="36"/>
      <c r="AP113" s="53"/>
      <c r="AQ113" s="3"/>
      <c r="AR113" s="53"/>
    </row>
    <row r="114" spans="1:44" s="25" customFormat="1" x14ac:dyDescent="0.25">
      <c r="A114" s="261"/>
      <c r="B114" s="260"/>
      <c r="C114" s="259"/>
      <c r="D114" s="56"/>
      <c r="E114" s="24"/>
      <c r="F114" s="113"/>
      <c r="G114" s="264"/>
      <c r="H114" s="267"/>
      <c r="I114" s="8"/>
      <c r="J114" s="113"/>
      <c r="K114" s="260"/>
      <c r="L114" s="259"/>
      <c r="M114" s="19">
        <v>0.3</v>
      </c>
      <c r="N114" s="249" t="s">
        <v>71</v>
      </c>
      <c r="O114" s="113"/>
      <c r="P114" s="260"/>
      <c r="Q114" s="259"/>
      <c r="R114" s="19">
        <v>0.6</v>
      </c>
      <c r="S114" s="249" t="s">
        <v>71</v>
      </c>
      <c r="T114" s="113"/>
      <c r="U114" s="260"/>
      <c r="V114" s="259"/>
      <c r="W114" s="19">
        <f>U108+U110+U113-W115-W112-W111-W113-W118-W120-W125-W126+U128+U127</f>
        <v>0.54000000000000137</v>
      </c>
      <c r="X114" s="249" t="s">
        <v>71</v>
      </c>
      <c r="Y114" s="113"/>
      <c r="Z114" s="260"/>
      <c r="AA114" s="259"/>
      <c r="AB114" s="19">
        <v>0.4</v>
      </c>
      <c r="AC114" s="249" t="s">
        <v>71</v>
      </c>
      <c r="AD114" s="113"/>
      <c r="AE114" s="260"/>
      <c r="AF114" s="259"/>
      <c r="AG114" s="245">
        <f>AB114</f>
        <v>0.4</v>
      </c>
      <c r="AH114" s="249" t="s">
        <v>71</v>
      </c>
      <c r="AI114" s="32"/>
      <c r="AN114" s="36"/>
      <c r="AP114" s="53"/>
      <c r="AQ114" s="3"/>
      <c r="AR114" s="53"/>
    </row>
    <row r="115" spans="1:44" s="25" customFormat="1" x14ac:dyDescent="0.25">
      <c r="A115" s="261"/>
      <c r="B115" s="260"/>
      <c r="C115" s="259"/>
      <c r="D115" s="240">
        <f>R115</f>
        <v>0.36499999999999999</v>
      </c>
      <c r="E115" s="59" t="s">
        <v>110</v>
      </c>
      <c r="F115" s="113"/>
      <c r="G115" s="264"/>
      <c r="H115" s="267"/>
      <c r="I115" s="8"/>
      <c r="J115" s="113"/>
      <c r="K115" s="260"/>
      <c r="L115" s="259"/>
      <c r="M115" s="241">
        <v>0.25</v>
      </c>
      <c r="N115" s="59" t="s">
        <v>110</v>
      </c>
      <c r="O115" s="113"/>
      <c r="P115" s="260"/>
      <c r="Q115" s="259"/>
      <c r="R115" s="245">
        <f>P110/2</f>
        <v>0.36499999999999999</v>
      </c>
      <c r="S115" s="59" t="s">
        <v>110</v>
      </c>
      <c r="T115" s="113"/>
      <c r="U115" s="260"/>
      <c r="V115" s="259"/>
      <c r="W115" s="241">
        <v>0.3</v>
      </c>
      <c r="X115" s="59" t="s">
        <v>110</v>
      </c>
      <c r="Y115" s="113"/>
      <c r="Z115" s="260"/>
      <c r="AA115" s="259"/>
      <c r="AB115" s="245">
        <f>Z108</f>
        <v>0.34</v>
      </c>
      <c r="AC115" s="59" t="s">
        <v>110</v>
      </c>
      <c r="AD115" s="113"/>
      <c r="AE115" s="260"/>
      <c r="AF115" s="259"/>
      <c r="AG115" s="245">
        <f>AE108</f>
        <v>0.25</v>
      </c>
      <c r="AH115" s="59" t="s">
        <v>110</v>
      </c>
      <c r="AI115" s="32"/>
      <c r="AN115" s="36"/>
      <c r="AP115" s="3"/>
      <c r="AQ115" s="3"/>
      <c r="AR115" s="53"/>
    </row>
    <row r="116" spans="1:44" s="25" customFormat="1" x14ac:dyDescent="0.25">
      <c r="A116" s="261"/>
      <c r="B116" s="260"/>
      <c r="C116" s="259"/>
      <c r="D116" s="241">
        <v>0.09</v>
      </c>
      <c r="E116" s="59" t="s">
        <v>228</v>
      </c>
      <c r="F116" s="113"/>
      <c r="G116" s="264"/>
      <c r="H116" s="267"/>
      <c r="I116" s="8"/>
      <c r="J116" s="113"/>
      <c r="K116" s="260"/>
      <c r="L116" s="259"/>
      <c r="M116" s="241">
        <f>D116</f>
        <v>0.09</v>
      </c>
      <c r="N116" s="59" t="s">
        <v>228</v>
      </c>
      <c r="O116" s="113"/>
      <c r="P116" s="260"/>
      <c r="Q116" s="259"/>
      <c r="R116" s="24"/>
      <c r="S116" s="24"/>
      <c r="T116" s="113"/>
      <c r="U116" s="260"/>
      <c r="V116" s="259"/>
      <c r="W116" s="24"/>
      <c r="X116" s="24"/>
      <c r="Y116" s="113"/>
      <c r="Z116" s="260"/>
      <c r="AA116" s="259"/>
      <c r="AB116" s="24"/>
      <c r="AC116" s="24"/>
      <c r="AD116" s="113"/>
      <c r="AE116" s="260"/>
      <c r="AF116" s="259"/>
      <c r="AG116" s="24"/>
      <c r="AH116" s="24"/>
      <c r="AI116" s="32"/>
      <c r="AN116" s="36"/>
      <c r="AP116" s="3"/>
      <c r="AQ116" s="3"/>
      <c r="AR116" s="53"/>
    </row>
    <row r="117" spans="1:44" s="25" customFormat="1" x14ac:dyDescent="0.25">
      <c r="A117" s="261"/>
      <c r="B117" s="260"/>
      <c r="C117" s="259"/>
      <c r="D117" s="24"/>
      <c r="E117" s="24"/>
      <c r="F117" s="113"/>
      <c r="G117" s="265"/>
      <c r="H117" s="268"/>
      <c r="I117" s="8"/>
      <c r="J117" s="113"/>
      <c r="K117" s="260"/>
      <c r="L117" s="259"/>
      <c r="M117" s="24"/>
      <c r="N117" s="24"/>
      <c r="O117" s="113"/>
      <c r="P117" s="260"/>
      <c r="Q117" s="259"/>
      <c r="R117" s="24"/>
      <c r="S117" s="24"/>
      <c r="T117" s="113"/>
      <c r="U117" s="260"/>
      <c r="V117" s="259"/>
      <c r="W117" s="24"/>
      <c r="X117" s="24"/>
      <c r="Y117" s="113"/>
      <c r="Z117" s="260"/>
      <c r="AA117" s="259"/>
      <c r="AB117" s="24"/>
      <c r="AC117" s="24"/>
      <c r="AD117" s="113"/>
      <c r="AE117" s="260"/>
      <c r="AF117" s="259"/>
      <c r="AG117" s="24"/>
      <c r="AH117" s="24"/>
      <c r="AI117" s="32"/>
      <c r="AN117" s="36"/>
      <c r="AP117" s="3"/>
      <c r="AQ117" s="3"/>
      <c r="AR117" s="53"/>
    </row>
    <row r="118" spans="1:44" s="25" customFormat="1" x14ac:dyDescent="0.25">
      <c r="A118" s="261"/>
      <c r="B118" s="260"/>
      <c r="C118" s="259"/>
      <c r="D118" s="241">
        <v>0.75</v>
      </c>
      <c r="E118" s="249" t="s">
        <v>352</v>
      </c>
      <c r="F118" s="113"/>
      <c r="G118" s="260">
        <v>2.1</v>
      </c>
      <c r="H118" s="259">
        <v>8.74</v>
      </c>
      <c r="I118" s="8"/>
      <c r="J118" s="113"/>
      <c r="K118" s="260"/>
      <c r="L118" s="259"/>
      <c r="M118" s="241">
        <v>0.75</v>
      </c>
      <c r="N118" s="249" t="s">
        <v>352</v>
      </c>
      <c r="O118" s="113"/>
      <c r="P118" s="260">
        <v>6.98</v>
      </c>
      <c r="Q118" s="259">
        <v>8.69</v>
      </c>
      <c r="R118" s="16">
        <f>P113-R113-R111+P118-R126-R125+P108-R114</f>
        <v>1.4500000000000002</v>
      </c>
      <c r="S118" s="249" t="s">
        <v>352</v>
      </c>
      <c r="T118" s="113"/>
      <c r="U118" s="260"/>
      <c r="V118" s="259"/>
      <c r="W118" s="241">
        <v>1</v>
      </c>
      <c r="X118" s="249" t="s">
        <v>352</v>
      </c>
      <c r="Y118" s="113"/>
      <c r="Z118" s="260"/>
      <c r="AA118" s="259"/>
      <c r="AB118" s="24"/>
      <c r="AC118" s="24"/>
      <c r="AD118" s="113"/>
      <c r="AE118" s="260"/>
      <c r="AF118" s="259"/>
      <c r="AG118" s="245"/>
      <c r="AH118" s="24"/>
      <c r="AI118" s="32"/>
      <c r="AN118" s="36"/>
      <c r="AP118" s="3"/>
      <c r="AQ118" s="3"/>
      <c r="AR118" s="53"/>
    </row>
    <row r="119" spans="1:44" s="25" customFormat="1" x14ac:dyDescent="0.25">
      <c r="A119" s="261"/>
      <c r="B119" s="260"/>
      <c r="C119" s="259"/>
      <c r="D119" s="241"/>
      <c r="E119" s="18"/>
      <c r="F119" s="113"/>
      <c r="G119" s="260"/>
      <c r="H119" s="259"/>
      <c r="I119" s="8"/>
      <c r="J119" s="113"/>
      <c r="K119" s="260"/>
      <c r="L119" s="259"/>
      <c r="M119" s="24"/>
      <c r="N119" s="24"/>
      <c r="O119" s="113"/>
      <c r="P119" s="260"/>
      <c r="Q119" s="259"/>
      <c r="R119" s="245"/>
      <c r="S119" s="49"/>
      <c r="T119" s="113"/>
      <c r="U119" s="260"/>
      <c r="V119" s="259"/>
      <c r="W119" s="241"/>
      <c r="X119" s="8"/>
      <c r="Y119" s="113"/>
      <c r="Z119" s="260"/>
      <c r="AA119" s="259"/>
      <c r="AB119" s="245"/>
      <c r="AC119" s="24"/>
      <c r="AD119" s="113"/>
      <c r="AE119" s="260"/>
      <c r="AF119" s="259"/>
      <c r="AG119" s="245"/>
      <c r="AH119" s="24"/>
      <c r="AI119" s="32"/>
      <c r="AN119" s="36"/>
      <c r="AP119" s="3"/>
      <c r="AQ119" s="3"/>
      <c r="AR119" s="53"/>
    </row>
    <row r="120" spans="1:44" s="25" customFormat="1" x14ac:dyDescent="0.25">
      <c r="A120" s="261"/>
      <c r="B120" s="260"/>
      <c r="C120" s="259"/>
      <c r="D120" s="24"/>
      <c r="E120" s="24"/>
      <c r="F120" s="113"/>
      <c r="G120" s="260"/>
      <c r="H120" s="259"/>
      <c r="I120" s="8"/>
      <c r="J120" s="113"/>
      <c r="K120" s="260"/>
      <c r="L120" s="259"/>
      <c r="M120" s="245"/>
      <c r="N120" s="246"/>
      <c r="O120" s="113"/>
      <c r="P120" s="260"/>
      <c r="Q120" s="259"/>
      <c r="R120" s="245"/>
      <c r="S120" s="49"/>
      <c r="T120" s="113"/>
      <c r="U120" s="260"/>
      <c r="V120" s="259"/>
      <c r="W120" s="241">
        <v>0.5</v>
      </c>
      <c r="X120" s="75" t="s">
        <v>43</v>
      </c>
      <c r="Y120" s="113"/>
      <c r="Z120" s="260"/>
      <c r="AA120" s="259"/>
      <c r="AB120" s="241">
        <v>0.5</v>
      </c>
      <c r="AC120" s="75" t="s">
        <v>43</v>
      </c>
      <c r="AD120" s="113"/>
      <c r="AE120" s="260"/>
      <c r="AF120" s="259"/>
      <c r="AG120" s="245"/>
      <c r="AH120" s="240"/>
      <c r="AI120" s="32"/>
      <c r="AN120" s="36"/>
      <c r="AP120" s="3"/>
      <c r="AQ120" s="3"/>
      <c r="AR120" s="53"/>
    </row>
    <row r="121" spans="1:44" s="25" customFormat="1" x14ac:dyDescent="0.25">
      <c r="A121" s="261"/>
      <c r="B121" s="260"/>
      <c r="C121" s="259"/>
      <c r="D121" s="241">
        <v>0.24</v>
      </c>
      <c r="E121" s="249" t="s">
        <v>79</v>
      </c>
      <c r="F121" s="113"/>
      <c r="G121" s="260"/>
      <c r="H121" s="259"/>
      <c r="I121" s="8"/>
      <c r="J121" s="113"/>
      <c r="K121" s="260"/>
      <c r="L121" s="259"/>
      <c r="M121" s="241">
        <f>D121</f>
        <v>0.24</v>
      </c>
      <c r="N121" s="249" t="s">
        <v>79</v>
      </c>
      <c r="O121" s="113"/>
      <c r="P121" s="260"/>
      <c r="Q121" s="259"/>
      <c r="R121" s="245"/>
      <c r="S121" s="49"/>
      <c r="T121" s="113"/>
      <c r="U121" s="260"/>
      <c r="V121" s="259"/>
      <c r="W121" s="241"/>
      <c r="X121" s="8"/>
      <c r="Y121" s="113"/>
      <c r="Z121" s="260"/>
      <c r="AA121" s="259"/>
      <c r="AB121" s="245"/>
      <c r="AC121" s="8"/>
      <c r="AD121" s="113"/>
      <c r="AE121" s="260"/>
      <c r="AF121" s="259"/>
      <c r="AG121" s="247"/>
      <c r="AH121" s="243"/>
      <c r="AI121" s="32"/>
      <c r="AN121" s="36"/>
      <c r="AP121" s="3"/>
      <c r="AQ121" s="3"/>
      <c r="AR121" s="53"/>
    </row>
    <row r="122" spans="1:44" s="25" customFormat="1" x14ac:dyDescent="0.25">
      <c r="A122" s="261"/>
      <c r="B122" s="260"/>
      <c r="C122" s="259"/>
      <c r="D122" s="241"/>
      <c r="E122" s="246"/>
      <c r="F122" s="113"/>
      <c r="G122" s="260"/>
      <c r="H122" s="259"/>
      <c r="I122" s="8"/>
      <c r="J122" s="113"/>
      <c r="K122" s="260"/>
      <c r="L122" s="259"/>
      <c r="M122" s="241"/>
      <c r="N122" s="49"/>
      <c r="O122" s="113"/>
      <c r="P122" s="260"/>
      <c r="Q122" s="259"/>
      <c r="R122" s="245"/>
      <c r="S122" s="49"/>
      <c r="T122" s="113"/>
      <c r="U122" s="260"/>
      <c r="V122" s="259"/>
      <c r="W122" s="241"/>
      <c r="X122" s="8"/>
      <c r="Y122" s="113"/>
      <c r="Z122" s="260"/>
      <c r="AA122" s="259"/>
      <c r="AB122" s="247"/>
      <c r="AC122" s="203"/>
      <c r="AD122" s="113"/>
      <c r="AE122" s="260"/>
      <c r="AF122" s="259"/>
      <c r="AG122" s="245"/>
      <c r="AH122" s="240"/>
      <c r="AI122" s="32"/>
      <c r="AN122" s="36"/>
      <c r="AP122" s="3"/>
      <c r="AQ122" s="3"/>
      <c r="AR122" s="53"/>
    </row>
    <row r="123" spans="1:44" s="25" customFormat="1" x14ac:dyDescent="0.25">
      <c r="A123" s="261"/>
      <c r="B123" s="260"/>
      <c r="C123" s="259"/>
      <c r="D123" s="241"/>
      <c r="E123" s="96"/>
      <c r="F123" s="113"/>
      <c r="G123" s="260"/>
      <c r="H123" s="259"/>
      <c r="I123" s="8"/>
      <c r="J123" s="113"/>
      <c r="K123" s="260"/>
      <c r="L123" s="259"/>
      <c r="M123" s="241"/>
      <c r="N123" s="49"/>
      <c r="O123" s="113"/>
      <c r="P123" s="260"/>
      <c r="Q123" s="259"/>
      <c r="R123" s="245"/>
      <c r="S123" s="49"/>
      <c r="T123" s="113"/>
      <c r="U123" s="260"/>
      <c r="V123" s="259"/>
      <c r="W123" s="241"/>
      <c r="X123" s="8"/>
      <c r="Y123" s="113"/>
      <c r="Z123" s="260"/>
      <c r="AA123" s="259"/>
      <c r="AB123" s="245"/>
      <c r="AC123" s="8"/>
      <c r="AD123" s="113"/>
      <c r="AE123" s="260"/>
      <c r="AF123" s="259"/>
      <c r="AG123" s="245"/>
      <c r="AH123" s="240"/>
      <c r="AI123" s="32"/>
      <c r="AN123" s="36"/>
      <c r="AP123" s="3"/>
      <c r="AQ123" s="3"/>
      <c r="AR123" s="53"/>
    </row>
    <row r="124" spans="1:44" s="25" customFormat="1" x14ac:dyDescent="0.25">
      <c r="A124" s="261"/>
      <c r="B124" s="260"/>
      <c r="C124" s="259"/>
      <c r="D124" s="241">
        <v>0.06</v>
      </c>
      <c r="E124" s="6" t="s">
        <v>244</v>
      </c>
      <c r="F124" s="113"/>
      <c r="G124" s="260"/>
      <c r="H124" s="259"/>
      <c r="I124" s="116"/>
      <c r="J124" s="113"/>
      <c r="K124" s="260"/>
      <c r="L124" s="259"/>
      <c r="M124" s="241">
        <f>D124</f>
        <v>0.06</v>
      </c>
      <c r="N124" s="6" t="s">
        <v>244</v>
      </c>
      <c r="O124" s="113"/>
      <c r="P124" s="260"/>
      <c r="Q124" s="259"/>
      <c r="R124" s="245"/>
      <c r="S124" s="49"/>
      <c r="T124" s="113"/>
      <c r="U124" s="260"/>
      <c r="V124" s="259"/>
      <c r="W124" s="241"/>
      <c r="X124" s="8"/>
      <c r="Y124" s="113"/>
      <c r="Z124" s="260"/>
      <c r="AA124" s="259"/>
      <c r="AB124" s="245"/>
      <c r="AC124" s="8"/>
      <c r="AD124" s="113"/>
      <c r="AE124" s="260"/>
      <c r="AF124" s="259"/>
      <c r="AG124" s="245"/>
      <c r="AH124" s="240"/>
      <c r="AI124" s="32"/>
      <c r="AN124" s="36"/>
      <c r="AP124" s="3"/>
      <c r="AQ124" s="3"/>
      <c r="AR124" s="53"/>
    </row>
    <row r="125" spans="1:44" s="25" customFormat="1" x14ac:dyDescent="0.25">
      <c r="A125" s="261"/>
      <c r="B125" s="260"/>
      <c r="C125" s="259"/>
      <c r="D125" s="241">
        <v>0.87</v>
      </c>
      <c r="E125" s="62" t="s">
        <v>139</v>
      </c>
      <c r="F125" s="113"/>
      <c r="G125" s="260"/>
      <c r="H125" s="259"/>
      <c r="I125" s="8"/>
      <c r="J125" s="113"/>
      <c r="K125" s="260"/>
      <c r="L125" s="259"/>
      <c r="M125" s="241">
        <f>D125</f>
        <v>0.87</v>
      </c>
      <c r="N125" s="62" t="s">
        <v>139</v>
      </c>
      <c r="O125" s="113"/>
      <c r="P125" s="260"/>
      <c r="Q125" s="259"/>
      <c r="R125" s="247">
        <v>0.93</v>
      </c>
      <c r="S125" s="202" t="s">
        <v>139</v>
      </c>
      <c r="T125" s="113"/>
      <c r="U125" s="260"/>
      <c r="V125" s="259"/>
      <c r="W125" s="241">
        <f>R125</f>
        <v>0.93</v>
      </c>
      <c r="X125" s="62" t="s">
        <v>139</v>
      </c>
      <c r="Y125" s="113"/>
      <c r="Z125" s="260"/>
      <c r="AA125" s="259"/>
      <c r="AB125" s="245"/>
      <c r="AC125" s="8"/>
      <c r="AD125" s="113"/>
      <c r="AE125" s="260"/>
      <c r="AF125" s="259"/>
      <c r="AG125" s="245"/>
      <c r="AH125" s="240"/>
      <c r="AI125" s="32"/>
      <c r="AN125" s="36"/>
      <c r="AP125" s="3"/>
      <c r="AQ125" s="3"/>
      <c r="AR125" s="53"/>
    </row>
    <row r="126" spans="1:44" s="25" customFormat="1" x14ac:dyDescent="0.25">
      <c r="A126" s="261"/>
      <c r="B126" s="260"/>
      <c r="C126" s="259"/>
      <c r="D126" s="240">
        <f>B113-D113-D118-D111-D116-D121-D124-D125</f>
        <v>5.27</v>
      </c>
      <c r="E126" s="6" t="s">
        <v>25</v>
      </c>
      <c r="F126" s="113"/>
      <c r="G126" s="260"/>
      <c r="H126" s="259"/>
      <c r="I126" s="116"/>
      <c r="J126" s="113"/>
      <c r="K126" s="260"/>
      <c r="L126" s="259"/>
      <c r="M126" s="241">
        <f>K113-M120-M113-M118-M111-M116-M121-M124-M125-M114</f>
        <v>6.22</v>
      </c>
      <c r="N126" s="6" t="s">
        <v>25</v>
      </c>
      <c r="O126" s="113"/>
      <c r="P126" s="260"/>
      <c r="Q126" s="259"/>
      <c r="R126" s="245">
        <f>W126</f>
        <v>5.07</v>
      </c>
      <c r="S126" s="6" t="s">
        <v>25</v>
      </c>
      <c r="T126" s="113"/>
      <c r="U126" s="260"/>
      <c r="V126" s="259"/>
      <c r="W126" s="241">
        <v>5.07</v>
      </c>
      <c r="X126" s="6" t="s">
        <v>25</v>
      </c>
      <c r="Y126" s="113"/>
      <c r="Z126" s="260"/>
      <c r="AA126" s="259"/>
      <c r="AB126" s="245">
        <f>Z113+Z127+Z128-AB84-AB128-AB119-AB111-AB113-AB114</f>
        <v>4.6899999999999995</v>
      </c>
      <c r="AC126" s="6" t="s">
        <v>25</v>
      </c>
      <c r="AD126" s="113"/>
      <c r="AE126" s="260"/>
      <c r="AF126" s="259"/>
      <c r="AG126" s="245">
        <f>AE113-AG119-AG113-AG114-AG111</f>
        <v>3.3900000000000006</v>
      </c>
      <c r="AH126" s="6" t="s">
        <v>25</v>
      </c>
      <c r="AI126" s="32"/>
      <c r="AN126" s="36"/>
      <c r="AP126" s="3"/>
      <c r="AQ126" s="3"/>
      <c r="AR126" s="53"/>
    </row>
    <row r="127" spans="1:44" s="25" customFormat="1" x14ac:dyDescent="0.25">
      <c r="A127" s="261">
        <v>27</v>
      </c>
      <c r="B127" s="260">
        <v>1.63</v>
      </c>
      <c r="C127" s="259">
        <v>8.91</v>
      </c>
      <c r="D127" s="240">
        <f>B127-D128</f>
        <v>1.63</v>
      </c>
      <c r="E127" s="7" t="s">
        <v>472</v>
      </c>
      <c r="F127" s="113"/>
      <c r="G127" s="263">
        <v>1.76</v>
      </c>
      <c r="H127" s="266">
        <v>9</v>
      </c>
      <c r="I127" s="240"/>
      <c r="J127" s="113"/>
      <c r="K127" s="260">
        <v>2.76</v>
      </c>
      <c r="L127" s="259">
        <v>9.11</v>
      </c>
      <c r="M127" s="241">
        <f>K127-M128-M133-M132-M134-M135</f>
        <v>2.2611111111111106</v>
      </c>
      <c r="N127" s="7" t="s">
        <v>155</v>
      </c>
      <c r="O127" s="113"/>
      <c r="P127" s="260">
        <v>1.2</v>
      </c>
      <c r="Q127" s="259">
        <v>8.91</v>
      </c>
      <c r="R127" s="16"/>
      <c r="S127" s="24"/>
      <c r="T127" s="113"/>
      <c r="U127" s="241">
        <v>0.62</v>
      </c>
      <c r="V127" s="240">
        <v>8.94</v>
      </c>
      <c r="W127" s="241"/>
      <c r="X127" s="8"/>
      <c r="Y127" s="113"/>
      <c r="Z127" s="241">
        <v>0.28000000000000003</v>
      </c>
      <c r="AA127" s="240">
        <v>8.73</v>
      </c>
      <c r="AB127" s="245"/>
      <c r="AC127" s="8"/>
      <c r="AD127" s="113"/>
      <c r="AE127" s="241">
        <v>0.3</v>
      </c>
      <c r="AF127" s="240">
        <v>9.07</v>
      </c>
      <c r="AG127" s="245"/>
      <c r="AH127" s="240"/>
      <c r="AI127" s="32"/>
      <c r="AN127" s="36"/>
      <c r="AP127" s="3"/>
      <c r="AQ127" s="3"/>
      <c r="AR127" s="53"/>
    </row>
    <row r="128" spans="1:44" s="25" customFormat="1" x14ac:dyDescent="0.25">
      <c r="A128" s="261"/>
      <c r="B128" s="260"/>
      <c r="C128" s="259"/>
      <c r="D128" s="241"/>
      <c r="E128" s="8"/>
      <c r="F128" s="113"/>
      <c r="G128" s="264"/>
      <c r="H128" s="267"/>
      <c r="I128" s="8"/>
      <c r="J128" s="113"/>
      <c r="K128" s="260"/>
      <c r="L128" s="259"/>
      <c r="M128" s="241"/>
      <c r="N128" s="8"/>
      <c r="O128" s="113"/>
      <c r="P128" s="260"/>
      <c r="Q128" s="259"/>
      <c r="R128" s="241"/>
      <c r="S128" s="8"/>
      <c r="T128" s="113"/>
      <c r="U128" s="260">
        <v>0.65</v>
      </c>
      <c r="V128" s="259">
        <v>9</v>
      </c>
      <c r="W128" s="241"/>
      <c r="X128" s="8"/>
      <c r="Y128" s="113"/>
      <c r="Z128" s="260">
        <v>0.32</v>
      </c>
      <c r="AA128" s="259">
        <v>8.81</v>
      </c>
      <c r="AB128" s="241"/>
      <c r="AC128" s="8"/>
      <c r="AD128" s="113"/>
      <c r="AE128" s="260">
        <v>0.42</v>
      </c>
      <c r="AF128" s="259">
        <v>9.15</v>
      </c>
      <c r="AG128" s="241"/>
      <c r="AH128" s="8"/>
      <c r="AI128" s="32"/>
      <c r="AN128" s="36"/>
      <c r="AP128" s="3"/>
      <c r="AQ128" s="3"/>
      <c r="AR128" s="53"/>
    </row>
    <row r="129" spans="1:44" s="25" customFormat="1" x14ac:dyDescent="0.25">
      <c r="A129" s="261"/>
      <c r="B129" s="260"/>
      <c r="C129" s="259"/>
      <c r="D129" s="240"/>
      <c r="E129" s="246"/>
      <c r="F129" s="113"/>
      <c r="G129" s="264"/>
      <c r="H129" s="267"/>
      <c r="I129" s="8"/>
      <c r="J129" s="113"/>
      <c r="K129" s="260"/>
      <c r="L129" s="259"/>
      <c r="M129" s="241"/>
      <c r="N129" s="246"/>
      <c r="O129" s="113"/>
      <c r="P129" s="260"/>
      <c r="Q129" s="259"/>
      <c r="R129" s="245"/>
      <c r="S129" s="246"/>
      <c r="T129" s="113"/>
      <c r="U129" s="260"/>
      <c r="V129" s="259"/>
      <c r="W129" s="24"/>
      <c r="X129" s="24"/>
      <c r="Y129" s="113"/>
      <c r="Z129" s="260"/>
      <c r="AA129" s="259"/>
      <c r="AB129" s="24"/>
      <c r="AC129" s="24"/>
      <c r="AD129" s="113"/>
      <c r="AE129" s="260"/>
      <c r="AF129" s="259"/>
      <c r="AG129" s="245"/>
      <c r="AH129" s="24"/>
      <c r="AI129" s="32"/>
      <c r="AN129" s="36"/>
      <c r="AP129" s="3"/>
      <c r="AQ129" s="3"/>
      <c r="AR129" s="53"/>
    </row>
    <row r="130" spans="1:44" s="25" customFormat="1" x14ac:dyDescent="0.25">
      <c r="A130" s="261"/>
      <c r="B130" s="260"/>
      <c r="C130" s="259"/>
      <c r="D130" s="240"/>
      <c r="E130" s="246"/>
      <c r="F130" s="113"/>
      <c r="G130" s="265"/>
      <c r="H130" s="268"/>
      <c r="I130" s="8"/>
      <c r="J130" s="113"/>
      <c r="K130" s="260"/>
      <c r="L130" s="259"/>
      <c r="M130" s="241"/>
      <c r="N130" s="91"/>
      <c r="O130" s="113"/>
      <c r="P130" s="260"/>
      <c r="Q130" s="259"/>
      <c r="R130" s="245"/>
      <c r="S130" s="91"/>
      <c r="T130" s="113"/>
      <c r="U130" s="260"/>
      <c r="V130" s="259"/>
      <c r="W130" s="241"/>
      <c r="X130" s="24"/>
      <c r="Y130" s="113"/>
      <c r="Z130" s="260"/>
      <c r="AA130" s="259"/>
      <c r="AB130" s="245"/>
      <c r="AC130" s="24"/>
      <c r="AD130" s="113"/>
      <c r="AE130" s="260"/>
      <c r="AF130" s="259"/>
      <c r="AG130" s="245"/>
      <c r="AH130" s="24"/>
      <c r="AI130" s="32"/>
      <c r="AN130" s="36"/>
      <c r="AP130" s="3"/>
      <c r="AQ130" s="3"/>
      <c r="AR130" s="53"/>
    </row>
    <row r="131" spans="1:44" s="25" customFormat="1" x14ac:dyDescent="0.25">
      <c r="A131" s="261">
        <v>28</v>
      </c>
      <c r="B131" s="260">
        <v>0.72</v>
      </c>
      <c r="C131" s="259">
        <v>9.02</v>
      </c>
      <c r="D131" s="24"/>
      <c r="E131" s="24"/>
      <c r="F131" s="113"/>
      <c r="G131" s="260">
        <v>3.19</v>
      </c>
      <c r="H131" s="259">
        <v>9.1999999999999993</v>
      </c>
      <c r="I131" s="19"/>
      <c r="J131" s="113"/>
      <c r="K131" s="260"/>
      <c r="L131" s="259"/>
      <c r="M131" s="24"/>
      <c r="N131" s="24"/>
      <c r="O131" s="113"/>
      <c r="P131" s="260"/>
      <c r="Q131" s="259"/>
      <c r="R131" s="245"/>
      <c r="S131" s="246"/>
      <c r="T131" s="113"/>
      <c r="U131" s="260"/>
      <c r="V131" s="259"/>
      <c r="W131" s="241"/>
      <c r="X131" s="241"/>
      <c r="Y131" s="113"/>
      <c r="Z131" s="260"/>
      <c r="AA131" s="259"/>
      <c r="AB131" s="245"/>
      <c r="AC131" s="241"/>
      <c r="AD131" s="113"/>
      <c r="AE131" s="260"/>
      <c r="AF131" s="259"/>
      <c r="AG131" s="245"/>
      <c r="AH131" s="241"/>
      <c r="AI131" s="32"/>
      <c r="AN131" s="36"/>
      <c r="AP131" s="3"/>
      <c r="AQ131" s="3"/>
      <c r="AR131" s="53"/>
    </row>
    <row r="132" spans="1:44" s="25" customFormat="1" x14ac:dyDescent="0.25">
      <c r="A132" s="261"/>
      <c r="B132" s="260"/>
      <c r="C132" s="259"/>
      <c r="D132" s="241">
        <v>0.11</v>
      </c>
      <c r="E132" s="7" t="s">
        <v>173</v>
      </c>
      <c r="F132" s="113"/>
      <c r="G132" s="260"/>
      <c r="H132" s="259"/>
      <c r="I132" s="240"/>
      <c r="J132" s="113"/>
      <c r="K132" s="260"/>
      <c r="L132" s="259"/>
      <c r="M132" s="241">
        <f>D132</f>
        <v>0.11</v>
      </c>
      <c r="N132" s="7" t="s">
        <v>173</v>
      </c>
      <c r="O132" s="113"/>
      <c r="P132" s="260">
        <v>0.68</v>
      </c>
      <c r="Q132" s="259">
        <v>9.0399999999999991</v>
      </c>
      <c r="R132" s="245"/>
      <c r="S132" s="49"/>
      <c r="T132" s="113"/>
      <c r="U132" s="260">
        <v>0.37</v>
      </c>
      <c r="V132" s="259">
        <v>9.1199999999999992</v>
      </c>
      <c r="W132" s="241"/>
      <c r="X132" s="16"/>
      <c r="Y132" s="113"/>
      <c r="Z132" s="260">
        <v>0.39</v>
      </c>
      <c r="AA132" s="259">
        <v>8.98</v>
      </c>
      <c r="AB132" s="245"/>
      <c r="AC132" s="16"/>
      <c r="AD132" s="113"/>
      <c r="AE132" s="260">
        <v>0.3</v>
      </c>
      <c r="AF132" s="259">
        <v>9.32</v>
      </c>
      <c r="AG132" s="245"/>
      <c r="AH132" s="16"/>
      <c r="AI132" s="32"/>
      <c r="AN132" s="36"/>
      <c r="AP132" s="3"/>
      <c r="AQ132" s="3"/>
      <c r="AR132" s="53"/>
    </row>
    <row r="133" spans="1:44" s="25" customFormat="1" x14ac:dyDescent="0.25">
      <c r="A133" s="261"/>
      <c r="B133" s="260"/>
      <c r="C133" s="259"/>
      <c r="D133" s="240">
        <f>(B131-D134-D135)/3</f>
        <v>0.16555555555555557</v>
      </c>
      <c r="E133" s="249" t="s">
        <v>271</v>
      </c>
      <c r="F133" s="113"/>
      <c r="G133" s="260"/>
      <c r="H133" s="259"/>
      <c r="I133" s="240"/>
      <c r="J133" s="113"/>
      <c r="K133" s="260"/>
      <c r="L133" s="259"/>
      <c r="M133" s="241">
        <f>D133</f>
        <v>0.16555555555555557</v>
      </c>
      <c r="N133" s="249" t="s">
        <v>271</v>
      </c>
      <c r="O133" s="113"/>
      <c r="P133" s="260"/>
      <c r="Q133" s="259"/>
      <c r="R133" s="245"/>
      <c r="S133" s="8"/>
      <c r="T133" s="113"/>
      <c r="U133" s="260"/>
      <c r="V133" s="259"/>
      <c r="W133" s="241"/>
      <c r="X133" s="18"/>
      <c r="Y133" s="113"/>
      <c r="Z133" s="260"/>
      <c r="AA133" s="259"/>
      <c r="AB133" s="245"/>
      <c r="AC133" s="18"/>
      <c r="AD133" s="113"/>
      <c r="AE133" s="260"/>
      <c r="AF133" s="259"/>
      <c r="AG133" s="245"/>
      <c r="AH133" s="18"/>
      <c r="AI133" s="32"/>
      <c r="AN133" s="36"/>
      <c r="AP133" s="3"/>
      <c r="AQ133" s="3"/>
      <c r="AR133" s="53"/>
    </row>
    <row r="134" spans="1:44" s="25" customFormat="1" x14ac:dyDescent="0.25">
      <c r="A134" s="261"/>
      <c r="B134" s="260"/>
      <c r="C134" s="259"/>
      <c r="D134" s="241">
        <f>R134</f>
        <v>0.12333333333333334</v>
      </c>
      <c r="E134" s="59" t="s">
        <v>110</v>
      </c>
      <c r="F134" s="113"/>
      <c r="G134" s="260"/>
      <c r="H134" s="259"/>
      <c r="I134" s="240"/>
      <c r="J134" s="113"/>
      <c r="K134" s="260"/>
      <c r="L134" s="259"/>
      <c r="M134" s="241">
        <f>D134</f>
        <v>0.12333333333333334</v>
      </c>
      <c r="N134" s="59" t="s">
        <v>110</v>
      </c>
      <c r="O134" s="113"/>
      <c r="P134" s="260"/>
      <c r="Q134" s="259"/>
      <c r="R134" s="245">
        <f>AB134</f>
        <v>0.12333333333333334</v>
      </c>
      <c r="S134" s="59" t="s">
        <v>110</v>
      </c>
      <c r="T134" s="113"/>
      <c r="U134" s="260"/>
      <c r="V134" s="259"/>
      <c r="W134" s="241">
        <f>U132/3</f>
        <v>0.12333333333333334</v>
      </c>
      <c r="X134" s="59" t="s">
        <v>110</v>
      </c>
      <c r="Y134" s="113"/>
      <c r="Z134" s="260"/>
      <c r="AA134" s="259"/>
      <c r="AB134" s="245">
        <f>W134</f>
        <v>0.12333333333333334</v>
      </c>
      <c r="AC134" s="59" t="s">
        <v>110</v>
      </c>
      <c r="AD134" s="113"/>
      <c r="AE134" s="260"/>
      <c r="AF134" s="259"/>
      <c r="AG134" s="245">
        <f>AE132/2</f>
        <v>0.15</v>
      </c>
      <c r="AH134" s="59" t="s">
        <v>110</v>
      </c>
      <c r="AI134" s="32"/>
      <c r="AN134" s="36"/>
      <c r="AP134" s="3"/>
      <c r="AQ134" s="3"/>
      <c r="AR134" s="53"/>
    </row>
    <row r="135" spans="1:44" s="25" customFormat="1" x14ac:dyDescent="0.25">
      <c r="A135" s="261"/>
      <c r="B135" s="260"/>
      <c r="C135" s="259"/>
      <c r="D135" s="241">
        <v>0.1</v>
      </c>
      <c r="E135" s="249" t="s">
        <v>111</v>
      </c>
      <c r="F135" s="113"/>
      <c r="G135" s="260"/>
      <c r="H135" s="259"/>
      <c r="I135" s="240"/>
      <c r="J135" s="113"/>
      <c r="K135" s="260"/>
      <c r="L135" s="259"/>
      <c r="M135" s="241">
        <f>D135</f>
        <v>0.1</v>
      </c>
      <c r="N135" s="249" t="s">
        <v>111</v>
      </c>
      <c r="O135" s="113"/>
      <c r="P135" s="260"/>
      <c r="Q135" s="259"/>
      <c r="R135" s="245">
        <f>W135</f>
        <v>0.12</v>
      </c>
      <c r="S135" s="249" t="s">
        <v>111</v>
      </c>
      <c r="T135" s="113"/>
      <c r="U135" s="260"/>
      <c r="V135" s="259"/>
      <c r="W135" s="241">
        <f>0.12</f>
        <v>0.12</v>
      </c>
      <c r="X135" s="249" t="s">
        <v>111</v>
      </c>
      <c r="Y135" s="113"/>
      <c r="Z135" s="260"/>
      <c r="AA135" s="259"/>
      <c r="AB135" s="245">
        <f>Z132-AB134+Z139+Z142-AB154-AB140</f>
        <v>0.39666666666666628</v>
      </c>
      <c r="AC135" s="249" t="s">
        <v>111</v>
      </c>
      <c r="AD135" s="113"/>
      <c r="AE135" s="260"/>
      <c r="AF135" s="259"/>
      <c r="AG135" s="245">
        <f>AG134</f>
        <v>0.15</v>
      </c>
      <c r="AH135" s="249" t="s">
        <v>111</v>
      </c>
      <c r="AI135" s="32"/>
      <c r="AN135" s="36"/>
      <c r="AP135" s="3"/>
      <c r="AQ135" s="3"/>
      <c r="AR135" s="53"/>
    </row>
    <row r="136" spans="1:44" s="25" customFormat="1" x14ac:dyDescent="0.25">
      <c r="A136" s="261">
        <v>29</v>
      </c>
      <c r="B136" s="260">
        <v>2</v>
      </c>
      <c r="C136" s="259">
        <v>9.11</v>
      </c>
      <c r="D136" s="240">
        <f>M136</f>
        <v>0.74</v>
      </c>
      <c r="E136" s="7" t="s">
        <v>155</v>
      </c>
      <c r="F136" s="113"/>
      <c r="G136" s="260"/>
      <c r="H136" s="259"/>
      <c r="I136" s="240"/>
      <c r="J136" s="113"/>
      <c r="K136" s="260">
        <v>0.74</v>
      </c>
      <c r="L136" s="259">
        <v>9.27</v>
      </c>
      <c r="M136" s="241">
        <f>K136</f>
        <v>0.74</v>
      </c>
      <c r="N136" s="7" t="s">
        <v>155</v>
      </c>
      <c r="O136" s="113"/>
      <c r="P136" s="260"/>
      <c r="Q136" s="259"/>
      <c r="R136" s="24"/>
      <c r="S136" s="24"/>
      <c r="T136" s="113"/>
      <c r="U136" s="260"/>
      <c r="V136" s="259"/>
      <c r="W136" s="24"/>
      <c r="X136" s="24"/>
      <c r="Y136" s="113"/>
      <c r="Z136" s="260"/>
      <c r="AA136" s="259"/>
      <c r="AB136" s="245"/>
      <c r="AC136" s="240"/>
      <c r="AD136" s="113"/>
      <c r="AE136" s="260"/>
      <c r="AF136" s="259"/>
      <c r="AG136" s="245"/>
      <c r="AH136" s="240"/>
      <c r="AI136" s="32"/>
      <c r="AN136" s="36"/>
      <c r="AP136" s="3"/>
      <c r="AQ136" s="3"/>
      <c r="AR136" s="53"/>
    </row>
    <row r="137" spans="1:44" s="25" customFormat="1" x14ac:dyDescent="0.25">
      <c r="A137" s="261"/>
      <c r="B137" s="260"/>
      <c r="C137" s="259"/>
      <c r="D137" s="240"/>
      <c r="E137" s="93"/>
      <c r="F137" s="113"/>
      <c r="G137" s="260"/>
      <c r="H137" s="259"/>
      <c r="I137" s="240"/>
      <c r="J137" s="113"/>
      <c r="K137" s="260"/>
      <c r="L137" s="259"/>
      <c r="M137" s="241"/>
      <c r="N137" s="93"/>
      <c r="O137" s="113"/>
      <c r="P137" s="260"/>
      <c r="Q137" s="259"/>
      <c r="R137" s="245">
        <f>P132-R134-R135</f>
        <v>0.43666666666666676</v>
      </c>
      <c r="S137" s="249" t="s">
        <v>164</v>
      </c>
      <c r="T137" s="113"/>
      <c r="U137" s="260"/>
      <c r="V137" s="259"/>
      <c r="W137" s="241">
        <f>0.12</f>
        <v>0.12</v>
      </c>
      <c r="X137" s="249" t="s">
        <v>164</v>
      </c>
      <c r="Y137" s="113"/>
      <c r="Z137" s="260"/>
      <c r="AA137" s="259"/>
      <c r="AB137" s="245"/>
      <c r="AC137" s="240"/>
      <c r="AD137" s="113"/>
      <c r="AE137" s="260"/>
      <c r="AF137" s="259"/>
      <c r="AG137" s="245"/>
      <c r="AH137" s="240"/>
      <c r="AI137" s="32"/>
      <c r="AN137" s="36"/>
      <c r="AP137" s="53"/>
      <c r="AQ137" s="3"/>
      <c r="AR137" s="53"/>
    </row>
    <row r="138" spans="1:44" s="25" customFormat="1" x14ac:dyDescent="0.25">
      <c r="A138" s="261"/>
      <c r="B138" s="260"/>
      <c r="C138" s="259"/>
      <c r="D138" s="241">
        <f>M138</f>
        <v>0.01</v>
      </c>
      <c r="E138" s="77" t="s">
        <v>231</v>
      </c>
      <c r="F138" s="113"/>
      <c r="G138" s="260"/>
      <c r="H138" s="259"/>
      <c r="I138" s="240"/>
      <c r="J138" s="113"/>
      <c r="K138" s="260"/>
      <c r="L138" s="259"/>
      <c r="M138" s="241">
        <v>0.01</v>
      </c>
      <c r="N138" s="77" t="s">
        <v>231</v>
      </c>
      <c r="O138" s="113"/>
      <c r="P138" s="260"/>
      <c r="Q138" s="259"/>
      <c r="R138" s="245"/>
      <c r="S138" s="24"/>
      <c r="T138" s="113"/>
      <c r="U138" s="260">
        <v>1.23</v>
      </c>
      <c r="V138" s="259">
        <v>9.27</v>
      </c>
      <c r="W138" s="241"/>
      <c r="X138" s="240"/>
      <c r="Y138" s="113"/>
      <c r="Z138" s="260"/>
      <c r="AA138" s="259"/>
      <c r="AB138" s="245"/>
      <c r="AC138" s="240"/>
      <c r="AD138" s="113"/>
      <c r="AE138" s="260"/>
      <c r="AF138" s="259"/>
      <c r="AG138" s="245"/>
      <c r="AH138" s="240"/>
      <c r="AI138" s="32"/>
      <c r="AN138" s="36"/>
      <c r="AP138" s="53"/>
      <c r="AQ138" s="3"/>
      <c r="AR138" s="53"/>
    </row>
    <row r="139" spans="1:44" s="25" customFormat="1" x14ac:dyDescent="0.25">
      <c r="A139" s="261">
        <v>30</v>
      </c>
      <c r="B139" s="260">
        <v>0.44</v>
      </c>
      <c r="C139" s="259">
        <v>9.25</v>
      </c>
      <c r="D139" s="240"/>
      <c r="E139" s="246"/>
      <c r="F139" s="113"/>
      <c r="G139" s="263">
        <v>0.38</v>
      </c>
      <c r="H139" s="266">
        <v>9.31</v>
      </c>
      <c r="I139" s="240"/>
      <c r="J139" s="113"/>
      <c r="K139" s="260">
        <v>0.65</v>
      </c>
      <c r="L139" s="259">
        <v>9.42</v>
      </c>
      <c r="M139" s="241"/>
      <c r="N139" s="246"/>
      <c r="O139" s="113"/>
      <c r="P139" s="260">
        <v>0.56999999999999995</v>
      </c>
      <c r="Q139" s="259">
        <v>9.2100000000000009</v>
      </c>
      <c r="R139" s="245"/>
      <c r="S139" s="246"/>
      <c r="T139" s="113"/>
      <c r="U139" s="260"/>
      <c r="V139" s="259"/>
      <c r="W139" s="24"/>
      <c r="X139" s="24"/>
      <c r="Y139" s="113"/>
      <c r="Z139" s="260">
        <v>0.47</v>
      </c>
      <c r="AA139" s="259">
        <v>9.06</v>
      </c>
      <c r="AB139" s="24"/>
      <c r="AC139" s="24"/>
      <c r="AD139" s="113"/>
      <c r="AE139" s="260">
        <v>0.34</v>
      </c>
      <c r="AF139" s="259">
        <v>9.4</v>
      </c>
      <c r="AG139" s="245"/>
      <c r="AH139" s="24"/>
      <c r="AI139" s="32"/>
      <c r="AN139" s="36"/>
      <c r="AP139" s="3"/>
      <c r="AQ139" s="3"/>
      <c r="AR139" s="53"/>
    </row>
    <row r="140" spans="1:44" s="25" customFormat="1" x14ac:dyDescent="0.25">
      <c r="A140" s="261"/>
      <c r="B140" s="260"/>
      <c r="C140" s="259"/>
      <c r="D140" s="240">
        <f>B139</f>
        <v>0.44</v>
      </c>
      <c r="E140" s="22" t="s">
        <v>110</v>
      </c>
      <c r="F140" s="113"/>
      <c r="G140" s="264"/>
      <c r="H140" s="267"/>
      <c r="I140" s="241"/>
      <c r="J140" s="113"/>
      <c r="K140" s="260"/>
      <c r="L140" s="259"/>
      <c r="M140" s="241">
        <f>K139</f>
        <v>0.65</v>
      </c>
      <c r="N140" s="22" t="s">
        <v>110</v>
      </c>
      <c r="O140" s="113"/>
      <c r="P140" s="260"/>
      <c r="Q140" s="259"/>
      <c r="R140" s="245">
        <f>P139</f>
        <v>0.56999999999999995</v>
      </c>
      <c r="S140" s="22" t="s">
        <v>110</v>
      </c>
      <c r="T140" s="113"/>
      <c r="U140" s="260"/>
      <c r="V140" s="259"/>
      <c r="W140" s="241">
        <f>U138</f>
        <v>1.23</v>
      </c>
      <c r="X140" s="22" t="s">
        <v>110</v>
      </c>
      <c r="Y140" s="113"/>
      <c r="Z140" s="260"/>
      <c r="AA140" s="259"/>
      <c r="AB140" s="245">
        <f>Z139</f>
        <v>0.47</v>
      </c>
      <c r="AC140" s="22" t="s">
        <v>110</v>
      </c>
      <c r="AD140" s="113"/>
      <c r="AE140" s="260"/>
      <c r="AF140" s="259"/>
      <c r="AG140" s="245">
        <f>AE139</f>
        <v>0.34</v>
      </c>
      <c r="AH140" s="22" t="s">
        <v>110</v>
      </c>
      <c r="AI140" s="32"/>
      <c r="AN140" s="36"/>
      <c r="AP140" s="3"/>
      <c r="AQ140" s="3"/>
      <c r="AR140" s="53"/>
    </row>
    <row r="141" spans="1:44" s="25" customFormat="1" x14ac:dyDescent="0.25">
      <c r="A141" s="261"/>
      <c r="B141" s="260"/>
      <c r="C141" s="259"/>
      <c r="D141" s="240"/>
      <c r="E141" s="18"/>
      <c r="F141" s="113"/>
      <c r="G141" s="264"/>
      <c r="H141" s="267"/>
      <c r="I141" s="56"/>
      <c r="J141" s="113"/>
      <c r="K141" s="260"/>
      <c r="L141" s="259"/>
      <c r="M141" s="241"/>
      <c r="N141" s="24"/>
      <c r="O141" s="113"/>
      <c r="P141" s="260"/>
      <c r="Q141" s="259"/>
      <c r="R141" s="245"/>
      <c r="S141" s="24"/>
      <c r="T141" s="113"/>
      <c r="U141" s="260"/>
      <c r="V141" s="259"/>
      <c r="W141" s="24"/>
      <c r="X141" s="24"/>
      <c r="Y141" s="113"/>
      <c r="Z141" s="260"/>
      <c r="AA141" s="259"/>
      <c r="AB141" s="24"/>
      <c r="AC141" s="24"/>
      <c r="AD141" s="113"/>
      <c r="AE141" s="260"/>
      <c r="AF141" s="259"/>
      <c r="AG141" s="245"/>
      <c r="AH141" s="240"/>
      <c r="AI141" s="32"/>
      <c r="AN141" s="36"/>
      <c r="AP141" s="4"/>
      <c r="AQ141" s="3"/>
      <c r="AR141" s="53"/>
    </row>
    <row r="142" spans="1:44" s="25" customFormat="1" x14ac:dyDescent="0.25">
      <c r="A142" s="261"/>
      <c r="B142" s="260"/>
      <c r="C142" s="259"/>
      <c r="D142" s="240"/>
      <c r="E142" s="56"/>
      <c r="F142" s="113"/>
      <c r="G142" s="264"/>
      <c r="H142" s="267"/>
      <c r="I142" s="56"/>
      <c r="J142" s="113"/>
      <c r="K142" s="260"/>
      <c r="L142" s="259"/>
      <c r="M142" s="241"/>
      <c r="N142" s="245"/>
      <c r="O142" s="113"/>
      <c r="P142" s="260">
        <v>4.45</v>
      </c>
      <c r="Q142" s="259">
        <v>9.43</v>
      </c>
      <c r="R142" s="245"/>
      <c r="S142" s="245"/>
      <c r="T142" s="113"/>
      <c r="U142" s="260">
        <v>0.31</v>
      </c>
      <c r="V142" s="259">
        <v>9.3800000000000008</v>
      </c>
      <c r="W142" s="241"/>
      <c r="X142" s="16"/>
      <c r="Y142" s="113"/>
      <c r="Z142" s="260">
        <v>4.3</v>
      </c>
      <c r="AA142" s="259">
        <v>9.2899999999999991</v>
      </c>
      <c r="AB142" s="245"/>
      <c r="AC142" s="16"/>
      <c r="AD142" s="113"/>
      <c r="AE142" s="260">
        <v>3.92</v>
      </c>
      <c r="AF142" s="259">
        <v>9.6300000000000008</v>
      </c>
      <c r="AG142" s="245"/>
      <c r="AH142" s="240"/>
      <c r="AI142" s="32"/>
      <c r="AN142" s="36"/>
      <c r="AP142" s="53"/>
      <c r="AQ142" s="3"/>
      <c r="AR142" s="53"/>
    </row>
    <row r="143" spans="1:44" s="25" customFormat="1" x14ac:dyDescent="0.25">
      <c r="A143" s="261"/>
      <c r="B143" s="260"/>
      <c r="C143" s="259"/>
      <c r="D143" s="240"/>
      <c r="E143" s="56"/>
      <c r="F143" s="113"/>
      <c r="G143" s="264"/>
      <c r="H143" s="267"/>
      <c r="I143" s="56"/>
      <c r="J143" s="113"/>
      <c r="K143" s="260"/>
      <c r="L143" s="259"/>
      <c r="M143" s="241"/>
      <c r="N143" s="19"/>
      <c r="O143" s="113"/>
      <c r="P143" s="260"/>
      <c r="Q143" s="259"/>
      <c r="R143" s="245"/>
      <c r="S143" s="19"/>
      <c r="T143" s="113"/>
      <c r="U143" s="260"/>
      <c r="V143" s="259"/>
      <c r="W143" s="241"/>
      <c r="X143" s="18"/>
      <c r="Y143" s="113"/>
      <c r="Z143" s="260"/>
      <c r="AA143" s="259"/>
      <c r="AB143" s="16"/>
      <c r="AC143" s="18"/>
      <c r="AD143" s="113"/>
      <c r="AE143" s="260"/>
      <c r="AF143" s="259"/>
      <c r="AG143" s="245"/>
      <c r="AH143" s="240"/>
      <c r="AI143" s="32"/>
      <c r="AN143" s="36"/>
      <c r="AP143" s="53"/>
      <c r="AQ143" s="3"/>
      <c r="AR143" s="53"/>
    </row>
    <row r="144" spans="1:44" s="25" customFormat="1" x14ac:dyDescent="0.25">
      <c r="A144" s="261">
        <v>31</v>
      </c>
      <c r="B144" s="260">
        <v>0.84</v>
      </c>
      <c r="C144" s="259">
        <v>9.34</v>
      </c>
      <c r="D144" s="240">
        <f>B144+B139+B136-D136-D138-D140-D145-D146</f>
        <v>1.5900000000000003</v>
      </c>
      <c r="E144" s="7" t="s">
        <v>458</v>
      </c>
      <c r="F144" s="113"/>
      <c r="G144" s="264"/>
      <c r="H144" s="267"/>
      <c r="I144" s="56"/>
      <c r="J144" s="113"/>
      <c r="K144" s="260">
        <v>0.54</v>
      </c>
      <c r="L144" s="259">
        <v>9.5299999999999994</v>
      </c>
      <c r="M144" s="241">
        <v>0.2</v>
      </c>
      <c r="N144" s="7" t="s">
        <v>229</v>
      </c>
      <c r="O144" s="113"/>
      <c r="P144" s="260"/>
      <c r="Q144" s="259"/>
      <c r="R144" s="245"/>
      <c r="S144" s="19"/>
      <c r="T144" s="113"/>
      <c r="U144" s="260"/>
      <c r="V144" s="259"/>
      <c r="W144" s="241"/>
      <c r="X144" s="18"/>
      <c r="Y144" s="113"/>
      <c r="Z144" s="260"/>
      <c r="AA144" s="259"/>
      <c r="AB144" s="16"/>
      <c r="AC144" s="18"/>
      <c r="AD144" s="113"/>
      <c r="AE144" s="260"/>
      <c r="AF144" s="259"/>
      <c r="AG144" s="245"/>
      <c r="AH144" s="240"/>
      <c r="AI144" s="32"/>
      <c r="AN144" s="36"/>
      <c r="AP144" s="53"/>
      <c r="AQ144" s="53"/>
      <c r="AR144" s="53"/>
    </row>
    <row r="145" spans="1:44" s="25" customFormat="1" x14ac:dyDescent="0.25">
      <c r="A145" s="261"/>
      <c r="B145" s="260"/>
      <c r="C145" s="259"/>
      <c r="D145" s="241">
        <v>0.35</v>
      </c>
      <c r="E145" s="249" t="s">
        <v>503</v>
      </c>
      <c r="F145" s="113"/>
      <c r="G145" s="264"/>
      <c r="H145" s="267"/>
      <c r="I145" s="56"/>
      <c r="J145" s="113"/>
      <c r="K145" s="260"/>
      <c r="L145" s="259"/>
      <c r="M145" s="241">
        <v>0.2</v>
      </c>
      <c r="N145" s="249" t="s">
        <v>248</v>
      </c>
      <c r="O145" s="113"/>
      <c r="P145" s="260"/>
      <c r="Q145" s="259"/>
      <c r="R145" s="24"/>
      <c r="S145" s="24"/>
      <c r="T145" s="113"/>
      <c r="U145" s="260"/>
      <c r="V145" s="259"/>
      <c r="W145" s="241"/>
      <c r="X145" s="18"/>
      <c r="Y145" s="113"/>
      <c r="Z145" s="260"/>
      <c r="AA145" s="259"/>
      <c r="AB145" s="16">
        <v>0.13</v>
      </c>
      <c r="AC145" s="22" t="s">
        <v>113</v>
      </c>
      <c r="AD145" s="113"/>
      <c r="AE145" s="260"/>
      <c r="AF145" s="259"/>
      <c r="AG145" s="245">
        <v>0.13</v>
      </c>
      <c r="AH145" s="22" t="s">
        <v>113</v>
      </c>
      <c r="AI145" s="32"/>
      <c r="AN145" s="36"/>
      <c r="AP145" s="53"/>
      <c r="AQ145" s="84"/>
      <c r="AR145" s="53"/>
    </row>
    <row r="146" spans="1:44" s="25" customFormat="1" x14ac:dyDescent="0.25">
      <c r="A146" s="261"/>
      <c r="B146" s="260"/>
      <c r="C146" s="259"/>
      <c r="D146" s="241">
        <f>R146</f>
        <v>0.15</v>
      </c>
      <c r="E146" s="75" t="s">
        <v>438</v>
      </c>
      <c r="F146" s="113"/>
      <c r="G146" s="265"/>
      <c r="H146" s="268"/>
      <c r="I146" s="56"/>
      <c r="J146" s="113"/>
      <c r="K146" s="260"/>
      <c r="L146" s="259"/>
      <c r="M146" s="241">
        <f>D146</f>
        <v>0.15</v>
      </c>
      <c r="N146" s="75" t="s">
        <v>438</v>
      </c>
      <c r="O146" s="113"/>
      <c r="P146" s="260"/>
      <c r="Q146" s="259"/>
      <c r="R146" s="245">
        <v>0.15</v>
      </c>
      <c r="S146" s="75" t="s">
        <v>142</v>
      </c>
      <c r="T146" s="113"/>
      <c r="U146" s="260"/>
      <c r="V146" s="259"/>
      <c r="W146" s="24"/>
      <c r="X146" s="24"/>
      <c r="Y146" s="113"/>
      <c r="Z146" s="260"/>
      <c r="AA146" s="259"/>
      <c r="AB146" s="16"/>
      <c r="AC146" s="18"/>
      <c r="AD146" s="113"/>
      <c r="AE146" s="260"/>
      <c r="AF146" s="259"/>
      <c r="AG146" s="245"/>
      <c r="AH146" s="107"/>
      <c r="AI146" s="32"/>
      <c r="AN146" s="36"/>
      <c r="AP146" s="4"/>
      <c r="AQ146" s="84"/>
      <c r="AR146" s="53"/>
    </row>
    <row r="147" spans="1:44" s="25" customFormat="1" x14ac:dyDescent="0.25">
      <c r="A147" s="261"/>
      <c r="B147" s="260"/>
      <c r="C147" s="259"/>
      <c r="F147" s="113"/>
      <c r="G147" s="260">
        <v>1.38</v>
      </c>
      <c r="H147" s="259">
        <v>9.43</v>
      </c>
      <c r="I147" s="241"/>
      <c r="J147" s="113"/>
      <c r="K147" s="260"/>
      <c r="L147" s="259"/>
      <c r="M147" s="24"/>
      <c r="N147" s="24"/>
      <c r="O147" s="113"/>
      <c r="P147" s="260"/>
      <c r="Q147" s="259"/>
      <c r="R147" s="245">
        <f>W147</f>
        <v>0.31</v>
      </c>
      <c r="S147" s="70" t="s">
        <v>226</v>
      </c>
      <c r="T147" s="113"/>
      <c r="U147" s="260"/>
      <c r="V147" s="259"/>
      <c r="W147" s="241">
        <f>U142</f>
        <v>0.31</v>
      </c>
      <c r="X147" s="70" t="s">
        <v>226</v>
      </c>
      <c r="Y147" s="113"/>
      <c r="Z147" s="260"/>
      <c r="AA147" s="259"/>
      <c r="AB147" s="245"/>
      <c r="AC147" s="245"/>
      <c r="AD147" s="113"/>
      <c r="AE147" s="260"/>
      <c r="AF147" s="259"/>
      <c r="AG147" s="245"/>
      <c r="AH147" s="24"/>
      <c r="AI147" s="32"/>
      <c r="AN147" s="36"/>
      <c r="AP147" s="4"/>
      <c r="AQ147" s="4"/>
      <c r="AR147" s="53"/>
    </row>
    <row r="148" spans="1:44" s="25" customFormat="1" x14ac:dyDescent="0.25">
      <c r="A148" s="261">
        <v>32</v>
      </c>
      <c r="B148" s="260">
        <v>4.51</v>
      </c>
      <c r="C148" s="259">
        <v>9.4600000000000009</v>
      </c>
      <c r="D148" s="241">
        <v>7.0000000000000007E-2</v>
      </c>
      <c r="E148" s="7" t="s">
        <v>472</v>
      </c>
      <c r="F148" s="113"/>
      <c r="G148" s="260"/>
      <c r="H148" s="259"/>
      <c r="I148" s="241"/>
      <c r="J148" s="113"/>
      <c r="K148" s="260">
        <v>10.15</v>
      </c>
      <c r="L148" s="259">
        <v>9.64</v>
      </c>
      <c r="M148" s="241">
        <v>1.25</v>
      </c>
      <c r="N148" s="7" t="s">
        <v>155</v>
      </c>
      <c r="O148" s="113"/>
      <c r="P148" s="260"/>
      <c r="Q148" s="259"/>
      <c r="R148" s="245"/>
      <c r="S148" s="19"/>
      <c r="T148" s="113"/>
      <c r="U148" s="260">
        <v>4.5</v>
      </c>
      <c r="V148" s="259">
        <v>9.49</v>
      </c>
      <c r="W148" s="241"/>
      <c r="X148" s="245"/>
      <c r="Y148" s="113"/>
      <c r="Z148" s="260"/>
      <c r="AA148" s="259"/>
      <c r="AB148" s="245"/>
      <c r="AC148" s="245"/>
      <c r="AD148" s="113"/>
      <c r="AE148" s="260"/>
      <c r="AF148" s="259"/>
      <c r="AG148" s="245"/>
      <c r="AH148" s="24"/>
      <c r="AI148" s="32"/>
      <c r="AN148" s="36"/>
      <c r="AP148" s="4"/>
      <c r="AQ148" s="3"/>
      <c r="AR148" s="53"/>
    </row>
    <row r="149" spans="1:44" s="25" customFormat="1" x14ac:dyDescent="0.25">
      <c r="A149" s="261"/>
      <c r="B149" s="260"/>
      <c r="C149" s="259"/>
      <c r="D149" s="241">
        <f>(B148-D152-D153-D154)/3</f>
        <v>0.17333333333333303</v>
      </c>
      <c r="E149" s="249" t="s">
        <v>477</v>
      </c>
      <c r="F149" s="113"/>
      <c r="G149" s="260"/>
      <c r="H149" s="259"/>
      <c r="I149" s="241"/>
      <c r="J149" s="113"/>
      <c r="K149" s="260"/>
      <c r="L149" s="259"/>
      <c r="M149" s="241">
        <f>(K148-M152-M153-M154-M150-M148)</f>
        <v>3.6599999999999984</v>
      </c>
      <c r="N149" s="249" t="s">
        <v>271</v>
      </c>
      <c r="O149" s="113"/>
      <c r="P149" s="260"/>
      <c r="Q149" s="259"/>
      <c r="R149" s="245"/>
      <c r="S149" s="19"/>
      <c r="T149" s="113"/>
      <c r="U149" s="260"/>
      <c r="V149" s="259"/>
      <c r="W149" s="241"/>
      <c r="X149" s="245"/>
      <c r="Y149" s="113"/>
      <c r="Z149" s="260"/>
      <c r="AA149" s="259"/>
      <c r="AB149" s="245"/>
      <c r="AC149" s="245"/>
      <c r="AD149" s="113"/>
      <c r="AE149" s="260"/>
      <c r="AF149" s="259"/>
      <c r="AG149" s="245"/>
      <c r="AH149" s="24"/>
      <c r="AI149" s="32"/>
      <c r="AN149" s="36"/>
      <c r="AP149" s="3"/>
      <c r="AQ149" s="3"/>
      <c r="AR149" s="53"/>
    </row>
    <row r="150" spans="1:44" s="25" customFormat="1" x14ac:dyDescent="0.25">
      <c r="A150" s="261"/>
      <c r="B150" s="260"/>
      <c r="C150" s="259"/>
      <c r="D150" s="241">
        <v>7.0000000000000007E-2</v>
      </c>
      <c r="E150" s="249" t="s">
        <v>494</v>
      </c>
      <c r="F150" s="113"/>
      <c r="G150" s="260"/>
      <c r="H150" s="259"/>
      <c r="I150" s="241"/>
      <c r="J150" s="113"/>
      <c r="K150" s="260"/>
      <c r="L150" s="259"/>
      <c r="M150" s="241">
        <v>1.25</v>
      </c>
      <c r="N150" s="249" t="s">
        <v>91</v>
      </c>
      <c r="O150" s="113"/>
      <c r="P150" s="260"/>
      <c r="Q150" s="259"/>
      <c r="R150" s="245"/>
      <c r="S150" s="19"/>
      <c r="T150" s="113"/>
      <c r="U150" s="260"/>
      <c r="V150" s="259"/>
      <c r="W150" s="241"/>
      <c r="X150" s="245"/>
      <c r="Y150" s="113"/>
      <c r="Z150" s="260"/>
      <c r="AA150" s="259"/>
      <c r="AB150" s="245"/>
      <c r="AC150" s="245"/>
      <c r="AD150" s="113"/>
      <c r="AE150" s="260"/>
      <c r="AF150" s="259"/>
      <c r="AG150" s="245"/>
      <c r="AH150" s="24"/>
      <c r="AI150" s="32"/>
      <c r="AN150" s="36"/>
      <c r="AP150" s="3"/>
      <c r="AQ150" s="3"/>
      <c r="AR150" s="53"/>
    </row>
    <row r="151" spans="1:44" s="25" customFormat="1" x14ac:dyDescent="0.25">
      <c r="A151" s="261"/>
      <c r="B151" s="260"/>
      <c r="C151" s="259"/>
      <c r="D151" s="24"/>
      <c r="E151" s="24"/>
      <c r="F151" s="113"/>
      <c r="G151" s="260"/>
      <c r="H151" s="259"/>
      <c r="I151" s="241"/>
      <c r="J151" s="113"/>
      <c r="K151" s="260"/>
      <c r="L151" s="259"/>
      <c r="M151" s="24"/>
      <c r="N151" s="24"/>
      <c r="O151" s="113"/>
      <c r="P151" s="260"/>
      <c r="Q151" s="259"/>
      <c r="R151" s="245"/>
      <c r="S151" s="246"/>
      <c r="T151" s="113"/>
      <c r="U151" s="260"/>
      <c r="V151" s="259"/>
      <c r="W151" s="241"/>
      <c r="X151" s="245"/>
      <c r="Y151" s="113"/>
      <c r="Z151" s="260"/>
      <c r="AA151" s="259"/>
      <c r="AB151" s="245"/>
      <c r="AC151" s="245"/>
      <c r="AD151" s="113"/>
      <c r="AE151" s="260"/>
      <c r="AF151" s="259"/>
      <c r="AG151" s="245"/>
      <c r="AH151" s="24"/>
      <c r="AI151" s="32"/>
      <c r="AN151" s="36"/>
      <c r="AP151" s="4"/>
      <c r="AQ151" s="3"/>
      <c r="AR151" s="53"/>
    </row>
    <row r="152" spans="1:44" s="25" customFormat="1" x14ac:dyDescent="0.25">
      <c r="A152" s="261"/>
      <c r="B152" s="260"/>
      <c r="C152" s="259"/>
      <c r="D152" s="241">
        <f>R152</f>
        <v>0.13</v>
      </c>
      <c r="E152" s="249" t="s">
        <v>355</v>
      </c>
      <c r="F152" s="113"/>
      <c r="G152" s="260"/>
      <c r="H152" s="259"/>
      <c r="I152" s="241"/>
      <c r="J152" s="113"/>
      <c r="K152" s="260"/>
      <c r="L152" s="259"/>
      <c r="M152" s="241">
        <f>D152</f>
        <v>0.13</v>
      </c>
      <c r="N152" s="249" t="s">
        <v>355</v>
      </c>
      <c r="O152" s="113"/>
      <c r="P152" s="260"/>
      <c r="Q152" s="259"/>
      <c r="R152" s="245">
        <v>0.13</v>
      </c>
      <c r="S152" s="249" t="s">
        <v>355</v>
      </c>
      <c r="T152" s="113"/>
      <c r="U152" s="260"/>
      <c r="V152" s="259"/>
      <c r="W152" s="241">
        <f>R152</f>
        <v>0.13</v>
      </c>
      <c r="X152" s="249" t="s">
        <v>355</v>
      </c>
      <c r="Y152" s="113"/>
      <c r="Z152" s="260"/>
      <c r="AA152" s="259"/>
      <c r="AB152" s="245"/>
      <c r="AC152" s="245"/>
      <c r="AD152" s="113"/>
      <c r="AE152" s="260"/>
      <c r="AF152" s="259"/>
      <c r="AG152" s="245"/>
      <c r="AH152" s="24"/>
      <c r="AI152" s="32"/>
      <c r="AN152" s="36"/>
      <c r="AP152" s="84"/>
      <c r="AQ152" s="4"/>
      <c r="AR152" s="53"/>
    </row>
    <row r="153" spans="1:44" s="25" customFormat="1" x14ac:dyDescent="0.25">
      <c r="A153" s="261"/>
      <c r="B153" s="260"/>
      <c r="C153" s="259"/>
      <c r="D153" s="241">
        <f>R153</f>
        <v>0.13</v>
      </c>
      <c r="E153" s="14" t="s">
        <v>351</v>
      </c>
      <c r="F153" s="113"/>
      <c r="G153" s="260"/>
      <c r="H153" s="259"/>
      <c r="I153" s="241"/>
      <c r="J153" s="113"/>
      <c r="K153" s="260"/>
      <c r="L153" s="259"/>
      <c r="M153" s="241">
        <f>D153</f>
        <v>0.13</v>
      </c>
      <c r="N153" s="14" t="s">
        <v>351</v>
      </c>
      <c r="O153" s="113"/>
      <c r="P153" s="260"/>
      <c r="Q153" s="259"/>
      <c r="R153" s="245">
        <v>0.13</v>
      </c>
      <c r="S153" s="14" t="s">
        <v>351</v>
      </c>
      <c r="T153" s="113"/>
      <c r="U153" s="260"/>
      <c r="V153" s="259"/>
      <c r="W153" s="241">
        <f>R153</f>
        <v>0.13</v>
      </c>
      <c r="X153" s="14" t="s">
        <v>351</v>
      </c>
      <c r="Y153" s="113"/>
      <c r="Z153" s="260"/>
      <c r="AA153" s="259"/>
      <c r="AB153" s="245"/>
      <c r="AC153" s="245"/>
      <c r="AD153" s="113"/>
      <c r="AE153" s="260"/>
      <c r="AF153" s="259"/>
      <c r="AG153" s="245"/>
      <c r="AH153" s="24"/>
      <c r="AI153" s="32"/>
      <c r="AN153" s="36"/>
      <c r="AP153" s="84"/>
      <c r="AQ153" s="4"/>
      <c r="AR153" s="53"/>
    </row>
    <row r="154" spans="1:44" s="25" customFormat="1" x14ac:dyDescent="0.25">
      <c r="A154" s="261"/>
      <c r="B154" s="260"/>
      <c r="C154" s="259"/>
      <c r="D154" s="240">
        <f>R154</f>
        <v>3.7300000000000009</v>
      </c>
      <c r="E154" s="6" t="s">
        <v>26</v>
      </c>
      <c r="F154" s="113"/>
      <c r="G154" s="260"/>
      <c r="H154" s="259"/>
      <c r="I154" s="116"/>
      <c r="J154" s="113"/>
      <c r="K154" s="260"/>
      <c r="L154" s="259"/>
      <c r="M154" s="241">
        <f>D154</f>
        <v>3.7300000000000009</v>
      </c>
      <c r="N154" s="6" t="s">
        <v>26</v>
      </c>
      <c r="O154" s="113"/>
      <c r="P154" s="260"/>
      <c r="Q154" s="259"/>
      <c r="R154" s="245">
        <f>P142-R147-R146-R152-R153</f>
        <v>3.7300000000000009</v>
      </c>
      <c r="S154" s="6" t="s">
        <v>26</v>
      </c>
      <c r="T154" s="113"/>
      <c r="U154" s="260"/>
      <c r="V154" s="259"/>
      <c r="W154" s="241">
        <f>U148-W152-W153</f>
        <v>4.24</v>
      </c>
      <c r="X154" s="6" t="s">
        <v>26</v>
      </c>
      <c r="Y154" s="113"/>
      <c r="Z154" s="260"/>
      <c r="AA154" s="259"/>
      <c r="AB154" s="245">
        <f>Z142-AB145</f>
        <v>4.17</v>
      </c>
      <c r="AC154" s="6" t="s">
        <v>26</v>
      </c>
      <c r="AD154" s="113"/>
      <c r="AE154" s="260"/>
      <c r="AF154" s="259"/>
      <c r="AG154" s="245">
        <f>AE142-AG145</f>
        <v>3.79</v>
      </c>
      <c r="AH154" s="6" t="s">
        <v>26</v>
      </c>
      <c r="AI154" s="32"/>
      <c r="AN154" s="36"/>
      <c r="AP154" s="84"/>
      <c r="AQ154" s="4"/>
      <c r="AR154" s="53"/>
    </row>
    <row r="155" spans="1:44" s="25" customFormat="1" x14ac:dyDescent="0.25">
      <c r="A155" s="261">
        <v>33</v>
      </c>
      <c r="B155" s="260">
        <v>2.93</v>
      </c>
      <c r="C155" s="259">
        <v>9.5399999999999991</v>
      </c>
      <c r="D155" s="24"/>
      <c r="E155" s="24"/>
      <c r="F155" s="113"/>
      <c r="G155" s="260">
        <v>3.63</v>
      </c>
      <c r="H155" s="259">
        <v>9.65</v>
      </c>
      <c r="I155" s="241"/>
      <c r="J155" s="113"/>
      <c r="K155" s="260">
        <v>1.57</v>
      </c>
      <c r="L155" s="259">
        <v>9.74</v>
      </c>
      <c r="M155" s="24"/>
      <c r="N155" s="24"/>
      <c r="O155" s="113"/>
      <c r="P155" s="260">
        <v>0.74</v>
      </c>
      <c r="Q155" s="259">
        <v>9.65</v>
      </c>
      <c r="R155" s="245"/>
      <c r="S155" s="24"/>
      <c r="T155" s="113"/>
      <c r="U155" s="260">
        <v>0.45</v>
      </c>
      <c r="V155" s="259">
        <v>9.66</v>
      </c>
      <c r="W155" s="241"/>
      <c r="X155" s="240"/>
      <c r="Y155" s="113"/>
      <c r="Z155" s="260">
        <v>0.12</v>
      </c>
      <c r="AA155" s="259">
        <v>9.4600000000000009</v>
      </c>
      <c r="AB155" s="245"/>
      <c r="AC155" s="240"/>
      <c r="AD155" s="113"/>
      <c r="AE155" s="260">
        <v>0.12</v>
      </c>
      <c r="AF155" s="259">
        <v>9.8000000000000007</v>
      </c>
      <c r="AG155" s="245"/>
      <c r="AH155" s="240"/>
      <c r="AI155" s="32"/>
      <c r="AN155" s="36"/>
      <c r="AP155" s="84"/>
      <c r="AQ155" s="130"/>
      <c r="AR155" s="53"/>
    </row>
    <row r="156" spans="1:44" s="25" customFormat="1" x14ac:dyDescent="0.25">
      <c r="A156" s="261"/>
      <c r="B156" s="260"/>
      <c r="C156" s="259"/>
      <c r="D156" s="240">
        <v>1.47</v>
      </c>
      <c r="E156" s="7" t="s">
        <v>457</v>
      </c>
      <c r="F156" s="113"/>
      <c r="G156" s="260"/>
      <c r="H156" s="259"/>
      <c r="I156" s="241"/>
      <c r="J156" s="113"/>
      <c r="K156" s="260"/>
      <c r="L156" s="259"/>
      <c r="M156" s="241">
        <v>0.45</v>
      </c>
      <c r="N156" s="7" t="s">
        <v>155</v>
      </c>
      <c r="O156" s="113"/>
      <c r="P156" s="260"/>
      <c r="Q156" s="259"/>
      <c r="R156" s="245"/>
      <c r="S156" s="24"/>
      <c r="T156" s="113"/>
      <c r="U156" s="260"/>
      <c r="V156" s="259"/>
      <c r="W156" s="241"/>
      <c r="X156" s="240"/>
      <c r="Y156" s="113"/>
      <c r="Z156" s="260"/>
      <c r="AA156" s="259"/>
      <c r="AB156" s="245"/>
      <c r="AC156" s="240"/>
      <c r="AD156" s="113"/>
      <c r="AE156" s="260"/>
      <c r="AF156" s="259"/>
      <c r="AG156" s="245"/>
      <c r="AH156" s="240"/>
      <c r="AI156" s="32"/>
      <c r="AN156" s="36"/>
      <c r="AP156" s="84"/>
      <c r="AQ156" s="130"/>
      <c r="AR156" s="53"/>
    </row>
    <row r="157" spans="1:44" s="25" customFormat="1" x14ac:dyDescent="0.25">
      <c r="A157" s="261"/>
      <c r="B157" s="260"/>
      <c r="C157" s="259"/>
      <c r="D157" s="241">
        <v>0.09</v>
      </c>
      <c r="E157" s="59" t="s">
        <v>233</v>
      </c>
      <c r="F157" s="113"/>
      <c r="G157" s="260"/>
      <c r="H157" s="259"/>
      <c r="I157" s="241"/>
      <c r="J157" s="113"/>
      <c r="K157" s="260"/>
      <c r="L157" s="259"/>
      <c r="M157" s="241">
        <f>D157</f>
        <v>0.09</v>
      </c>
      <c r="N157" s="59" t="s">
        <v>233</v>
      </c>
      <c r="O157" s="113"/>
      <c r="P157" s="260"/>
      <c r="Q157" s="259"/>
      <c r="R157" s="245"/>
      <c r="S157" s="24"/>
      <c r="T157" s="113"/>
      <c r="U157" s="260"/>
      <c r="V157" s="259"/>
      <c r="W157" s="24"/>
      <c r="X157" s="24"/>
      <c r="Y157" s="113"/>
      <c r="Z157" s="260"/>
      <c r="AA157" s="259"/>
      <c r="AB157" s="24"/>
      <c r="AC157" s="24"/>
      <c r="AD157" s="113"/>
      <c r="AE157" s="260"/>
      <c r="AF157" s="259"/>
      <c r="AG157" s="245"/>
      <c r="AH157" s="240"/>
      <c r="AI157" s="32"/>
      <c r="AN157" s="36"/>
      <c r="AP157" s="130"/>
      <c r="AQ157" s="3"/>
      <c r="AR157" s="53"/>
    </row>
    <row r="158" spans="1:44" s="25" customFormat="1" x14ac:dyDescent="0.25">
      <c r="A158" s="261"/>
      <c r="B158" s="260"/>
      <c r="C158" s="259"/>
      <c r="D158" s="241">
        <f>R158</f>
        <v>0.57999999999999996</v>
      </c>
      <c r="E158" s="59" t="s">
        <v>336</v>
      </c>
      <c r="F158" s="113"/>
      <c r="G158" s="260"/>
      <c r="H158" s="259"/>
      <c r="I158" s="241"/>
      <c r="J158" s="113"/>
      <c r="K158" s="260"/>
      <c r="L158" s="259"/>
      <c r="M158" s="241">
        <f>D158</f>
        <v>0.57999999999999996</v>
      </c>
      <c r="N158" s="59" t="s">
        <v>336</v>
      </c>
      <c r="O158" s="113"/>
      <c r="P158" s="260"/>
      <c r="Q158" s="259"/>
      <c r="R158" s="245">
        <f>P155-R167</f>
        <v>0.57999999999999996</v>
      </c>
      <c r="S158" s="59" t="s">
        <v>336</v>
      </c>
      <c r="T158" s="113"/>
      <c r="U158" s="260"/>
      <c r="V158" s="259"/>
      <c r="W158" s="241">
        <f>U155</f>
        <v>0.45</v>
      </c>
      <c r="X158" s="59" t="s">
        <v>336</v>
      </c>
      <c r="Y158" s="113"/>
      <c r="Z158" s="260"/>
      <c r="AA158" s="259"/>
      <c r="AB158" s="245">
        <f>Z155</f>
        <v>0.12</v>
      </c>
      <c r="AC158" s="59" t="s">
        <v>336</v>
      </c>
      <c r="AD158" s="113"/>
      <c r="AE158" s="260"/>
      <c r="AF158" s="259"/>
      <c r="AG158" s="245">
        <f>AE155</f>
        <v>0.12</v>
      </c>
      <c r="AH158" s="59" t="s">
        <v>336</v>
      </c>
      <c r="AI158" s="32"/>
      <c r="AN158" s="36"/>
      <c r="AP158" s="3"/>
      <c r="AQ158" s="3"/>
      <c r="AR158" s="53"/>
    </row>
    <row r="159" spans="1:44" s="25" customFormat="1" x14ac:dyDescent="0.25">
      <c r="A159" s="261"/>
      <c r="B159" s="260"/>
      <c r="C159" s="259"/>
      <c r="D159" s="241">
        <f>B155-D156-D157-D158</f>
        <v>0.79000000000000015</v>
      </c>
      <c r="E159" s="249" t="s">
        <v>456</v>
      </c>
      <c r="F159" s="113"/>
      <c r="G159" s="260"/>
      <c r="H159" s="259"/>
      <c r="I159" s="240"/>
      <c r="J159" s="113"/>
      <c r="K159" s="260"/>
      <c r="L159" s="259"/>
      <c r="M159" s="241">
        <v>0.45</v>
      </c>
      <c r="N159" s="249" t="s">
        <v>84</v>
      </c>
      <c r="O159" s="113"/>
      <c r="P159" s="260"/>
      <c r="Q159" s="259"/>
      <c r="R159" s="245"/>
      <c r="S159" s="246"/>
      <c r="T159" s="113"/>
      <c r="U159" s="260"/>
      <c r="V159" s="259"/>
      <c r="W159" s="241"/>
      <c r="X159" s="8"/>
      <c r="Y159" s="113"/>
      <c r="Z159" s="260"/>
      <c r="AA159" s="259"/>
      <c r="AB159" s="245"/>
      <c r="AC159" s="8"/>
      <c r="AD159" s="113"/>
      <c r="AE159" s="260"/>
      <c r="AF159" s="259"/>
      <c r="AG159" s="245"/>
      <c r="AH159" s="8"/>
      <c r="AI159" s="32"/>
      <c r="AN159" s="36"/>
      <c r="AP159" s="3"/>
      <c r="AQ159" s="3"/>
      <c r="AR159" s="53"/>
    </row>
    <row r="160" spans="1:44" s="25" customFormat="1" x14ac:dyDescent="0.25">
      <c r="A160" s="261">
        <v>34</v>
      </c>
      <c r="B160" s="260">
        <v>0.27</v>
      </c>
      <c r="C160" s="259">
        <v>9.7100000000000009</v>
      </c>
      <c r="D160" s="240"/>
      <c r="E160" s="8"/>
      <c r="F160" s="113"/>
      <c r="G160" s="263">
        <v>0.62</v>
      </c>
      <c r="H160" s="266">
        <v>9.7899999999999991</v>
      </c>
      <c r="I160" s="240"/>
      <c r="J160" s="113"/>
      <c r="K160" s="260">
        <v>0.66</v>
      </c>
      <c r="L160" s="259">
        <v>9.9</v>
      </c>
      <c r="M160" s="241"/>
      <c r="N160" s="18"/>
      <c r="O160" s="113"/>
      <c r="P160" s="260"/>
      <c r="Q160" s="259"/>
      <c r="R160" s="245"/>
      <c r="S160" s="18"/>
      <c r="T160" s="113"/>
      <c r="U160" s="260"/>
      <c r="V160" s="259"/>
      <c r="W160" s="241"/>
      <c r="X160" s="18"/>
      <c r="Y160" s="113"/>
      <c r="Z160" s="260"/>
      <c r="AA160" s="259"/>
      <c r="AB160" s="245"/>
      <c r="AC160" s="18"/>
      <c r="AD160" s="113"/>
      <c r="AE160" s="260"/>
      <c r="AF160" s="259"/>
      <c r="AG160" s="245"/>
      <c r="AH160" s="18"/>
      <c r="AI160" s="32"/>
      <c r="AN160" s="36"/>
      <c r="AP160" s="3"/>
      <c r="AQ160" s="3"/>
      <c r="AR160" s="53"/>
    </row>
    <row r="161" spans="1:44" s="25" customFormat="1" x14ac:dyDescent="0.25">
      <c r="A161" s="261"/>
      <c r="B161" s="260"/>
      <c r="C161" s="259"/>
      <c r="D161" s="240"/>
      <c r="E161" s="18"/>
      <c r="F161" s="113"/>
      <c r="G161" s="265"/>
      <c r="H161" s="268"/>
      <c r="I161" s="240"/>
      <c r="J161" s="113"/>
      <c r="K161" s="260"/>
      <c r="L161" s="259"/>
      <c r="M161" s="245"/>
      <c r="N161" s="16"/>
      <c r="O161" s="113"/>
      <c r="P161" s="260"/>
      <c r="Q161" s="259"/>
      <c r="R161" s="24"/>
      <c r="S161" s="24"/>
      <c r="T161" s="113"/>
      <c r="U161" s="260"/>
      <c r="V161" s="259"/>
      <c r="W161" s="241"/>
      <c r="X161" s="8"/>
      <c r="Y161" s="113"/>
      <c r="Z161" s="260"/>
      <c r="AA161" s="259"/>
      <c r="AB161" s="245"/>
      <c r="AC161" s="8"/>
      <c r="AD161" s="113"/>
      <c r="AE161" s="260"/>
      <c r="AF161" s="259"/>
      <c r="AG161" s="245"/>
      <c r="AH161" s="8"/>
      <c r="AI161" s="32"/>
      <c r="AN161" s="36"/>
      <c r="AP161" s="3"/>
      <c r="AQ161" s="3"/>
      <c r="AR161" s="53"/>
    </row>
    <row r="162" spans="1:44" s="25" customFormat="1" x14ac:dyDescent="0.25">
      <c r="A162" s="261">
        <v>35</v>
      </c>
      <c r="B162" s="260">
        <v>0.78</v>
      </c>
      <c r="C162" s="259">
        <v>9.81</v>
      </c>
      <c r="D162" s="240">
        <f>B162</f>
        <v>0.78</v>
      </c>
      <c r="E162" s="59" t="s">
        <v>475</v>
      </c>
      <c r="F162" s="113"/>
      <c r="G162" s="260">
        <v>0.92</v>
      </c>
      <c r="H162" s="259">
        <v>9.9</v>
      </c>
      <c r="I162" s="240"/>
      <c r="J162" s="113"/>
      <c r="K162" s="260">
        <v>0.95</v>
      </c>
      <c r="L162" s="259">
        <v>10.02</v>
      </c>
      <c r="M162" s="241">
        <f>K162</f>
        <v>0.95</v>
      </c>
      <c r="N162" s="59" t="s">
        <v>217</v>
      </c>
      <c r="O162" s="113"/>
      <c r="P162" s="260">
        <v>0.53</v>
      </c>
      <c r="Q162" s="259">
        <v>9.8000000000000007</v>
      </c>
      <c r="R162" s="245"/>
      <c r="S162" s="24"/>
      <c r="T162" s="113"/>
      <c r="U162" s="260">
        <v>0.56999999999999995</v>
      </c>
      <c r="V162" s="259">
        <v>9.84</v>
      </c>
      <c r="W162" s="241"/>
      <c r="X162" s="8"/>
      <c r="Y162" s="113"/>
      <c r="Z162" s="260">
        <v>0.53</v>
      </c>
      <c r="AA162" s="259">
        <v>9.64</v>
      </c>
      <c r="AB162" s="245"/>
      <c r="AC162" s="8"/>
      <c r="AD162" s="113"/>
      <c r="AE162" s="260">
        <v>0.38</v>
      </c>
      <c r="AF162" s="259">
        <v>9.99</v>
      </c>
      <c r="AG162" s="245"/>
      <c r="AH162" s="8"/>
      <c r="AI162" s="32"/>
      <c r="AN162" s="36"/>
      <c r="AP162" s="3"/>
      <c r="AQ162" s="3"/>
      <c r="AR162" s="53"/>
    </row>
    <row r="163" spans="1:44" s="25" customFormat="1" x14ac:dyDescent="0.25">
      <c r="A163" s="261"/>
      <c r="B163" s="260"/>
      <c r="C163" s="259"/>
      <c r="D163" s="240"/>
      <c r="E163" s="18"/>
      <c r="F163" s="113"/>
      <c r="G163" s="260"/>
      <c r="H163" s="259"/>
      <c r="I163" s="8"/>
      <c r="J163" s="113"/>
      <c r="K163" s="260"/>
      <c r="L163" s="259"/>
      <c r="M163" s="241"/>
      <c r="N163" s="24"/>
      <c r="O163" s="113"/>
      <c r="P163" s="260"/>
      <c r="Q163" s="259"/>
      <c r="R163" s="245"/>
      <c r="S163" s="24"/>
      <c r="T163" s="113"/>
      <c r="U163" s="260"/>
      <c r="V163" s="259"/>
      <c r="W163" s="241">
        <f>U162</f>
        <v>0.56999999999999995</v>
      </c>
      <c r="X163" s="22" t="s">
        <v>180</v>
      </c>
      <c r="Y163" s="113"/>
      <c r="Z163" s="260"/>
      <c r="AA163" s="259"/>
      <c r="AB163" s="241">
        <f>Z162</f>
        <v>0.53</v>
      </c>
      <c r="AC163" s="22" t="s">
        <v>180</v>
      </c>
      <c r="AD163" s="113"/>
      <c r="AE163" s="260"/>
      <c r="AF163" s="259"/>
      <c r="AG163" s="245">
        <f>AE162</f>
        <v>0.38</v>
      </c>
      <c r="AH163" s="22" t="s">
        <v>180</v>
      </c>
      <c r="AI163" s="32"/>
      <c r="AN163" s="36"/>
      <c r="AP163" s="3"/>
      <c r="AQ163" s="3"/>
      <c r="AR163" s="53"/>
    </row>
    <row r="164" spans="1:44" s="25" customFormat="1" x14ac:dyDescent="0.25">
      <c r="A164" s="261"/>
      <c r="B164" s="260"/>
      <c r="C164" s="259"/>
      <c r="D164" s="240"/>
      <c r="E164" s="240"/>
      <c r="F164" s="113"/>
      <c r="G164" s="260"/>
      <c r="H164" s="259"/>
      <c r="I164" s="240"/>
      <c r="J164" s="113"/>
      <c r="K164" s="260"/>
      <c r="L164" s="259"/>
      <c r="M164" s="241"/>
      <c r="N164" s="246"/>
      <c r="O164" s="113"/>
      <c r="P164" s="260"/>
      <c r="Q164" s="259"/>
      <c r="R164" s="245"/>
      <c r="S164" s="246"/>
      <c r="T164" s="113"/>
      <c r="U164" s="260"/>
      <c r="V164" s="259"/>
      <c r="W164" s="241"/>
      <c r="X164" s="8"/>
      <c r="Y164" s="113"/>
      <c r="Z164" s="260"/>
      <c r="AA164" s="259"/>
      <c r="AB164" s="245"/>
      <c r="AC164" s="8"/>
      <c r="AD164" s="113"/>
      <c r="AE164" s="260"/>
      <c r="AF164" s="259"/>
      <c r="AG164" s="245"/>
      <c r="AH164" s="8"/>
      <c r="AI164" s="32"/>
      <c r="AN164" s="36"/>
      <c r="AP164" s="3"/>
      <c r="AQ164" s="3"/>
      <c r="AR164" s="53"/>
    </row>
    <row r="165" spans="1:44" s="25" customFormat="1" x14ac:dyDescent="0.25">
      <c r="A165" s="261"/>
      <c r="B165" s="260"/>
      <c r="C165" s="259"/>
      <c r="D165" s="240"/>
      <c r="E165" s="240"/>
      <c r="F165" s="113"/>
      <c r="G165" s="260"/>
      <c r="H165" s="259"/>
      <c r="I165" s="240"/>
      <c r="J165" s="113"/>
      <c r="K165" s="260"/>
      <c r="L165" s="259"/>
      <c r="M165" s="241"/>
      <c r="N165" s="240"/>
      <c r="O165" s="113"/>
      <c r="P165" s="260"/>
      <c r="Q165" s="259"/>
      <c r="R165" s="245"/>
      <c r="S165" s="240"/>
      <c r="T165" s="113"/>
      <c r="U165" s="260"/>
      <c r="V165" s="259"/>
      <c r="W165" s="241"/>
      <c r="X165" s="24"/>
      <c r="Y165" s="113"/>
      <c r="Z165" s="260"/>
      <c r="AA165" s="259"/>
      <c r="AB165" s="245"/>
      <c r="AC165" s="24"/>
      <c r="AD165" s="113"/>
      <c r="AE165" s="260"/>
      <c r="AF165" s="259"/>
      <c r="AG165" s="245"/>
      <c r="AH165" s="24"/>
      <c r="AI165" s="32"/>
      <c r="AN165" s="36"/>
      <c r="AP165" s="3"/>
      <c r="AQ165" s="3"/>
      <c r="AR165" s="53"/>
    </row>
    <row r="166" spans="1:44" s="25" customFormat="1" x14ac:dyDescent="0.25">
      <c r="A166" s="261">
        <v>36</v>
      </c>
      <c r="B166" s="260">
        <v>0.96</v>
      </c>
      <c r="C166" s="259">
        <v>10.029999999999999</v>
      </c>
      <c r="D166" s="240">
        <f>M166</f>
        <v>0.71</v>
      </c>
      <c r="E166" s="249" t="s">
        <v>91</v>
      </c>
      <c r="F166" s="113"/>
      <c r="G166" s="260">
        <v>1.04</v>
      </c>
      <c r="H166" s="259">
        <v>10.14</v>
      </c>
      <c r="I166" s="19"/>
      <c r="J166" s="113"/>
      <c r="K166" s="260">
        <v>0.71</v>
      </c>
      <c r="L166" s="259">
        <v>10.11</v>
      </c>
      <c r="M166" s="241">
        <f>K166</f>
        <v>0.71</v>
      </c>
      <c r="N166" s="249" t="s">
        <v>91</v>
      </c>
      <c r="O166" s="113"/>
      <c r="P166" s="260">
        <v>1.9</v>
      </c>
      <c r="Q166" s="259">
        <v>10.02</v>
      </c>
      <c r="R166" s="245"/>
      <c r="S166" s="246"/>
      <c r="T166" s="113"/>
      <c r="U166" s="241">
        <v>0.18</v>
      </c>
      <c r="V166" s="240">
        <v>9.93</v>
      </c>
      <c r="W166" s="241"/>
      <c r="X166" s="24"/>
      <c r="Y166" s="113"/>
      <c r="Z166" s="260">
        <v>0.24</v>
      </c>
      <c r="AA166" s="259">
        <v>9.84</v>
      </c>
      <c r="AB166" s="245"/>
      <c r="AC166" s="24"/>
      <c r="AD166" s="113"/>
      <c r="AE166" s="260">
        <v>0.16</v>
      </c>
      <c r="AF166" s="259">
        <v>10.18</v>
      </c>
      <c r="AG166" s="245"/>
      <c r="AH166" s="24"/>
      <c r="AI166" s="32"/>
      <c r="AN166" s="36"/>
      <c r="AP166" s="3"/>
      <c r="AQ166" s="3"/>
      <c r="AR166" s="53"/>
    </row>
    <row r="167" spans="1:44" s="25" customFormat="1" x14ac:dyDescent="0.25">
      <c r="A167" s="261"/>
      <c r="B167" s="260"/>
      <c r="C167" s="259"/>
      <c r="D167" s="240"/>
      <c r="E167" s="246"/>
      <c r="F167" s="113"/>
      <c r="G167" s="260"/>
      <c r="H167" s="259"/>
      <c r="I167" s="240"/>
      <c r="J167" s="113"/>
      <c r="K167" s="260"/>
      <c r="L167" s="259"/>
      <c r="M167" s="241"/>
      <c r="N167" s="246"/>
      <c r="O167" s="113"/>
      <c r="P167" s="260"/>
      <c r="Q167" s="259"/>
      <c r="R167" s="245">
        <v>0.16</v>
      </c>
      <c r="S167" s="75" t="s">
        <v>141</v>
      </c>
      <c r="T167" s="113"/>
      <c r="U167" s="260">
        <v>0.64</v>
      </c>
      <c r="V167" s="259">
        <v>10.06</v>
      </c>
      <c r="W167" s="241"/>
      <c r="X167" s="24"/>
      <c r="Y167" s="113"/>
      <c r="Z167" s="260"/>
      <c r="AA167" s="259"/>
      <c r="AB167" s="245"/>
      <c r="AC167" s="24"/>
      <c r="AD167" s="113"/>
      <c r="AE167" s="260"/>
      <c r="AF167" s="259"/>
      <c r="AG167" s="245"/>
      <c r="AH167" s="24"/>
      <c r="AI167" s="32"/>
      <c r="AN167" s="36"/>
      <c r="AP167" s="3"/>
      <c r="AQ167" s="3"/>
      <c r="AR167" s="53"/>
    </row>
    <row r="168" spans="1:44" s="25" customFormat="1" x14ac:dyDescent="0.25">
      <c r="A168" s="261">
        <v>37</v>
      </c>
      <c r="B168" s="260">
        <v>1.0900000000000001</v>
      </c>
      <c r="C168" s="259">
        <v>10.119999999999999</v>
      </c>
      <c r="D168" s="240">
        <f>B168+B166-D166</f>
        <v>1.3399999999999999</v>
      </c>
      <c r="E168" s="70" t="s">
        <v>437</v>
      </c>
      <c r="F168" s="113"/>
      <c r="G168" s="263">
        <v>1.65</v>
      </c>
      <c r="H168" s="266">
        <v>10.26</v>
      </c>
      <c r="I168" s="240"/>
      <c r="J168" s="113"/>
      <c r="K168" s="260">
        <v>3.75</v>
      </c>
      <c r="L168" s="259">
        <v>10.27</v>
      </c>
      <c r="M168" s="241">
        <f>K168-M172-M171+K170-M169</f>
        <v>2.67</v>
      </c>
      <c r="N168" s="70" t="s">
        <v>437</v>
      </c>
      <c r="O168" s="113"/>
      <c r="P168" s="260"/>
      <c r="Q168" s="259"/>
      <c r="R168" s="245">
        <f>P166</f>
        <v>1.9</v>
      </c>
      <c r="S168" s="70" t="s">
        <v>499</v>
      </c>
      <c r="T168" s="113"/>
      <c r="U168" s="260"/>
      <c r="V168" s="259"/>
      <c r="W168" s="241">
        <f>U167+U166</f>
        <v>0.82000000000000006</v>
      </c>
      <c r="X168" s="70" t="s">
        <v>143</v>
      </c>
      <c r="Y168" s="113"/>
      <c r="Z168" s="260"/>
      <c r="AA168" s="259"/>
      <c r="AB168" s="245"/>
      <c r="AC168" s="24"/>
      <c r="AD168" s="113"/>
      <c r="AE168" s="260"/>
      <c r="AF168" s="259"/>
      <c r="AG168" s="245"/>
      <c r="AH168" s="24"/>
      <c r="AI168" s="32"/>
      <c r="AN168" s="36"/>
      <c r="AP168" s="4"/>
      <c r="AQ168" s="3"/>
      <c r="AR168" s="53"/>
    </row>
    <row r="169" spans="1:44" s="25" customFormat="1" x14ac:dyDescent="0.25">
      <c r="A169" s="261"/>
      <c r="B169" s="260"/>
      <c r="C169" s="259"/>
      <c r="D169" s="240"/>
      <c r="E169" s="24"/>
      <c r="F169" s="113"/>
      <c r="G169" s="265"/>
      <c r="H169" s="268"/>
      <c r="I169" s="240"/>
      <c r="J169" s="113"/>
      <c r="K169" s="260"/>
      <c r="L169" s="259"/>
      <c r="M169" s="241"/>
      <c r="N169" s="240"/>
      <c r="O169" s="113"/>
      <c r="P169" s="260">
        <v>1.46</v>
      </c>
      <c r="Q169" s="259">
        <v>10.14</v>
      </c>
      <c r="R169" s="245"/>
      <c r="S169" s="240"/>
      <c r="T169" s="113"/>
      <c r="U169" s="260">
        <v>0.6</v>
      </c>
      <c r="V169" s="259">
        <v>10.23</v>
      </c>
      <c r="W169" s="241"/>
      <c r="X169" s="24"/>
      <c r="Y169" s="113"/>
      <c r="Z169" s="260">
        <v>0.37</v>
      </c>
      <c r="AA169" s="259">
        <v>10.039999999999999</v>
      </c>
      <c r="AB169" s="245"/>
      <c r="AC169" s="24"/>
      <c r="AD169" s="113"/>
      <c r="AE169" s="260">
        <v>0.1</v>
      </c>
      <c r="AF169" s="259">
        <v>10.3</v>
      </c>
      <c r="AG169" s="245"/>
      <c r="AH169" s="24"/>
      <c r="AI169" s="32"/>
      <c r="AN169" s="36"/>
      <c r="AP169" s="4"/>
      <c r="AQ169" s="3"/>
      <c r="AR169" s="53"/>
    </row>
    <row r="170" spans="1:44" s="25" customFormat="1" x14ac:dyDescent="0.25">
      <c r="A170" s="261">
        <v>38</v>
      </c>
      <c r="B170" s="260">
        <v>0.91</v>
      </c>
      <c r="C170" s="259">
        <v>10.220000000000001</v>
      </c>
      <c r="D170" s="24"/>
      <c r="E170" s="24"/>
      <c r="F170" s="113"/>
      <c r="G170" s="260">
        <v>1.36</v>
      </c>
      <c r="H170" s="259">
        <v>10.37</v>
      </c>
      <c r="I170" s="240"/>
      <c r="J170" s="113"/>
      <c r="K170" s="260">
        <v>1.29</v>
      </c>
      <c r="L170" s="259">
        <v>10.35</v>
      </c>
      <c r="M170" s="24"/>
      <c r="N170" s="24"/>
      <c r="O170" s="113"/>
      <c r="P170" s="260"/>
      <c r="Q170" s="259"/>
      <c r="R170" s="26"/>
      <c r="S170" s="246"/>
      <c r="T170" s="113"/>
      <c r="U170" s="260"/>
      <c r="V170" s="259"/>
      <c r="W170" s="24"/>
      <c r="X170" s="24"/>
      <c r="Y170" s="113"/>
      <c r="Z170" s="260"/>
      <c r="AA170" s="259"/>
      <c r="AB170" s="24"/>
      <c r="AC170" s="24"/>
      <c r="AD170" s="113"/>
      <c r="AE170" s="260"/>
      <c r="AF170" s="259"/>
      <c r="AG170" s="24"/>
      <c r="AH170" s="24"/>
      <c r="AI170" s="32"/>
      <c r="AN170" s="36"/>
      <c r="AP170" s="4"/>
      <c r="AQ170" s="3"/>
      <c r="AR170" s="53"/>
    </row>
    <row r="171" spans="1:44" s="25" customFormat="1" x14ac:dyDescent="0.25">
      <c r="A171" s="261"/>
      <c r="B171" s="260"/>
      <c r="C171" s="259"/>
      <c r="D171" s="240"/>
      <c r="E171" s="18"/>
      <c r="F171" s="113"/>
      <c r="G171" s="260"/>
      <c r="H171" s="259"/>
      <c r="I171" s="240"/>
      <c r="J171" s="113"/>
      <c r="K171" s="260"/>
      <c r="L171" s="259"/>
      <c r="M171" s="241">
        <f>R171</f>
        <v>1.46</v>
      </c>
      <c r="N171" s="249" t="s">
        <v>69</v>
      </c>
      <c r="O171" s="113"/>
      <c r="P171" s="260"/>
      <c r="Q171" s="259"/>
      <c r="R171" s="245">
        <f>P169</f>
        <v>1.46</v>
      </c>
      <c r="S171" s="249" t="s">
        <v>69</v>
      </c>
      <c r="T171" s="113"/>
      <c r="U171" s="260"/>
      <c r="V171" s="259"/>
      <c r="W171" s="241">
        <f>U169</f>
        <v>0.6</v>
      </c>
      <c r="X171" s="249" t="s">
        <v>69</v>
      </c>
      <c r="Y171" s="113"/>
      <c r="Z171" s="260"/>
      <c r="AA171" s="259"/>
      <c r="AB171" s="245">
        <f>Z169</f>
        <v>0.37</v>
      </c>
      <c r="AC171" s="249" t="s">
        <v>69</v>
      </c>
      <c r="AD171" s="113"/>
      <c r="AE171" s="260"/>
      <c r="AF171" s="259"/>
      <c r="AG171" s="245">
        <f>AE169+AE172</f>
        <v>0.33</v>
      </c>
      <c r="AH171" s="249" t="s">
        <v>69</v>
      </c>
      <c r="AI171" s="32"/>
      <c r="AN171" s="36"/>
      <c r="AP171" s="4"/>
      <c r="AQ171" s="3"/>
      <c r="AR171" s="53"/>
    </row>
    <row r="172" spans="1:44" s="25" customFormat="1" x14ac:dyDescent="0.25">
      <c r="A172" s="261"/>
      <c r="B172" s="260"/>
      <c r="C172" s="259"/>
      <c r="D172" s="240">
        <f>B170</f>
        <v>0.91</v>
      </c>
      <c r="E172" s="70" t="s">
        <v>249</v>
      </c>
      <c r="F172" s="113"/>
      <c r="G172" s="260"/>
      <c r="H172" s="259"/>
      <c r="I172" s="240"/>
      <c r="J172" s="113"/>
      <c r="K172" s="260"/>
      <c r="L172" s="259"/>
      <c r="M172" s="241">
        <f>D172</f>
        <v>0.91</v>
      </c>
      <c r="N172" s="70" t="s">
        <v>249</v>
      </c>
      <c r="O172" s="113"/>
      <c r="P172" s="260"/>
      <c r="Q172" s="259"/>
      <c r="R172" s="245"/>
      <c r="S172" s="246"/>
      <c r="T172" s="113"/>
      <c r="U172" s="260"/>
      <c r="V172" s="259"/>
      <c r="W172" s="241"/>
      <c r="X172" s="24"/>
      <c r="Y172" s="113"/>
      <c r="Z172" s="260"/>
      <c r="AA172" s="259"/>
      <c r="AB172" s="245"/>
      <c r="AC172" s="24"/>
      <c r="AD172" s="113"/>
      <c r="AE172" s="241">
        <v>0.23</v>
      </c>
      <c r="AF172" s="240">
        <v>10.38</v>
      </c>
      <c r="AG172" s="245"/>
      <c r="AH172" s="24"/>
      <c r="AI172" s="32"/>
      <c r="AN172" s="36"/>
      <c r="AP172" s="4"/>
      <c r="AQ172" s="3"/>
      <c r="AR172" s="53"/>
    </row>
    <row r="173" spans="1:44" s="25" customFormat="1" x14ac:dyDescent="0.25">
      <c r="A173" s="261">
        <v>39</v>
      </c>
      <c r="B173" s="260">
        <v>0.13</v>
      </c>
      <c r="C173" s="259">
        <v>10.35</v>
      </c>
      <c r="D173" s="240"/>
      <c r="E173" s="24"/>
      <c r="F173" s="113"/>
      <c r="G173" s="260">
        <v>0.63</v>
      </c>
      <c r="H173" s="259">
        <v>10.47</v>
      </c>
      <c r="I173" s="8"/>
      <c r="J173" s="113"/>
      <c r="K173" s="241">
        <v>0.43</v>
      </c>
      <c r="L173" s="240">
        <v>10.53</v>
      </c>
      <c r="M173" s="241">
        <f>K173</f>
        <v>0.43</v>
      </c>
      <c r="N173" s="22" t="s">
        <v>167</v>
      </c>
      <c r="O173" s="113"/>
      <c r="P173" s="260">
        <v>0.35</v>
      </c>
      <c r="Q173" s="259">
        <v>10.29</v>
      </c>
      <c r="R173" s="26">
        <f>P173</f>
        <v>0.35</v>
      </c>
      <c r="S173" s="22" t="s">
        <v>167</v>
      </c>
      <c r="T173" s="113"/>
      <c r="U173" s="260">
        <v>0.15</v>
      </c>
      <c r="V173" s="259">
        <v>10.39</v>
      </c>
      <c r="W173" s="241"/>
      <c r="X173" s="24"/>
      <c r="Y173" s="113"/>
      <c r="Z173" s="260">
        <v>0.3</v>
      </c>
      <c r="AA173" s="259">
        <v>10.37</v>
      </c>
      <c r="AB173" s="245"/>
      <c r="AC173" s="24"/>
      <c r="AD173" s="113"/>
      <c r="AE173" s="241"/>
      <c r="AF173" s="240"/>
      <c r="AG173" s="245"/>
      <c r="AH173" s="240"/>
      <c r="AI173" s="32"/>
      <c r="AN173" s="36"/>
      <c r="AP173" s="4"/>
      <c r="AQ173" s="3"/>
      <c r="AR173" s="53"/>
    </row>
    <row r="174" spans="1:44" s="25" customFormat="1" x14ac:dyDescent="0.25">
      <c r="A174" s="261"/>
      <c r="B174" s="260"/>
      <c r="C174" s="259"/>
      <c r="D174" s="240"/>
      <c r="E174" s="24"/>
      <c r="F174" s="113"/>
      <c r="G174" s="260"/>
      <c r="H174" s="259"/>
      <c r="I174" s="56"/>
      <c r="J174" s="113"/>
      <c r="K174" s="241">
        <v>0.28000000000000003</v>
      </c>
      <c r="L174" s="240">
        <v>10.57</v>
      </c>
      <c r="M174" s="24"/>
      <c r="N174" s="24"/>
      <c r="O174" s="113"/>
      <c r="P174" s="260"/>
      <c r="Q174" s="259"/>
      <c r="R174" s="24"/>
      <c r="S174" s="24"/>
      <c r="T174" s="113"/>
      <c r="U174" s="260"/>
      <c r="V174" s="259"/>
      <c r="W174" s="241"/>
      <c r="X174" s="24"/>
      <c r="Y174" s="113"/>
      <c r="Z174" s="260"/>
      <c r="AA174" s="259"/>
      <c r="AB174" s="245"/>
      <c r="AC174" s="24"/>
      <c r="AD174" s="113"/>
      <c r="AE174" s="241"/>
      <c r="AF174" s="240"/>
      <c r="AG174" s="245"/>
      <c r="AH174" s="240"/>
      <c r="AI174" s="32"/>
      <c r="AN174" s="36"/>
      <c r="AP174" s="4"/>
      <c r="AQ174" s="3"/>
      <c r="AR174" s="53"/>
    </row>
    <row r="175" spans="1:44" s="25" customFormat="1" x14ac:dyDescent="0.25">
      <c r="A175" s="261">
        <v>40</v>
      </c>
      <c r="B175" s="260">
        <v>0.23</v>
      </c>
      <c r="C175" s="259">
        <v>10.4</v>
      </c>
      <c r="D175" s="240"/>
      <c r="E175" s="24"/>
      <c r="F175" s="113"/>
      <c r="G175" s="260"/>
      <c r="H175" s="259"/>
      <c r="I175" s="8"/>
      <c r="J175" s="113"/>
      <c r="K175" s="260">
        <v>0.61</v>
      </c>
      <c r="L175" s="259">
        <v>10.79</v>
      </c>
      <c r="M175" s="241"/>
      <c r="N175" s="91"/>
      <c r="O175" s="113"/>
      <c r="P175" s="260"/>
      <c r="Q175" s="259"/>
      <c r="R175" s="245"/>
      <c r="S175" s="91"/>
      <c r="T175" s="113"/>
      <c r="U175" s="260"/>
      <c r="V175" s="259"/>
      <c r="W175" s="241"/>
      <c r="X175" s="24"/>
      <c r="Y175" s="113"/>
      <c r="Z175" s="260"/>
      <c r="AA175" s="259"/>
      <c r="AB175" s="245"/>
      <c r="AC175" s="24"/>
      <c r="AD175" s="113"/>
      <c r="AE175" s="241"/>
      <c r="AF175" s="240"/>
      <c r="AG175" s="245"/>
      <c r="AH175" s="240"/>
      <c r="AI175" s="32"/>
      <c r="AN175" s="36"/>
      <c r="AP175" s="4"/>
      <c r="AQ175" s="3"/>
      <c r="AR175" s="53"/>
    </row>
    <row r="176" spans="1:44" s="25" customFormat="1" x14ac:dyDescent="0.25">
      <c r="A176" s="261"/>
      <c r="B176" s="260"/>
      <c r="C176" s="259"/>
      <c r="D176" s="241"/>
      <c r="E176" s="8"/>
      <c r="F176" s="113"/>
      <c r="G176" s="260"/>
      <c r="H176" s="259"/>
      <c r="I176" s="8"/>
      <c r="J176" s="113"/>
      <c r="K176" s="260"/>
      <c r="L176" s="259"/>
      <c r="M176" s="241"/>
      <c r="N176" s="18"/>
      <c r="O176" s="113"/>
      <c r="P176" s="260"/>
      <c r="Q176" s="259"/>
      <c r="R176" s="245"/>
      <c r="S176" s="18"/>
      <c r="T176" s="113"/>
      <c r="U176" s="260">
        <v>0.39</v>
      </c>
      <c r="V176" s="259">
        <v>10.59</v>
      </c>
      <c r="W176" s="241"/>
      <c r="X176" s="24"/>
      <c r="Y176" s="113"/>
      <c r="Z176" s="260"/>
      <c r="AA176" s="259"/>
      <c r="AB176" s="245"/>
      <c r="AC176" s="24"/>
      <c r="AD176" s="113"/>
      <c r="AE176" s="241"/>
      <c r="AF176" s="240"/>
      <c r="AG176" s="245"/>
      <c r="AH176" s="240"/>
      <c r="AI176" s="32"/>
      <c r="AN176" s="36"/>
      <c r="AP176" s="4"/>
      <c r="AQ176" s="3"/>
      <c r="AR176" s="53"/>
    </row>
    <row r="177" spans="1:44" s="25" customFormat="1" x14ac:dyDescent="0.25">
      <c r="A177" s="261"/>
      <c r="B177" s="260"/>
      <c r="C177" s="259"/>
      <c r="D177" s="240"/>
      <c r="E177" s="56"/>
      <c r="F177" s="113"/>
      <c r="G177" s="260"/>
      <c r="H177" s="259"/>
      <c r="I177" s="56"/>
      <c r="J177" s="113"/>
      <c r="K177" s="260"/>
      <c r="L177" s="259"/>
      <c r="M177" s="241"/>
      <c r="N177" s="18"/>
      <c r="O177" s="113"/>
      <c r="P177" s="260">
        <v>0.27</v>
      </c>
      <c r="Q177" s="259">
        <v>10.54</v>
      </c>
      <c r="R177" s="245"/>
      <c r="S177" s="18"/>
      <c r="T177" s="113"/>
      <c r="U177" s="260"/>
      <c r="V177" s="259"/>
      <c r="W177" s="241"/>
      <c r="X177" s="240"/>
      <c r="Y177" s="113"/>
      <c r="Z177" s="260"/>
      <c r="AA177" s="259"/>
      <c r="AB177" s="245"/>
      <c r="AC177" s="240"/>
      <c r="AD177" s="113"/>
      <c r="AE177" s="241"/>
      <c r="AF177" s="240"/>
      <c r="AG177" s="245"/>
      <c r="AH177" s="240"/>
      <c r="AI177" s="32"/>
      <c r="AN177" s="36"/>
      <c r="AP177" s="4"/>
      <c r="AQ177" s="3"/>
      <c r="AR177" s="53"/>
    </row>
    <row r="178" spans="1:44" s="25" customFormat="1" x14ac:dyDescent="0.25">
      <c r="A178" s="261">
        <v>41</v>
      </c>
      <c r="B178" s="260">
        <v>1.5</v>
      </c>
      <c r="C178" s="259">
        <v>10.65</v>
      </c>
      <c r="D178" s="240">
        <f>B178</f>
        <v>1.5</v>
      </c>
      <c r="E178" s="7" t="s">
        <v>154</v>
      </c>
      <c r="F178" s="113"/>
      <c r="G178" s="260">
        <v>2.02</v>
      </c>
      <c r="H178" s="259">
        <v>10.8</v>
      </c>
      <c r="I178" s="56"/>
      <c r="J178" s="113"/>
      <c r="K178" s="260">
        <v>3.5</v>
      </c>
      <c r="L178" s="259">
        <v>10.91</v>
      </c>
      <c r="M178" s="241">
        <f>D178</f>
        <v>1.5</v>
      </c>
      <c r="N178" s="7" t="s">
        <v>154</v>
      </c>
      <c r="O178" s="113"/>
      <c r="P178" s="260"/>
      <c r="Q178" s="259"/>
      <c r="R178" s="245"/>
      <c r="S178" s="91"/>
      <c r="T178" s="113"/>
      <c r="U178" s="260"/>
      <c r="V178" s="259"/>
      <c r="W178" s="241"/>
      <c r="X178" s="240"/>
      <c r="Y178" s="113"/>
      <c r="Z178" s="260"/>
      <c r="AA178" s="259"/>
      <c r="AB178" s="245"/>
      <c r="AC178" s="240"/>
      <c r="AD178" s="113"/>
      <c r="AE178" s="241"/>
      <c r="AF178" s="240"/>
      <c r="AG178" s="245"/>
      <c r="AH178" s="240"/>
      <c r="AI178" s="32"/>
      <c r="AN178" s="36"/>
      <c r="AP178" s="4"/>
      <c r="AQ178" s="3"/>
      <c r="AR178" s="53"/>
    </row>
    <row r="179" spans="1:44" s="25" customFormat="1" x14ac:dyDescent="0.25">
      <c r="A179" s="261"/>
      <c r="B179" s="260"/>
      <c r="C179" s="259"/>
      <c r="D179" s="240"/>
      <c r="E179" s="246"/>
      <c r="F179" s="113"/>
      <c r="G179" s="260"/>
      <c r="H179" s="259"/>
      <c r="I179" s="56"/>
      <c r="J179" s="113"/>
      <c r="K179" s="260"/>
      <c r="L179" s="259"/>
      <c r="M179" s="241"/>
      <c r="N179" s="91"/>
      <c r="O179" s="113"/>
      <c r="P179" s="260"/>
      <c r="Q179" s="259"/>
      <c r="R179" s="245"/>
      <c r="S179" s="91"/>
      <c r="T179" s="113"/>
      <c r="U179" s="260">
        <v>0.11</v>
      </c>
      <c r="V179" s="259">
        <v>10.68</v>
      </c>
      <c r="W179" s="241"/>
      <c r="X179" s="240"/>
      <c r="Y179" s="113"/>
      <c r="Z179" s="260"/>
      <c r="AA179" s="259"/>
      <c r="AB179" s="245"/>
      <c r="AC179" s="240"/>
      <c r="AD179" s="113"/>
      <c r="AE179" s="241"/>
      <c r="AF179" s="240"/>
      <c r="AG179" s="245"/>
      <c r="AH179" s="240"/>
      <c r="AI179" s="32"/>
      <c r="AN179" s="36"/>
      <c r="AP179" s="4"/>
      <c r="AQ179" s="3"/>
      <c r="AR179" s="53"/>
    </row>
    <row r="180" spans="1:44" s="25" customFormat="1" x14ac:dyDescent="0.25">
      <c r="A180" s="261"/>
      <c r="B180" s="260"/>
      <c r="C180" s="259"/>
      <c r="D180" s="24"/>
      <c r="E180" s="24"/>
      <c r="F180" s="113"/>
      <c r="G180" s="260"/>
      <c r="H180" s="259"/>
      <c r="I180" s="56"/>
      <c r="J180" s="113"/>
      <c r="K180" s="260"/>
      <c r="L180" s="259"/>
      <c r="M180" s="24"/>
      <c r="N180" s="24"/>
      <c r="O180" s="113"/>
      <c r="P180" s="260"/>
      <c r="Q180" s="259"/>
      <c r="R180" s="245"/>
      <c r="S180" s="91"/>
      <c r="T180" s="113"/>
      <c r="U180" s="260"/>
      <c r="V180" s="259"/>
      <c r="W180" s="241"/>
      <c r="X180" s="240"/>
      <c r="Y180" s="113"/>
      <c r="Z180" s="260"/>
      <c r="AA180" s="259"/>
      <c r="AB180" s="245"/>
      <c r="AC180" s="240"/>
      <c r="AD180" s="113"/>
      <c r="AE180" s="241"/>
      <c r="AF180" s="240"/>
      <c r="AG180" s="245"/>
      <c r="AH180" s="240"/>
      <c r="AI180" s="32"/>
      <c r="AN180" s="36"/>
      <c r="AP180" s="4"/>
      <c r="AQ180" s="3"/>
      <c r="AR180" s="53"/>
    </row>
    <row r="181" spans="1:44" s="25" customFormat="1" x14ac:dyDescent="0.25">
      <c r="A181" s="261"/>
      <c r="B181" s="260"/>
      <c r="C181" s="259"/>
      <c r="D181" s="24"/>
      <c r="E181" s="24"/>
      <c r="F181" s="113"/>
      <c r="G181" s="260"/>
      <c r="H181" s="259"/>
      <c r="I181" s="240"/>
      <c r="J181" s="113"/>
      <c r="K181" s="260"/>
      <c r="L181" s="259"/>
      <c r="M181" s="26">
        <f>D212-M212</f>
        <v>0.57999999999999985</v>
      </c>
      <c r="N181" s="249" t="s">
        <v>242</v>
      </c>
      <c r="O181" s="113"/>
      <c r="P181" s="260"/>
      <c r="Q181" s="259"/>
      <c r="R181" s="245"/>
      <c r="S181" s="55"/>
      <c r="T181" s="113"/>
      <c r="U181" s="260"/>
      <c r="V181" s="259"/>
      <c r="W181" s="241"/>
      <c r="X181" s="240"/>
      <c r="Y181" s="113"/>
      <c r="Z181" s="260"/>
      <c r="AA181" s="259"/>
      <c r="AB181" s="245"/>
      <c r="AC181" s="240"/>
      <c r="AD181" s="113"/>
      <c r="AE181" s="241"/>
      <c r="AF181" s="240"/>
      <c r="AG181" s="245"/>
      <c r="AH181" s="240"/>
      <c r="AI181" s="32"/>
      <c r="AN181" s="36"/>
      <c r="AP181" s="4"/>
      <c r="AQ181" s="3"/>
      <c r="AR181" s="53"/>
    </row>
    <row r="182" spans="1:44" s="25" customFormat="1" x14ac:dyDescent="0.25">
      <c r="A182" s="261">
        <v>42</v>
      </c>
      <c r="B182" s="260">
        <v>0.75</v>
      </c>
      <c r="C182" s="259">
        <v>10.81</v>
      </c>
      <c r="D182" s="241">
        <v>0.01</v>
      </c>
      <c r="E182" s="249" t="s">
        <v>85</v>
      </c>
      <c r="F182" s="113"/>
      <c r="G182" s="260">
        <v>0.93</v>
      </c>
      <c r="H182" s="259">
        <v>10.94</v>
      </c>
      <c r="I182" s="240"/>
      <c r="J182" s="113"/>
      <c r="K182" s="260"/>
      <c r="L182" s="259"/>
      <c r="M182" s="241">
        <f>D182</f>
        <v>0.01</v>
      </c>
      <c r="N182" s="249" t="s">
        <v>85</v>
      </c>
      <c r="O182" s="113"/>
      <c r="P182" s="260">
        <v>0.19</v>
      </c>
      <c r="Q182" s="259">
        <v>10.79</v>
      </c>
      <c r="R182" s="24"/>
      <c r="S182" s="24"/>
      <c r="T182" s="113"/>
      <c r="U182" s="260">
        <v>0.25</v>
      </c>
      <c r="V182" s="259">
        <v>10.84</v>
      </c>
      <c r="W182" s="241"/>
      <c r="X182" s="240"/>
      <c r="Y182" s="113"/>
      <c r="Z182" s="260">
        <v>0.21</v>
      </c>
      <c r="AA182" s="259">
        <v>10.64</v>
      </c>
      <c r="AB182" s="245"/>
      <c r="AC182" s="240"/>
      <c r="AD182" s="113"/>
      <c r="AE182" s="241"/>
      <c r="AF182" s="240"/>
      <c r="AG182" s="245"/>
      <c r="AH182" s="240"/>
      <c r="AI182" s="32"/>
      <c r="AN182" s="36"/>
      <c r="AP182" s="3"/>
      <c r="AQ182" s="3"/>
      <c r="AR182" s="53"/>
    </row>
    <row r="183" spans="1:44" s="25" customFormat="1" x14ac:dyDescent="0.25">
      <c r="A183" s="261"/>
      <c r="B183" s="260"/>
      <c r="C183" s="259"/>
      <c r="D183" s="240">
        <f>B182-D182</f>
        <v>0.74</v>
      </c>
      <c r="E183" s="249" t="s">
        <v>431</v>
      </c>
      <c r="F183" s="113"/>
      <c r="G183" s="260"/>
      <c r="H183" s="259"/>
      <c r="I183" s="240"/>
      <c r="J183" s="113"/>
      <c r="K183" s="260"/>
      <c r="L183" s="259"/>
      <c r="M183" s="241">
        <f>K178-M178-M182-M181</f>
        <v>1.4100000000000001</v>
      </c>
      <c r="N183" s="249" t="s">
        <v>337</v>
      </c>
      <c r="O183" s="113"/>
      <c r="P183" s="260"/>
      <c r="Q183" s="259"/>
      <c r="R183" s="245"/>
      <c r="S183" s="55"/>
      <c r="T183" s="113"/>
      <c r="U183" s="260"/>
      <c r="V183" s="259"/>
      <c r="W183" s="241"/>
      <c r="X183" s="240"/>
      <c r="Y183" s="113"/>
      <c r="Z183" s="260"/>
      <c r="AA183" s="259"/>
      <c r="AB183" s="245"/>
      <c r="AC183" s="240"/>
      <c r="AD183" s="113"/>
      <c r="AE183" s="241"/>
      <c r="AF183" s="240"/>
      <c r="AG183" s="245"/>
      <c r="AH183" s="240"/>
      <c r="AI183" s="32"/>
      <c r="AN183" s="36"/>
      <c r="AP183" s="3"/>
      <c r="AQ183" s="3"/>
      <c r="AR183" s="53"/>
    </row>
    <row r="184" spans="1:44" s="25" customFormat="1" x14ac:dyDescent="0.25">
      <c r="A184" s="261">
        <v>43</v>
      </c>
      <c r="B184" s="260">
        <v>0.22</v>
      </c>
      <c r="C184" s="259">
        <v>10.95</v>
      </c>
      <c r="D184" s="241">
        <v>0.02</v>
      </c>
      <c r="E184" s="249" t="s">
        <v>337</v>
      </c>
      <c r="F184" s="113"/>
      <c r="G184" s="263">
        <v>0.47</v>
      </c>
      <c r="H184" s="266">
        <v>11.13</v>
      </c>
      <c r="I184" s="240"/>
      <c r="J184" s="113"/>
      <c r="K184" s="260">
        <v>0.3</v>
      </c>
      <c r="L184" s="259">
        <v>11.24</v>
      </c>
      <c r="M184" s="241">
        <v>0.05</v>
      </c>
      <c r="N184" s="249" t="s">
        <v>337</v>
      </c>
      <c r="O184" s="113"/>
      <c r="P184" s="260">
        <v>0.26</v>
      </c>
      <c r="Q184" s="259">
        <v>11.19</v>
      </c>
      <c r="R184" s="245"/>
      <c r="S184" s="55"/>
      <c r="T184" s="113"/>
      <c r="U184" s="260">
        <v>0.06</v>
      </c>
      <c r="V184" s="259">
        <v>11.01</v>
      </c>
      <c r="W184" s="241"/>
      <c r="X184" s="240"/>
      <c r="Y184" s="113"/>
      <c r="Z184" s="260">
        <v>0.24</v>
      </c>
      <c r="AA184" s="259">
        <v>10.87</v>
      </c>
      <c r="AB184" s="245"/>
      <c r="AC184" s="240"/>
      <c r="AD184" s="113"/>
      <c r="AE184" s="241"/>
      <c r="AF184" s="240"/>
      <c r="AG184" s="245"/>
      <c r="AH184" s="240"/>
      <c r="AI184" s="32"/>
      <c r="AN184" s="36"/>
      <c r="AP184" s="3"/>
      <c r="AQ184" s="3"/>
      <c r="AR184" s="53"/>
    </row>
    <row r="185" spans="1:44" s="25" customFormat="1" x14ac:dyDescent="0.25">
      <c r="A185" s="261"/>
      <c r="B185" s="260"/>
      <c r="C185" s="259"/>
      <c r="D185" s="241">
        <v>0.02</v>
      </c>
      <c r="E185" s="249" t="s">
        <v>250</v>
      </c>
      <c r="F185" s="113"/>
      <c r="G185" s="264"/>
      <c r="H185" s="267"/>
      <c r="I185" s="240"/>
      <c r="J185" s="113"/>
      <c r="K185" s="260"/>
      <c r="L185" s="259"/>
      <c r="M185" s="241">
        <v>0.05</v>
      </c>
      <c r="N185" s="249" t="s">
        <v>250</v>
      </c>
      <c r="O185" s="113"/>
      <c r="P185" s="260"/>
      <c r="Q185" s="259"/>
      <c r="R185" s="245"/>
      <c r="S185" s="55"/>
      <c r="T185" s="113"/>
      <c r="U185" s="260"/>
      <c r="V185" s="259"/>
      <c r="W185" s="241"/>
      <c r="X185" s="240"/>
      <c r="Y185" s="113"/>
      <c r="Z185" s="260"/>
      <c r="AA185" s="259"/>
      <c r="AB185" s="245"/>
      <c r="AC185" s="240"/>
      <c r="AD185" s="113"/>
      <c r="AE185" s="241"/>
      <c r="AF185" s="240"/>
      <c r="AG185" s="245"/>
      <c r="AH185" s="240"/>
      <c r="AI185" s="32"/>
      <c r="AN185" s="36"/>
      <c r="AP185" s="3"/>
      <c r="AQ185" s="3"/>
      <c r="AR185" s="53"/>
    </row>
    <row r="186" spans="1:44" s="25" customFormat="1" x14ac:dyDescent="0.25">
      <c r="A186" s="261"/>
      <c r="B186" s="260"/>
      <c r="C186" s="259"/>
      <c r="D186" s="241">
        <v>0.02</v>
      </c>
      <c r="E186" s="15" t="s">
        <v>236</v>
      </c>
      <c r="F186" s="113"/>
      <c r="G186" s="264"/>
      <c r="H186" s="267"/>
      <c r="I186" s="240"/>
      <c r="J186" s="113"/>
      <c r="K186" s="260"/>
      <c r="L186" s="259"/>
      <c r="M186" s="241">
        <f>(K184-M187)/3</f>
        <v>4.6666666666666662E-2</v>
      </c>
      <c r="N186" s="15" t="s">
        <v>236</v>
      </c>
      <c r="O186" s="113"/>
      <c r="P186" s="260"/>
      <c r="Q186" s="259"/>
      <c r="R186" s="245"/>
      <c r="S186" s="55"/>
      <c r="T186" s="113"/>
      <c r="U186" s="260"/>
      <c r="V186" s="259"/>
      <c r="W186" s="241"/>
      <c r="X186" s="240"/>
      <c r="Y186" s="113"/>
      <c r="Z186" s="260"/>
      <c r="AA186" s="259"/>
      <c r="AB186" s="245"/>
      <c r="AC186" s="240"/>
      <c r="AD186" s="113"/>
      <c r="AE186" s="241"/>
      <c r="AF186" s="240"/>
      <c r="AG186" s="245"/>
      <c r="AH186" s="240"/>
      <c r="AI186" s="32"/>
      <c r="AN186" s="36"/>
      <c r="AP186" s="3"/>
      <c r="AQ186" s="4"/>
      <c r="AR186" s="53"/>
    </row>
    <row r="187" spans="1:44" s="25" customFormat="1" x14ac:dyDescent="0.25">
      <c r="A187" s="261"/>
      <c r="B187" s="260"/>
      <c r="C187" s="259"/>
      <c r="D187" s="240">
        <v>0.16</v>
      </c>
      <c r="E187" s="75" t="s">
        <v>195</v>
      </c>
      <c r="F187" s="113"/>
      <c r="G187" s="265"/>
      <c r="H187" s="268"/>
      <c r="I187" s="56"/>
      <c r="J187" s="113"/>
      <c r="K187" s="260"/>
      <c r="L187" s="259"/>
      <c r="M187" s="241">
        <f>D187</f>
        <v>0.16</v>
      </c>
      <c r="N187" s="75" t="s">
        <v>195</v>
      </c>
      <c r="O187" s="113"/>
      <c r="P187" s="260"/>
      <c r="Q187" s="259"/>
      <c r="R187" s="245"/>
      <c r="S187" s="24"/>
      <c r="T187" s="113"/>
      <c r="U187" s="260"/>
      <c r="V187" s="259"/>
      <c r="W187" s="241"/>
      <c r="X187" s="240"/>
      <c r="Y187" s="113"/>
      <c r="Z187" s="260"/>
      <c r="AA187" s="259"/>
      <c r="AB187" s="245"/>
      <c r="AC187" s="240"/>
      <c r="AD187" s="113"/>
      <c r="AE187" s="241"/>
      <c r="AF187" s="240"/>
      <c r="AG187" s="245"/>
      <c r="AH187" s="240"/>
      <c r="AI187" s="32"/>
      <c r="AN187" s="36"/>
      <c r="AP187" s="3"/>
      <c r="AQ187" s="4"/>
      <c r="AR187" s="53"/>
    </row>
    <row r="188" spans="1:44" s="25" customFormat="1" x14ac:dyDescent="0.25">
      <c r="A188" s="261">
        <v>44</v>
      </c>
      <c r="B188" s="260">
        <v>5.15</v>
      </c>
      <c r="C188" s="259">
        <v>11.09</v>
      </c>
      <c r="D188" s="241">
        <v>0.53</v>
      </c>
      <c r="E188" s="22" t="s">
        <v>449</v>
      </c>
      <c r="F188" s="113"/>
      <c r="G188" s="263">
        <v>5.5</v>
      </c>
      <c r="H188" s="266">
        <v>11.25</v>
      </c>
      <c r="I188" s="240"/>
      <c r="J188" s="113"/>
      <c r="K188" s="260">
        <v>0.98</v>
      </c>
      <c r="L188" s="259">
        <v>11.37</v>
      </c>
      <c r="M188" s="241">
        <v>7.0000000000000007E-2</v>
      </c>
      <c r="N188" s="22" t="s">
        <v>162</v>
      </c>
      <c r="O188" s="113"/>
      <c r="P188" s="260"/>
      <c r="Q188" s="259"/>
      <c r="R188" s="245"/>
      <c r="S188" s="240"/>
      <c r="T188" s="113"/>
      <c r="U188" s="260"/>
      <c r="V188" s="259"/>
      <c r="W188" s="241"/>
      <c r="X188" s="240"/>
      <c r="Y188" s="113"/>
      <c r="Z188" s="260"/>
      <c r="AA188" s="259"/>
      <c r="AB188" s="245"/>
      <c r="AC188" s="240"/>
      <c r="AD188" s="113"/>
      <c r="AE188" s="241"/>
      <c r="AF188" s="240"/>
      <c r="AG188" s="245"/>
      <c r="AH188" s="240"/>
      <c r="AI188" s="32"/>
      <c r="AN188" s="36"/>
      <c r="AP188" s="3"/>
      <c r="AQ188" s="3"/>
      <c r="AR188" s="53"/>
    </row>
    <row r="189" spans="1:44" s="25" customFormat="1" x14ac:dyDescent="0.25">
      <c r="A189" s="261"/>
      <c r="B189" s="260"/>
      <c r="C189" s="259"/>
      <c r="D189" s="240">
        <f>B188-D190-D191-D188</f>
        <v>3.1000000000000005</v>
      </c>
      <c r="E189" s="249" t="s">
        <v>450</v>
      </c>
      <c r="F189" s="113"/>
      <c r="G189" s="264"/>
      <c r="H189" s="267"/>
      <c r="I189" s="240"/>
      <c r="J189" s="113"/>
      <c r="K189" s="260"/>
      <c r="L189" s="259"/>
      <c r="M189" s="241">
        <v>0.3</v>
      </c>
      <c r="N189" s="249" t="s">
        <v>161</v>
      </c>
      <c r="O189" s="113"/>
      <c r="P189" s="260"/>
      <c r="Q189" s="259"/>
      <c r="R189" s="245"/>
      <c r="S189" s="240"/>
      <c r="T189" s="113"/>
      <c r="U189" s="260"/>
      <c r="V189" s="259"/>
      <c r="W189" s="241"/>
      <c r="X189" s="240"/>
      <c r="Y189" s="113"/>
      <c r="Z189" s="260"/>
      <c r="AA189" s="259"/>
      <c r="AB189" s="245"/>
      <c r="AC189" s="240"/>
      <c r="AD189" s="113"/>
      <c r="AE189" s="241"/>
      <c r="AF189" s="240"/>
      <c r="AG189" s="245"/>
      <c r="AH189" s="240"/>
      <c r="AI189" s="32"/>
      <c r="AN189" s="36"/>
      <c r="AP189" s="3"/>
      <c r="AQ189" s="3"/>
      <c r="AR189" s="53"/>
    </row>
    <row r="190" spans="1:44" s="25" customFormat="1" x14ac:dyDescent="0.25">
      <c r="A190" s="261"/>
      <c r="B190" s="260"/>
      <c r="C190" s="259"/>
      <c r="D190" s="241">
        <v>0.76</v>
      </c>
      <c r="E190" s="249" t="s">
        <v>451</v>
      </c>
      <c r="F190" s="113"/>
      <c r="G190" s="264"/>
      <c r="H190" s="267"/>
      <c r="I190" s="19"/>
      <c r="J190" s="113"/>
      <c r="K190" s="260"/>
      <c r="L190" s="259"/>
      <c r="M190" s="241">
        <f>(K188-M188)/3</f>
        <v>0.30333333333333329</v>
      </c>
      <c r="N190" s="249" t="s">
        <v>251</v>
      </c>
      <c r="O190" s="113"/>
      <c r="P190" s="260"/>
      <c r="Q190" s="259"/>
      <c r="R190" s="245"/>
      <c r="S190" s="24"/>
      <c r="T190" s="113"/>
      <c r="U190" s="260"/>
      <c r="V190" s="259"/>
      <c r="W190" s="241"/>
      <c r="X190" s="240"/>
      <c r="Y190" s="113"/>
      <c r="Z190" s="260"/>
      <c r="AA190" s="259"/>
      <c r="AB190" s="245"/>
      <c r="AC190" s="240"/>
      <c r="AD190" s="113"/>
      <c r="AE190" s="241"/>
      <c r="AF190" s="240"/>
      <c r="AG190" s="245"/>
      <c r="AH190" s="240"/>
      <c r="AI190" s="32"/>
      <c r="AN190" s="36"/>
      <c r="AP190" s="3"/>
      <c r="AQ190" s="3"/>
      <c r="AR190" s="53"/>
    </row>
    <row r="191" spans="1:44" s="25" customFormat="1" x14ac:dyDescent="0.25">
      <c r="A191" s="261"/>
      <c r="B191" s="260"/>
      <c r="C191" s="259"/>
      <c r="D191" s="241">
        <v>0.76</v>
      </c>
      <c r="E191" s="249" t="s">
        <v>452</v>
      </c>
      <c r="F191" s="113"/>
      <c r="G191" s="264"/>
      <c r="H191" s="267"/>
      <c r="I191" s="19"/>
      <c r="J191" s="113"/>
      <c r="K191" s="260"/>
      <c r="L191" s="259"/>
      <c r="M191" s="241">
        <v>0.3</v>
      </c>
      <c r="N191" s="249" t="s">
        <v>252</v>
      </c>
      <c r="O191" s="113"/>
      <c r="P191" s="260"/>
      <c r="Q191" s="259"/>
      <c r="R191" s="245"/>
      <c r="S191" s="24"/>
      <c r="T191" s="113"/>
      <c r="U191" s="260"/>
      <c r="V191" s="259"/>
      <c r="W191" s="241"/>
      <c r="X191" s="240"/>
      <c r="Y191" s="113"/>
      <c r="Z191" s="260"/>
      <c r="AA191" s="259"/>
      <c r="AB191" s="245"/>
      <c r="AC191" s="240"/>
      <c r="AD191" s="113"/>
      <c r="AE191" s="241"/>
      <c r="AF191" s="240"/>
      <c r="AG191" s="245"/>
      <c r="AH191" s="240"/>
      <c r="AI191" s="32"/>
      <c r="AN191" s="36"/>
      <c r="AP191" s="84"/>
      <c r="AQ191" s="3"/>
      <c r="AR191" s="53"/>
    </row>
    <row r="192" spans="1:44" s="25" customFormat="1" x14ac:dyDescent="0.25">
      <c r="A192" s="261"/>
      <c r="B192" s="260"/>
      <c r="C192" s="259"/>
      <c r="D192" s="24"/>
      <c r="E192" s="24"/>
      <c r="F192" s="113"/>
      <c r="G192" s="264"/>
      <c r="H192" s="267"/>
      <c r="I192" s="240"/>
      <c r="J192" s="113"/>
      <c r="K192" s="260"/>
      <c r="L192" s="259"/>
      <c r="M192" s="24"/>
      <c r="N192" s="24"/>
      <c r="O192" s="113"/>
      <c r="P192" s="260"/>
      <c r="Q192" s="259"/>
      <c r="R192" s="245"/>
      <c r="S192" s="240"/>
      <c r="T192" s="113"/>
      <c r="U192" s="260"/>
      <c r="V192" s="259"/>
      <c r="W192" s="241"/>
      <c r="X192" s="24"/>
      <c r="Y192" s="113"/>
      <c r="Z192" s="260"/>
      <c r="AA192" s="259"/>
      <c r="AB192" s="245"/>
      <c r="AC192" s="24"/>
      <c r="AD192" s="113"/>
      <c r="AE192" s="241"/>
      <c r="AF192" s="240"/>
      <c r="AG192" s="245"/>
      <c r="AH192" s="240"/>
      <c r="AI192" s="32"/>
      <c r="AN192" s="36"/>
      <c r="AP192" s="50"/>
      <c r="AQ192" s="3"/>
      <c r="AR192" s="53"/>
    </row>
    <row r="193" spans="1:44" s="25" customFormat="1" x14ac:dyDescent="0.25">
      <c r="A193" s="261">
        <v>45</v>
      </c>
      <c r="B193" s="260">
        <v>0.3</v>
      </c>
      <c r="C193" s="259">
        <v>11.25</v>
      </c>
      <c r="D193" s="24"/>
      <c r="E193" s="24"/>
      <c r="F193" s="113"/>
      <c r="G193" s="264"/>
      <c r="H193" s="267"/>
      <c r="I193" s="240"/>
      <c r="J193" s="113"/>
      <c r="K193" s="260"/>
      <c r="L193" s="259"/>
      <c r="M193" s="24"/>
      <c r="N193" s="24"/>
      <c r="O193" s="113"/>
      <c r="P193" s="260">
        <v>0.7</v>
      </c>
      <c r="Q193" s="259">
        <v>11.36</v>
      </c>
      <c r="R193" s="245"/>
      <c r="S193" s="240"/>
      <c r="T193" s="113"/>
      <c r="U193" s="260"/>
      <c r="V193" s="259"/>
      <c r="W193" s="241"/>
      <c r="X193" s="24"/>
      <c r="Y193" s="113"/>
      <c r="Z193" s="270">
        <v>0.09</v>
      </c>
      <c r="AA193" s="271">
        <v>11.26</v>
      </c>
      <c r="AB193" s="245"/>
      <c r="AC193" s="24"/>
      <c r="AD193" s="113"/>
      <c r="AE193" s="241"/>
      <c r="AF193" s="240"/>
      <c r="AG193" s="245"/>
      <c r="AH193" s="240"/>
      <c r="AI193" s="32"/>
      <c r="AN193" s="36"/>
      <c r="AP193" s="50"/>
      <c r="AQ193" s="130"/>
      <c r="AR193" s="53"/>
    </row>
    <row r="194" spans="1:44" s="25" customFormat="1" x14ac:dyDescent="0.25">
      <c r="A194" s="261"/>
      <c r="B194" s="260"/>
      <c r="C194" s="259"/>
      <c r="D194" s="240"/>
      <c r="E194" s="24"/>
      <c r="F194" s="113"/>
      <c r="G194" s="264"/>
      <c r="H194" s="267"/>
      <c r="I194" s="240"/>
      <c r="J194" s="113"/>
      <c r="K194" s="260"/>
      <c r="L194" s="259"/>
      <c r="M194" s="241"/>
      <c r="N194" s="240"/>
      <c r="O194" s="113"/>
      <c r="P194" s="260"/>
      <c r="Q194" s="259"/>
      <c r="R194" s="245"/>
      <c r="S194" s="240"/>
      <c r="T194" s="113"/>
      <c r="U194" s="260"/>
      <c r="V194" s="259"/>
      <c r="W194" s="241"/>
      <c r="X194" s="24"/>
      <c r="Y194" s="113"/>
      <c r="Z194" s="270"/>
      <c r="AA194" s="271"/>
      <c r="AB194" s="245"/>
      <c r="AC194" s="24"/>
      <c r="AD194" s="113"/>
      <c r="AE194" s="241"/>
      <c r="AF194" s="240"/>
      <c r="AG194" s="245"/>
      <c r="AH194" s="240"/>
      <c r="AI194" s="32"/>
      <c r="AN194" s="36"/>
      <c r="AP194" s="2"/>
      <c r="AQ194" s="130"/>
      <c r="AR194" s="53"/>
    </row>
    <row r="195" spans="1:44" s="25" customFormat="1" x14ac:dyDescent="0.25">
      <c r="A195" s="261"/>
      <c r="B195" s="260"/>
      <c r="C195" s="259"/>
      <c r="D195" s="240"/>
      <c r="E195" s="24"/>
      <c r="F195" s="113"/>
      <c r="G195" s="264"/>
      <c r="H195" s="267"/>
      <c r="I195" s="240"/>
      <c r="J195" s="113"/>
      <c r="K195" s="260"/>
      <c r="L195" s="259"/>
      <c r="M195" s="241"/>
      <c r="N195" s="240"/>
      <c r="O195" s="113"/>
      <c r="P195" s="260"/>
      <c r="Q195" s="259"/>
      <c r="R195" s="245"/>
      <c r="S195" s="240"/>
      <c r="T195" s="113"/>
      <c r="U195" s="260"/>
      <c r="V195" s="259"/>
      <c r="W195" s="241"/>
      <c r="X195" s="55"/>
      <c r="Y195" s="113"/>
      <c r="Z195" s="270"/>
      <c r="AA195" s="271"/>
      <c r="AB195" s="245"/>
      <c r="AC195" s="24"/>
      <c r="AD195" s="113"/>
      <c r="AE195" s="241"/>
      <c r="AF195" s="240"/>
      <c r="AG195" s="245"/>
      <c r="AH195" s="240"/>
      <c r="AI195" s="32"/>
      <c r="AN195" s="36"/>
      <c r="AP195" s="131"/>
      <c r="AQ195" s="130"/>
      <c r="AR195" s="53"/>
    </row>
    <row r="196" spans="1:44" s="25" customFormat="1" x14ac:dyDescent="0.25">
      <c r="A196" s="261"/>
      <c r="B196" s="260"/>
      <c r="C196" s="259"/>
      <c r="D196" s="240"/>
      <c r="E196" s="24"/>
      <c r="F196" s="113"/>
      <c r="G196" s="265"/>
      <c r="H196" s="268"/>
      <c r="I196" s="240"/>
      <c r="J196" s="113"/>
      <c r="K196" s="260"/>
      <c r="L196" s="259"/>
      <c r="M196" s="241"/>
      <c r="N196" s="240"/>
      <c r="O196" s="113"/>
      <c r="P196" s="260"/>
      <c r="Q196" s="259"/>
      <c r="R196" s="245"/>
      <c r="S196" s="240"/>
      <c r="T196" s="113"/>
      <c r="U196" s="260"/>
      <c r="V196" s="259"/>
      <c r="W196" s="241"/>
      <c r="X196" s="55"/>
      <c r="Y196" s="113"/>
      <c r="Z196" s="270"/>
      <c r="AA196" s="271"/>
      <c r="AB196" s="245"/>
      <c r="AC196" s="24"/>
      <c r="AD196" s="113"/>
      <c r="AE196" s="241"/>
      <c r="AF196" s="240"/>
      <c r="AG196" s="245"/>
      <c r="AH196" s="240"/>
      <c r="AI196" s="32"/>
      <c r="AN196" s="36"/>
      <c r="AP196" s="131"/>
      <c r="AQ196" s="3"/>
      <c r="AR196" s="53"/>
    </row>
    <row r="197" spans="1:44" s="25" customFormat="1" x14ac:dyDescent="0.25">
      <c r="A197" s="261"/>
      <c r="B197" s="260"/>
      <c r="C197" s="259"/>
      <c r="D197" s="240"/>
      <c r="E197" s="24"/>
      <c r="F197" s="113"/>
      <c r="G197" s="260">
        <v>1.48</v>
      </c>
      <c r="H197" s="259">
        <v>11.52</v>
      </c>
      <c r="I197" s="8"/>
      <c r="J197" s="113"/>
      <c r="K197" s="260"/>
      <c r="L197" s="259"/>
      <c r="M197" s="241"/>
      <c r="N197" s="240"/>
      <c r="O197" s="113"/>
      <c r="P197" s="260"/>
      <c r="Q197" s="259"/>
      <c r="R197" s="245"/>
      <c r="S197" s="240"/>
      <c r="T197" s="113"/>
      <c r="U197" s="260"/>
      <c r="V197" s="259"/>
      <c r="W197" s="241"/>
      <c r="X197" s="240"/>
      <c r="Y197" s="113"/>
      <c r="Z197" s="270"/>
      <c r="AA197" s="271"/>
      <c r="AB197" s="245"/>
      <c r="AC197" s="24"/>
      <c r="AD197" s="113"/>
      <c r="AE197" s="241"/>
      <c r="AF197" s="240"/>
      <c r="AG197" s="245"/>
      <c r="AH197" s="55"/>
      <c r="AI197" s="32"/>
      <c r="AN197" s="36"/>
      <c r="AP197" s="2"/>
      <c r="AQ197" s="3"/>
      <c r="AR197" s="53"/>
    </row>
    <row r="198" spans="1:44" s="25" customFormat="1" x14ac:dyDescent="0.25">
      <c r="A198" s="261">
        <v>46</v>
      </c>
      <c r="B198" s="260">
        <v>0.74</v>
      </c>
      <c r="C198" s="259">
        <v>11.38</v>
      </c>
      <c r="D198" s="240">
        <f>B198</f>
        <v>0.74</v>
      </c>
      <c r="E198" s="75" t="s">
        <v>35</v>
      </c>
      <c r="F198" s="113"/>
      <c r="G198" s="260"/>
      <c r="H198" s="259"/>
      <c r="I198" s="240"/>
      <c r="J198" s="113"/>
      <c r="K198" s="260">
        <v>1.29</v>
      </c>
      <c r="L198" s="259">
        <v>11.58</v>
      </c>
      <c r="M198" s="241">
        <f>K198</f>
        <v>1.29</v>
      </c>
      <c r="N198" s="75" t="s">
        <v>35</v>
      </c>
      <c r="O198" s="113"/>
      <c r="P198" s="260"/>
      <c r="Q198" s="259"/>
      <c r="R198" s="245">
        <f>P193</f>
        <v>0.7</v>
      </c>
      <c r="S198" s="75" t="s">
        <v>348</v>
      </c>
      <c r="T198" s="113"/>
      <c r="U198" s="260"/>
      <c r="V198" s="259"/>
      <c r="W198" s="241"/>
      <c r="X198" s="8"/>
      <c r="Y198" s="113"/>
      <c r="Z198" s="270"/>
      <c r="AA198" s="271"/>
      <c r="AB198" s="245"/>
      <c r="AC198" s="24"/>
      <c r="AD198" s="113"/>
      <c r="AE198" s="241"/>
      <c r="AF198" s="240"/>
      <c r="AG198" s="245"/>
      <c r="AH198" s="55"/>
      <c r="AI198" s="32"/>
      <c r="AN198" s="36"/>
      <c r="AP198" s="2"/>
      <c r="AQ198" s="3"/>
      <c r="AR198" s="53"/>
    </row>
    <row r="199" spans="1:44" s="25" customFormat="1" x14ac:dyDescent="0.25">
      <c r="A199" s="261"/>
      <c r="B199" s="260"/>
      <c r="C199" s="259"/>
      <c r="D199" s="240"/>
      <c r="E199" s="240"/>
      <c r="F199" s="113"/>
      <c r="G199" s="260"/>
      <c r="H199" s="259"/>
      <c r="I199" s="240"/>
      <c r="J199" s="113"/>
      <c r="K199" s="260"/>
      <c r="L199" s="259"/>
      <c r="M199" s="241"/>
      <c r="N199" s="240"/>
      <c r="O199" s="113"/>
      <c r="P199" s="260"/>
      <c r="Q199" s="259"/>
      <c r="R199" s="245"/>
      <c r="S199" s="240"/>
      <c r="T199" s="113"/>
      <c r="U199" s="260"/>
      <c r="V199" s="259"/>
      <c r="W199" s="241"/>
      <c r="X199" s="8"/>
      <c r="Y199" s="113"/>
      <c r="Z199" s="270"/>
      <c r="AA199" s="271"/>
      <c r="AB199" s="245"/>
      <c r="AC199" s="24"/>
      <c r="AD199" s="113"/>
      <c r="AE199" s="241"/>
      <c r="AF199" s="240"/>
      <c r="AG199" s="245"/>
      <c r="AH199" s="55"/>
      <c r="AI199" s="32"/>
      <c r="AN199" s="36"/>
      <c r="AP199" s="2"/>
      <c r="AQ199" s="3"/>
      <c r="AR199" s="53"/>
    </row>
    <row r="200" spans="1:44" s="25" customFormat="1" x14ac:dyDescent="0.25">
      <c r="A200" s="261"/>
      <c r="B200" s="260"/>
      <c r="C200" s="259"/>
      <c r="D200" s="240"/>
      <c r="E200" s="240"/>
      <c r="F200" s="113"/>
      <c r="G200" s="260"/>
      <c r="H200" s="259"/>
      <c r="I200" s="240"/>
      <c r="J200" s="113"/>
      <c r="K200" s="260"/>
      <c r="L200" s="259"/>
      <c r="M200" s="241"/>
      <c r="N200" s="240"/>
      <c r="O200" s="113"/>
      <c r="P200" s="260"/>
      <c r="Q200" s="259"/>
      <c r="R200" s="245"/>
      <c r="S200" s="240"/>
      <c r="T200" s="113"/>
      <c r="U200" s="260"/>
      <c r="V200" s="259"/>
      <c r="W200" s="241"/>
      <c r="X200" s="8"/>
      <c r="Y200" s="113"/>
      <c r="Z200" s="270"/>
      <c r="AA200" s="271"/>
      <c r="AB200" s="245"/>
      <c r="AC200" s="24"/>
      <c r="AD200" s="113"/>
      <c r="AE200" s="241"/>
      <c r="AF200" s="240"/>
      <c r="AG200" s="245"/>
      <c r="AH200" s="55"/>
      <c r="AI200" s="32"/>
      <c r="AN200" s="36"/>
      <c r="AP200" s="2"/>
      <c r="AQ200" s="3"/>
      <c r="AR200" s="53"/>
    </row>
    <row r="201" spans="1:44" s="25" customFormat="1" x14ac:dyDescent="0.25">
      <c r="A201" s="261"/>
      <c r="B201" s="260"/>
      <c r="C201" s="259"/>
      <c r="D201" s="240"/>
      <c r="E201" s="240"/>
      <c r="F201" s="113"/>
      <c r="G201" s="260"/>
      <c r="H201" s="259"/>
      <c r="I201" s="240"/>
      <c r="J201" s="113"/>
      <c r="K201" s="260"/>
      <c r="L201" s="259"/>
      <c r="M201" s="241"/>
      <c r="N201" s="24"/>
      <c r="O201" s="113"/>
      <c r="P201" s="260"/>
      <c r="Q201" s="259"/>
      <c r="R201" s="245"/>
      <c r="S201" s="24"/>
      <c r="T201" s="113"/>
      <c r="U201" s="260"/>
      <c r="V201" s="259"/>
      <c r="W201" s="241"/>
      <c r="X201" s="8"/>
      <c r="Y201" s="113"/>
      <c r="Z201" s="270"/>
      <c r="AA201" s="271"/>
      <c r="AB201" s="245"/>
      <c r="AC201" s="24"/>
      <c r="AD201" s="113"/>
      <c r="AE201" s="241"/>
      <c r="AF201" s="240"/>
      <c r="AG201" s="245"/>
      <c r="AH201" s="55"/>
      <c r="AI201" s="32"/>
      <c r="AN201" s="36"/>
      <c r="AP201" s="1"/>
      <c r="AQ201" s="3"/>
      <c r="AR201" s="53"/>
    </row>
    <row r="202" spans="1:44" s="25" customFormat="1" x14ac:dyDescent="0.25">
      <c r="A202" s="261">
        <v>47</v>
      </c>
      <c r="B202" s="260">
        <v>5.31</v>
      </c>
      <c r="C202" s="259">
        <v>11.51</v>
      </c>
      <c r="D202" s="240">
        <f>B202-D204-D203</f>
        <v>3.3599999999999994</v>
      </c>
      <c r="E202" s="249" t="s">
        <v>450</v>
      </c>
      <c r="F202" s="113"/>
      <c r="G202" s="260">
        <v>5.72</v>
      </c>
      <c r="H202" s="259">
        <v>11.67</v>
      </c>
      <c r="I202" s="56"/>
      <c r="J202" s="113"/>
      <c r="K202" s="241">
        <v>0.55000000000000004</v>
      </c>
      <c r="L202" s="240">
        <v>11.69</v>
      </c>
      <c r="M202" s="241">
        <f>K202</f>
        <v>0.55000000000000004</v>
      </c>
      <c r="N202" s="249" t="s">
        <v>161</v>
      </c>
      <c r="O202" s="113"/>
      <c r="P202" s="260">
        <v>0.49</v>
      </c>
      <c r="Q202" s="259">
        <v>11.46</v>
      </c>
      <c r="R202" s="245"/>
      <c r="S202" s="24"/>
      <c r="T202" s="113"/>
      <c r="U202" s="260"/>
      <c r="V202" s="259"/>
      <c r="W202" s="241"/>
      <c r="X202" s="55"/>
      <c r="Y202" s="113"/>
      <c r="Z202" s="270">
        <v>0.17</v>
      </c>
      <c r="AA202" s="271">
        <v>11.4</v>
      </c>
      <c r="AB202" s="245"/>
      <c r="AC202" s="24"/>
      <c r="AD202" s="113"/>
      <c r="AE202" s="241"/>
      <c r="AF202" s="240"/>
      <c r="AG202" s="245"/>
      <c r="AH202" s="55"/>
      <c r="AI202" s="32"/>
      <c r="AN202" s="36"/>
      <c r="AP202" s="1"/>
      <c r="AQ202" s="3"/>
      <c r="AR202" s="53"/>
    </row>
    <row r="203" spans="1:44" s="25" customFormat="1" x14ac:dyDescent="0.25">
      <c r="A203" s="261"/>
      <c r="B203" s="260"/>
      <c r="C203" s="259"/>
      <c r="D203" s="241">
        <f>R171</f>
        <v>1.46</v>
      </c>
      <c r="E203" s="249" t="s">
        <v>94</v>
      </c>
      <c r="F203" s="113"/>
      <c r="G203" s="260"/>
      <c r="H203" s="259"/>
      <c r="I203" s="56"/>
      <c r="J203" s="113"/>
      <c r="K203" s="260">
        <v>0.21</v>
      </c>
      <c r="L203" s="259">
        <v>11.95</v>
      </c>
      <c r="M203" s="241"/>
      <c r="N203" s="240"/>
      <c r="O203" s="113"/>
      <c r="P203" s="260"/>
      <c r="Q203" s="259"/>
      <c r="R203" s="24"/>
      <c r="S203" s="24"/>
      <c r="T203" s="113"/>
      <c r="U203" s="260"/>
      <c r="V203" s="259"/>
      <c r="W203" s="241"/>
      <c r="X203" s="55"/>
      <c r="Y203" s="113"/>
      <c r="Z203" s="270"/>
      <c r="AA203" s="271"/>
      <c r="AB203" s="245"/>
      <c r="AC203" s="24"/>
      <c r="AD203" s="113"/>
      <c r="AE203" s="241"/>
      <c r="AF203" s="240"/>
      <c r="AG203" s="245"/>
      <c r="AH203" s="55"/>
      <c r="AI203" s="32"/>
      <c r="AN203" s="36"/>
      <c r="AP203" s="1"/>
      <c r="AQ203" s="3"/>
      <c r="AR203" s="53"/>
    </row>
    <row r="204" spans="1:44" s="25" customFormat="1" x14ac:dyDescent="0.25">
      <c r="A204" s="261"/>
      <c r="B204" s="260"/>
      <c r="C204" s="259"/>
      <c r="D204" s="241">
        <f>R204</f>
        <v>0.49</v>
      </c>
      <c r="E204" s="15" t="s">
        <v>120</v>
      </c>
      <c r="F204" s="113"/>
      <c r="G204" s="260"/>
      <c r="H204" s="259"/>
      <c r="I204" s="240"/>
      <c r="J204" s="113"/>
      <c r="K204" s="260"/>
      <c r="L204" s="259"/>
      <c r="M204" s="241">
        <f>K203</f>
        <v>0.21</v>
      </c>
      <c r="N204" s="15" t="s">
        <v>120</v>
      </c>
      <c r="O204" s="113"/>
      <c r="P204" s="260"/>
      <c r="Q204" s="259"/>
      <c r="R204" s="245">
        <f>P202</f>
        <v>0.49</v>
      </c>
      <c r="S204" s="15" t="s">
        <v>120</v>
      </c>
      <c r="T204" s="113"/>
      <c r="U204" s="260"/>
      <c r="V204" s="259"/>
      <c r="W204" s="241">
        <f>U184</f>
        <v>0.06</v>
      </c>
      <c r="X204" s="15" t="s">
        <v>120</v>
      </c>
      <c r="Y204" s="113"/>
      <c r="Z204" s="270"/>
      <c r="AA204" s="271"/>
      <c r="AB204" s="245">
        <f>Z202</f>
        <v>0.17</v>
      </c>
      <c r="AC204" s="15" t="s">
        <v>120</v>
      </c>
      <c r="AD204" s="113"/>
      <c r="AE204" s="241"/>
      <c r="AF204" s="240"/>
      <c r="AG204" s="245"/>
      <c r="AH204" s="24"/>
      <c r="AI204" s="32"/>
      <c r="AN204" s="36"/>
      <c r="AP204" s="1"/>
      <c r="AQ204" s="3"/>
      <c r="AR204" s="28"/>
    </row>
    <row r="205" spans="1:44" s="25" customFormat="1" x14ac:dyDescent="0.25">
      <c r="A205" s="261"/>
      <c r="B205" s="260"/>
      <c r="C205" s="259"/>
      <c r="D205" s="24"/>
      <c r="E205" s="24"/>
      <c r="F205" s="113"/>
      <c r="G205" s="260"/>
      <c r="H205" s="259"/>
      <c r="I205" s="240"/>
      <c r="J205" s="113"/>
      <c r="K205" s="241">
        <v>0.39</v>
      </c>
      <c r="L205" s="240">
        <v>12.21</v>
      </c>
      <c r="M205" s="24"/>
      <c r="N205" s="24"/>
      <c r="O205" s="113"/>
      <c r="P205" s="260"/>
      <c r="Q205" s="259"/>
      <c r="R205" s="245"/>
      <c r="S205" s="94"/>
      <c r="T205" s="113"/>
      <c r="U205" s="260"/>
      <c r="V205" s="259"/>
      <c r="W205" s="241"/>
      <c r="X205" s="240"/>
      <c r="Y205" s="113"/>
      <c r="Z205" s="270"/>
      <c r="AA205" s="271"/>
      <c r="AB205" s="245"/>
      <c r="AC205" s="24"/>
      <c r="AD205" s="113"/>
      <c r="AE205" s="241"/>
      <c r="AF205" s="240"/>
      <c r="AG205" s="245"/>
      <c r="AH205" s="240"/>
      <c r="AI205" s="32"/>
      <c r="AN205" s="36"/>
      <c r="AP205" s="28"/>
      <c r="AQ205" s="51"/>
      <c r="AR205" s="28"/>
    </row>
    <row r="206" spans="1:44" s="25" customFormat="1" x14ac:dyDescent="0.25">
      <c r="A206" s="261">
        <v>48</v>
      </c>
      <c r="B206" s="260">
        <v>3.56</v>
      </c>
      <c r="C206" s="259">
        <v>11.93</v>
      </c>
      <c r="D206" s="24"/>
      <c r="E206" s="24"/>
      <c r="F206" s="113"/>
      <c r="G206" s="260">
        <v>3.98</v>
      </c>
      <c r="H206" s="259">
        <v>12.09</v>
      </c>
      <c r="I206" s="240"/>
      <c r="J206" s="113"/>
      <c r="K206" s="260">
        <v>0.16</v>
      </c>
      <c r="L206" s="259">
        <v>12.45</v>
      </c>
      <c r="M206" s="24"/>
      <c r="N206" s="24"/>
      <c r="O206" s="113"/>
      <c r="P206" s="260">
        <v>0.25</v>
      </c>
      <c r="Q206" s="259">
        <v>11.8</v>
      </c>
      <c r="R206" s="245"/>
      <c r="S206" s="132"/>
      <c r="T206" s="113"/>
      <c r="U206" s="260"/>
      <c r="V206" s="259"/>
      <c r="W206" s="241"/>
      <c r="X206" s="240"/>
      <c r="Y206" s="113"/>
      <c r="Z206" s="270">
        <v>0.25</v>
      </c>
      <c r="AA206" s="271">
        <v>11.64</v>
      </c>
      <c r="AB206" s="245"/>
      <c r="AC206" s="24"/>
      <c r="AD206" s="113"/>
      <c r="AE206" s="241"/>
      <c r="AF206" s="240"/>
      <c r="AG206" s="245"/>
      <c r="AH206" s="240"/>
      <c r="AI206" s="32"/>
      <c r="AN206" s="36"/>
      <c r="AP206" s="28"/>
      <c r="AQ206" s="51"/>
      <c r="AR206" s="28"/>
    </row>
    <row r="207" spans="1:44" s="25" customFormat="1" x14ac:dyDescent="0.25">
      <c r="A207" s="261"/>
      <c r="B207" s="260"/>
      <c r="C207" s="259"/>
      <c r="D207" s="241">
        <f>B206-D208-D210-D209</f>
        <v>2.46</v>
      </c>
      <c r="E207" s="249" t="s">
        <v>453</v>
      </c>
      <c r="F207" s="113"/>
      <c r="G207" s="260"/>
      <c r="H207" s="259"/>
      <c r="I207" s="240"/>
      <c r="J207" s="113"/>
      <c r="K207" s="260"/>
      <c r="L207" s="259"/>
      <c r="M207" s="241">
        <f>K206-M208-M210-M209</f>
        <v>2.5000000000000012E-2</v>
      </c>
      <c r="N207" s="249" t="s">
        <v>395</v>
      </c>
      <c r="O207" s="113"/>
      <c r="P207" s="260"/>
      <c r="Q207" s="259"/>
      <c r="R207" s="245"/>
      <c r="S207" s="94"/>
      <c r="T207" s="113"/>
      <c r="U207" s="260"/>
      <c r="V207" s="259"/>
      <c r="W207" s="241"/>
      <c r="X207" s="24"/>
      <c r="Y207" s="113"/>
      <c r="Z207" s="270"/>
      <c r="AA207" s="271"/>
      <c r="AB207" s="245"/>
      <c r="AC207" s="24"/>
      <c r="AD207" s="113"/>
      <c r="AE207" s="241"/>
      <c r="AF207" s="240"/>
      <c r="AG207" s="245"/>
      <c r="AH207" s="240"/>
      <c r="AI207" s="32"/>
      <c r="AN207" s="36"/>
      <c r="AP207" s="1"/>
      <c r="AQ207" s="2"/>
      <c r="AR207" s="3"/>
    </row>
    <row r="208" spans="1:44" s="25" customFormat="1" x14ac:dyDescent="0.25">
      <c r="A208" s="261"/>
      <c r="B208" s="260"/>
      <c r="C208" s="259"/>
      <c r="D208" s="241">
        <v>0.34</v>
      </c>
      <c r="E208" s="249" t="s">
        <v>454</v>
      </c>
      <c r="F208" s="113"/>
      <c r="G208" s="260"/>
      <c r="H208" s="259"/>
      <c r="I208" s="240"/>
      <c r="J208" s="113"/>
      <c r="K208" s="260"/>
      <c r="L208" s="259"/>
      <c r="M208" s="241">
        <v>0.02</v>
      </c>
      <c r="N208" s="249" t="s">
        <v>86</v>
      </c>
      <c r="O208" s="113"/>
      <c r="P208" s="260"/>
      <c r="Q208" s="259"/>
      <c r="R208" s="245"/>
      <c r="S208" s="246"/>
      <c r="T208" s="113"/>
      <c r="U208" s="260"/>
      <c r="V208" s="259"/>
      <c r="W208" s="241"/>
      <c r="X208" s="49"/>
      <c r="Y208" s="113"/>
      <c r="Z208" s="270"/>
      <c r="AA208" s="271"/>
      <c r="AB208" s="245"/>
      <c r="AC208" s="24"/>
      <c r="AD208" s="113"/>
      <c r="AE208" s="241"/>
      <c r="AF208" s="240"/>
      <c r="AG208" s="245"/>
      <c r="AH208" s="240"/>
      <c r="AI208" s="32"/>
      <c r="AN208" s="36"/>
      <c r="AP208" s="1"/>
      <c r="AQ208" s="2"/>
      <c r="AR208" s="3"/>
    </row>
    <row r="209" spans="1:44" s="25" customFormat="1" x14ac:dyDescent="0.25">
      <c r="A209" s="261"/>
      <c r="B209" s="260"/>
      <c r="C209" s="259"/>
      <c r="D209" s="241">
        <v>0.66500000000000004</v>
      </c>
      <c r="E209" s="249" t="s">
        <v>455</v>
      </c>
      <c r="F209" s="113"/>
      <c r="G209" s="260"/>
      <c r="H209" s="259"/>
      <c r="I209" s="240"/>
      <c r="J209" s="113"/>
      <c r="K209" s="260"/>
      <c r="L209" s="259"/>
      <c r="M209" s="241">
        <v>0.02</v>
      </c>
      <c r="N209" s="249" t="s">
        <v>92</v>
      </c>
      <c r="O209" s="113"/>
      <c r="P209" s="260"/>
      <c r="Q209" s="259"/>
      <c r="R209" s="245"/>
      <c r="S209" s="246"/>
      <c r="T209" s="113"/>
      <c r="U209" s="260"/>
      <c r="V209" s="259"/>
      <c r="W209" s="241"/>
      <c r="X209" s="240"/>
      <c r="Y209" s="113"/>
      <c r="Z209" s="270"/>
      <c r="AA209" s="271"/>
      <c r="AB209" s="245"/>
      <c r="AC209" s="24"/>
      <c r="AD209" s="113"/>
      <c r="AE209" s="241"/>
      <c r="AF209" s="240"/>
      <c r="AG209" s="245"/>
      <c r="AH209" s="240"/>
      <c r="AI209" s="32"/>
      <c r="AN209" s="36"/>
      <c r="AP209" s="53"/>
      <c r="AQ209" s="2"/>
      <c r="AR209" s="3"/>
    </row>
    <row r="210" spans="1:44" s="25" customFormat="1" x14ac:dyDescent="0.25">
      <c r="A210" s="261"/>
      <c r="B210" s="260"/>
      <c r="C210" s="259"/>
      <c r="D210" s="241">
        <v>9.5000000000000001E-2</v>
      </c>
      <c r="E210" s="61" t="s">
        <v>254</v>
      </c>
      <c r="F210" s="113"/>
      <c r="G210" s="260"/>
      <c r="H210" s="259"/>
      <c r="I210" s="240"/>
      <c r="J210" s="113"/>
      <c r="K210" s="260"/>
      <c r="L210" s="259"/>
      <c r="M210" s="241">
        <f>D210</f>
        <v>9.5000000000000001E-2</v>
      </c>
      <c r="N210" s="61" t="s">
        <v>254</v>
      </c>
      <c r="O210" s="113"/>
      <c r="P210" s="260"/>
      <c r="Q210" s="259"/>
      <c r="R210" s="245"/>
      <c r="S210" s="94"/>
      <c r="T210" s="113"/>
      <c r="U210" s="260"/>
      <c r="V210" s="259"/>
      <c r="W210" s="241"/>
      <c r="X210" s="24"/>
      <c r="Y210" s="113"/>
      <c r="Z210" s="270"/>
      <c r="AA210" s="271"/>
      <c r="AB210" s="245"/>
      <c r="AC210" s="24"/>
      <c r="AD210" s="113"/>
      <c r="AE210" s="241"/>
      <c r="AF210" s="240"/>
      <c r="AG210" s="245"/>
      <c r="AH210" s="240"/>
      <c r="AI210" s="32"/>
      <c r="AN210" s="36"/>
      <c r="AP210" s="1"/>
      <c r="AQ210" s="2"/>
      <c r="AR210" s="3"/>
    </row>
    <row r="211" spans="1:44" s="25" customFormat="1" x14ac:dyDescent="0.25">
      <c r="A211" s="261"/>
      <c r="B211" s="260"/>
      <c r="C211" s="259"/>
      <c r="D211" s="24"/>
      <c r="E211" s="24"/>
      <c r="F211" s="113"/>
      <c r="G211" s="260"/>
      <c r="H211" s="259"/>
      <c r="I211" s="240"/>
      <c r="J211" s="113"/>
      <c r="K211" s="260"/>
      <c r="L211" s="259"/>
      <c r="M211" s="24"/>
      <c r="N211" s="24"/>
      <c r="O211" s="113"/>
      <c r="P211" s="260"/>
      <c r="Q211" s="259"/>
      <c r="R211" s="245"/>
      <c r="S211" s="94"/>
      <c r="T211" s="113"/>
      <c r="U211" s="260"/>
      <c r="V211" s="259"/>
      <c r="W211" s="241"/>
      <c r="X211" s="24"/>
      <c r="Y211" s="113"/>
      <c r="Z211" s="270"/>
      <c r="AA211" s="271"/>
      <c r="AB211" s="245"/>
      <c r="AC211" s="240"/>
      <c r="AD211" s="113"/>
      <c r="AE211" s="241"/>
      <c r="AF211" s="240"/>
      <c r="AG211" s="245"/>
      <c r="AH211" s="240"/>
      <c r="AI211" s="32"/>
      <c r="AN211" s="36"/>
      <c r="AP211" s="28"/>
      <c r="AQ211" s="1"/>
      <c r="AR211" s="4"/>
    </row>
    <row r="212" spans="1:44" s="25" customFormat="1" x14ac:dyDescent="0.25">
      <c r="A212" s="261">
        <v>49</v>
      </c>
      <c r="B212" s="260">
        <v>1.39</v>
      </c>
      <c r="C212" s="259">
        <v>12.33</v>
      </c>
      <c r="D212" s="240">
        <f>B212</f>
        <v>1.39</v>
      </c>
      <c r="E212" s="249" t="s">
        <v>448</v>
      </c>
      <c r="F212" s="113"/>
      <c r="G212" s="260">
        <v>1.58</v>
      </c>
      <c r="H212" s="259">
        <v>12.48</v>
      </c>
      <c r="I212" s="240"/>
      <c r="J212" s="113"/>
      <c r="K212" s="260">
        <v>0.81</v>
      </c>
      <c r="L212" s="259">
        <v>12.8</v>
      </c>
      <c r="M212" s="241">
        <f>K212</f>
        <v>0.81</v>
      </c>
      <c r="N212" s="249" t="s">
        <v>397</v>
      </c>
      <c r="O212" s="113"/>
      <c r="P212" s="260">
        <v>0.69</v>
      </c>
      <c r="Q212" s="259">
        <v>12.57</v>
      </c>
      <c r="R212" s="245"/>
      <c r="S212" s="94"/>
      <c r="T212" s="113"/>
      <c r="U212" s="260"/>
      <c r="V212" s="259"/>
      <c r="W212" s="241"/>
      <c r="X212" s="24"/>
      <c r="Y212" s="113"/>
      <c r="Z212" s="270">
        <v>0.11</v>
      </c>
      <c r="AA212" s="271">
        <v>12.2</v>
      </c>
      <c r="AB212" s="245"/>
      <c r="AC212" s="240"/>
      <c r="AD212" s="113"/>
      <c r="AE212" s="241"/>
      <c r="AF212" s="240"/>
      <c r="AG212" s="245"/>
      <c r="AH212" s="240"/>
      <c r="AI212" s="32"/>
      <c r="AN212" s="36"/>
      <c r="AP212" s="28"/>
      <c r="AQ212" s="1"/>
      <c r="AR212" s="4"/>
    </row>
    <row r="213" spans="1:44" s="25" customFormat="1" x14ac:dyDescent="0.25">
      <c r="A213" s="261"/>
      <c r="B213" s="260"/>
      <c r="C213" s="259"/>
      <c r="D213" s="240"/>
      <c r="E213" s="19"/>
      <c r="F213" s="113"/>
      <c r="G213" s="260"/>
      <c r="H213" s="259"/>
      <c r="I213" s="19"/>
      <c r="J213" s="113"/>
      <c r="K213" s="260"/>
      <c r="L213" s="259"/>
      <c r="M213" s="241"/>
      <c r="N213" s="94"/>
      <c r="O213" s="113"/>
      <c r="P213" s="260"/>
      <c r="Q213" s="259"/>
      <c r="R213" s="245"/>
      <c r="S213" s="94"/>
      <c r="T213" s="113"/>
      <c r="U213" s="260"/>
      <c r="V213" s="259"/>
      <c r="W213" s="241"/>
      <c r="X213" s="24"/>
      <c r="Y213" s="113"/>
      <c r="Z213" s="270"/>
      <c r="AA213" s="271"/>
      <c r="AB213" s="245"/>
      <c r="AC213" s="240"/>
      <c r="AD213" s="113"/>
      <c r="AE213" s="241"/>
      <c r="AF213" s="240"/>
      <c r="AG213" s="245"/>
      <c r="AH213" s="240"/>
      <c r="AI213" s="32"/>
      <c r="AN213" s="36"/>
      <c r="AP213" s="28"/>
      <c r="AQ213" s="1"/>
      <c r="AR213" s="4"/>
    </row>
    <row r="214" spans="1:44" s="25" customFormat="1" x14ac:dyDescent="0.25">
      <c r="A214" s="242">
        <v>50</v>
      </c>
      <c r="B214" s="241">
        <v>0.56999999999999995</v>
      </c>
      <c r="C214" s="240">
        <v>12.49</v>
      </c>
      <c r="D214" s="240"/>
      <c r="E214" s="56"/>
      <c r="F214" s="113"/>
      <c r="G214" s="241">
        <v>0.82</v>
      </c>
      <c r="H214" s="240">
        <v>12.65</v>
      </c>
      <c r="I214" s="240"/>
      <c r="J214" s="113"/>
      <c r="K214" s="260"/>
      <c r="L214" s="259"/>
      <c r="M214" s="241"/>
      <c r="N214" s="246"/>
      <c r="O214" s="113"/>
      <c r="P214" s="260"/>
      <c r="Q214" s="259"/>
      <c r="R214" s="245"/>
      <c r="S214" s="246"/>
      <c r="T214" s="113"/>
      <c r="U214" s="260"/>
      <c r="V214" s="259"/>
      <c r="W214" s="241"/>
      <c r="X214" s="24"/>
      <c r="Y214" s="113"/>
      <c r="Z214" s="270"/>
      <c r="AA214" s="271"/>
      <c r="AB214" s="245"/>
      <c r="AC214" s="240"/>
      <c r="AD214" s="113"/>
      <c r="AE214" s="241"/>
      <c r="AF214" s="240"/>
      <c r="AG214" s="245"/>
      <c r="AH214" s="240"/>
      <c r="AI214" s="32"/>
      <c r="AN214" s="36"/>
      <c r="AP214" s="28"/>
      <c r="AQ214" s="1"/>
      <c r="AR214" s="4"/>
    </row>
    <row r="215" spans="1:44" s="25" customFormat="1" x14ac:dyDescent="0.25">
      <c r="A215" s="261">
        <v>51</v>
      </c>
      <c r="B215" s="260">
        <v>0.6</v>
      </c>
      <c r="C215" s="259">
        <v>12.78</v>
      </c>
      <c r="D215" s="240"/>
      <c r="E215" s="56"/>
      <c r="F215" s="113"/>
      <c r="G215" s="260">
        <v>0.69</v>
      </c>
      <c r="H215" s="259">
        <v>12.94</v>
      </c>
      <c r="I215" s="240"/>
      <c r="J215" s="113"/>
      <c r="K215" s="241">
        <v>0.2</v>
      </c>
      <c r="L215" s="240">
        <v>12.89</v>
      </c>
      <c r="M215" s="241"/>
      <c r="N215" s="49"/>
      <c r="O215" s="113"/>
      <c r="P215" s="241">
        <v>0.08</v>
      </c>
      <c r="Q215" s="240">
        <v>12.76</v>
      </c>
      <c r="R215" s="245"/>
      <c r="S215" s="49"/>
      <c r="T215" s="113"/>
      <c r="U215" s="241"/>
      <c r="V215" s="240"/>
      <c r="W215" s="241"/>
      <c r="X215" s="24"/>
      <c r="Y215" s="113"/>
      <c r="Z215" s="241"/>
      <c r="AA215" s="240"/>
      <c r="AB215" s="245"/>
      <c r="AC215" s="240"/>
      <c r="AD215" s="113"/>
      <c r="AE215" s="241"/>
      <c r="AF215" s="240"/>
      <c r="AG215" s="245"/>
      <c r="AH215" s="240"/>
      <c r="AI215" s="32"/>
      <c r="AN215" s="36"/>
      <c r="AP215" s="28"/>
      <c r="AQ215" s="1"/>
      <c r="AR215" s="4"/>
    </row>
    <row r="216" spans="1:44" s="25" customFormat="1" x14ac:dyDescent="0.25">
      <c r="A216" s="261"/>
      <c r="B216" s="260"/>
      <c r="C216" s="259"/>
      <c r="D216" s="240"/>
      <c r="E216" s="8"/>
      <c r="F216" s="113"/>
      <c r="G216" s="260"/>
      <c r="H216" s="259"/>
      <c r="I216" s="240"/>
      <c r="J216" s="113"/>
      <c r="K216" s="241">
        <v>0.13</v>
      </c>
      <c r="L216" s="240">
        <v>13.26</v>
      </c>
      <c r="M216" s="241"/>
      <c r="N216" s="49"/>
      <c r="O216" s="113"/>
      <c r="P216" s="260">
        <v>0.02</v>
      </c>
      <c r="Q216" s="259">
        <v>12.93</v>
      </c>
      <c r="R216" s="245"/>
      <c r="S216" s="49"/>
      <c r="T216" s="113"/>
      <c r="U216" s="241"/>
      <c r="V216" s="240"/>
      <c r="W216" s="241"/>
      <c r="X216" s="24"/>
      <c r="Y216" s="113"/>
      <c r="Z216" s="241"/>
      <c r="AA216" s="240"/>
      <c r="AB216" s="245"/>
      <c r="AC216" s="241"/>
      <c r="AD216" s="113"/>
      <c r="AE216" s="241"/>
      <c r="AF216" s="240"/>
      <c r="AG216" s="245"/>
      <c r="AH216" s="240"/>
      <c r="AI216" s="32"/>
      <c r="AJ216" s="28"/>
      <c r="AK216" s="28"/>
      <c r="AL216" s="28"/>
      <c r="AM216" s="28"/>
      <c r="AN216" s="35"/>
      <c r="AO216" s="28"/>
      <c r="AP216" s="28"/>
      <c r="AQ216" s="28"/>
      <c r="AR216" s="28"/>
    </row>
    <row r="217" spans="1:44" s="25" customFormat="1" x14ac:dyDescent="0.25">
      <c r="A217" s="242">
        <v>52</v>
      </c>
      <c r="B217" s="241">
        <v>0.24</v>
      </c>
      <c r="C217" s="240">
        <v>12.96</v>
      </c>
      <c r="D217" s="240"/>
      <c r="E217" s="24"/>
      <c r="F217" s="113"/>
      <c r="G217" s="241">
        <v>0.37</v>
      </c>
      <c r="H217" s="240">
        <v>13.13</v>
      </c>
      <c r="I217" s="240"/>
      <c r="J217" s="113"/>
      <c r="K217" s="260">
        <v>0.67</v>
      </c>
      <c r="L217" s="259">
        <v>13.83</v>
      </c>
      <c r="M217" s="241"/>
      <c r="N217" s="55"/>
      <c r="O217" s="113"/>
      <c r="P217" s="260"/>
      <c r="Q217" s="259"/>
      <c r="R217" s="245"/>
      <c r="S217" s="55"/>
      <c r="T217" s="113"/>
      <c r="U217" s="241"/>
      <c r="V217" s="240"/>
      <c r="W217" s="241"/>
      <c r="X217" s="24"/>
      <c r="Y217" s="113"/>
      <c r="Z217" s="241"/>
      <c r="AA217" s="240"/>
      <c r="AB217" s="245"/>
      <c r="AC217" s="241"/>
      <c r="AD217" s="113"/>
      <c r="AE217" s="241"/>
      <c r="AF217" s="240"/>
      <c r="AG217" s="245"/>
      <c r="AH217" s="240"/>
      <c r="AI217" s="32"/>
      <c r="AJ217" s="28"/>
      <c r="AK217" s="28"/>
      <c r="AL217" s="28"/>
      <c r="AM217" s="28"/>
      <c r="AN217" s="35"/>
      <c r="AO217" s="28"/>
      <c r="AP217" s="28"/>
      <c r="AQ217" s="28"/>
      <c r="AR217" s="28"/>
    </row>
    <row r="218" spans="1:44" s="25" customFormat="1" x14ac:dyDescent="0.25">
      <c r="A218" s="242">
        <v>53</v>
      </c>
      <c r="B218" s="241">
        <v>0.36</v>
      </c>
      <c r="C218" s="240">
        <v>13.18</v>
      </c>
      <c r="D218" s="240"/>
      <c r="E218" s="24"/>
      <c r="F218" s="113"/>
      <c r="G218" s="241">
        <v>0.52</v>
      </c>
      <c r="H218" s="240">
        <v>13.37</v>
      </c>
      <c r="I218" s="240"/>
      <c r="J218" s="113"/>
      <c r="K218" s="260"/>
      <c r="L218" s="259"/>
      <c r="M218" s="241"/>
      <c r="N218" s="55"/>
      <c r="O218" s="113"/>
      <c r="P218" s="241">
        <v>0.08</v>
      </c>
      <c r="Q218" s="240">
        <v>13.36</v>
      </c>
      <c r="R218" s="245"/>
      <c r="S218" s="55"/>
      <c r="T218" s="113"/>
      <c r="U218" s="241"/>
      <c r="V218" s="240"/>
      <c r="W218" s="241"/>
      <c r="X218" s="24"/>
      <c r="Y218" s="113"/>
      <c r="Z218" s="241"/>
      <c r="AA218" s="240"/>
      <c r="AB218" s="245"/>
      <c r="AC218" s="241"/>
      <c r="AD218" s="113"/>
      <c r="AE218" s="241"/>
      <c r="AF218" s="240"/>
      <c r="AG218" s="245"/>
      <c r="AH218" s="240"/>
      <c r="AI218" s="32"/>
      <c r="AJ218" s="28"/>
      <c r="AK218" s="28"/>
      <c r="AL218" s="28"/>
      <c r="AM218" s="28"/>
      <c r="AN218" s="35"/>
      <c r="AO218" s="28"/>
      <c r="AP218" s="28"/>
      <c r="AQ218" s="28"/>
      <c r="AR218" s="28"/>
    </row>
    <row r="219" spans="1:44" s="25" customFormat="1" x14ac:dyDescent="0.25">
      <c r="A219" s="261">
        <v>54</v>
      </c>
      <c r="B219" s="260">
        <v>0.14000000000000001</v>
      </c>
      <c r="C219" s="259">
        <v>13.56</v>
      </c>
      <c r="D219" s="240"/>
      <c r="E219" s="24"/>
      <c r="F219" s="113"/>
      <c r="G219" s="260">
        <v>0.27</v>
      </c>
      <c r="H219" s="259">
        <v>13.55</v>
      </c>
      <c r="I219" s="240"/>
      <c r="J219" s="113"/>
      <c r="K219" s="241">
        <v>0.12</v>
      </c>
      <c r="L219" s="240">
        <v>14.14</v>
      </c>
      <c r="M219" s="241"/>
      <c r="N219" s="24"/>
      <c r="O219" s="113"/>
      <c r="P219" s="241">
        <v>0.28999999999999998</v>
      </c>
      <c r="Q219" s="240">
        <v>13.62</v>
      </c>
      <c r="R219" s="245"/>
      <c r="S219" s="24"/>
      <c r="T219" s="113"/>
      <c r="U219" s="241"/>
      <c r="V219" s="240"/>
      <c r="W219" s="241"/>
      <c r="X219" s="24"/>
      <c r="Y219" s="113"/>
      <c r="Z219" s="241"/>
      <c r="AA219" s="240"/>
      <c r="AB219" s="245"/>
      <c r="AC219" s="19"/>
      <c r="AD219" s="113"/>
      <c r="AE219" s="241"/>
      <c r="AF219" s="240"/>
      <c r="AG219" s="245"/>
      <c r="AH219" s="240"/>
      <c r="AI219" s="32"/>
      <c r="AJ219" s="28"/>
      <c r="AK219" s="28"/>
      <c r="AL219" s="28"/>
      <c r="AM219" s="28"/>
      <c r="AN219" s="35"/>
      <c r="AO219" s="28"/>
      <c r="AP219" s="28"/>
      <c r="AQ219" s="28"/>
      <c r="AR219" s="28"/>
    </row>
    <row r="220" spans="1:44" s="25" customFormat="1" x14ac:dyDescent="0.25">
      <c r="A220" s="261"/>
      <c r="B220" s="260"/>
      <c r="C220" s="259"/>
      <c r="D220" s="240"/>
      <c r="E220" s="24"/>
      <c r="F220" s="113"/>
      <c r="G220" s="260"/>
      <c r="H220" s="259"/>
      <c r="I220" s="240"/>
      <c r="J220" s="113"/>
      <c r="K220" s="241">
        <v>0.06</v>
      </c>
      <c r="L220" s="240">
        <v>14.19</v>
      </c>
      <c r="M220" s="241"/>
      <c r="N220" s="24"/>
      <c r="O220" s="113"/>
      <c r="P220" s="241">
        <v>0.19</v>
      </c>
      <c r="Q220" s="240">
        <v>13.71</v>
      </c>
      <c r="R220" s="245"/>
      <c r="S220" s="24"/>
      <c r="T220" s="113"/>
      <c r="U220" s="241"/>
      <c r="V220" s="240"/>
      <c r="W220" s="241"/>
      <c r="X220" s="24"/>
      <c r="Y220" s="113"/>
      <c r="Z220" s="241"/>
      <c r="AA220" s="240"/>
      <c r="AB220" s="245"/>
      <c r="AC220" s="19"/>
      <c r="AD220" s="113"/>
      <c r="AE220" s="241"/>
      <c r="AF220" s="240"/>
      <c r="AG220" s="245"/>
      <c r="AH220" s="240"/>
      <c r="AI220" s="32"/>
      <c r="AJ220" s="28"/>
      <c r="AK220" s="28"/>
      <c r="AL220" s="28"/>
      <c r="AM220" s="28"/>
      <c r="AN220" s="35"/>
      <c r="AO220" s="28"/>
      <c r="AP220" s="28"/>
      <c r="AQ220" s="28"/>
      <c r="AR220" s="28"/>
    </row>
    <row r="221" spans="1:44" s="25" customFormat="1" x14ac:dyDescent="0.25">
      <c r="A221" s="242">
        <v>55</v>
      </c>
      <c r="B221" s="241">
        <v>0.16</v>
      </c>
      <c r="C221" s="240">
        <v>13.71</v>
      </c>
      <c r="D221" s="240"/>
      <c r="E221" s="240"/>
      <c r="F221" s="113"/>
      <c r="G221" s="241">
        <v>0.48</v>
      </c>
      <c r="H221" s="240">
        <v>13.9</v>
      </c>
      <c r="I221" s="240"/>
      <c r="J221" s="113"/>
      <c r="K221" s="241">
        <v>0.2</v>
      </c>
      <c r="L221" s="240">
        <v>14.67</v>
      </c>
      <c r="M221" s="241"/>
      <c r="N221" s="24"/>
      <c r="O221" s="113"/>
      <c r="P221" s="241">
        <v>0.33</v>
      </c>
      <c r="Q221" s="240">
        <v>14.74</v>
      </c>
      <c r="R221" s="245"/>
      <c r="S221" s="24"/>
      <c r="T221" s="113"/>
      <c r="U221" s="241"/>
      <c r="V221" s="240"/>
      <c r="W221" s="241"/>
      <c r="X221" s="24"/>
      <c r="Y221" s="113"/>
      <c r="Z221" s="241"/>
      <c r="AA221" s="240"/>
      <c r="AB221" s="245"/>
      <c r="AC221" s="55"/>
      <c r="AD221" s="113"/>
      <c r="AE221" s="241"/>
      <c r="AF221" s="240"/>
      <c r="AG221" s="245"/>
      <c r="AH221" s="240"/>
      <c r="AI221" s="32"/>
      <c r="AJ221" s="28"/>
      <c r="AK221" s="28"/>
      <c r="AL221" s="28"/>
      <c r="AM221" s="28"/>
      <c r="AN221" s="35"/>
      <c r="AO221" s="28"/>
      <c r="AP221" s="28"/>
      <c r="AQ221" s="28"/>
      <c r="AR221" s="28"/>
    </row>
    <row r="222" spans="1:44" x14ac:dyDescent="0.25">
      <c r="A222" s="242">
        <v>56</v>
      </c>
      <c r="B222" s="241">
        <v>0.11</v>
      </c>
      <c r="C222" s="240">
        <v>14.07</v>
      </c>
      <c r="D222" s="240"/>
      <c r="E222" s="240"/>
      <c r="G222" s="241">
        <v>0.52</v>
      </c>
      <c r="H222" s="240">
        <v>13.98</v>
      </c>
      <c r="I222" s="240"/>
      <c r="K222" s="133">
        <v>0.28999999999999998</v>
      </c>
      <c r="L222" s="45">
        <v>14.89</v>
      </c>
      <c r="M222" s="133"/>
      <c r="N222" s="134"/>
      <c r="P222" s="133"/>
      <c r="Q222" s="45"/>
      <c r="R222" s="135"/>
      <c r="S222" s="134"/>
      <c r="U222" s="133"/>
      <c r="V222" s="45"/>
      <c r="W222" s="133"/>
      <c r="X222" s="136"/>
      <c r="Z222" s="133"/>
      <c r="AA222" s="45"/>
      <c r="AB222" s="135"/>
      <c r="AC222" s="55"/>
      <c r="AE222" s="133"/>
      <c r="AF222" s="45"/>
      <c r="AG222" s="245"/>
      <c r="AH222" s="240"/>
    </row>
    <row r="223" spans="1:44" x14ac:dyDescent="0.25">
      <c r="A223" s="137"/>
      <c r="H223" s="137"/>
      <c r="I223" s="137"/>
      <c r="L223" s="137"/>
      <c r="M223" s="137"/>
      <c r="N223" s="137"/>
      <c r="Q223" s="137"/>
      <c r="R223" s="137"/>
      <c r="S223" s="137"/>
      <c r="V223" s="137"/>
      <c r="W223" s="137"/>
      <c r="X223" s="137"/>
      <c r="AA223" s="28"/>
      <c r="AB223" s="28"/>
      <c r="AC223" s="28"/>
      <c r="AF223" s="28"/>
      <c r="AG223" s="35"/>
      <c r="AH223" s="28"/>
    </row>
    <row r="224" spans="1:44" s="25" customFormat="1" x14ac:dyDescent="0.25">
      <c r="A224" s="189" t="s">
        <v>224</v>
      </c>
      <c r="B224" s="190">
        <f>SUM(B3:B222)</f>
        <v>99.999999999999986</v>
      </c>
      <c r="C224" s="190"/>
      <c r="D224" s="190">
        <f>SUM(D3:D223)</f>
        <v>96.991666666666617</v>
      </c>
      <c r="E224" s="190"/>
      <c r="F224" s="113"/>
      <c r="G224" s="191">
        <f>SUM(G3:G222)</f>
        <v>99.98</v>
      </c>
      <c r="H224" s="190"/>
      <c r="J224" s="113"/>
      <c r="K224" s="190">
        <f>SUM(K3:K222)</f>
        <v>99.990000000000038</v>
      </c>
      <c r="L224" s="192"/>
      <c r="M224" s="192">
        <f>SUM(M3:M223)</f>
        <v>96.799999999999955</v>
      </c>
      <c r="N224" s="192"/>
      <c r="O224" s="113"/>
      <c r="P224" s="190">
        <f>SUM(P3:P222)</f>
        <v>100.03</v>
      </c>
      <c r="Q224" s="192"/>
      <c r="R224" s="192">
        <f>SUM(R3:R223)</f>
        <v>95.139999999999972</v>
      </c>
      <c r="S224" s="192"/>
      <c r="T224" s="113"/>
      <c r="U224" s="235">
        <f>SUM(U3:U222)</f>
        <v>100.00000000000004</v>
      </c>
      <c r="V224" s="192"/>
      <c r="W224" s="192">
        <f>SUM(W3:W223)</f>
        <v>98.793333333333308</v>
      </c>
      <c r="X224" s="192"/>
      <c r="Y224" s="113"/>
      <c r="Z224" s="190">
        <f>SUM(Z3:Z222)</f>
        <v>99.99</v>
      </c>
      <c r="AA224" s="53"/>
      <c r="AB224" s="53">
        <f>SUM(AB3:AB223)</f>
        <v>95.875000000000028</v>
      </c>
      <c r="AC224" s="53"/>
      <c r="AD224" s="113"/>
      <c r="AE224" s="53">
        <f>SUM(AE3:AE222)</f>
        <v>100.02</v>
      </c>
      <c r="AF224" s="53"/>
      <c r="AG224" s="17">
        <f>SUM(AG3:AG223)</f>
        <v>97.493333333333382</v>
      </c>
      <c r="AH224" s="53"/>
      <c r="AI224" s="32"/>
      <c r="AJ224" s="53"/>
      <c r="AK224" s="53"/>
      <c r="AL224" s="53"/>
      <c r="AM224" s="53"/>
      <c r="AN224" s="17"/>
      <c r="AO224" s="53"/>
      <c r="AP224" s="53"/>
      <c r="AQ224" s="53"/>
      <c r="AR224" s="53"/>
    </row>
    <row r="225" spans="1:34" x14ac:dyDescent="0.25">
      <c r="A225" s="137"/>
      <c r="B225" s="137"/>
      <c r="G225" s="137"/>
      <c r="H225" s="137"/>
      <c r="I225" s="137"/>
      <c r="K225" s="193"/>
      <c r="L225" s="193"/>
      <c r="M225" s="193"/>
      <c r="N225" s="193"/>
      <c r="P225" s="193"/>
      <c r="Q225" s="193"/>
      <c r="R225" s="193"/>
      <c r="S225" s="193"/>
      <c r="U225" s="236"/>
      <c r="V225" s="193"/>
      <c r="W225" s="193"/>
      <c r="X225" s="193"/>
      <c r="Z225" s="137"/>
      <c r="AA225" s="28"/>
      <c r="AB225" s="28"/>
      <c r="AC225" s="28"/>
      <c r="AE225" s="28"/>
      <c r="AF225" s="28"/>
      <c r="AG225" s="35"/>
      <c r="AH225" s="28"/>
    </row>
    <row r="226" spans="1:34" x14ac:dyDescent="0.25">
      <c r="A226" s="121" t="s">
        <v>399</v>
      </c>
      <c r="E226" s="4"/>
      <c r="K226" s="193"/>
      <c r="L226" s="193"/>
      <c r="M226" s="193"/>
      <c r="N226" s="193"/>
      <c r="P226" s="193"/>
      <c r="Q226" s="193"/>
      <c r="R226" s="193"/>
      <c r="S226" s="193"/>
      <c r="U226" s="236"/>
      <c r="V226" s="193"/>
      <c r="W226" s="193"/>
      <c r="X226" s="193"/>
      <c r="Z226" s="28"/>
      <c r="AA226" s="28"/>
      <c r="AB226" s="28"/>
      <c r="AC226" s="28"/>
      <c r="AE226" s="28"/>
      <c r="AF226" s="28"/>
      <c r="AG226" s="35"/>
      <c r="AH226" s="28"/>
    </row>
    <row r="227" spans="1:34" x14ac:dyDescent="0.25">
      <c r="K227" s="193"/>
      <c r="L227" s="193"/>
      <c r="M227" s="193"/>
      <c r="N227" s="193"/>
      <c r="P227" s="193"/>
      <c r="Q227" s="193"/>
      <c r="R227" s="193"/>
      <c r="S227" s="193"/>
      <c r="U227" s="236"/>
      <c r="V227" s="193"/>
      <c r="W227" s="193"/>
      <c r="X227" s="193"/>
      <c r="Z227" s="28"/>
      <c r="AA227" s="28"/>
      <c r="AB227" s="28"/>
      <c r="AC227" s="28"/>
      <c r="AE227" s="194"/>
      <c r="AF227" s="194"/>
      <c r="AG227" s="23"/>
      <c r="AH227" s="194"/>
    </row>
    <row r="228" spans="1:34" x14ac:dyDescent="0.25">
      <c r="B228" s="138"/>
      <c r="C228" s="193"/>
      <c r="D228" s="193"/>
      <c r="G228" s="138"/>
      <c r="H228" s="154"/>
      <c r="I228" s="154"/>
      <c r="K228" s="193"/>
      <c r="L228" s="193"/>
      <c r="M228" s="193"/>
      <c r="N228" s="193"/>
      <c r="P228" s="193"/>
      <c r="Q228" s="193"/>
      <c r="R228" s="193"/>
      <c r="S228" s="193"/>
      <c r="U228" s="236"/>
      <c r="V228" s="193"/>
      <c r="W228" s="193"/>
      <c r="X228" s="193"/>
      <c r="Z228" s="194"/>
      <c r="AA228" s="194"/>
      <c r="AB228" s="194"/>
      <c r="AC228" s="194"/>
      <c r="AE228" s="194"/>
      <c r="AF228" s="194"/>
      <c r="AG228" s="23"/>
      <c r="AH228" s="194"/>
    </row>
    <row r="229" spans="1:34" x14ac:dyDescent="0.25">
      <c r="B229" s="138"/>
      <c r="C229" s="193"/>
      <c r="D229" s="193"/>
      <c r="G229" s="138"/>
      <c r="H229" s="154"/>
      <c r="I229" s="154"/>
      <c r="K229" s="193"/>
      <c r="L229" s="193"/>
      <c r="M229" s="193"/>
      <c r="N229" s="193"/>
      <c r="P229" s="193"/>
      <c r="Q229" s="193"/>
      <c r="R229" s="193"/>
      <c r="S229" s="193"/>
      <c r="U229" s="236"/>
      <c r="V229" s="193"/>
      <c r="W229" s="193"/>
      <c r="X229" s="193"/>
      <c r="Z229" s="194"/>
      <c r="AA229" s="194"/>
      <c r="AB229" s="194"/>
      <c r="AC229" s="194"/>
      <c r="AE229" s="194"/>
      <c r="AF229" s="194"/>
      <c r="AG229" s="23"/>
      <c r="AH229" s="194"/>
    </row>
    <row r="230" spans="1:34" x14ac:dyDescent="0.25">
      <c r="B230" s="195"/>
      <c r="C230" s="193"/>
      <c r="D230" s="193"/>
      <c r="G230" s="195"/>
      <c r="H230" s="193"/>
      <c r="I230" s="193"/>
      <c r="K230" s="193"/>
      <c r="L230" s="193"/>
      <c r="M230" s="193"/>
      <c r="N230" s="193"/>
      <c r="P230" s="193"/>
      <c r="Q230" s="193"/>
      <c r="R230" s="193"/>
      <c r="S230" s="193"/>
      <c r="U230" s="236"/>
      <c r="V230" s="193"/>
      <c r="W230" s="193"/>
      <c r="X230" s="193"/>
      <c r="Z230" s="194"/>
      <c r="AA230" s="194"/>
      <c r="AB230" s="194"/>
      <c r="AC230" s="194"/>
      <c r="AE230" s="194"/>
      <c r="AF230" s="194"/>
      <c r="AG230" s="23"/>
      <c r="AH230" s="194"/>
    </row>
    <row r="231" spans="1:34" x14ac:dyDescent="0.25">
      <c r="B231" s="195"/>
      <c r="C231" s="193"/>
      <c r="D231" s="193"/>
      <c r="G231" s="195"/>
      <c r="H231" s="193"/>
      <c r="I231" s="193"/>
      <c r="K231" s="193"/>
      <c r="L231" s="193"/>
      <c r="M231" s="193"/>
      <c r="N231" s="193"/>
      <c r="P231" s="193"/>
      <c r="Q231" s="193"/>
      <c r="R231" s="193"/>
      <c r="S231" s="193"/>
      <c r="U231" s="236"/>
      <c r="V231" s="193"/>
      <c r="W231" s="193"/>
      <c r="X231" s="193"/>
      <c r="Z231" s="194"/>
      <c r="AA231" s="194"/>
      <c r="AB231" s="194"/>
      <c r="AC231" s="194"/>
      <c r="AE231" s="194"/>
      <c r="AF231" s="194"/>
      <c r="AG231" s="23"/>
      <c r="AH231" s="194"/>
    </row>
    <row r="232" spans="1:34" x14ac:dyDescent="0.25">
      <c r="B232" s="195"/>
      <c r="C232" s="193"/>
      <c r="D232" s="193"/>
      <c r="G232" s="195"/>
      <c r="H232" s="193"/>
      <c r="I232" s="193"/>
      <c r="K232" s="193"/>
      <c r="L232" s="193"/>
      <c r="M232" s="193"/>
      <c r="N232" s="193"/>
      <c r="P232" s="193"/>
      <c r="Q232" s="193"/>
      <c r="R232" s="193"/>
      <c r="S232" s="193"/>
      <c r="U232" s="236"/>
      <c r="V232" s="193"/>
      <c r="W232" s="193"/>
      <c r="X232" s="193"/>
      <c r="Z232" s="194"/>
      <c r="AA232" s="194"/>
      <c r="AB232" s="194"/>
      <c r="AC232" s="194"/>
      <c r="AE232" s="194"/>
      <c r="AF232" s="194"/>
      <c r="AG232" s="23"/>
      <c r="AH232" s="194"/>
    </row>
    <row r="233" spans="1:34" x14ac:dyDescent="0.25">
      <c r="B233" s="195"/>
      <c r="C233" s="193"/>
      <c r="D233" s="193"/>
      <c r="G233" s="195"/>
      <c r="H233" s="193"/>
      <c r="I233" s="193"/>
      <c r="K233" s="193"/>
      <c r="L233" s="193"/>
      <c r="M233" s="193"/>
      <c r="N233" s="193"/>
      <c r="P233" s="193"/>
      <c r="Q233" s="193"/>
      <c r="R233" s="193"/>
      <c r="S233" s="193"/>
      <c r="U233" s="236"/>
      <c r="V233" s="193"/>
      <c r="W233" s="193"/>
      <c r="X233" s="193"/>
      <c r="Z233" s="194"/>
      <c r="AA233" s="194"/>
      <c r="AB233" s="194"/>
      <c r="AC233" s="194"/>
      <c r="AE233" s="194"/>
      <c r="AF233" s="194"/>
      <c r="AG233" s="23"/>
      <c r="AH233" s="194"/>
    </row>
    <row r="234" spans="1:34" x14ac:dyDescent="0.25">
      <c r="B234" s="195"/>
      <c r="C234" s="193"/>
      <c r="D234" s="193"/>
      <c r="G234" s="195"/>
      <c r="H234" s="193"/>
      <c r="I234" s="193"/>
      <c r="K234" s="193"/>
      <c r="L234" s="193"/>
      <c r="M234" s="193"/>
      <c r="N234" s="193"/>
      <c r="P234" s="193"/>
      <c r="Q234" s="193"/>
      <c r="R234" s="193"/>
      <c r="S234" s="193"/>
      <c r="U234" s="236"/>
      <c r="V234" s="193"/>
      <c r="W234" s="193"/>
      <c r="X234" s="193"/>
      <c r="Z234" s="194"/>
      <c r="AA234" s="194"/>
      <c r="AB234" s="194"/>
      <c r="AC234" s="194"/>
      <c r="AE234" s="194"/>
      <c r="AF234" s="194"/>
      <c r="AG234" s="23"/>
      <c r="AH234" s="194"/>
    </row>
    <row r="235" spans="1:34" x14ac:dyDescent="0.25">
      <c r="B235" s="195"/>
      <c r="C235" s="193"/>
      <c r="D235" s="193"/>
      <c r="G235" s="195"/>
      <c r="H235" s="193"/>
      <c r="I235" s="193"/>
      <c r="K235" s="193"/>
      <c r="L235" s="193"/>
      <c r="M235" s="193"/>
      <c r="N235" s="193"/>
      <c r="P235" s="193"/>
      <c r="Q235" s="193"/>
      <c r="R235" s="193"/>
      <c r="S235" s="193"/>
      <c r="U235" s="236"/>
      <c r="V235" s="193"/>
      <c r="W235" s="193"/>
      <c r="X235" s="193"/>
      <c r="Z235" s="194"/>
      <c r="AA235" s="194"/>
      <c r="AB235" s="194"/>
      <c r="AC235" s="194"/>
      <c r="AE235" s="194"/>
      <c r="AF235" s="194"/>
      <c r="AG235" s="23"/>
      <c r="AH235" s="194"/>
    </row>
    <row r="236" spans="1:34" x14ac:dyDescent="0.25">
      <c r="B236" s="195"/>
      <c r="C236" s="193"/>
      <c r="D236" s="193"/>
      <c r="G236" s="195"/>
      <c r="H236" s="193"/>
      <c r="I236" s="193"/>
      <c r="K236" s="193"/>
      <c r="L236" s="193"/>
      <c r="M236" s="193"/>
      <c r="N236" s="193"/>
      <c r="P236" s="193"/>
      <c r="Q236" s="193"/>
      <c r="R236" s="193"/>
      <c r="S236" s="193"/>
      <c r="U236" s="236"/>
      <c r="V236" s="193"/>
      <c r="W236" s="193"/>
      <c r="X236" s="193"/>
      <c r="Z236" s="194"/>
      <c r="AA236" s="194"/>
      <c r="AB236" s="194"/>
      <c r="AC236" s="194"/>
      <c r="AE236" s="194"/>
      <c r="AF236" s="194"/>
      <c r="AG236" s="23"/>
      <c r="AH236" s="194"/>
    </row>
    <row r="237" spans="1:34" x14ac:dyDescent="0.25">
      <c r="B237" s="195"/>
      <c r="C237" s="193"/>
      <c r="D237" s="193"/>
      <c r="G237" s="195"/>
      <c r="H237" s="193"/>
      <c r="I237" s="193"/>
      <c r="K237" s="193"/>
      <c r="L237" s="193"/>
      <c r="M237" s="193"/>
      <c r="N237" s="193"/>
      <c r="P237" s="193"/>
      <c r="Q237" s="193"/>
      <c r="R237" s="193"/>
      <c r="S237" s="193"/>
      <c r="U237" s="236"/>
      <c r="V237" s="193"/>
      <c r="W237" s="193"/>
      <c r="X237" s="193"/>
      <c r="Z237" s="194"/>
      <c r="AA237" s="194"/>
      <c r="AB237" s="194"/>
      <c r="AC237" s="194"/>
      <c r="AE237" s="194"/>
      <c r="AF237" s="194"/>
      <c r="AG237" s="23"/>
      <c r="AH237" s="194"/>
    </row>
    <row r="238" spans="1:34" x14ac:dyDescent="0.25">
      <c r="B238" s="195"/>
      <c r="C238" s="193"/>
      <c r="D238" s="193"/>
      <c r="E238" s="33"/>
      <c r="G238" s="194"/>
      <c r="H238" s="193"/>
      <c r="I238" s="193"/>
      <c r="K238" s="193"/>
      <c r="L238" s="193"/>
      <c r="M238" s="193"/>
      <c r="N238" s="193"/>
      <c r="P238" s="193"/>
      <c r="Q238" s="193"/>
      <c r="R238" s="193"/>
      <c r="S238" s="193"/>
      <c r="U238" s="236"/>
      <c r="V238" s="193"/>
      <c r="W238" s="193"/>
      <c r="X238" s="193"/>
      <c r="Z238" s="194"/>
      <c r="AA238" s="194"/>
      <c r="AB238" s="194"/>
      <c r="AC238" s="194"/>
      <c r="AE238" s="194"/>
      <c r="AF238" s="194"/>
      <c r="AG238" s="23"/>
      <c r="AH238" s="194"/>
    </row>
    <row r="239" spans="1:34" x14ac:dyDescent="0.25">
      <c r="B239" s="195"/>
      <c r="C239" s="193"/>
      <c r="D239" s="193"/>
      <c r="E239" s="33"/>
      <c r="G239" s="194"/>
      <c r="H239" s="193"/>
      <c r="I239" s="193"/>
      <c r="K239" s="193"/>
      <c r="L239" s="193"/>
      <c r="M239" s="193"/>
      <c r="N239" s="193"/>
      <c r="P239" s="193"/>
      <c r="Q239" s="193"/>
      <c r="R239" s="193"/>
      <c r="S239" s="193"/>
      <c r="U239" s="236"/>
      <c r="V239" s="193"/>
      <c r="W239" s="193"/>
      <c r="X239" s="193"/>
      <c r="Z239" s="194"/>
      <c r="AA239" s="194"/>
      <c r="AB239" s="194"/>
      <c r="AC239" s="194"/>
      <c r="AE239" s="194"/>
      <c r="AF239" s="194"/>
      <c r="AG239" s="23"/>
      <c r="AH239" s="194"/>
    </row>
    <row r="240" spans="1:34" x14ac:dyDescent="0.25">
      <c r="E240" s="33"/>
      <c r="G240" s="28"/>
      <c r="K240" s="193"/>
      <c r="L240" s="193"/>
      <c r="M240" s="193"/>
      <c r="N240" s="193"/>
      <c r="P240" s="193"/>
      <c r="Q240" s="193"/>
      <c r="R240" s="193"/>
      <c r="S240" s="193"/>
      <c r="U240" s="236"/>
      <c r="V240" s="193"/>
      <c r="W240" s="193"/>
      <c r="X240" s="193"/>
      <c r="Z240" s="194"/>
      <c r="AA240" s="194"/>
      <c r="AB240" s="194"/>
      <c r="AC240" s="194"/>
      <c r="AE240" s="194"/>
      <c r="AF240" s="194"/>
      <c r="AG240" s="23"/>
      <c r="AH240" s="194"/>
    </row>
    <row r="241" spans="5:34" x14ac:dyDescent="0.25">
      <c r="E241" s="33"/>
      <c r="G241" s="28"/>
      <c r="K241" s="193"/>
      <c r="L241" s="193"/>
      <c r="M241" s="193"/>
      <c r="N241" s="193"/>
      <c r="P241" s="193"/>
      <c r="Q241" s="193"/>
      <c r="R241" s="193"/>
      <c r="S241" s="193"/>
      <c r="U241" s="236"/>
      <c r="V241" s="193"/>
      <c r="W241" s="193"/>
      <c r="X241" s="193"/>
      <c r="Z241" s="194"/>
      <c r="AA241" s="194"/>
      <c r="AB241" s="194"/>
      <c r="AC241" s="194"/>
      <c r="AE241" s="194"/>
      <c r="AF241" s="194"/>
      <c r="AG241" s="23"/>
      <c r="AH241" s="194"/>
    </row>
    <row r="242" spans="5:34" x14ac:dyDescent="0.25">
      <c r="E242" s="33"/>
      <c r="G242" s="28"/>
      <c r="K242" s="193"/>
      <c r="L242" s="193"/>
      <c r="M242" s="193"/>
      <c r="N242" s="193"/>
      <c r="P242" s="193"/>
      <c r="Q242" s="193"/>
      <c r="R242" s="193"/>
      <c r="S242" s="193"/>
      <c r="U242" s="236"/>
      <c r="V242" s="193"/>
      <c r="W242" s="193"/>
      <c r="X242" s="193"/>
      <c r="Z242" s="194"/>
      <c r="AA242" s="194"/>
      <c r="AB242" s="194"/>
      <c r="AC242" s="194"/>
      <c r="AE242" s="194"/>
      <c r="AF242" s="194"/>
      <c r="AG242" s="23"/>
      <c r="AH242" s="194"/>
    </row>
    <row r="243" spans="5:34" x14ac:dyDescent="0.25">
      <c r="E243" s="33"/>
      <c r="G243" s="28"/>
      <c r="K243" s="193"/>
      <c r="L243" s="193"/>
      <c r="M243" s="193"/>
      <c r="N243" s="193"/>
      <c r="P243" s="193"/>
      <c r="Q243" s="193"/>
      <c r="R243" s="193"/>
      <c r="S243" s="193"/>
      <c r="U243" s="236"/>
      <c r="V243" s="193"/>
      <c r="W243" s="193"/>
      <c r="X243" s="193"/>
      <c r="Z243" s="194"/>
      <c r="AA243" s="194"/>
      <c r="AB243" s="194"/>
      <c r="AC243" s="194"/>
      <c r="AE243" s="194"/>
      <c r="AF243" s="194"/>
      <c r="AG243" s="23"/>
      <c r="AH243" s="194"/>
    </row>
    <row r="244" spans="5:34" x14ac:dyDescent="0.25">
      <c r="E244" s="33"/>
      <c r="G244" s="28"/>
      <c r="K244" s="193"/>
      <c r="L244" s="193"/>
      <c r="M244" s="193"/>
      <c r="N244" s="193"/>
      <c r="P244" s="193"/>
      <c r="Q244" s="193"/>
      <c r="R244" s="193"/>
      <c r="S244" s="193"/>
      <c r="U244" s="236"/>
      <c r="V244" s="193"/>
      <c r="W244" s="193"/>
      <c r="X244" s="193"/>
      <c r="Z244" s="194"/>
      <c r="AA244" s="194"/>
      <c r="AB244" s="194"/>
      <c r="AC244" s="194"/>
      <c r="AE244" s="194"/>
      <c r="AF244" s="194"/>
      <c r="AG244" s="23"/>
      <c r="AH244" s="194"/>
    </row>
    <row r="245" spans="5:34" x14ac:dyDescent="0.25">
      <c r="E245" s="33"/>
      <c r="G245" s="28"/>
      <c r="K245" s="193"/>
      <c r="L245" s="193"/>
      <c r="M245" s="193"/>
      <c r="N245" s="193"/>
      <c r="P245" s="193"/>
      <c r="Q245" s="193"/>
      <c r="R245" s="193"/>
      <c r="S245" s="193"/>
      <c r="U245" s="236"/>
      <c r="V245" s="193"/>
      <c r="W245" s="193"/>
      <c r="X245" s="193"/>
      <c r="Z245" s="194"/>
      <c r="AA245" s="194"/>
      <c r="AB245" s="194"/>
      <c r="AC245" s="194"/>
      <c r="AE245" s="194"/>
      <c r="AF245" s="194"/>
      <c r="AG245" s="23"/>
      <c r="AH245" s="194"/>
    </row>
    <row r="246" spans="5:34" x14ac:dyDescent="0.25">
      <c r="E246" s="4"/>
      <c r="G246" s="28"/>
      <c r="K246" s="193"/>
      <c r="L246" s="193"/>
      <c r="M246" s="193"/>
      <c r="N246" s="193"/>
      <c r="P246" s="193"/>
      <c r="Q246" s="193"/>
      <c r="R246" s="193"/>
      <c r="S246" s="193"/>
      <c r="U246" s="236"/>
      <c r="V246" s="193"/>
      <c r="W246" s="193"/>
      <c r="X246" s="193"/>
      <c r="Z246" s="194"/>
      <c r="AA246" s="194"/>
      <c r="AB246" s="194"/>
      <c r="AC246" s="194"/>
      <c r="AE246" s="28"/>
      <c r="AF246" s="48"/>
      <c r="AG246" s="151"/>
    </row>
    <row r="247" spans="5:34" x14ac:dyDescent="0.25">
      <c r="E247" s="4"/>
      <c r="G247" s="28"/>
      <c r="K247" s="193"/>
      <c r="L247" s="193"/>
      <c r="M247" s="193"/>
      <c r="N247" s="193"/>
      <c r="P247" s="193"/>
      <c r="Q247" s="193"/>
      <c r="R247" s="193"/>
      <c r="S247" s="193"/>
      <c r="U247" s="236"/>
      <c r="V247" s="193"/>
      <c r="W247" s="193"/>
      <c r="X247" s="193"/>
      <c r="Z247" s="194"/>
      <c r="AA247" s="194"/>
      <c r="AB247" s="194"/>
      <c r="AC247" s="194"/>
      <c r="AE247" s="28"/>
      <c r="AF247" s="48"/>
      <c r="AG247" s="151"/>
    </row>
    <row r="248" spans="5:34" x14ac:dyDescent="0.25">
      <c r="K248" s="193"/>
      <c r="L248" s="193"/>
      <c r="M248" s="193"/>
      <c r="N248" s="193"/>
      <c r="P248" s="193"/>
      <c r="Q248" s="193"/>
      <c r="R248" s="193"/>
      <c r="S248" s="193"/>
      <c r="U248" s="236"/>
      <c r="V248" s="193"/>
      <c r="W248" s="193"/>
      <c r="X248" s="193"/>
      <c r="Z248" s="194"/>
      <c r="AA248" s="194"/>
      <c r="AB248" s="194"/>
      <c r="AC248" s="194"/>
      <c r="AE248" s="28"/>
      <c r="AF248" s="48"/>
      <c r="AG248" s="151"/>
    </row>
    <row r="249" spans="5:34" x14ac:dyDescent="0.25">
      <c r="S249" s="4"/>
      <c r="V249" s="48"/>
      <c r="W249" s="28"/>
      <c r="X249" s="29"/>
      <c r="Z249" s="194"/>
      <c r="AA249" s="194"/>
      <c r="AB249" s="194"/>
      <c r="AC249" s="194"/>
      <c r="AE249" s="28"/>
    </row>
    <row r="250" spans="5:34" x14ac:dyDescent="0.25">
      <c r="S250" s="4"/>
      <c r="V250" s="48"/>
      <c r="W250" s="28"/>
      <c r="X250" s="29"/>
      <c r="Z250" s="28"/>
      <c r="AA250" s="48"/>
      <c r="AB250" s="197"/>
      <c r="AC250" s="4"/>
      <c r="AE250" s="28"/>
    </row>
    <row r="251" spans="5:34" x14ac:dyDescent="0.25">
      <c r="S251" s="4"/>
      <c r="V251" s="48"/>
      <c r="W251" s="28"/>
      <c r="X251" s="29"/>
      <c r="Z251" s="28"/>
      <c r="AA251" s="48"/>
      <c r="AB251" s="197"/>
      <c r="AC251" s="4"/>
      <c r="AE251" s="28"/>
    </row>
    <row r="252" spans="5:34" x14ac:dyDescent="0.25">
      <c r="S252" s="4"/>
      <c r="V252" s="48"/>
      <c r="W252" s="28"/>
      <c r="X252" s="29"/>
      <c r="Z252" s="28"/>
      <c r="AA252" s="48"/>
      <c r="AB252" s="197"/>
      <c r="AC252" s="4"/>
      <c r="AE252" s="28"/>
    </row>
    <row r="253" spans="5:34" x14ac:dyDescent="0.25">
      <c r="S253" s="84"/>
      <c r="V253" s="48"/>
      <c r="W253" s="28"/>
      <c r="X253" s="29"/>
      <c r="Z253" s="28"/>
      <c r="AA253" s="48"/>
      <c r="AB253" s="197"/>
      <c r="AC253" s="4"/>
      <c r="AE253" s="28"/>
    </row>
    <row r="254" spans="5:34" x14ac:dyDescent="0.25">
      <c r="S254" s="48"/>
      <c r="V254" s="48"/>
      <c r="W254" s="28"/>
      <c r="X254" s="29"/>
      <c r="Z254" s="28"/>
      <c r="AA254" s="48"/>
      <c r="AB254" s="197"/>
      <c r="AC254" s="4"/>
      <c r="AE254" s="28"/>
    </row>
    <row r="255" spans="5:34" x14ac:dyDescent="0.25">
      <c r="S255" s="48"/>
      <c r="V255" s="48"/>
      <c r="W255" s="28"/>
      <c r="X255" s="29"/>
      <c r="Z255" s="28"/>
      <c r="AA255" s="48"/>
      <c r="AB255" s="197"/>
      <c r="AC255" s="4"/>
      <c r="AE255" s="28"/>
    </row>
    <row r="256" spans="5:34" x14ac:dyDescent="0.25">
      <c r="S256" s="48"/>
      <c r="V256" s="48"/>
      <c r="W256" s="28"/>
      <c r="X256" s="29"/>
      <c r="Z256" s="28"/>
      <c r="AA256" s="48"/>
      <c r="AB256" s="197"/>
      <c r="AC256" s="4"/>
      <c r="AE256" s="28"/>
    </row>
    <row r="257" spans="19:31" x14ac:dyDescent="0.25">
      <c r="S257" s="48"/>
      <c r="V257" s="48"/>
      <c r="W257" s="28"/>
      <c r="X257" s="29"/>
      <c r="Z257" s="28"/>
      <c r="AA257" s="48"/>
      <c r="AB257" s="197"/>
      <c r="AC257" s="198"/>
      <c r="AE257" s="28"/>
    </row>
    <row r="258" spans="19:31" x14ac:dyDescent="0.25">
      <c r="S258" s="48"/>
      <c r="V258" s="48"/>
      <c r="W258" s="28"/>
      <c r="X258" s="29"/>
      <c r="Z258" s="28"/>
      <c r="AA258" s="48"/>
      <c r="AB258" s="197"/>
      <c r="AC258" s="198"/>
      <c r="AE258" s="28"/>
    </row>
    <row r="259" spans="19:31" x14ac:dyDescent="0.25">
      <c r="S259" s="48"/>
      <c r="V259" s="48"/>
      <c r="W259" s="28"/>
      <c r="X259" s="29"/>
      <c r="Z259" s="28"/>
      <c r="AA259" s="48"/>
      <c r="AB259" s="197"/>
      <c r="AC259" s="48"/>
      <c r="AE259" s="28"/>
    </row>
    <row r="260" spans="19:31" x14ac:dyDescent="0.25">
      <c r="S260" s="48"/>
      <c r="V260" s="48"/>
      <c r="W260" s="28"/>
      <c r="X260" s="29"/>
      <c r="Z260" s="28"/>
      <c r="AA260" s="48"/>
      <c r="AB260" s="197"/>
      <c r="AC260" s="48"/>
      <c r="AE260" s="28"/>
    </row>
    <row r="261" spans="19:31" x14ac:dyDescent="0.25">
      <c r="S261" s="48"/>
      <c r="V261" s="48"/>
      <c r="W261" s="28"/>
      <c r="X261" s="29"/>
      <c r="Z261" s="28"/>
      <c r="AA261" s="48"/>
      <c r="AB261" s="197"/>
      <c r="AC261" s="48"/>
      <c r="AE261" s="28"/>
    </row>
    <row r="262" spans="19:31" x14ac:dyDescent="0.25">
      <c r="S262" s="48"/>
      <c r="V262" s="48"/>
      <c r="W262" s="28"/>
      <c r="X262" s="29"/>
      <c r="Z262" s="28"/>
      <c r="AA262" s="48"/>
      <c r="AB262" s="197"/>
      <c r="AC262" s="48"/>
      <c r="AE262" s="28"/>
    </row>
    <row r="263" spans="19:31" x14ac:dyDescent="0.25">
      <c r="S263" s="48"/>
      <c r="V263" s="48"/>
      <c r="W263" s="28"/>
      <c r="X263" s="29"/>
      <c r="Z263" s="28"/>
      <c r="AA263" s="48"/>
      <c r="AB263" s="197"/>
      <c r="AC263" s="48"/>
      <c r="AE263" s="28"/>
    </row>
    <row r="264" spans="19:31" x14ac:dyDescent="0.25">
      <c r="S264" s="48"/>
      <c r="V264" s="48"/>
      <c r="W264" s="28"/>
      <c r="X264" s="48"/>
      <c r="Z264" s="28"/>
      <c r="AA264" s="48"/>
      <c r="AB264" s="197"/>
      <c r="AC264" s="48"/>
      <c r="AE264" s="28"/>
    </row>
    <row r="265" spans="19:31" x14ac:dyDescent="0.25">
      <c r="S265" s="48"/>
      <c r="V265" s="48"/>
      <c r="W265" s="28"/>
      <c r="X265" s="48"/>
      <c r="Z265" s="28"/>
      <c r="AA265" s="48"/>
      <c r="AB265" s="197"/>
      <c r="AC265" s="48"/>
      <c r="AE265" s="28"/>
    </row>
    <row r="266" spans="19:31" x14ac:dyDescent="0.25">
      <c r="S266" s="48"/>
      <c r="V266" s="48"/>
      <c r="W266" s="28"/>
      <c r="X266" s="48"/>
      <c r="Z266" s="28"/>
      <c r="AA266" s="48"/>
      <c r="AB266" s="197"/>
      <c r="AC266" s="48"/>
      <c r="AE266" s="28"/>
    </row>
    <row r="267" spans="19:31" x14ac:dyDescent="0.25">
      <c r="S267" s="48"/>
      <c r="V267" s="48"/>
      <c r="W267" s="28"/>
      <c r="X267" s="48"/>
      <c r="Z267" s="28"/>
      <c r="AA267" s="48"/>
      <c r="AB267" s="197"/>
      <c r="AC267" s="48"/>
      <c r="AE267" s="28"/>
    </row>
    <row r="268" spans="19:31" x14ac:dyDescent="0.25">
      <c r="S268" s="48"/>
      <c r="V268" s="48"/>
      <c r="W268" s="28"/>
      <c r="X268" s="48"/>
      <c r="Z268" s="28"/>
      <c r="AA268" s="48"/>
      <c r="AB268" s="197"/>
      <c r="AC268" s="48"/>
      <c r="AE268" s="28"/>
    </row>
    <row r="269" spans="19:31" x14ac:dyDescent="0.25">
      <c r="S269" s="48"/>
      <c r="V269" s="48"/>
      <c r="W269" s="28"/>
      <c r="X269" s="48"/>
      <c r="Z269" s="28"/>
      <c r="AA269" s="48"/>
      <c r="AB269" s="197"/>
      <c r="AC269" s="48"/>
      <c r="AE269" s="28"/>
    </row>
    <row r="270" spans="19:31" x14ac:dyDescent="0.25">
      <c r="S270" s="48"/>
      <c r="V270" s="48"/>
      <c r="W270" s="28"/>
      <c r="X270" s="48"/>
      <c r="Z270" s="28"/>
      <c r="AA270" s="48"/>
      <c r="AB270" s="197"/>
      <c r="AC270" s="48"/>
      <c r="AE270" s="28"/>
    </row>
    <row r="271" spans="19:31" x14ac:dyDescent="0.25">
      <c r="S271" s="48"/>
      <c r="V271" s="48"/>
      <c r="W271" s="28"/>
      <c r="X271" s="48"/>
      <c r="Z271" s="28"/>
      <c r="AA271" s="48"/>
      <c r="AB271" s="197"/>
      <c r="AC271" s="48"/>
      <c r="AE271" s="28"/>
    </row>
    <row r="272" spans="19:31" x14ac:dyDescent="0.25">
      <c r="S272" s="48"/>
      <c r="V272" s="48"/>
      <c r="W272" s="28"/>
      <c r="X272" s="48"/>
      <c r="Z272" s="28"/>
      <c r="AA272" s="48"/>
      <c r="AB272" s="197"/>
      <c r="AC272" s="48"/>
      <c r="AE272" s="28"/>
    </row>
    <row r="273" spans="19:31" x14ac:dyDescent="0.25">
      <c r="S273" s="48"/>
      <c r="V273" s="48"/>
      <c r="W273" s="28"/>
      <c r="X273" s="48"/>
      <c r="Z273" s="28"/>
      <c r="AA273" s="48"/>
      <c r="AB273" s="197"/>
      <c r="AC273" s="48"/>
      <c r="AE273" s="28"/>
    </row>
    <row r="274" spans="19:31" x14ac:dyDescent="0.25">
      <c r="S274" s="48"/>
      <c r="V274" s="48"/>
      <c r="W274" s="28"/>
      <c r="X274" s="48"/>
      <c r="Z274" s="28"/>
      <c r="AA274" s="48"/>
      <c r="AB274" s="197"/>
      <c r="AC274" s="48"/>
      <c r="AE274" s="28"/>
    </row>
    <row r="275" spans="19:31" x14ac:dyDescent="0.25">
      <c r="S275" s="48"/>
      <c r="V275" s="48"/>
      <c r="W275" s="28"/>
      <c r="X275" s="48"/>
      <c r="Z275" s="28"/>
      <c r="AA275" s="48"/>
      <c r="AB275" s="197"/>
      <c r="AC275" s="48"/>
      <c r="AE275" s="28"/>
    </row>
    <row r="276" spans="19:31" x14ac:dyDescent="0.25">
      <c r="S276" s="48"/>
      <c r="V276" s="48"/>
      <c r="W276" s="28"/>
      <c r="X276" s="48"/>
      <c r="Z276" s="28"/>
      <c r="AA276" s="48"/>
      <c r="AB276" s="197"/>
      <c r="AC276" s="48"/>
      <c r="AE276" s="28"/>
    </row>
    <row r="277" spans="19:31" x14ac:dyDescent="0.25">
      <c r="S277" s="48"/>
      <c r="V277" s="48"/>
      <c r="W277" s="28"/>
      <c r="X277" s="48"/>
      <c r="Z277" s="28"/>
      <c r="AA277" s="48"/>
      <c r="AB277" s="197"/>
      <c r="AC277" s="48"/>
      <c r="AE277" s="28"/>
    </row>
    <row r="278" spans="19:31" x14ac:dyDescent="0.25">
      <c r="S278" s="48"/>
      <c r="V278" s="48"/>
      <c r="W278" s="28"/>
      <c r="X278" s="48"/>
      <c r="Z278" s="28"/>
      <c r="AA278" s="48"/>
      <c r="AB278" s="197"/>
      <c r="AC278" s="48"/>
      <c r="AE278" s="28"/>
    </row>
    <row r="279" spans="19:31" x14ac:dyDescent="0.25">
      <c r="S279" s="48"/>
      <c r="V279" s="48"/>
      <c r="W279" s="28"/>
      <c r="X279" s="48"/>
      <c r="Z279" s="28"/>
      <c r="AA279" s="48"/>
      <c r="AB279" s="197"/>
      <c r="AC279" s="48"/>
      <c r="AE279" s="28"/>
    </row>
    <row r="280" spans="19:31" x14ac:dyDescent="0.25">
      <c r="S280" s="48"/>
      <c r="V280" s="48"/>
      <c r="W280" s="28"/>
      <c r="X280" s="48"/>
      <c r="Z280" s="28"/>
      <c r="AA280" s="48"/>
      <c r="AB280" s="197"/>
      <c r="AC280" s="48"/>
      <c r="AE280" s="28"/>
    </row>
    <row r="281" spans="19:31" x14ac:dyDescent="0.25">
      <c r="S281" s="48"/>
      <c r="V281" s="48"/>
      <c r="W281" s="28"/>
      <c r="X281" s="48"/>
      <c r="Z281" s="28"/>
      <c r="AA281" s="48"/>
      <c r="AB281" s="197"/>
      <c r="AC281" s="48"/>
      <c r="AE281" s="28"/>
    </row>
    <row r="282" spans="19:31" x14ac:dyDescent="0.25">
      <c r="S282" s="48"/>
      <c r="V282" s="48"/>
      <c r="W282" s="28"/>
      <c r="X282" s="48"/>
      <c r="Z282" s="28"/>
      <c r="AA282" s="48"/>
      <c r="AB282" s="197"/>
      <c r="AC282" s="48"/>
      <c r="AE282" s="28"/>
    </row>
    <row r="283" spans="19:31" x14ac:dyDescent="0.25">
      <c r="S283" s="48"/>
      <c r="V283" s="48"/>
      <c r="W283" s="28"/>
      <c r="X283" s="48"/>
      <c r="Z283" s="28"/>
      <c r="AA283" s="48"/>
      <c r="AB283" s="197"/>
      <c r="AC283" s="48"/>
      <c r="AE283" s="28"/>
    </row>
    <row r="284" spans="19:31" x14ac:dyDescent="0.25">
      <c r="S284" s="48"/>
      <c r="V284" s="48"/>
      <c r="W284" s="28"/>
      <c r="X284" s="48"/>
      <c r="Z284" s="28"/>
      <c r="AA284" s="48"/>
      <c r="AB284" s="197"/>
      <c r="AC284" s="48"/>
      <c r="AE284" s="28"/>
    </row>
    <row r="285" spans="19:31" x14ac:dyDescent="0.25">
      <c r="S285" s="48"/>
      <c r="V285" s="48"/>
      <c r="W285" s="28"/>
      <c r="X285" s="48"/>
      <c r="Z285" s="28"/>
      <c r="AA285" s="48"/>
      <c r="AB285" s="197"/>
      <c r="AC285" s="48"/>
      <c r="AE285" s="28"/>
    </row>
    <row r="286" spans="19:31" x14ac:dyDescent="0.25">
      <c r="S286" s="48"/>
      <c r="V286" s="48"/>
      <c r="W286" s="28"/>
      <c r="X286" s="48"/>
      <c r="Z286" s="28"/>
      <c r="AA286" s="48"/>
      <c r="AB286" s="197"/>
      <c r="AC286" s="48"/>
      <c r="AE286" s="28"/>
    </row>
    <row r="287" spans="19:31" x14ac:dyDescent="0.25">
      <c r="S287" s="48"/>
      <c r="V287" s="48"/>
      <c r="W287" s="28"/>
      <c r="X287" s="48"/>
      <c r="Z287" s="28"/>
      <c r="AA287" s="48"/>
      <c r="AB287" s="197"/>
      <c r="AC287" s="48"/>
      <c r="AE287" s="28"/>
    </row>
    <row r="288" spans="19:31" x14ac:dyDescent="0.25">
      <c r="S288" s="48"/>
      <c r="V288" s="48"/>
      <c r="W288" s="28"/>
      <c r="X288" s="48"/>
      <c r="Z288" s="28"/>
      <c r="AA288" s="48"/>
      <c r="AB288" s="197"/>
      <c r="AC288" s="48"/>
      <c r="AE288" s="28"/>
    </row>
    <row r="289" spans="19:31" x14ac:dyDescent="0.25">
      <c r="S289" s="48"/>
      <c r="V289" s="48"/>
      <c r="W289" s="28"/>
      <c r="X289" s="48"/>
      <c r="Z289" s="28"/>
      <c r="AA289" s="48"/>
      <c r="AB289" s="197"/>
      <c r="AC289" s="48"/>
      <c r="AE289" s="28"/>
    </row>
    <row r="290" spans="19:31" x14ac:dyDescent="0.25">
      <c r="S290" s="48"/>
      <c r="V290" s="48"/>
      <c r="W290" s="28"/>
      <c r="X290" s="48"/>
      <c r="Z290" s="28"/>
      <c r="AA290" s="48"/>
      <c r="AB290" s="197"/>
      <c r="AC290" s="48"/>
      <c r="AE290" s="28"/>
    </row>
    <row r="291" spans="19:31" x14ac:dyDescent="0.25">
      <c r="S291" s="48"/>
      <c r="V291" s="48"/>
      <c r="W291" s="28"/>
      <c r="X291" s="48"/>
      <c r="Z291" s="28"/>
      <c r="AA291" s="48"/>
      <c r="AB291" s="197"/>
      <c r="AC291" s="48"/>
      <c r="AE291" s="28"/>
    </row>
    <row r="292" spans="19:31" x14ac:dyDescent="0.25">
      <c r="S292" s="48"/>
      <c r="V292" s="48"/>
      <c r="W292" s="28"/>
      <c r="X292" s="48"/>
      <c r="Z292" s="28"/>
      <c r="AA292" s="48"/>
      <c r="AB292" s="197"/>
      <c r="AC292" s="48"/>
      <c r="AE292" s="28"/>
    </row>
    <row r="293" spans="19:31" x14ac:dyDescent="0.25">
      <c r="S293" s="48"/>
      <c r="V293" s="48"/>
      <c r="W293" s="28"/>
      <c r="X293" s="48"/>
      <c r="Z293" s="28"/>
      <c r="AA293" s="48"/>
      <c r="AB293" s="197"/>
      <c r="AC293" s="48"/>
      <c r="AE293" s="28"/>
    </row>
  </sheetData>
  <mergeCells count="639">
    <mergeCell ref="AF169:AF171"/>
    <mergeCell ref="AE169:AE171"/>
    <mergeCell ref="AE1:AH1"/>
    <mergeCell ref="P212:P214"/>
    <mergeCell ref="Q212:Q214"/>
    <mergeCell ref="AA212:AA214"/>
    <mergeCell ref="Z212:Z214"/>
    <mergeCell ref="AA193:AA201"/>
    <mergeCell ref="Z193:Z201"/>
    <mergeCell ref="Q193:Q201"/>
    <mergeCell ref="P193:P201"/>
    <mergeCell ref="Z202:Z205"/>
    <mergeCell ref="AA202:AA205"/>
    <mergeCell ref="P202:P205"/>
    <mergeCell ref="AA78:AA82"/>
    <mergeCell ref="Z78:Z82"/>
    <mergeCell ref="Z101:Z102"/>
    <mergeCell ref="AA101:AA102"/>
    <mergeCell ref="V113:V126"/>
    <mergeCell ref="U113:U126"/>
    <mergeCell ref="Z98:Z100"/>
    <mergeCell ref="U98:U100"/>
    <mergeCell ref="AE113:AE126"/>
    <mergeCell ref="AF108:AF112"/>
    <mergeCell ref="A1:B1"/>
    <mergeCell ref="C1:E1"/>
    <mergeCell ref="K1:N1"/>
    <mergeCell ref="P1:S1"/>
    <mergeCell ref="U1:X1"/>
    <mergeCell ref="Z1:AC1"/>
    <mergeCell ref="Z71:Z72"/>
    <mergeCell ref="Z74:Z77"/>
    <mergeCell ref="AA74:AA77"/>
    <mergeCell ref="G58:G63"/>
    <mergeCell ref="K58:K63"/>
    <mergeCell ref="C23:C32"/>
    <mergeCell ref="B23:B32"/>
    <mergeCell ref="C44:C57"/>
    <mergeCell ref="B44:B57"/>
    <mergeCell ref="C33:C34"/>
    <mergeCell ref="B40:B43"/>
    <mergeCell ref="L18:L22"/>
    <mergeCell ref="H23:H32"/>
    <mergeCell ref="K40:K43"/>
    <mergeCell ref="C64:C69"/>
    <mergeCell ref="B71:B73"/>
    <mergeCell ref="C71:C73"/>
    <mergeCell ref="C58:C63"/>
    <mergeCell ref="AF98:AF100"/>
    <mergeCell ref="AE98:AE100"/>
    <mergeCell ref="AA103:AA105"/>
    <mergeCell ref="Q216:Q217"/>
    <mergeCell ref="Q166:Q168"/>
    <mergeCell ref="AA184:AA192"/>
    <mergeCell ref="Z184:Z192"/>
    <mergeCell ref="AA169:AA172"/>
    <mergeCell ref="V162:V165"/>
    <mergeCell ref="Z173:Z181"/>
    <mergeCell ref="AA166:AA168"/>
    <mergeCell ref="Z166:Z168"/>
    <mergeCell ref="Z182:Z183"/>
    <mergeCell ref="Z169:Z172"/>
    <mergeCell ref="AA173:AA181"/>
    <mergeCell ref="Z206:Z211"/>
    <mergeCell ref="AA206:AA211"/>
    <mergeCell ref="AA182:AA183"/>
    <mergeCell ref="V169:V172"/>
    <mergeCell ref="V184:V214"/>
    <mergeCell ref="AA162:AA165"/>
    <mergeCell ref="Z162:Z165"/>
    <mergeCell ref="AA155:AA161"/>
    <mergeCell ref="AE108:AE112"/>
    <mergeCell ref="V155:V161"/>
    <mergeCell ref="L217:L218"/>
    <mergeCell ref="AE46:AE56"/>
    <mergeCell ref="AF162:AF165"/>
    <mergeCell ref="AE74:AE82"/>
    <mergeCell ref="AE162:AE165"/>
    <mergeCell ref="AF166:AF168"/>
    <mergeCell ref="AE166:AE168"/>
    <mergeCell ref="AF64:AF69"/>
    <mergeCell ref="AF142:AF154"/>
    <mergeCell ref="AE142:AE154"/>
    <mergeCell ref="AF132:AF138"/>
    <mergeCell ref="AE132:AE138"/>
    <mergeCell ref="AF128:AF131"/>
    <mergeCell ref="AF139:AF141"/>
    <mergeCell ref="AE139:AE141"/>
    <mergeCell ref="AE128:AE131"/>
    <mergeCell ref="AF93:AF97"/>
    <mergeCell ref="AE155:AE161"/>
    <mergeCell ref="AF155:AF161"/>
    <mergeCell ref="AF113:AF126"/>
    <mergeCell ref="AF106:AF107"/>
    <mergeCell ref="AE106:AE107"/>
    <mergeCell ref="V148:V154"/>
    <mergeCell ref="K217:K218"/>
    <mergeCell ref="V142:V147"/>
    <mergeCell ref="U142:U147"/>
    <mergeCell ref="K206:K211"/>
    <mergeCell ref="U176:U178"/>
    <mergeCell ref="V176:V178"/>
    <mergeCell ref="V182:V183"/>
    <mergeCell ref="U182:U183"/>
    <mergeCell ref="L162:L165"/>
    <mergeCell ref="L178:L183"/>
    <mergeCell ref="K178:K183"/>
    <mergeCell ref="L212:L214"/>
    <mergeCell ref="K212:K214"/>
    <mergeCell ref="P216:P217"/>
    <mergeCell ref="P206:P211"/>
    <mergeCell ref="L175:L177"/>
    <mergeCell ref="K175:K177"/>
    <mergeCell ref="L155:L159"/>
    <mergeCell ref="Q206:Q211"/>
    <mergeCell ref="U179:U181"/>
    <mergeCell ref="V179:V181"/>
    <mergeCell ref="V173:V175"/>
    <mergeCell ref="K144:K147"/>
    <mergeCell ref="K139:K143"/>
    <mergeCell ref="H215:H216"/>
    <mergeCell ref="G215:G216"/>
    <mergeCell ref="H219:H220"/>
    <mergeCell ref="G219:G220"/>
    <mergeCell ref="C198:C201"/>
    <mergeCell ref="B198:B201"/>
    <mergeCell ref="B212:B213"/>
    <mergeCell ref="C212:C213"/>
    <mergeCell ref="B202:B205"/>
    <mergeCell ref="C202:C205"/>
    <mergeCell ref="C206:C211"/>
    <mergeCell ref="B206:B211"/>
    <mergeCell ref="B219:B220"/>
    <mergeCell ref="C219:C220"/>
    <mergeCell ref="B215:B216"/>
    <mergeCell ref="C215:C216"/>
    <mergeCell ref="H212:H213"/>
    <mergeCell ref="G212:G213"/>
    <mergeCell ref="H202:H205"/>
    <mergeCell ref="H197:H201"/>
    <mergeCell ref="H206:H211"/>
    <mergeCell ref="G197:G201"/>
    <mergeCell ref="G202:G205"/>
    <mergeCell ref="G206:G211"/>
    <mergeCell ref="B175:B177"/>
    <mergeCell ref="B182:B183"/>
    <mergeCell ref="G160:G161"/>
    <mergeCell ref="G168:G169"/>
    <mergeCell ref="G162:G165"/>
    <mergeCell ref="B162:B165"/>
    <mergeCell ref="C162:C165"/>
    <mergeCell ref="B193:B197"/>
    <mergeCell ref="B166:B167"/>
    <mergeCell ref="C160:C161"/>
    <mergeCell ref="B160:B161"/>
    <mergeCell ref="C168:C169"/>
    <mergeCell ref="B168:B169"/>
    <mergeCell ref="B184:B187"/>
    <mergeCell ref="C144:C147"/>
    <mergeCell ref="B144:B147"/>
    <mergeCell ref="B83:B85"/>
    <mergeCell ref="C83:C85"/>
    <mergeCell ref="C74:C82"/>
    <mergeCell ref="B113:B126"/>
    <mergeCell ref="C113:C126"/>
    <mergeCell ref="B131:B135"/>
    <mergeCell ref="C106:C108"/>
    <mergeCell ref="C136:C138"/>
    <mergeCell ref="B139:B143"/>
    <mergeCell ref="C131:C135"/>
    <mergeCell ref="C127:C130"/>
    <mergeCell ref="B127:B130"/>
    <mergeCell ref="B136:B138"/>
    <mergeCell ref="B86:B91"/>
    <mergeCell ref="C86:C91"/>
    <mergeCell ref="B98:B105"/>
    <mergeCell ref="C92:C93"/>
    <mergeCell ref="C98:C105"/>
    <mergeCell ref="C139:C143"/>
    <mergeCell ref="H162:H165"/>
    <mergeCell ref="G147:G154"/>
    <mergeCell ref="H131:H138"/>
    <mergeCell ref="K136:K138"/>
    <mergeCell ref="K127:K135"/>
    <mergeCell ref="K155:K159"/>
    <mergeCell ref="G98:G105"/>
    <mergeCell ref="G155:G159"/>
    <mergeCell ref="G131:G138"/>
    <mergeCell ref="H147:H154"/>
    <mergeCell ref="H155:H159"/>
    <mergeCell ref="K106:K108"/>
    <mergeCell ref="K113:K126"/>
    <mergeCell ref="K109:K112"/>
    <mergeCell ref="H98:H105"/>
    <mergeCell ref="K98:K105"/>
    <mergeCell ref="U148:U154"/>
    <mergeCell ref="Q184:Q192"/>
    <mergeCell ref="P173:P176"/>
    <mergeCell ref="Q173:Q176"/>
    <mergeCell ref="H160:H161"/>
    <mergeCell ref="C178:C181"/>
    <mergeCell ref="C188:C192"/>
    <mergeCell ref="B188:B192"/>
    <mergeCell ref="B170:B172"/>
    <mergeCell ref="C170:C172"/>
    <mergeCell ref="B173:B174"/>
    <mergeCell ref="C173:C174"/>
    <mergeCell ref="H182:H183"/>
    <mergeCell ref="C182:C183"/>
    <mergeCell ref="B178:B181"/>
    <mergeCell ref="K160:K161"/>
    <mergeCell ref="L148:L154"/>
    <mergeCell ref="K148:K154"/>
    <mergeCell ref="B155:B159"/>
    <mergeCell ref="C155:C159"/>
    <mergeCell ref="B148:B154"/>
    <mergeCell ref="C148:C154"/>
    <mergeCell ref="G166:G167"/>
    <mergeCell ref="U155:U161"/>
    <mergeCell ref="U162:U165"/>
    <mergeCell ref="L160:L161"/>
    <mergeCell ref="L168:L169"/>
    <mergeCell ref="L166:L167"/>
    <mergeCell ref="K166:K167"/>
    <mergeCell ref="K162:K165"/>
    <mergeCell ref="L184:L187"/>
    <mergeCell ref="K184:K187"/>
    <mergeCell ref="Q182:Q183"/>
    <mergeCell ref="U173:U175"/>
    <mergeCell ref="Q177:Q181"/>
    <mergeCell ref="K198:K201"/>
    <mergeCell ref="K203:K204"/>
    <mergeCell ref="L170:L172"/>
    <mergeCell ref="U184:U214"/>
    <mergeCell ref="V167:V168"/>
    <mergeCell ref="U167:U168"/>
    <mergeCell ref="P182:P183"/>
    <mergeCell ref="P177:P181"/>
    <mergeCell ref="P184:P192"/>
    <mergeCell ref="K188:K197"/>
    <mergeCell ref="K170:K172"/>
    <mergeCell ref="K168:K169"/>
    <mergeCell ref="L206:L211"/>
    <mergeCell ref="L198:L201"/>
    <mergeCell ref="L203:L204"/>
    <mergeCell ref="Q202:Q205"/>
    <mergeCell ref="L188:L197"/>
    <mergeCell ref="AA132:AA138"/>
    <mergeCell ref="AA142:AA154"/>
    <mergeCell ref="Z155:Z161"/>
    <mergeCell ref="Z142:Z154"/>
    <mergeCell ref="P169:P172"/>
    <mergeCell ref="P166:P168"/>
    <mergeCell ref="Q169:Q172"/>
    <mergeCell ref="U169:U172"/>
    <mergeCell ref="Q40:Q43"/>
    <mergeCell ref="Q64:Q69"/>
    <mergeCell ref="Z58:Z60"/>
    <mergeCell ref="Z128:Z131"/>
    <mergeCell ref="AA128:AA131"/>
    <mergeCell ref="AA139:AA141"/>
    <mergeCell ref="Z139:Z141"/>
    <mergeCell ref="Q139:Q141"/>
    <mergeCell ref="AA98:AA100"/>
    <mergeCell ref="AA106:AA107"/>
    <mergeCell ref="AA113:AA126"/>
    <mergeCell ref="V138:V141"/>
    <mergeCell ref="AA108:AA112"/>
    <mergeCell ref="AA93:AA97"/>
    <mergeCell ref="AA71:AA72"/>
    <mergeCell ref="AA46:AA57"/>
    <mergeCell ref="P98:P100"/>
    <mergeCell ref="U101:U105"/>
    <mergeCell ref="G106:G107"/>
    <mergeCell ref="H118:H126"/>
    <mergeCell ref="B109:B112"/>
    <mergeCell ref="C109:C112"/>
    <mergeCell ref="B94:B97"/>
    <mergeCell ref="C94:C97"/>
    <mergeCell ref="Z132:Z138"/>
    <mergeCell ref="Q127:Q131"/>
    <mergeCell ref="Q132:Q138"/>
    <mergeCell ref="Q113:Q117"/>
    <mergeCell ref="Q108:Q109"/>
    <mergeCell ref="U110:U112"/>
    <mergeCell ref="U108:U109"/>
    <mergeCell ref="Q118:Q126"/>
    <mergeCell ref="V132:V137"/>
    <mergeCell ref="U132:U137"/>
    <mergeCell ref="Z106:Z107"/>
    <mergeCell ref="Z113:Z126"/>
    <mergeCell ref="Z103:Z105"/>
    <mergeCell ref="Z108:Z112"/>
    <mergeCell ref="P101:P105"/>
    <mergeCell ref="B106:B108"/>
    <mergeCell ref="L98:L105"/>
    <mergeCell ref="P110:P112"/>
    <mergeCell ref="G118:G126"/>
    <mergeCell ref="U106:U107"/>
    <mergeCell ref="B92:B93"/>
    <mergeCell ref="K35:K39"/>
    <mergeCell ref="H35:H39"/>
    <mergeCell ref="K33:K34"/>
    <mergeCell ref="H70:H73"/>
    <mergeCell ref="K71:K73"/>
    <mergeCell ref="L40:L43"/>
    <mergeCell ref="L44:L57"/>
    <mergeCell ref="K44:K57"/>
    <mergeCell ref="G64:G69"/>
    <mergeCell ref="B64:B69"/>
    <mergeCell ref="L74:L82"/>
    <mergeCell ref="L71:L73"/>
    <mergeCell ref="L64:L69"/>
    <mergeCell ref="K74:K82"/>
    <mergeCell ref="H74:H82"/>
    <mergeCell ref="H64:H69"/>
    <mergeCell ref="K64:K69"/>
    <mergeCell ref="G74:G82"/>
    <mergeCell ref="B74:B82"/>
    <mergeCell ref="B18:B22"/>
    <mergeCell ref="B33:B34"/>
    <mergeCell ref="C35:C39"/>
    <mergeCell ref="B35:B39"/>
    <mergeCell ref="C18:C22"/>
    <mergeCell ref="C40:C43"/>
    <mergeCell ref="B58:B63"/>
    <mergeCell ref="K23:K32"/>
    <mergeCell ref="L58:L63"/>
    <mergeCell ref="L23:L32"/>
    <mergeCell ref="H58:H63"/>
    <mergeCell ref="L33:L34"/>
    <mergeCell ref="L35:L39"/>
    <mergeCell ref="H44:H57"/>
    <mergeCell ref="G33:G34"/>
    <mergeCell ref="G44:G57"/>
    <mergeCell ref="H40:H43"/>
    <mergeCell ref="H33:H34"/>
    <mergeCell ref="G40:G43"/>
    <mergeCell ref="G23:G32"/>
    <mergeCell ref="G35:G39"/>
    <mergeCell ref="K18:K22"/>
    <mergeCell ref="H18:H19"/>
    <mergeCell ref="G18:G19"/>
    <mergeCell ref="K16:K17"/>
    <mergeCell ref="G16:G17"/>
    <mergeCell ref="H16:H17"/>
    <mergeCell ref="L16:L17"/>
    <mergeCell ref="G12:G15"/>
    <mergeCell ref="H12:H15"/>
    <mergeCell ref="K12:K15"/>
    <mergeCell ref="L12:L15"/>
    <mergeCell ref="B16:B17"/>
    <mergeCell ref="C16:C17"/>
    <mergeCell ref="C12:C15"/>
    <mergeCell ref="B12:B15"/>
    <mergeCell ref="B3:B4"/>
    <mergeCell ref="Q10:Q11"/>
    <mergeCell ref="P10:P11"/>
    <mergeCell ref="L10:L11"/>
    <mergeCell ref="K10:K11"/>
    <mergeCell ref="H10:H11"/>
    <mergeCell ref="G10:G11"/>
    <mergeCell ref="B10:B11"/>
    <mergeCell ref="C10:C11"/>
    <mergeCell ref="C5:C6"/>
    <mergeCell ref="B5:B6"/>
    <mergeCell ref="P3:P4"/>
    <mergeCell ref="Q3:Q4"/>
    <mergeCell ref="C3:C4"/>
    <mergeCell ref="B7:B8"/>
    <mergeCell ref="C7:C8"/>
    <mergeCell ref="G7:G8"/>
    <mergeCell ref="L5:L6"/>
    <mergeCell ref="K5:K6"/>
    <mergeCell ref="H5:H6"/>
    <mergeCell ref="G5:G6"/>
    <mergeCell ref="H7:H8"/>
    <mergeCell ref="L7:L8"/>
    <mergeCell ref="K7:K8"/>
    <mergeCell ref="P132:P138"/>
    <mergeCell ref="P127:P131"/>
    <mergeCell ref="P113:P117"/>
    <mergeCell ref="P108:P109"/>
    <mergeCell ref="Q155:Q161"/>
    <mergeCell ref="P155:P161"/>
    <mergeCell ref="L139:L143"/>
    <mergeCell ref="Q162:Q165"/>
    <mergeCell ref="P118:P126"/>
    <mergeCell ref="P139:P141"/>
    <mergeCell ref="L106:L108"/>
    <mergeCell ref="L136:L138"/>
    <mergeCell ref="L113:L126"/>
    <mergeCell ref="L127:L135"/>
    <mergeCell ref="P106:P107"/>
    <mergeCell ref="Q142:Q154"/>
    <mergeCell ref="P142:P154"/>
    <mergeCell ref="L144:L147"/>
    <mergeCell ref="P162:P165"/>
    <mergeCell ref="L109:L112"/>
    <mergeCell ref="Q44:Q57"/>
    <mergeCell ref="U138:U141"/>
    <mergeCell ref="V86:V92"/>
    <mergeCell ref="Z86:Z91"/>
    <mergeCell ref="Q86:Q91"/>
    <mergeCell ref="U44:U45"/>
    <mergeCell ref="V83:V85"/>
    <mergeCell ref="Q101:Q105"/>
    <mergeCell ref="Q110:Q112"/>
    <mergeCell ref="U128:U131"/>
    <mergeCell ref="V128:V131"/>
    <mergeCell ref="V110:V112"/>
    <mergeCell ref="V108:V109"/>
    <mergeCell ref="Z93:Z97"/>
    <mergeCell ref="U93:U97"/>
    <mergeCell ref="V93:V97"/>
    <mergeCell ref="V98:V100"/>
    <mergeCell ref="Q83:Q85"/>
    <mergeCell ref="Q98:Q100"/>
    <mergeCell ref="Q106:Q107"/>
    <mergeCell ref="V106:V107"/>
    <mergeCell ref="V70:V71"/>
    <mergeCell ref="U70:U71"/>
    <mergeCell ref="V101:V105"/>
    <mergeCell ref="P40:P43"/>
    <mergeCell ref="Q74:Q82"/>
    <mergeCell ref="Z44:Z45"/>
    <mergeCell ref="P33:P34"/>
    <mergeCell ref="AA33:AA34"/>
    <mergeCell ref="Z33:Z34"/>
    <mergeCell ref="Q33:Q34"/>
    <mergeCell ref="P64:P69"/>
    <mergeCell ref="P44:P57"/>
    <mergeCell ref="P58:P60"/>
    <mergeCell ref="V40:V43"/>
    <mergeCell ref="V35:V39"/>
    <mergeCell ref="U35:U39"/>
    <mergeCell ref="U46:U57"/>
    <mergeCell ref="Z40:Z43"/>
    <mergeCell ref="AA58:AA60"/>
    <mergeCell ref="Z46:Z57"/>
    <mergeCell ref="Q61:Q63"/>
    <mergeCell ref="AA40:AA43"/>
    <mergeCell ref="Z61:Z63"/>
    <mergeCell ref="U40:U43"/>
    <mergeCell ref="U58:U60"/>
    <mergeCell ref="AA44:AA45"/>
    <mergeCell ref="V72:V73"/>
    <mergeCell ref="Z12:Z14"/>
    <mergeCell ref="AF11:AF13"/>
    <mergeCell ref="AE11:AE13"/>
    <mergeCell ref="Z35:Z39"/>
    <mergeCell ref="AF30:AF32"/>
    <mergeCell ref="AE30:AE32"/>
    <mergeCell ref="AF7:AF8"/>
    <mergeCell ref="AE7:AE8"/>
    <mergeCell ref="Z7:Z8"/>
    <mergeCell ref="AA7:AA8"/>
    <mergeCell ref="AA10:AA11"/>
    <mergeCell ref="AF35:AF43"/>
    <mergeCell ref="AF23:AF29"/>
    <mergeCell ref="AF16:AF17"/>
    <mergeCell ref="AE35:AE43"/>
    <mergeCell ref="AF33:AF34"/>
    <mergeCell ref="AE33:AE34"/>
    <mergeCell ref="AE16:AE17"/>
    <mergeCell ref="AA16:AA17"/>
    <mergeCell ref="AA18:AA21"/>
    <mergeCell ref="Z18:Z21"/>
    <mergeCell ref="AA24:AA32"/>
    <mergeCell ref="Z24:Z32"/>
    <mergeCell ref="AE23:AE29"/>
    <mergeCell ref="P35:P39"/>
    <mergeCell ref="Q35:Q39"/>
    <mergeCell ref="V18:V22"/>
    <mergeCell ref="V23:V32"/>
    <mergeCell ref="U13:U14"/>
    <mergeCell ref="U18:U22"/>
    <mergeCell ref="Q5:Q6"/>
    <mergeCell ref="P5:P6"/>
    <mergeCell ref="Q18:Q22"/>
    <mergeCell ref="P18:P22"/>
    <mergeCell ref="P12:P15"/>
    <mergeCell ref="Q12:Q15"/>
    <mergeCell ref="Q16:Q17"/>
    <mergeCell ref="P7:P8"/>
    <mergeCell ref="Q7:Q8"/>
    <mergeCell ref="P16:P17"/>
    <mergeCell ref="P23:P32"/>
    <mergeCell ref="Q23:Q32"/>
    <mergeCell ref="V3:V4"/>
    <mergeCell ref="U3:U4"/>
    <mergeCell ref="U23:U32"/>
    <mergeCell ref="V33:V34"/>
    <mergeCell ref="U33:U34"/>
    <mergeCell ref="AF46:AF56"/>
    <mergeCell ref="V61:V63"/>
    <mergeCell ref="U61:U63"/>
    <mergeCell ref="V46:V57"/>
    <mergeCell ref="V44:V45"/>
    <mergeCell ref="Z10:Z11"/>
    <mergeCell ref="AA12:AA14"/>
    <mergeCell ref="Z16:Z17"/>
    <mergeCell ref="AA61:AA63"/>
    <mergeCell ref="AA35:AA39"/>
    <mergeCell ref="AF19:AF21"/>
    <mergeCell ref="AE19:AE21"/>
    <mergeCell ref="AF44:AF45"/>
    <mergeCell ref="AE44:AE45"/>
    <mergeCell ref="V7:V8"/>
    <mergeCell ref="U7:U8"/>
    <mergeCell ref="V13:V14"/>
    <mergeCell ref="AE5:AE6"/>
    <mergeCell ref="AF5:AF6"/>
    <mergeCell ref="AE58:AE60"/>
    <mergeCell ref="AF61:AF62"/>
    <mergeCell ref="AE61:AE62"/>
    <mergeCell ref="Q58:Q60"/>
    <mergeCell ref="P61:P63"/>
    <mergeCell ref="Z83:Z85"/>
    <mergeCell ref="P74:P82"/>
    <mergeCell ref="V58:V60"/>
    <mergeCell ref="P83:P85"/>
    <mergeCell ref="AA83:AA85"/>
    <mergeCell ref="Z64:Z69"/>
    <mergeCell ref="AE83:AE85"/>
    <mergeCell ref="AF74:AF82"/>
    <mergeCell ref="Q71:Q73"/>
    <mergeCell ref="AF58:AF60"/>
    <mergeCell ref="AE64:AE69"/>
    <mergeCell ref="U64:U69"/>
    <mergeCell ref="V64:V69"/>
    <mergeCell ref="U72:U73"/>
    <mergeCell ref="V74:V81"/>
    <mergeCell ref="U74:U81"/>
    <mergeCell ref="U83:U85"/>
    <mergeCell ref="AA64:AA69"/>
    <mergeCell ref="P71:P73"/>
    <mergeCell ref="AF86:AF91"/>
    <mergeCell ref="AE86:AE91"/>
    <mergeCell ref="AF83:AF85"/>
    <mergeCell ref="G83:G85"/>
    <mergeCell ref="H83:H85"/>
    <mergeCell ref="K83:K85"/>
    <mergeCell ref="L83:L85"/>
    <mergeCell ref="K86:K91"/>
    <mergeCell ref="H86:H91"/>
    <mergeCell ref="P86:P91"/>
    <mergeCell ref="AA86:AA91"/>
    <mergeCell ref="U86:U92"/>
    <mergeCell ref="K92:K94"/>
    <mergeCell ref="L92:L94"/>
    <mergeCell ref="H92:H97"/>
    <mergeCell ref="K95:K97"/>
    <mergeCell ref="L86:L91"/>
    <mergeCell ref="G86:G91"/>
    <mergeCell ref="P93:P97"/>
    <mergeCell ref="Q93:Q97"/>
    <mergeCell ref="L95:L97"/>
    <mergeCell ref="AE93:AE97"/>
    <mergeCell ref="G92:G97"/>
    <mergeCell ref="A3:A4"/>
    <mergeCell ref="A5:A6"/>
    <mergeCell ref="A7:A8"/>
    <mergeCell ref="A10:A11"/>
    <mergeCell ref="A12:A15"/>
    <mergeCell ref="A16:A17"/>
    <mergeCell ref="A18:A22"/>
    <mergeCell ref="A23:A32"/>
    <mergeCell ref="A33:A34"/>
    <mergeCell ref="A35:A39"/>
    <mergeCell ref="A40:A43"/>
    <mergeCell ref="A44:A57"/>
    <mergeCell ref="A58:A63"/>
    <mergeCell ref="A64:A69"/>
    <mergeCell ref="A71:A73"/>
    <mergeCell ref="A74:A82"/>
    <mergeCell ref="A83:A85"/>
    <mergeCell ref="A86:A91"/>
    <mergeCell ref="A92:A93"/>
    <mergeCell ref="A94:A97"/>
    <mergeCell ref="A98:A105"/>
    <mergeCell ref="A106:A108"/>
    <mergeCell ref="A109:A112"/>
    <mergeCell ref="A113:A126"/>
    <mergeCell ref="A127:A130"/>
    <mergeCell ref="A131:A135"/>
    <mergeCell ref="A136:A138"/>
    <mergeCell ref="A139:A143"/>
    <mergeCell ref="A144:A147"/>
    <mergeCell ref="A148:A154"/>
    <mergeCell ref="A155:A159"/>
    <mergeCell ref="A160:A161"/>
    <mergeCell ref="A162:A165"/>
    <mergeCell ref="A166:A167"/>
    <mergeCell ref="A168:A169"/>
    <mergeCell ref="A170:A172"/>
    <mergeCell ref="A215:A216"/>
    <mergeCell ref="A219:A220"/>
    <mergeCell ref="A173:A174"/>
    <mergeCell ref="A175:A177"/>
    <mergeCell ref="A178:A181"/>
    <mergeCell ref="A182:A183"/>
    <mergeCell ref="A184:A187"/>
    <mergeCell ref="A188:A192"/>
    <mergeCell ref="A193:A197"/>
    <mergeCell ref="A198:A201"/>
    <mergeCell ref="A202:A205"/>
    <mergeCell ref="A206:A211"/>
    <mergeCell ref="A212:A213"/>
    <mergeCell ref="H166:H167"/>
    <mergeCell ref="H184:H187"/>
    <mergeCell ref="H168:H169"/>
    <mergeCell ref="C193:C197"/>
    <mergeCell ref="G184:G187"/>
    <mergeCell ref="H188:H196"/>
    <mergeCell ref="G188:G196"/>
    <mergeCell ref="H173:H177"/>
    <mergeCell ref="H178:H181"/>
    <mergeCell ref="G178:G181"/>
    <mergeCell ref="G182:G183"/>
    <mergeCell ref="G173:G177"/>
    <mergeCell ref="H170:H172"/>
    <mergeCell ref="C166:C167"/>
    <mergeCell ref="G170:G172"/>
    <mergeCell ref="C184:C187"/>
    <mergeCell ref="C175:C177"/>
    <mergeCell ref="G1:I1"/>
    <mergeCell ref="H20:H22"/>
    <mergeCell ref="G20:G22"/>
    <mergeCell ref="G113:G117"/>
    <mergeCell ref="H113:H117"/>
    <mergeCell ref="H127:H130"/>
    <mergeCell ref="G127:G130"/>
    <mergeCell ref="G139:G146"/>
    <mergeCell ref="H139:H146"/>
    <mergeCell ref="H109:H112"/>
    <mergeCell ref="G70:G73"/>
    <mergeCell ref="H106:H107"/>
    <mergeCell ref="G109:G112"/>
  </mergeCells>
  <pageMargins left="0.7" right="0.7" top="0.75" bottom="0.75" header="0.3" footer="0.3"/>
  <pageSetup paperSize="8" scale="37" fitToHeight="0" orientation="portrait" r:id="rId1"/>
  <ignoredErrors>
    <ignoredError sqref="AO8 M34 R4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W241"/>
  <sheetViews>
    <sheetView topLeftCell="AA1" zoomScale="80" zoomScaleNormal="80" workbookViewId="0">
      <pane ySplit="1" topLeftCell="A44" activePane="bottomLeft" state="frozen"/>
      <selection pane="bottomLeft" activeCell="AJ70" sqref="AJ69:AJ70"/>
    </sheetView>
  </sheetViews>
  <sheetFormatPr defaultColWidth="9.140625" defaultRowHeight="15" x14ac:dyDescent="0.25"/>
  <cols>
    <col min="1" max="1" width="16.7109375" style="85" bestFit="1" customWidth="1"/>
    <col min="2" max="2" width="9.7109375" style="27" bestFit="1" customWidth="1"/>
    <col min="3" max="3" width="7.85546875" style="5" bestFit="1" customWidth="1"/>
    <col min="4" max="4" width="8.85546875" style="5" bestFit="1" customWidth="1"/>
    <col min="5" max="5" width="23.85546875" style="5" bestFit="1" customWidth="1"/>
    <col min="6" max="6" width="2.140625" style="113" customWidth="1"/>
    <col min="7" max="7" width="9.7109375" style="27" bestFit="1" customWidth="1"/>
    <col min="8" max="8" width="7.85546875" style="5" bestFit="1" customWidth="1"/>
    <col min="9" max="9" width="9.7109375" style="5" bestFit="1" customWidth="1"/>
    <col min="10" max="10" width="2.140625" style="113" customWidth="1"/>
    <col min="11" max="11" width="9.7109375" style="27" bestFit="1" customWidth="1"/>
    <col min="12" max="12" width="7.85546875" style="5" bestFit="1" customWidth="1"/>
    <col min="13" max="13" width="8.85546875" style="27" bestFit="1" customWidth="1"/>
    <col min="14" max="14" width="23.85546875" style="5" bestFit="1" customWidth="1"/>
    <col min="15" max="15" width="2.140625" style="113" customWidth="1"/>
    <col min="16" max="16" width="9.7109375" style="27" bestFit="1" customWidth="1"/>
    <col min="17" max="17" width="7.85546875" style="5" bestFit="1" customWidth="1"/>
    <col min="18" max="18" width="8.85546875" style="27" bestFit="1" customWidth="1"/>
    <col min="19" max="19" width="20.7109375" style="5" bestFit="1" customWidth="1"/>
    <col min="20" max="20" width="2.140625" style="113" customWidth="1"/>
    <col min="21" max="21" width="9.7109375" style="46" bestFit="1" customWidth="1"/>
    <col min="22" max="22" width="7.85546875" style="46" bestFit="1" customWidth="1"/>
    <col min="23" max="23" width="8.85546875" style="23" bestFit="1" customWidth="1"/>
    <col min="24" max="24" width="22.42578125" style="46" bestFit="1" customWidth="1"/>
    <col min="25" max="25" width="2.140625" style="113" customWidth="1"/>
    <col min="26" max="26" width="9.7109375" style="23" bestFit="1" customWidth="1"/>
    <col min="27" max="27" width="7.85546875" style="46" bestFit="1" customWidth="1"/>
    <col min="28" max="28" width="8.85546875" style="23" bestFit="1" customWidth="1"/>
    <col min="29" max="29" width="22.42578125" style="46" bestFit="1" customWidth="1"/>
    <col min="30" max="30" width="2.140625" style="113" customWidth="1"/>
    <col min="31" max="31" width="9.7109375" style="27" bestFit="1" customWidth="1"/>
    <col min="32" max="32" width="7.85546875" style="5" bestFit="1" customWidth="1"/>
    <col min="33" max="33" width="8.85546875" style="209" bestFit="1" customWidth="1"/>
    <col min="34" max="34" width="22.42578125" style="147" bestFit="1" customWidth="1"/>
    <col min="35" max="35" width="3.28515625" style="155" customWidth="1"/>
    <col min="36" max="36" width="26.7109375" style="29" bestFit="1" customWidth="1"/>
    <col min="37" max="39" width="6.85546875" style="29" bestFit="1" customWidth="1"/>
    <col min="40" max="40" width="11.42578125" style="29" bestFit="1" customWidth="1"/>
    <col min="41" max="41" width="11.140625" style="29" bestFit="1" customWidth="1"/>
    <col min="42" max="42" width="17.140625" style="29" bestFit="1" customWidth="1"/>
    <col min="43" max="16384" width="9.140625" style="29"/>
  </cols>
  <sheetData>
    <row r="1" spans="1:49" x14ac:dyDescent="0.25">
      <c r="A1" s="278" t="s">
        <v>10</v>
      </c>
      <c r="B1" s="278"/>
      <c r="C1" s="279" t="s">
        <v>1</v>
      </c>
      <c r="D1" s="279"/>
      <c r="E1" s="279"/>
      <c r="G1" s="276" t="s">
        <v>3</v>
      </c>
      <c r="H1" s="276"/>
      <c r="I1" s="276"/>
      <c r="K1" s="279" t="s">
        <v>2</v>
      </c>
      <c r="L1" s="279"/>
      <c r="M1" s="279"/>
      <c r="N1" s="279"/>
      <c r="P1" s="279" t="s">
        <v>4</v>
      </c>
      <c r="Q1" s="279"/>
      <c r="R1" s="279"/>
      <c r="S1" s="279"/>
      <c r="U1" s="272" t="s">
        <v>16</v>
      </c>
      <c r="V1" s="272"/>
      <c r="W1" s="272"/>
      <c r="X1" s="272"/>
      <c r="Z1" s="277" t="s">
        <v>5</v>
      </c>
      <c r="AA1" s="277"/>
      <c r="AB1" s="277"/>
      <c r="AC1" s="277"/>
      <c r="AE1" s="272" t="s">
        <v>6</v>
      </c>
      <c r="AF1" s="272"/>
      <c r="AG1" s="272"/>
      <c r="AH1" s="272"/>
      <c r="AI1" s="206"/>
      <c r="AJ1" s="46"/>
      <c r="AP1" s="19"/>
    </row>
    <row r="2" spans="1:49" x14ac:dyDescent="0.25">
      <c r="A2" s="207" t="s">
        <v>55</v>
      </c>
      <c r="B2" s="208" t="s">
        <v>7</v>
      </c>
      <c r="C2" s="208" t="s">
        <v>8</v>
      </c>
      <c r="D2" s="18" t="s">
        <v>213</v>
      </c>
      <c r="E2" s="8" t="s">
        <v>17</v>
      </c>
      <c r="G2" s="208" t="s">
        <v>7</v>
      </c>
      <c r="H2" s="208" t="s">
        <v>8</v>
      </c>
      <c r="I2" s="49" t="s">
        <v>17</v>
      </c>
      <c r="K2" s="208" t="s">
        <v>7</v>
      </c>
      <c r="L2" s="208" t="s">
        <v>8</v>
      </c>
      <c r="M2" s="18" t="s">
        <v>213</v>
      </c>
      <c r="N2" s="8" t="s">
        <v>17</v>
      </c>
      <c r="P2" s="208" t="s">
        <v>7</v>
      </c>
      <c r="Q2" s="208" t="s">
        <v>8</v>
      </c>
      <c r="R2" s="18" t="s">
        <v>213</v>
      </c>
      <c r="S2" s="8" t="s">
        <v>17</v>
      </c>
      <c r="U2" s="45" t="s">
        <v>7</v>
      </c>
      <c r="V2" s="45" t="s">
        <v>8</v>
      </c>
      <c r="W2" s="18" t="s">
        <v>213</v>
      </c>
      <c r="X2" s="8" t="s">
        <v>17</v>
      </c>
      <c r="Z2" s="45" t="s">
        <v>7</v>
      </c>
      <c r="AA2" s="45" t="s">
        <v>8</v>
      </c>
      <c r="AB2" s="18" t="s">
        <v>213</v>
      </c>
      <c r="AC2" s="8" t="s">
        <v>17</v>
      </c>
      <c r="AE2" s="134" t="s">
        <v>7</v>
      </c>
      <c r="AF2" s="134" t="s">
        <v>8</v>
      </c>
      <c r="AG2" s="18" t="s">
        <v>213</v>
      </c>
      <c r="AH2" s="8" t="s">
        <v>17</v>
      </c>
      <c r="AI2" s="206"/>
      <c r="AJ2" s="84"/>
    </row>
    <row r="3" spans="1:49" s="25" customFormat="1" x14ac:dyDescent="0.25">
      <c r="A3" s="261">
        <v>1</v>
      </c>
      <c r="B3" s="260">
        <v>16.850000000000001</v>
      </c>
      <c r="C3" s="259">
        <v>4.09</v>
      </c>
      <c r="D3" s="240"/>
      <c r="E3" s="240"/>
      <c r="F3" s="113"/>
      <c r="G3" s="260">
        <v>26.75</v>
      </c>
      <c r="H3" s="259">
        <v>4.1399999999999997</v>
      </c>
      <c r="I3" s="240"/>
      <c r="J3" s="113"/>
      <c r="K3" s="241">
        <v>7.0000000000000007E-2</v>
      </c>
      <c r="L3" s="240">
        <v>4.04</v>
      </c>
      <c r="M3" s="241"/>
      <c r="N3" s="240"/>
      <c r="O3" s="113"/>
      <c r="P3" s="260">
        <v>15.93</v>
      </c>
      <c r="Q3" s="259">
        <v>4.1100000000000003</v>
      </c>
      <c r="R3" s="241"/>
      <c r="S3" s="240"/>
      <c r="T3" s="113"/>
      <c r="U3" s="260">
        <v>14.88</v>
      </c>
      <c r="V3" s="259">
        <v>4.13</v>
      </c>
      <c r="W3" s="241"/>
      <c r="X3" s="240"/>
      <c r="Y3" s="113"/>
      <c r="Z3" s="260">
        <v>15.61</v>
      </c>
      <c r="AA3" s="259">
        <v>4.13</v>
      </c>
      <c r="AB3" s="241"/>
      <c r="AC3" s="240"/>
      <c r="AD3" s="113"/>
      <c r="AE3" s="241">
        <v>0.09</v>
      </c>
      <c r="AF3" s="240">
        <v>4.0599999999999996</v>
      </c>
      <c r="AG3" s="114"/>
      <c r="AH3" s="24"/>
      <c r="AI3" s="139"/>
      <c r="AJ3" s="241"/>
      <c r="AK3" s="222" t="s">
        <v>1</v>
      </c>
      <c r="AL3" s="105" t="s">
        <v>2</v>
      </c>
      <c r="AM3" s="222" t="s">
        <v>4</v>
      </c>
      <c r="AN3" s="105" t="s">
        <v>16</v>
      </c>
      <c r="AO3" s="222" t="s">
        <v>5</v>
      </c>
      <c r="AP3" s="222" t="s">
        <v>6</v>
      </c>
      <c r="AR3" s="53"/>
    </row>
    <row r="4" spans="1:49" s="25" customFormat="1" ht="15.75" thickBot="1" x14ac:dyDescent="0.3">
      <c r="A4" s="261"/>
      <c r="B4" s="260"/>
      <c r="C4" s="259"/>
      <c r="D4" s="240">
        <f>B3-D5</f>
        <v>16.47</v>
      </c>
      <c r="E4" s="54" t="s">
        <v>34</v>
      </c>
      <c r="F4" s="113"/>
      <c r="G4" s="260"/>
      <c r="H4" s="259"/>
      <c r="I4" s="240"/>
      <c r="J4" s="113"/>
      <c r="K4" s="241">
        <v>16.63</v>
      </c>
      <c r="L4" s="240">
        <v>4.16</v>
      </c>
      <c r="M4" s="241">
        <f>K4</f>
        <v>16.63</v>
      </c>
      <c r="N4" s="54" t="s">
        <v>34</v>
      </c>
      <c r="O4" s="113"/>
      <c r="P4" s="260"/>
      <c r="Q4" s="259"/>
      <c r="R4" s="241">
        <f>AB4</f>
        <v>15.61</v>
      </c>
      <c r="S4" s="54" t="s">
        <v>34</v>
      </c>
      <c r="T4" s="113"/>
      <c r="U4" s="260"/>
      <c r="V4" s="259"/>
      <c r="W4" s="241">
        <f>U3-W5</f>
        <v>14.5</v>
      </c>
      <c r="X4" s="54" t="s">
        <v>34</v>
      </c>
      <c r="Y4" s="113"/>
      <c r="Z4" s="260"/>
      <c r="AA4" s="259"/>
      <c r="AB4" s="241">
        <f>Z3</f>
        <v>15.61</v>
      </c>
      <c r="AC4" s="54" t="s">
        <v>34</v>
      </c>
      <c r="AD4" s="113"/>
      <c r="AE4" s="241">
        <v>13.9</v>
      </c>
      <c r="AF4" s="240">
        <v>4.18</v>
      </c>
      <c r="AG4" s="114">
        <f>AE4</f>
        <v>13.9</v>
      </c>
      <c r="AH4" s="54" t="s">
        <v>34</v>
      </c>
      <c r="AI4" s="139"/>
      <c r="AJ4" s="160" t="s">
        <v>32</v>
      </c>
      <c r="AK4" s="19">
        <f>D5+D47+D73+D74+D88+D108+D104+D109+D146+D148+D174</f>
        <v>22.220000000000002</v>
      </c>
      <c r="AL4" s="19">
        <f>M5+M47+M73+M74+M88+M108+M104+M109+M146+M148+M174</f>
        <v>25.924999999999997</v>
      </c>
      <c r="AM4" s="19">
        <f>R5+R47+R73+R74+R104+R109+R148+R174+R72+R88+R92+R71</f>
        <v>22.833333333333336</v>
      </c>
      <c r="AN4" s="19">
        <f>W5+W47+W46+W72+W73+W74+W88+W92+W104+W109+W148+W174+W71</f>
        <v>23.27</v>
      </c>
      <c r="AO4" s="19">
        <f>AB5+AB47+AB73+AB74+AB104+AB109+AB148+AB174+AB72+AB88+AB46</f>
        <v>25.520000000000003</v>
      </c>
      <c r="AP4" s="241">
        <f>AG5+AG11+AG18+AG47+AG73+AG74+AG104+AG109+AG148+AG174</f>
        <v>45.629999999999995</v>
      </c>
      <c r="AQ4" s="160">
        <f>AVERAGE(AK4:AP4)</f>
        <v>27.566388888888884</v>
      </c>
      <c r="AR4" s="111"/>
    </row>
    <row r="5" spans="1:49" s="25" customFormat="1" x14ac:dyDescent="0.25">
      <c r="A5" s="261"/>
      <c r="B5" s="260"/>
      <c r="C5" s="259"/>
      <c r="D5" s="241">
        <f>R5</f>
        <v>0.38000000000000078</v>
      </c>
      <c r="E5" s="80" t="s">
        <v>28</v>
      </c>
      <c r="F5" s="113"/>
      <c r="G5" s="241">
        <v>0.33</v>
      </c>
      <c r="H5" s="240">
        <v>4.32</v>
      </c>
      <c r="I5" s="116"/>
      <c r="J5" s="113"/>
      <c r="K5" s="241">
        <v>0.45</v>
      </c>
      <c r="L5" s="240">
        <v>4.28</v>
      </c>
      <c r="M5" s="241">
        <f>K5</f>
        <v>0.45</v>
      </c>
      <c r="N5" s="80" t="s">
        <v>28</v>
      </c>
      <c r="O5" s="113"/>
      <c r="P5" s="241">
        <v>0.06</v>
      </c>
      <c r="Q5" s="240">
        <v>4.3</v>
      </c>
      <c r="R5" s="241">
        <f>P3+P5-R4</f>
        <v>0.38000000000000078</v>
      </c>
      <c r="S5" s="80" t="s">
        <v>28</v>
      </c>
      <c r="T5" s="113"/>
      <c r="U5" s="260"/>
      <c r="V5" s="259"/>
      <c r="W5" s="241">
        <f>R5</f>
        <v>0.38000000000000078</v>
      </c>
      <c r="X5" s="80" t="s">
        <v>28</v>
      </c>
      <c r="Y5" s="113"/>
      <c r="Z5" s="241">
        <v>0.43</v>
      </c>
      <c r="AA5" s="240">
        <v>4.25</v>
      </c>
      <c r="AB5" s="241">
        <f>Z5</f>
        <v>0.43</v>
      </c>
      <c r="AC5" s="80" t="s">
        <v>28</v>
      </c>
      <c r="AD5" s="113"/>
      <c r="AE5" s="241">
        <v>7.06</v>
      </c>
      <c r="AF5" s="240">
        <v>4.32</v>
      </c>
      <c r="AG5" s="26">
        <f>AE5</f>
        <v>7.06</v>
      </c>
      <c r="AH5" s="80" t="s">
        <v>28</v>
      </c>
      <c r="AI5" s="139"/>
      <c r="AJ5" s="161" t="s">
        <v>97</v>
      </c>
      <c r="AK5" s="19">
        <f>D12+D57+D94+D170+D111</f>
        <v>2.1025</v>
      </c>
      <c r="AL5" s="19">
        <f>M12+M57+M94+M170+M111</f>
        <v>2.5925000000000002</v>
      </c>
      <c r="AM5" s="19">
        <f>R12+R57+R94+R124</f>
        <v>2.1100000000000003</v>
      </c>
      <c r="AN5" s="19">
        <f>W12+W57+W94+W124</f>
        <v>2.0900000000000003</v>
      </c>
      <c r="AO5" s="19">
        <f>AB12+AB57+AB94</f>
        <v>1.9900000000000002</v>
      </c>
      <c r="AP5" s="245">
        <f>AG12+AG57+AG93+AG19</f>
        <v>11.799999999999999</v>
      </c>
      <c r="AQ5" s="161">
        <f>AVERAGE(AK5:AO5)</f>
        <v>2.1770000000000005</v>
      </c>
      <c r="AR5" s="168">
        <f>AQ4+AQ5</f>
        <v>29.743388888888884</v>
      </c>
      <c r="AS5" s="169" t="s">
        <v>292</v>
      </c>
      <c r="AT5" s="111"/>
      <c r="AV5" s="174" t="s">
        <v>287</v>
      </c>
      <c r="AW5" s="175"/>
    </row>
    <row r="6" spans="1:49" s="25" customFormat="1" x14ac:dyDescent="0.25">
      <c r="A6" s="242">
        <v>2</v>
      </c>
      <c r="B6" s="241">
        <v>0.03</v>
      </c>
      <c r="C6" s="240">
        <v>4.4000000000000004</v>
      </c>
      <c r="D6" s="240"/>
      <c r="E6" s="49"/>
      <c r="F6" s="113"/>
      <c r="G6" s="241">
        <v>0.01</v>
      </c>
      <c r="H6" s="240">
        <v>4.43</v>
      </c>
      <c r="I6" s="240"/>
      <c r="J6" s="113"/>
      <c r="K6" s="241">
        <v>0.03</v>
      </c>
      <c r="L6" s="240">
        <v>4.37</v>
      </c>
      <c r="M6" s="241"/>
      <c r="N6" s="49"/>
      <c r="O6" s="113"/>
      <c r="P6" s="241">
        <v>0.03</v>
      </c>
      <c r="Q6" s="240">
        <v>4.41</v>
      </c>
      <c r="R6" s="241"/>
      <c r="S6" s="240"/>
      <c r="T6" s="113"/>
      <c r="U6" s="260">
        <v>0.19</v>
      </c>
      <c r="V6" s="259">
        <v>4.4400000000000004</v>
      </c>
      <c r="W6" s="241"/>
      <c r="X6" s="240"/>
      <c r="Y6" s="113"/>
      <c r="Z6" s="241">
        <v>0.02</v>
      </c>
      <c r="AA6" s="240">
        <v>4.3600000000000003</v>
      </c>
      <c r="AB6" s="241"/>
      <c r="AC6" s="240"/>
      <c r="AD6" s="113"/>
      <c r="AE6" s="241">
        <v>0.16</v>
      </c>
      <c r="AF6" s="240">
        <v>4.41</v>
      </c>
      <c r="AG6" s="26"/>
      <c r="AH6" s="55"/>
      <c r="AI6" s="140"/>
      <c r="AJ6" s="162" t="s">
        <v>122</v>
      </c>
      <c r="AK6" s="19"/>
      <c r="AL6" s="19"/>
      <c r="AM6" s="19"/>
      <c r="AN6" s="19"/>
      <c r="AO6" s="19"/>
      <c r="AP6" s="26"/>
      <c r="AQ6" s="162">
        <v>0</v>
      </c>
      <c r="AR6" s="111"/>
      <c r="AS6" s="111"/>
      <c r="AT6" s="111"/>
      <c r="AV6" s="176" t="s">
        <v>288</v>
      </c>
      <c r="AW6" s="177"/>
    </row>
    <row r="7" spans="1:49" s="25" customFormat="1" x14ac:dyDescent="0.25">
      <c r="A7" s="261">
        <v>3</v>
      </c>
      <c r="B7" s="260">
        <v>0.01</v>
      </c>
      <c r="C7" s="259">
        <v>4.4800000000000004</v>
      </c>
      <c r="D7" s="240"/>
      <c r="E7" s="240"/>
      <c r="F7" s="113"/>
      <c r="G7" s="260">
        <v>0.11</v>
      </c>
      <c r="H7" s="259">
        <v>4.46</v>
      </c>
      <c r="I7" s="240"/>
      <c r="J7" s="113"/>
      <c r="K7" s="260">
        <v>0.11</v>
      </c>
      <c r="L7" s="259">
        <v>4.5</v>
      </c>
      <c r="M7" s="241"/>
      <c r="N7" s="240"/>
      <c r="O7" s="113"/>
      <c r="P7" s="260">
        <v>0.01</v>
      </c>
      <c r="Q7" s="259">
        <v>4.49</v>
      </c>
      <c r="R7" s="241"/>
      <c r="S7" s="240"/>
      <c r="T7" s="113"/>
      <c r="U7" s="260"/>
      <c r="V7" s="259"/>
      <c r="W7" s="241"/>
      <c r="X7" s="240"/>
      <c r="Y7" s="113"/>
      <c r="Z7" s="260">
        <v>0.03</v>
      </c>
      <c r="AA7" s="259">
        <v>4.4800000000000004</v>
      </c>
      <c r="AB7" s="241"/>
      <c r="AC7" s="240"/>
      <c r="AD7" s="113"/>
      <c r="AE7" s="260">
        <v>0.08</v>
      </c>
      <c r="AF7" s="259">
        <v>4.55</v>
      </c>
      <c r="AG7" s="26"/>
      <c r="AH7" s="24"/>
      <c r="AI7" s="139"/>
      <c r="AJ7" s="162" t="s">
        <v>124</v>
      </c>
      <c r="AK7" s="19">
        <f>D92</f>
        <v>0.1</v>
      </c>
      <c r="AL7" s="19">
        <f>M92</f>
        <v>0.1</v>
      </c>
      <c r="AM7" s="19">
        <f>R38</f>
        <v>0.1</v>
      </c>
      <c r="AN7" s="19">
        <f>W38</f>
        <v>0.1</v>
      </c>
      <c r="AO7" s="19">
        <f>AB21</f>
        <v>0.1</v>
      </c>
      <c r="AP7" s="241">
        <f>AG21</f>
        <v>0.01</v>
      </c>
      <c r="AQ7" s="162">
        <f t="shared" ref="AQ7:AQ13" si="0">AVERAGE(AK7:AO7)</f>
        <v>0.1</v>
      </c>
      <c r="AR7" s="111"/>
      <c r="AS7" s="111"/>
      <c r="AT7" s="111"/>
      <c r="AV7" s="178" t="s">
        <v>289</v>
      </c>
      <c r="AW7" s="179"/>
    </row>
    <row r="8" spans="1:49" s="25" customFormat="1" x14ac:dyDescent="0.25">
      <c r="A8" s="261"/>
      <c r="B8" s="260"/>
      <c r="C8" s="259"/>
      <c r="D8" s="240"/>
      <c r="E8" s="240"/>
      <c r="F8" s="113"/>
      <c r="G8" s="260"/>
      <c r="H8" s="259"/>
      <c r="I8" s="240"/>
      <c r="J8" s="113"/>
      <c r="K8" s="260"/>
      <c r="L8" s="259"/>
      <c r="M8" s="241"/>
      <c r="N8" s="240"/>
      <c r="O8" s="113"/>
      <c r="P8" s="260"/>
      <c r="Q8" s="259"/>
      <c r="R8" s="241"/>
      <c r="S8" s="240"/>
      <c r="T8" s="113"/>
      <c r="U8" s="260"/>
      <c r="V8" s="259"/>
      <c r="W8" s="241"/>
      <c r="X8" s="240"/>
      <c r="Y8" s="113"/>
      <c r="Z8" s="260"/>
      <c r="AA8" s="259"/>
      <c r="AB8" s="241"/>
      <c r="AC8" s="240"/>
      <c r="AD8" s="113"/>
      <c r="AE8" s="260"/>
      <c r="AF8" s="259"/>
      <c r="AG8" s="26"/>
      <c r="AH8" s="24"/>
      <c r="AI8" s="139"/>
      <c r="AJ8" s="162" t="s">
        <v>31</v>
      </c>
      <c r="AK8" s="241">
        <f>D48+D22</f>
        <v>0.04</v>
      </c>
      <c r="AL8" s="241">
        <f>M48+M22</f>
        <v>0.06</v>
      </c>
      <c r="AM8" s="241">
        <f>R22+R48</f>
        <v>0.04</v>
      </c>
      <c r="AN8" s="241">
        <f>W22+W48</f>
        <v>0.04</v>
      </c>
      <c r="AO8" s="241">
        <f>AB22</f>
        <v>0.27</v>
      </c>
      <c r="AP8" s="241"/>
      <c r="AQ8" s="162">
        <f t="shared" si="0"/>
        <v>9.0000000000000011E-2</v>
      </c>
      <c r="AR8" s="111"/>
      <c r="AS8" s="169" t="s">
        <v>193</v>
      </c>
      <c r="AT8" s="111"/>
      <c r="AV8" s="180" t="s">
        <v>290</v>
      </c>
      <c r="AW8" s="181"/>
    </row>
    <row r="9" spans="1:49" s="25" customFormat="1" ht="15.75" thickBot="1" x14ac:dyDescent="0.3">
      <c r="A9" s="261"/>
      <c r="B9" s="260"/>
      <c r="C9" s="259"/>
      <c r="D9" s="240"/>
      <c r="E9" s="24"/>
      <c r="F9" s="113"/>
      <c r="G9" s="260"/>
      <c r="H9" s="259"/>
      <c r="I9" s="240"/>
      <c r="J9" s="113"/>
      <c r="K9" s="260"/>
      <c r="L9" s="259"/>
      <c r="M9" s="241"/>
      <c r="N9" s="24"/>
      <c r="O9" s="113"/>
      <c r="P9" s="260"/>
      <c r="Q9" s="259"/>
      <c r="R9" s="241"/>
      <c r="S9" s="240"/>
      <c r="T9" s="113"/>
      <c r="U9" s="260"/>
      <c r="V9" s="259"/>
      <c r="W9" s="241"/>
      <c r="X9" s="240"/>
      <c r="Y9" s="113"/>
      <c r="Z9" s="260"/>
      <c r="AA9" s="259"/>
      <c r="AB9" s="241"/>
      <c r="AC9" s="240"/>
      <c r="AD9" s="113"/>
      <c r="AE9" s="260"/>
      <c r="AF9" s="259"/>
      <c r="AG9" s="26"/>
      <c r="AH9" s="24"/>
      <c r="AI9" s="139"/>
      <c r="AJ9" s="162" t="s">
        <v>59</v>
      </c>
      <c r="AK9" s="19">
        <f>D35+D53</f>
        <v>0.13</v>
      </c>
      <c r="AL9" s="19">
        <f>M35+M53</f>
        <v>0.17666666666666667</v>
      </c>
      <c r="AM9" s="241">
        <f>R35+R53</f>
        <v>0.13</v>
      </c>
      <c r="AN9" s="241">
        <f>W35+W53</f>
        <v>0.13</v>
      </c>
      <c r="AO9" s="241">
        <f>AB31</f>
        <v>0.13</v>
      </c>
      <c r="AP9" s="241">
        <f>AG31</f>
        <v>0.02</v>
      </c>
      <c r="AQ9" s="162">
        <f t="shared" si="0"/>
        <v>0.13933333333333334</v>
      </c>
      <c r="AR9" s="170">
        <f>SUM(AQ6:AQ9)</f>
        <v>0.32933333333333337</v>
      </c>
      <c r="AS9" s="169" t="s">
        <v>293</v>
      </c>
      <c r="AT9" s="111"/>
      <c r="AV9" s="182" t="s">
        <v>291</v>
      </c>
      <c r="AW9" s="183"/>
    </row>
    <row r="10" spans="1:49" s="25" customFormat="1" x14ac:dyDescent="0.25">
      <c r="A10" s="261">
        <v>4</v>
      </c>
      <c r="B10" s="260">
        <v>0.84</v>
      </c>
      <c r="C10" s="259">
        <v>4.66</v>
      </c>
      <c r="D10" s="240"/>
      <c r="E10" s="16"/>
      <c r="F10" s="113"/>
      <c r="G10" s="241">
        <v>0.04</v>
      </c>
      <c r="H10" s="240">
        <v>4.6500000000000004</v>
      </c>
      <c r="I10" s="240"/>
      <c r="J10" s="113"/>
      <c r="K10" s="241">
        <v>0.06</v>
      </c>
      <c r="L10" s="240">
        <v>4.66</v>
      </c>
      <c r="M10" s="241"/>
      <c r="N10" s="16"/>
      <c r="O10" s="113"/>
      <c r="P10" s="241">
        <v>0.03</v>
      </c>
      <c r="Q10" s="240">
        <v>4.62</v>
      </c>
      <c r="R10" s="241"/>
      <c r="S10" s="16"/>
      <c r="T10" s="113"/>
      <c r="U10" s="260">
        <v>0.93</v>
      </c>
      <c r="V10" s="259">
        <v>4.6900000000000004</v>
      </c>
      <c r="W10" s="241"/>
      <c r="X10" s="16"/>
      <c r="Y10" s="113"/>
      <c r="Z10" s="241">
        <v>0.05</v>
      </c>
      <c r="AA10" s="240">
        <v>4.62</v>
      </c>
      <c r="AB10" s="241"/>
      <c r="AC10" s="19"/>
      <c r="AD10" s="113"/>
      <c r="AE10" s="241">
        <v>0.08</v>
      </c>
      <c r="AF10" s="240">
        <v>4.67</v>
      </c>
      <c r="AG10" s="26"/>
      <c r="AH10" s="24"/>
      <c r="AI10" s="139"/>
      <c r="AJ10" s="163" t="s">
        <v>29</v>
      </c>
      <c r="AK10" s="241">
        <f>D24+D49+D51+D76+D117+D131+D161+D182+D184+D196</f>
        <v>3.0233333333333334</v>
      </c>
      <c r="AL10" s="241">
        <f>M24+M49+M51+M76+M117+M131+M161+M182+M184</f>
        <v>3.333333333333333</v>
      </c>
      <c r="AM10" s="241">
        <f>R24+R49+R51+R76</f>
        <v>2.8</v>
      </c>
      <c r="AN10" s="245">
        <f>W24+W49+W51+W76</f>
        <v>3.23</v>
      </c>
      <c r="AO10" s="245">
        <f>AB24</f>
        <v>1.2799999999999994</v>
      </c>
      <c r="AP10" s="241"/>
      <c r="AQ10" s="163">
        <f t="shared" si="0"/>
        <v>2.7333333333333334</v>
      </c>
      <c r="AR10" s="111"/>
      <c r="AS10" s="111"/>
      <c r="AT10" s="111"/>
    </row>
    <row r="11" spans="1:49" s="25" customFormat="1" x14ac:dyDescent="0.25">
      <c r="A11" s="261"/>
      <c r="B11" s="260"/>
      <c r="C11" s="259"/>
      <c r="D11" s="240"/>
      <c r="E11" s="19"/>
      <c r="F11" s="113"/>
      <c r="G11" s="241">
        <v>0.03</v>
      </c>
      <c r="H11" s="240">
        <v>4.7</v>
      </c>
      <c r="I11" s="240"/>
      <c r="J11" s="113"/>
      <c r="K11" s="260">
        <v>0.87</v>
      </c>
      <c r="L11" s="259">
        <v>4.75</v>
      </c>
      <c r="M11" s="241"/>
      <c r="N11" s="19"/>
      <c r="O11" s="113"/>
      <c r="P11" s="260">
        <v>0.81</v>
      </c>
      <c r="Q11" s="259">
        <v>4.68</v>
      </c>
      <c r="R11" s="241"/>
      <c r="S11" s="240"/>
      <c r="T11" s="113"/>
      <c r="U11" s="260"/>
      <c r="V11" s="259"/>
      <c r="W11" s="241"/>
      <c r="X11" s="240"/>
      <c r="Y11" s="113"/>
      <c r="Z11" s="260">
        <v>0.81</v>
      </c>
      <c r="AA11" s="259">
        <v>4.72</v>
      </c>
      <c r="AB11" s="241"/>
      <c r="AC11" s="240"/>
      <c r="AD11" s="113"/>
      <c r="AE11" s="260">
        <v>27.33</v>
      </c>
      <c r="AF11" s="259">
        <v>4.79</v>
      </c>
      <c r="AG11" s="26">
        <f>AE11-AG12</f>
        <v>17.329999999999998</v>
      </c>
      <c r="AH11" s="109" t="s">
        <v>225</v>
      </c>
      <c r="AI11" s="139"/>
      <c r="AJ11" s="163" t="s">
        <v>58</v>
      </c>
      <c r="AK11" s="19">
        <f>D34+D65+D87+D113+D164+D192+D119</f>
        <v>1.9633333333333334</v>
      </c>
      <c r="AL11" s="19">
        <f>M34+M65+M87+M113+M164+M192+M119</f>
        <v>2.5266666666666668</v>
      </c>
      <c r="AM11" s="114">
        <f>R34+R65+R87</f>
        <v>1.6500000000000001</v>
      </c>
      <c r="AN11" s="114">
        <f>W34+W65+W87</f>
        <v>2.34</v>
      </c>
      <c r="AO11" s="114">
        <f>AB34</f>
        <v>1.5700000000000003</v>
      </c>
      <c r="AP11" s="241">
        <f>AG34</f>
        <v>0.02</v>
      </c>
      <c r="AQ11" s="163">
        <f t="shared" si="0"/>
        <v>2.0100000000000002</v>
      </c>
      <c r="AR11" s="111"/>
      <c r="AS11" s="111"/>
      <c r="AT11" s="111"/>
    </row>
    <row r="12" spans="1:49" s="25" customFormat="1" x14ac:dyDescent="0.25">
      <c r="A12" s="261"/>
      <c r="B12" s="260"/>
      <c r="C12" s="259"/>
      <c r="D12" s="240">
        <f>R12</f>
        <v>0.81</v>
      </c>
      <c r="E12" s="15" t="s">
        <v>19</v>
      </c>
      <c r="F12" s="113"/>
      <c r="G12" s="241">
        <v>0.04</v>
      </c>
      <c r="H12" s="240">
        <v>4.7300000000000004</v>
      </c>
      <c r="I12" s="240"/>
      <c r="J12" s="113"/>
      <c r="K12" s="260"/>
      <c r="L12" s="259"/>
      <c r="M12" s="241">
        <f>K11</f>
        <v>0.87</v>
      </c>
      <c r="N12" s="15" t="s">
        <v>19</v>
      </c>
      <c r="O12" s="113"/>
      <c r="P12" s="260"/>
      <c r="Q12" s="259"/>
      <c r="R12" s="241">
        <f>P11</f>
        <v>0.81</v>
      </c>
      <c r="S12" s="15" t="s">
        <v>19</v>
      </c>
      <c r="T12" s="113"/>
      <c r="U12" s="260"/>
      <c r="V12" s="259"/>
      <c r="W12" s="241">
        <f>U10-W10</f>
        <v>0.93</v>
      </c>
      <c r="X12" s="15" t="s">
        <v>19</v>
      </c>
      <c r="Y12" s="113"/>
      <c r="Z12" s="260"/>
      <c r="AA12" s="259"/>
      <c r="AB12" s="241">
        <f>Z11</f>
        <v>0.81</v>
      </c>
      <c r="AC12" s="15" t="s">
        <v>19</v>
      </c>
      <c r="AD12" s="113"/>
      <c r="AE12" s="260"/>
      <c r="AF12" s="259"/>
      <c r="AG12" s="16">
        <v>10</v>
      </c>
      <c r="AH12" s="15" t="s">
        <v>19</v>
      </c>
      <c r="AI12" s="139"/>
      <c r="AJ12" s="163" t="s">
        <v>18</v>
      </c>
      <c r="AK12" s="16">
        <f>D31+D58+D183+D83</f>
        <v>1.17</v>
      </c>
      <c r="AL12" s="16">
        <f>M31+M58+M183+M83</f>
        <v>1.42</v>
      </c>
      <c r="AM12" s="16">
        <f>R31+R58+R83</f>
        <v>0.83999999999999986</v>
      </c>
      <c r="AN12" s="16">
        <f>W31+W58+W83</f>
        <v>1.06</v>
      </c>
      <c r="AO12" s="16">
        <f>AB32</f>
        <v>1.21</v>
      </c>
      <c r="AP12" s="241">
        <f>AG32</f>
        <v>0.05</v>
      </c>
      <c r="AQ12" s="163">
        <f t="shared" si="0"/>
        <v>1.1400000000000001</v>
      </c>
      <c r="AR12" s="111"/>
      <c r="AS12" s="111"/>
      <c r="AT12" s="111"/>
    </row>
    <row r="13" spans="1:49" s="25" customFormat="1" x14ac:dyDescent="0.25">
      <c r="A13" s="261">
        <v>5</v>
      </c>
      <c r="B13" s="260">
        <v>8.02</v>
      </c>
      <c r="C13" s="259">
        <v>4.78</v>
      </c>
      <c r="D13" s="240">
        <f>B13</f>
        <v>8.02</v>
      </c>
      <c r="E13" s="54" t="s">
        <v>34</v>
      </c>
      <c r="F13" s="113"/>
      <c r="G13" s="260">
        <v>12.72</v>
      </c>
      <c r="H13" s="259">
        <v>4.8499999999999996</v>
      </c>
      <c r="I13" s="240"/>
      <c r="J13" s="113"/>
      <c r="K13" s="260">
        <v>7.34</v>
      </c>
      <c r="L13" s="259">
        <v>4.88</v>
      </c>
      <c r="M13" s="241">
        <f>K13</f>
        <v>7.34</v>
      </c>
      <c r="N13" s="54" t="s">
        <v>34</v>
      </c>
      <c r="O13" s="113"/>
      <c r="P13" s="260">
        <v>7.43</v>
      </c>
      <c r="Q13" s="259">
        <v>4.8</v>
      </c>
      <c r="R13" s="241">
        <f>P13</f>
        <v>7.43</v>
      </c>
      <c r="S13" s="54" t="s">
        <v>34</v>
      </c>
      <c r="T13" s="113"/>
      <c r="U13" s="241">
        <v>7.05</v>
      </c>
      <c r="V13" s="240">
        <v>4.83</v>
      </c>
      <c r="W13" s="241">
        <f>U13</f>
        <v>7.05</v>
      </c>
      <c r="X13" s="54" t="s">
        <v>34</v>
      </c>
      <c r="Y13" s="113"/>
      <c r="Z13" s="241">
        <v>7.83</v>
      </c>
      <c r="AA13" s="240">
        <v>4.84</v>
      </c>
      <c r="AB13" s="241">
        <f>Z13</f>
        <v>7.83</v>
      </c>
      <c r="AC13" s="54" t="s">
        <v>34</v>
      </c>
      <c r="AD13" s="113"/>
      <c r="AE13" s="241">
        <v>5.79</v>
      </c>
      <c r="AF13" s="240">
        <v>4.91</v>
      </c>
      <c r="AG13" s="26">
        <f>AE13</f>
        <v>5.79</v>
      </c>
      <c r="AH13" s="54" t="s">
        <v>34</v>
      </c>
      <c r="AI13" s="139"/>
      <c r="AJ13" s="163" t="s">
        <v>60</v>
      </c>
      <c r="AK13" s="16">
        <f>D38+D66+D95+D102+D127+D137+D178</f>
        <v>0.76</v>
      </c>
      <c r="AL13" s="16">
        <f>M38+M66+M95+M102+M127+M137+M178</f>
        <v>1.04</v>
      </c>
      <c r="AM13" s="16">
        <f>R66+R95+R102</f>
        <v>0.73</v>
      </c>
      <c r="AN13" s="16">
        <f>W66+W95+W102</f>
        <v>0.69000000000000006</v>
      </c>
      <c r="AO13" s="16">
        <f>AB40</f>
        <v>0.5</v>
      </c>
      <c r="AP13" s="241">
        <f>AG40</f>
        <v>0.01</v>
      </c>
      <c r="AQ13" s="163">
        <f t="shared" si="0"/>
        <v>0.74399999999999999</v>
      </c>
      <c r="AR13" s="171">
        <f>SUM(AQ10:AQ13)</f>
        <v>6.6273333333333344</v>
      </c>
      <c r="AS13" s="169" t="s">
        <v>296</v>
      </c>
      <c r="AT13" s="111"/>
    </row>
    <row r="14" spans="1:49" s="25" customFormat="1" x14ac:dyDescent="0.25">
      <c r="A14" s="261"/>
      <c r="B14" s="260"/>
      <c r="C14" s="259"/>
      <c r="D14" s="240"/>
      <c r="E14" s="19"/>
      <c r="F14" s="113"/>
      <c r="G14" s="260"/>
      <c r="H14" s="259"/>
      <c r="I14" s="240"/>
      <c r="J14" s="113"/>
      <c r="K14" s="260"/>
      <c r="L14" s="259"/>
      <c r="M14" s="241"/>
      <c r="N14" s="19"/>
      <c r="O14" s="113"/>
      <c r="P14" s="260"/>
      <c r="Q14" s="259"/>
      <c r="R14" s="241"/>
      <c r="S14" s="240"/>
      <c r="T14" s="113"/>
      <c r="U14" s="241">
        <v>0.03</v>
      </c>
      <c r="V14" s="240">
        <v>5.01</v>
      </c>
      <c r="W14" s="241"/>
      <c r="X14" s="240"/>
      <c r="Y14" s="113"/>
      <c r="Z14" s="241">
        <v>0</v>
      </c>
      <c r="AA14" s="240">
        <v>5.01</v>
      </c>
      <c r="AB14" s="241"/>
      <c r="AC14" s="240"/>
      <c r="AD14" s="113"/>
      <c r="AE14" s="260">
        <v>0.64</v>
      </c>
      <c r="AF14" s="259">
        <v>5.17</v>
      </c>
      <c r="AG14" s="26"/>
      <c r="AH14" s="240"/>
      <c r="AI14" s="139"/>
      <c r="AJ14" s="164" t="s">
        <v>27</v>
      </c>
      <c r="AK14" s="16">
        <f>D33+D59+D97+D121+D122+D123+D150+D155+D168+D180+D202+D206+D217+D220+D226</f>
        <v>3.6441666666666679</v>
      </c>
      <c r="AL14" s="16">
        <f>M33+M59+M97+M121+M122+M123+M150+M155+M171+M180+M202+M206+M217+M220+M226</f>
        <v>3.2041666666666679</v>
      </c>
      <c r="AM14" s="16">
        <f>R33+R59+R97+R121+R122+R123</f>
        <v>2.3200000000000003</v>
      </c>
      <c r="AN14" s="19">
        <f>W33+W59+W97+W121+W122</f>
        <v>2.4299999999999997</v>
      </c>
      <c r="AO14" s="16">
        <f>AB33</f>
        <v>2.2999999999999998</v>
      </c>
      <c r="AP14" s="241">
        <f>AG33</f>
        <v>0.13</v>
      </c>
      <c r="AQ14" s="164">
        <f>AVERAGE(AK14:AO14)</f>
        <v>2.7796666666666674</v>
      </c>
      <c r="AR14" s="111"/>
      <c r="AS14" s="111"/>
      <c r="AT14" s="111"/>
    </row>
    <row r="15" spans="1:49" s="25" customFormat="1" x14ac:dyDescent="0.25">
      <c r="A15" s="261">
        <v>6</v>
      </c>
      <c r="B15" s="260">
        <v>7.0000000000000007E-2</v>
      </c>
      <c r="C15" s="259">
        <v>5.04</v>
      </c>
      <c r="D15" s="240"/>
      <c r="E15" s="240"/>
      <c r="F15" s="113"/>
      <c r="G15" s="241">
        <v>0.06</v>
      </c>
      <c r="H15" s="240">
        <v>5.05</v>
      </c>
      <c r="I15" s="240"/>
      <c r="J15" s="113"/>
      <c r="K15" s="241">
        <v>0.03</v>
      </c>
      <c r="L15" s="240">
        <v>5.05</v>
      </c>
      <c r="M15" s="241"/>
      <c r="N15" s="240"/>
      <c r="O15" s="113"/>
      <c r="P15" s="241">
        <v>0.02</v>
      </c>
      <c r="Q15" s="240">
        <v>5.03</v>
      </c>
      <c r="R15" s="241"/>
      <c r="S15" s="240"/>
      <c r="T15" s="113"/>
      <c r="U15" s="260">
        <v>0.12</v>
      </c>
      <c r="V15" s="259">
        <v>5.09</v>
      </c>
      <c r="W15" s="241"/>
      <c r="X15" s="240"/>
      <c r="Y15" s="113"/>
      <c r="Z15" s="260">
        <v>0.05</v>
      </c>
      <c r="AA15" s="259">
        <v>5.08</v>
      </c>
      <c r="AB15" s="241"/>
      <c r="AC15" s="240"/>
      <c r="AD15" s="113"/>
      <c r="AE15" s="260"/>
      <c r="AF15" s="259"/>
      <c r="AG15" s="26"/>
      <c r="AH15" s="24"/>
      <c r="AI15" s="139"/>
      <c r="AJ15" s="164" t="s">
        <v>61</v>
      </c>
      <c r="AK15" s="19">
        <f>D39+D98+D115+D143+D176+D198+D203+D227</f>
        <v>3.2324999999999999</v>
      </c>
      <c r="AL15" s="19">
        <f>M39+M98+M115+M143+M176+M198+M203+M227</f>
        <v>3.1866666666666661</v>
      </c>
      <c r="AM15" s="19">
        <f>R39+R98+R115+R141+R198</f>
        <v>3.2250000000000001</v>
      </c>
      <c r="AN15" s="19">
        <f>W41+W98+W115+W141</f>
        <v>3.7799999999999994</v>
      </c>
      <c r="AO15" s="19">
        <f>AB41</f>
        <v>3.6099999999999985</v>
      </c>
      <c r="AP15" s="241">
        <f>AG41</f>
        <v>0.02</v>
      </c>
      <c r="AQ15" s="164">
        <f t="shared" ref="AQ15:AQ20" si="1">AVERAGE(AK15:AO15)</f>
        <v>3.4068333333333327</v>
      </c>
      <c r="AR15" s="111"/>
      <c r="AS15" s="111"/>
      <c r="AT15" s="111"/>
    </row>
    <row r="16" spans="1:49" s="25" customFormat="1" x14ac:dyDescent="0.25">
      <c r="A16" s="261"/>
      <c r="B16" s="260"/>
      <c r="C16" s="259"/>
      <c r="D16" s="240"/>
      <c r="E16" s="240"/>
      <c r="F16" s="113"/>
      <c r="G16" s="260">
        <v>0.1</v>
      </c>
      <c r="H16" s="259">
        <v>5.14</v>
      </c>
      <c r="I16" s="240"/>
      <c r="J16" s="113"/>
      <c r="K16" s="260">
        <v>0.11</v>
      </c>
      <c r="L16" s="259">
        <v>5.15</v>
      </c>
      <c r="M16" s="241"/>
      <c r="N16" s="240"/>
      <c r="O16" s="113"/>
      <c r="P16" s="241">
        <v>0.06</v>
      </c>
      <c r="Q16" s="240">
        <v>5.0599999999999996</v>
      </c>
      <c r="R16" s="241"/>
      <c r="S16" s="240"/>
      <c r="T16" s="113"/>
      <c r="U16" s="260"/>
      <c r="V16" s="259"/>
      <c r="W16" s="241"/>
      <c r="X16" s="240"/>
      <c r="Y16" s="113"/>
      <c r="Z16" s="260"/>
      <c r="AA16" s="259"/>
      <c r="AB16" s="241"/>
      <c r="AC16" s="240"/>
      <c r="AD16" s="113"/>
      <c r="AE16" s="260"/>
      <c r="AF16" s="259"/>
      <c r="AG16" s="26"/>
      <c r="AH16" s="56"/>
      <c r="AI16" s="139"/>
      <c r="AJ16" s="164" t="s">
        <v>21</v>
      </c>
      <c r="AK16" s="19">
        <f>D50+D133+D163</f>
        <v>0.1</v>
      </c>
      <c r="AL16" s="19">
        <f>M50+M133+M163</f>
        <v>0.1</v>
      </c>
      <c r="AM16" s="19">
        <f>R50+R77+R133</f>
        <v>0.14000000000000001</v>
      </c>
      <c r="AN16" s="19">
        <f>W50+W77+W133</f>
        <v>0.24000000000000002</v>
      </c>
      <c r="AO16" s="19">
        <f>AB38</f>
        <v>0.1</v>
      </c>
      <c r="AP16" s="241"/>
      <c r="AQ16" s="164">
        <f t="shared" si="1"/>
        <v>0.13600000000000001</v>
      </c>
      <c r="AR16" s="111"/>
      <c r="AS16" s="111"/>
      <c r="AT16" s="111"/>
    </row>
    <row r="17" spans="1:46" s="25" customFormat="1" x14ac:dyDescent="0.25">
      <c r="A17" s="261"/>
      <c r="B17" s="260"/>
      <c r="C17" s="259"/>
      <c r="D17" s="240"/>
      <c r="E17" s="240"/>
      <c r="F17" s="115"/>
      <c r="G17" s="260"/>
      <c r="H17" s="259"/>
      <c r="I17" s="240"/>
      <c r="J17" s="115"/>
      <c r="K17" s="260"/>
      <c r="L17" s="259"/>
      <c r="M17" s="241"/>
      <c r="N17" s="240"/>
      <c r="O17" s="115"/>
      <c r="P17" s="241">
        <v>0.01</v>
      </c>
      <c r="Q17" s="240">
        <v>5.17</v>
      </c>
      <c r="R17" s="241"/>
      <c r="S17" s="240"/>
      <c r="T17" s="115"/>
      <c r="U17" s="260"/>
      <c r="V17" s="259"/>
      <c r="W17" s="241"/>
      <c r="X17" s="240"/>
      <c r="Y17" s="115"/>
      <c r="Z17" s="260"/>
      <c r="AA17" s="259"/>
      <c r="AB17" s="241"/>
      <c r="AC17" s="240"/>
      <c r="AD17" s="115"/>
      <c r="AE17" s="260"/>
      <c r="AF17" s="259"/>
      <c r="AG17" s="26"/>
      <c r="AH17" s="24"/>
      <c r="AI17" s="139"/>
      <c r="AJ17" s="164" t="s">
        <v>101</v>
      </c>
      <c r="AK17" s="19">
        <f>D61+D147+D205</f>
        <v>0.83000000000000007</v>
      </c>
      <c r="AL17" s="19">
        <f>M61+M147+M205</f>
        <v>0.83000000000000007</v>
      </c>
      <c r="AM17" s="19">
        <f>R61+R147</f>
        <v>0.83000000000000007</v>
      </c>
      <c r="AN17" s="19">
        <f>W61+W147</f>
        <v>0.52000000000000013</v>
      </c>
      <c r="AO17" s="19">
        <f>AB61</f>
        <v>0.51000000000000012</v>
      </c>
      <c r="AP17" s="241">
        <f>AG61</f>
        <v>9.0000000000000011E-2</v>
      </c>
      <c r="AQ17" s="164">
        <f t="shared" si="1"/>
        <v>0.70400000000000007</v>
      </c>
      <c r="AR17" s="172">
        <f>SUM(AQ14:AQ17)</f>
        <v>7.0265000000000004</v>
      </c>
      <c r="AS17" s="169" t="s">
        <v>295</v>
      </c>
      <c r="AT17" s="111"/>
    </row>
    <row r="18" spans="1:46" s="25" customFormat="1" x14ac:dyDescent="0.25">
      <c r="A18" s="261">
        <v>7</v>
      </c>
      <c r="B18" s="260">
        <v>0.25</v>
      </c>
      <c r="C18" s="259">
        <v>5.22</v>
      </c>
      <c r="D18" s="240"/>
      <c r="E18" s="240"/>
      <c r="F18" s="113"/>
      <c r="G18" s="260">
        <v>0.05</v>
      </c>
      <c r="H18" s="259">
        <v>5.24</v>
      </c>
      <c r="I18" s="240"/>
      <c r="J18" s="113"/>
      <c r="K18" s="260">
        <v>0.03</v>
      </c>
      <c r="L18" s="259">
        <v>5.26</v>
      </c>
      <c r="M18" s="241"/>
      <c r="N18" s="240"/>
      <c r="O18" s="113"/>
      <c r="P18" s="260">
        <v>0.22</v>
      </c>
      <c r="Q18" s="259">
        <v>5.25</v>
      </c>
      <c r="R18" s="241"/>
      <c r="S18" s="240"/>
      <c r="T18" s="113"/>
      <c r="U18" s="260">
        <v>2.76</v>
      </c>
      <c r="V18" s="259">
        <v>5.33</v>
      </c>
      <c r="W18" s="241"/>
      <c r="X18" s="240"/>
      <c r="Y18" s="113"/>
      <c r="Z18" s="260">
        <v>0.37</v>
      </c>
      <c r="AA18" s="259">
        <v>5.29</v>
      </c>
      <c r="AB18" s="241"/>
      <c r="AC18" s="240"/>
      <c r="AD18" s="113"/>
      <c r="AE18" s="260">
        <v>0.63</v>
      </c>
      <c r="AF18" s="259">
        <v>5.28</v>
      </c>
      <c r="AG18" s="26">
        <f>AE14</f>
        <v>0.64</v>
      </c>
      <c r="AH18" s="80" t="s">
        <v>30</v>
      </c>
      <c r="AI18" s="139"/>
      <c r="AJ18" s="165" t="s">
        <v>22</v>
      </c>
      <c r="AK18" s="19">
        <f>D110+D191+D160</f>
        <v>1.33</v>
      </c>
      <c r="AL18" s="19">
        <f>M110+M191+M160</f>
        <v>0.94</v>
      </c>
      <c r="AM18" s="19">
        <f>+R160+R165+R85</f>
        <v>1.33</v>
      </c>
      <c r="AN18" s="19">
        <f>W165+W85+W62</f>
        <v>1.05</v>
      </c>
      <c r="AO18" s="19">
        <f>AB62</f>
        <v>1</v>
      </c>
      <c r="AP18" s="26"/>
      <c r="AQ18" s="165">
        <f t="shared" si="1"/>
        <v>1.1300000000000001</v>
      </c>
      <c r="AR18" s="111"/>
      <c r="AS18" s="111"/>
      <c r="AT18" s="111"/>
    </row>
    <row r="19" spans="1:46" s="25" customFormat="1" x14ac:dyDescent="0.25">
      <c r="A19" s="261"/>
      <c r="B19" s="260"/>
      <c r="C19" s="259"/>
      <c r="D19" s="240"/>
      <c r="E19" s="19"/>
      <c r="F19" s="113"/>
      <c r="G19" s="260"/>
      <c r="H19" s="259"/>
      <c r="I19" s="240"/>
      <c r="J19" s="113"/>
      <c r="K19" s="260"/>
      <c r="L19" s="259"/>
      <c r="M19" s="241"/>
      <c r="N19" s="19"/>
      <c r="O19" s="113"/>
      <c r="P19" s="260"/>
      <c r="Q19" s="259"/>
      <c r="R19" s="241"/>
      <c r="S19" s="19"/>
      <c r="T19" s="113"/>
      <c r="U19" s="260"/>
      <c r="V19" s="259"/>
      <c r="W19" s="241"/>
      <c r="X19" s="19"/>
      <c r="Y19" s="113"/>
      <c r="Z19" s="260"/>
      <c r="AA19" s="259"/>
      <c r="AB19" s="241"/>
      <c r="AC19" s="19"/>
      <c r="AD19" s="113"/>
      <c r="AE19" s="260"/>
      <c r="AF19" s="259"/>
      <c r="AG19" s="26">
        <v>0.62</v>
      </c>
      <c r="AH19" s="74" t="s">
        <v>332</v>
      </c>
      <c r="AI19" s="139"/>
      <c r="AJ19" s="165" t="s">
        <v>63</v>
      </c>
      <c r="AK19" s="19">
        <f>D70+D188</f>
        <v>0.38</v>
      </c>
      <c r="AL19" s="19">
        <f>M70+M188</f>
        <v>0.42000000000000004</v>
      </c>
      <c r="AM19" s="19">
        <f>R70+R188</f>
        <v>0.19</v>
      </c>
      <c r="AN19" s="19">
        <f>W70+W188</f>
        <v>0.85000000000000009</v>
      </c>
      <c r="AO19" s="19">
        <f>AB70</f>
        <v>0.23</v>
      </c>
      <c r="AP19" s="26">
        <f>AG70</f>
        <v>0.2</v>
      </c>
      <c r="AQ19" s="165">
        <f t="shared" si="1"/>
        <v>0.41400000000000003</v>
      </c>
      <c r="AR19" s="111"/>
      <c r="AS19" s="111"/>
      <c r="AT19" s="111"/>
    </row>
    <row r="20" spans="1:46" s="25" customFormat="1" x14ac:dyDescent="0.25">
      <c r="A20" s="261"/>
      <c r="B20" s="260"/>
      <c r="C20" s="259"/>
      <c r="D20" s="240"/>
      <c r="E20" s="240"/>
      <c r="F20" s="113"/>
      <c r="G20" s="260">
        <v>0.18</v>
      </c>
      <c r="H20" s="259">
        <v>5.33</v>
      </c>
      <c r="I20" s="240"/>
      <c r="J20" s="113"/>
      <c r="K20" s="260">
        <v>0.13</v>
      </c>
      <c r="L20" s="259">
        <v>5.35</v>
      </c>
      <c r="M20" s="241"/>
      <c r="N20" s="240"/>
      <c r="O20" s="113"/>
      <c r="P20" s="260"/>
      <c r="Q20" s="259"/>
      <c r="R20" s="241"/>
      <c r="S20" s="240"/>
      <c r="T20" s="113"/>
      <c r="U20" s="260"/>
      <c r="V20" s="259"/>
      <c r="W20" s="241"/>
      <c r="X20" s="240"/>
      <c r="Y20" s="113"/>
      <c r="Z20" s="260"/>
      <c r="AA20" s="259"/>
      <c r="AB20" s="241"/>
      <c r="AC20" s="24"/>
      <c r="AD20" s="113"/>
      <c r="AE20" s="260"/>
      <c r="AF20" s="259"/>
      <c r="AG20" s="26"/>
      <c r="AH20" s="240"/>
      <c r="AI20" s="139"/>
      <c r="AJ20" s="165" t="s">
        <v>39</v>
      </c>
      <c r="AK20" s="16">
        <f>D100+D187</f>
        <v>0.24</v>
      </c>
      <c r="AL20" s="16">
        <f>M100+M187</f>
        <v>0.57000000000000006</v>
      </c>
      <c r="AM20" s="16">
        <f>R100+R187</f>
        <v>0.57000000000000006</v>
      </c>
      <c r="AN20" s="16">
        <f>W100+W187+W129</f>
        <v>0.56666666666666665</v>
      </c>
      <c r="AO20" s="16">
        <f>AB64</f>
        <v>0.16</v>
      </c>
      <c r="AP20" s="26"/>
      <c r="AQ20" s="165">
        <f t="shared" si="1"/>
        <v>0.42133333333333339</v>
      </c>
      <c r="AR20" s="111"/>
      <c r="AS20" s="111"/>
      <c r="AT20" s="111"/>
    </row>
    <row r="21" spans="1:46" s="25" customFormat="1" x14ac:dyDescent="0.25">
      <c r="A21" s="261"/>
      <c r="B21" s="260"/>
      <c r="C21" s="259"/>
      <c r="D21" s="240"/>
      <c r="E21" s="240"/>
      <c r="F21" s="113"/>
      <c r="G21" s="260"/>
      <c r="H21" s="259"/>
      <c r="I21" s="240"/>
      <c r="J21" s="113"/>
      <c r="K21" s="260"/>
      <c r="L21" s="259"/>
      <c r="M21" s="241"/>
      <c r="N21" s="240"/>
      <c r="O21" s="113"/>
      <c r="P21" s="260"/>
      <c r="Q21" s="259"/>
      <c r="R21" s="241"/>
      <c r="S21" s="240"/>
      <c r="T21" s="113"/>
      <c r="U21" s="260"/>
      <c r="V21" s="259"/>
      <c r="W21" s="241"/>
      <c r="X21" s="240"/>
      <c r="Y21" s="113"/>
      <c r="Z21" s="260"/>
      <c r="AA21" s="259"/>
      <c r="AB21" s="241">
        <f>W38</f>
        <v>0.1</v>
      </c>
      <c r="AC21" s="128" t="s">
        <v>124</v>
      </c>
      <c r="AD21" s="113"/>
      <c r="AE21" s="260"/>
      <c r="AF21" s="259"/>
      <c r="AG21" s="26">
        <v>0.01</v>
      </c>
      <c r="AH21" s="128" t="s">
        <v>124</v>
      </c>
      <c r="AI21" s="139"/>
      <c r="AJ21" s="165" t="s">
        <v>98</v>
      </c>
      <c r="AK21" s="16">
        <f>D79+D151</f>
        <v>0.41</v>
      </c>
      <c r="AL21" s="16">
        <f>M79+M151</f>
        <v>0.41</v>
      </c>
      <c r="AM21" s="16">
        <f>R79+R117</f>
        <v>0.41</v>
      </c>
      <c r="AN21" s="16">
        <f>W79+W117</f>
        <v>0.73</v>
      </c>
      <c r="AO21" s="16">
        <f>AB79</f>
        <v>0.41</v>
      </c>
      <c r="AP21" s="26">
        <f>AG79</f>
        <v>0.41</v>
      </c>
      <c r="AQ21" s="165">
        <f>AVERAGE(AK21:AO21)</f>
        <v>0.47400000000000003</v>
      </c>
      <c r="AR21" s="173">
        <f>SUM(AQ18:AQ21)</f>
        <v>2.4393333333333334</v>
      </c>
      <c r="AS21" s="169" t="s">
        <v>294</v>
      </c>
      <c r="AT21" s="111"/>
    </row>
    <row r="22" spans="1:46" s="25" customFormat="1" x14ac:dyDescent="0.25">
      <c r="A22" s="261"/>
      <c r="B22" s="260"/>
      <c r="C22" s="259"/>
      <c r="D22" s="240"/>
      <c r="E22" s="8"/>
      <c r="F22" s="113"/>
      <c r="G22" s="241">
        <v>7.0000000000000007E-2</v>
      </c>
      <c r="H22" s="240">
        <v>5.4</v>
      </c>
      <c r="I22" s="240"/>
      <c r="J22" s="113"/>
      <c r="K22" s="241">
        <v>0.03</v>
      </c>
      <c r="L22" s="240">
        <v>5.41</v>
      </c>
      <c r="M22" s="241"/>
      <c r="N22" s="8"/>
      <c r="O22" s="113"/>
      <c r="P22" s="260"/>
      <c r="Q22" s="259"/>
      <c r="R22" s="245"/>
      <c r="S22" s="18"/>
      <c r="T22" s="113"/>
      <c r="U22" s="260"/>
      <c r="V22" s="259"/>
      <c r="W22" s="245"/>
      <c r="X22" s="18"/>
      <c r="Y22" s="113"/>
      <c r="Z22" s="260"/>
      <c r="AA22" s="259"/>
      <c r="AB22" s="241">
        <f>Z18-AB21</f>
        <v>0.27</v>
      </c>
      <c r="AC22" s="10" t="s">
        <v>31</v>
      </c>
      <c r="AD22" s="113"/>
      <c r="AE22" s="260"/>
      <c r="AF22" s="259"/>
      <c r="AG22" s="26"/>
      <c r="AH22" s="24"/>
      <c r="AI22" s="139"/>
      <c r="AJ22" s="166" t="s">
        <v>182</v>
      </c>
      <c r="AK22" s="19">
        <f>D212+D215+D219+D228</f>
        <v>1.9100000000000001</v>
      </c>
      <c r="AL22" s="19">
        <f>M212+M215+M219+M228+M194</f>
        <v>1.38</v>
      </c>
      <c r="AM22" s="19">
        <f>R167+R183+R194+R219</f>
        <v>1.76</v>
      </c>
      <c r="AN22" s="19">
        <f>W175+W161+W164+W170</f>
        <v>1.54</v>
      </c>
      <c r="AO22" s="19">
        <f>AB101+AB161+AB164+AB170+AB129</f>
        <v>1.21</v>
      </c>
      <c r="AP22" s="244"/>
      <c r="AQ22" s="166">
        <f>AVERAGE(AK22:AO22)</f>
        <v>1.56</v>
      </c>
      <c r="AR22" s="111"/>
      <c r="AS22" s="111"/>
      <c r="AT22" s="111"/>
    </row>
    <row r="23" spans="1:46" s="25" customFormat="1" x14ac:dyDescent="0.25">
      <c r="A23" s="261"/>
      <c r="B23" s="260"/>
      <c r="C23" s="259"/>
      <c r="D23" s="240"/>
      <c r="E23" s="241"/>
      <c r="F23" s="113"/>
      <c r="G23" s="260">
        <v>0.08</v>
      </c>
      <c r="H23" s="259">
        <v>5.5</v>
      </c>
      <c r="I23" s="240"/>
      <c r="J23" s="113"/>
      <c r="K23" s="260">
        <v>0.01</v>
      </c>
      <c r="L23" s="259">
        <v>5.44</v>
      </c>
      <c r="M23" s="241"/>
      <c r="N23" s="241"/>
      <c r="O23" s="113"/>
      <c r="P23" s="260">
        <v>0.05</v>
      </c>
      <c r="Q23" s="259">
        <v>5.32</v>
      </c>
      <c r="R23" s="241"/>
      <c r="S23" s="24"/>
      <c r="T23" s="113"/>
      <c r="U23" s="260"/>
      <c r="V23" s="259"/>
      <c r="W23" s="241"/>
      <c r="X23" s="24"/>
      <c r="Y23" s="113"/>
      <c r="Z23" s="260">
        <v>1.25</v>
      </c>
      <c r="AA23" s="259">
        <v>5.36</v>
      </c>
      <c r="AB23" s="24"/>
      <c r="AC23" s="24"/>
      <c r="AD23" s="113"/>
      <c r="AE23" s="241">
        <v>0.01</v>
      </c>
      <c r="AF23" s="240">
        <v>5.44</v>
      </c>
      <c r="AG23" s="26"/>
      <c r="AH23" s="24"/>
      <c r="AI23" s="139"/>
      <c r="AJ23" s="159" t="s">
        <v>183</v>
      </c>
      <c r="AK23" s="19">
        <f>D43+D44+D54+D55+D67+D69+D68+D82+D84+D80+D93+D99+D96+D107+D114+D125+D136+D139+D135+D140+D132+D141+D144+D138+D149+D153+D157+D154+D156+D158+D162+D165+D166+D169+D172+D173+D177+D179+D181+D186+D193+D197+D211+D213+D214+D216+D222+D221+D229+D231+D120+D134</f>
        <v>10.307999999999996</v>
      </c>
      <c r="AL23" s="19">
        <f>M43+M44+M54+M55+M67+M69+M68+M82+M84+M80+M93+M99+M96+M107+M114+M125+M136+M139+M135+M140+M132+M141+M144+M138+M149+M153+M157+M154+M156+M158+M162+M167+M166+M169+M172+M173+M177+M181+M186+M193+M197+M211+M213+M214+M216+M222+M221+M229+M231+M120+M134+M190</f>
        <v>9.2236666666666647</v>
      </c>
      <c r="AM23" s="19">
        <f>R43+R44+R54+R55+R67+R68+R82+R84+R80+R89+R93+R99+R96+R105+R106+R108+R114+R118+R125+R134+R136+R135+R140+R132+R149+R151+R157+R154+R156+R159+R162+R171+R172+R173+R179+R181+R195+R222+R139+R69+R120+R190</f>
        <v>10.841666666666669</v>
      </c>
      <c r="AN23" s="19">
        <f>W39+W44+W54+W55+W67+W69+W68+W82+W84+W80+W89+W93+W99+W96+W114+W118+W120+W125+W134+W136+W139+W135+W140+W132+W142+W149+W151+W157+W154+W156+W159+W162+W171+W172+W173+W179+W181+W195+W190</f>
        <v>8.0616666666666674</v>
      </c>
      <c r="AO23" s="19">
        <f>AB39+AB44+AB54+AB55+AB67+AB69+AB68+AB82+AB84+AB80+AB96+AB99+AB106+AB108+AB118+AB120+AB125+AB134+AB142+AB139+AB135+AB132+AB149+AB157+AB154+AB156+AB181+AB195+AB89+AB136+AB162+AB171</f>
        <v>8.0491666666666664</v>
      </c>
      <c r="AP23" s="204">
        <f>AG39+AG54+AG55+AG67+AG68+AG69+AG80+AG82+AG84+AG89+AG96+AG99+AG125+AG136+AG134+AG135+AG132+AG139+AG142+AG149+AG154+AG156+AG157+AG162+AG170+AG171+AG195+AG28+AG71+AG38</f>
        <v>7.7433333333333332</v>
      </c>
      <c r="AQ23" s="159">
        <f>AVERAGE(AK23:AP23)</f>
        <v>9.0379166666666659</v>
      </c>
      <c r="AR23" s="111"/>
      <c r="AS23" s="111"/>
      <c r="AT23" s="111"/>
    </row>
    <row r="24" spans="1:46" s="25" customFormat="1" x14ac:dyDescent="0.25">
      <c r="A24" s="261"/>
      <c r="B24" s="260"/>
      <c r="C24" s="259"/>
      <c r="D24" s="240"/>
      <c r="E24" s="8"/>
      <c r="F24" s="113"/>
      <c r="G24" s="260"/>
      <c r="H24" s="259"/>
      <c r="I24" s="240"/>
      <c r="J24" s="113"/>
      <c r="K24" s="260"/>
      <c r="L24" s="259"/>
      <c r="M24" s="241"/>
      <c r="N24" s="8"/>
      <c r="O24" s="113"/>
      <c r="P24" s="260"/>
      <c r="Q24" s="259"/>
      <c r="R24" s="245"/>
      <c r="S24" s="18"/>
      <c r="T24" s="113"/>
      <c r="U24" s="260"/>
      <c r="V24" s="259"/>
      <c r="W24" s="241"/>
      <c r="X24" s="18"/>
      <c r="Y24" s="113"/>
      <c r="Z24" s="260"/>
      <c r="AA24" s="259"/>
      <c r="AB24" s="241">
        <f>Z23+Z27+Z26-AB30</f>
        <v>1.2799999999999994</v>
      </c>
      <c r="AC24" s="7" t="s">
        <v>29</v>
      </c>
      <c r="AD24" s="113"/>
      <c r="AE24" s="241">
        <v>0.01</v>
      </c>
      <c r="AF24" s="240">
        <v>5.49</v>
      </c>
      <c r="AG24" s="26"/>
      <c r="AH24" s="240"/>
      <c r="AI24" s="139"/>
      <c r="AJ24" s="19" t="s">
        <v>34</v>
      </c>
      <c r="AK24" s="19">
        <f>D4+D13+D30+D52+D75+D103</f>
        <v>40.57</v>
      </c>
      <c r="AL24" s="19">
        <f>M4+M13+M30+M52+M75+M103</f>
        <v>40.064999999999998</v>
      </c>
      <c r="AM24" s="19">
        <f>R4+R13+R30+R52+R75+R103</f>
        <v>38.769999999999996</v>
      </c>
      <c r="AN24" s="19">
        <f>W4+W13+W30+W52+W75+W103</f>
        <v>38.590000000000003</v>
      </c>
      <c r="AO24" s="19">
        <f>AB4+AB13+AB30+AB52+AB75+AB103</f>
        <v>45.609999999999992</v>
      </c>
      <c r="AP24" s="241">
        <f>AG4+AG13+AG30+AG52+AG75+AG103</f>
        <v>30.560000000000002</v>
      </c>
    </row>
    <row r="25" spans="1:46" s="25" customFormat="1" x14ac:dyDescent="0.25">
      <c r="A25" s="261"/>
      <c r="B25" s="260"/>
      <c r="C25" s="259"/>
      <c r="D25" s="240"/>
      <c r="E25" s="49"/>
      <c r="F25" s="113"/>
      <c r="G25" s="260"/>
      <c r="H25" s="259"/>
      <c r="I25" s="240"/>
      <c r="J25" s="113"/>
      <c r="K25" s="260"/>
      <c r="L25" s="259"/>
      <c r="M25" s="241"/>
      <c r="N25" s="49"/>
      <c r="O25" s="113"/>
      <c r="P25" s="260"/>
      <c r="Q25" s="259"/>
      <c r="R25" s="241"/>
      <c r="S25" s="240"/>
      <c r="T25" s="113"/>
      <c r="U25" s="260"/>
      <c r="V25" s="259"/>
      <c r="W25" s="241"/>
      <c r="X25" s="240"/>
      <c r="Y25" s="113"/>
      <c r="Z25" s="260"/>
      <c r="AA25" s="259"/>
      <c r="AB25" s="24"/>
      <c r="AC25" s="24"/>
      <c r="AD25" s="113"/>
      <c r="AE25" s="241">
        <v>0.01</v>
      </c>
      <c r="AF25" s="240">
        <v>5.53</v>
      </c>
      <c r="AG25" s="26"/>
      <c r="AH25" s="240"/>
      <c r="AI25" s="139"/>
      <c r="AJ25" s="19" t="s">
        <v>33</v>
      </c>
      <c r="AK25" s="241">
        <f t="shared" ref="AK25:AP25" si="2">SUM(AK4:AK24)</f>
        <v>94.463833333333326</v>
      </c>
      <c r="AL25" s="241">
        <f>SUM(AL4:AL24)</f>
        <v>97.50366666666666</v>
      </c>
      <c r="AM25" s="241">
        <f t="shared" si="2"/>
        <v>91.61999999999999</v>
      </c>
      <c r="AN25" s="241">
        <f>SUM(AN4:AN24)</f>
        <v>91.308333333333337</v>
      </c>
      <c r="AO25" s="241">
        <f t="shared" si="2"/>
        <v>95.759166666666658</v>
      </c>
      <c r="AP25" s="241">
        <f t="shared" si="2"/>
        <v>96.693333333333342</v>
      </c>
    </row>
    <row r="26" spans="1:46" s="25" customFormat="1" x14ac:dyDescent="0.25">
      <c r="A26" s="261">
        <v>8</v>
      </c>
      <c r="B26" s="260">
        <v>10.06</v>
      </c>
      <c r="C26" s="259">
        <v>5.55</v>
      </c>
      <c r="D26" s="240"/>
      <c r="E26" s="240"/>
      <c r="F26" s="113"/>
      <c r="G26" s="260">
        <v>15.21</v>
      </c>
      <c r="H26" s="259">
        <v>5.62</v>
      </c>
      <c r="I26" s="240"/>
      <c r="J26" s="113"/>
      <c r="K26" s="241">
        <v>0.01</v>
      </c>
      <c r="L26" s="240">
        <v>5.51</v>
      </c>
      <c r="M26" s="241"/>
      <c r="N26" s="240"/>
      <c r="O26" s="113"/>
      <c r="P26" s="241">
        <v>0.03</v>
      </c>
      <c r="Q26" s="240">
        <v>5.44</v>
      </c>
      <c r="R26" s="241"/>
      <c r="S26" s="240"/>
      <c r="T26" s="113"/>
      <c r="U26" s="241">
        <v>7.0000000000000007E-2</v>
      </c>
      <c r="V26" s="240">
        <v>5.42</v>
      </c>
      <c r="W26" s="241"/>
      <c r="X26" s="240"/>
      <c r="Y26" s="113"/>
      <c r="Z26" s="241">
        <v>0.03</v>
      </c>
      <c r="AA26" s="240">
        <v>5.48</v>
      </c>
      <c r="AB26" s="241"/>
      <c r="AC26" s="240"/>
      <c r="AD26" s="113"/>
      <c r="AE26" s="241">
        <v>0.01</v>
      </c>
      <c r="AF26" s="240">
        <v>5.58</v>
      </c>
      <c r="AG26" s="26"/>
      <c r="AH26" s="8"/>
      <c r="AI26" s="139"/>
      <c r="AJ26" s="4"/>
      <c r="AK26" s="36">
        <f>D237</f>
        <v>94.463833333333412</v>
      </c>
      <c r="AL26" s="36">
        <f>M237</f>
        <v>97.50366666666666</v>
      </c>
      <c r="AM26" s="36">
        <f>R237</f>
        <v>91.620000000000047</v>
      </c>
      <c r="AN26" s="36">
        <f>W237</f>
        <v>91.308333333333366</v>
      </c>
      <c r="AO26" s="36">
        <f>AB237</f>
        <v>95.759166666666673</v>
      </c>
      <c r="AP26" s="36">
        <f>AG237</f>
        <v>96.693333333333342</v>
      </c>
    </row>
    <row r="27" spans="1:46" s="25" customFormat="1" x14ac:dyDescent="0.25">
      <c r="A27" s="261"/>
      <c r="B27" s="260"/>
      <c r="C27" s="259"/>
      <c r="D27" s="240"/>
      <c r="E27" s="8"/>
      <c r="F27" s="113"/>
      <c r="G27" s="260"/>
      <c r="H27" s="259"/>
      <c r="I27" s="240"/>
      <c r="J27" s="113"/>
      <c r="K27" s="260">
        <v>9.44</v>
      </c>
      <c r="L27" s="259">
        <v>5.64</v>
      </c>
      <c r="M27" s="241"/>
      <c r="N27" s="8"/>
      <c r="O27" s="113"/>
      <c r="P27" s="260">
        <v>9.4</v>
      </c>
      <c r="Q27" s="259">
        <v>5.56</v>
      </c>
      <c r="R27" s="241"/>
      <c r="S27" s="8"/>
      <c r="T27" s="113"/>
      <c r="U27" s="260">
        <v>8.61</v>
      </c>
      <c r="V27" s="259">
        <v>5.59</v>
      </c>
      <c r="W27" s="241"/>
      <c r="X27" s="8"/>
      <c r="Y27" s="113"/>
      <c r="Z27" s="260">
        <v>9.76</v>
      </c>
      <c r="AA27" s="259">
        <v>5.61</v>
      </c>
      <c r="AB27" s="241"/>
      <c r="AC27" s="240"/>
      <c r="AD27" s="113"/>
      <c r="AE27" s="260">
        <v>8.17</v>
      </c>
      <c r="AF27" s="259">
        <v>5.69</v>
      </c>
      <c r="AG27" s="26"/>
      <c r="AH27" s="24"/>
      <c r="AI27" s="139"/>
    </row>
    <row r="28" spans="1:46" s="25" customFormat="1" x14ac:dyDescent="0.25">
      <c r="A28" s="261"/>
      <c r="B28" s="260"/>
      <c r="C28" s="259"/>
      <c r="D28" s="240"/>
      <c r="E28" s="240"/>
      <c r="F28" s="113"/>
      <c r="G28" s="260"/>
      <c r="H28" s="259"/>
      <c r="I28" s="240"/>
      <c r="J28" s="113"/>
      <c r="K28" s="260"/>
      <c r="L28" s="259"/>
      <c r="M28" s="241"/>
      <c r="N28" s="240"/>
      <c r="O28" s="113"/>
      <c r="P28" s="260"/>
      <c r="Q28" s="259"/>
      <c r="R28" s="241"/>
      <c r="S28" s="240"/>
      <c r="T28" s="113"/>
      <c r="U28" s="260"/>
      <c r="V28" s="259"/>
      <c r="W28" s="241"/>
      <c r="X28" s="240"/>
      <c r="Y28" s="113"/>
      <c r="Z28" s="260"/>
      <c r="AA28" s="259"/>
      <c r="AB28" s="241"/>
      <c r="AC28" s="240"/>
      <c r="AD28" s="113"/>
      <c r="AE28" s="260"/>
      <c r="AF28" s="259"/>
      <c r="AG28" s="26">
        <v>3</v>
      </c>
      <c r="AH28" s="74" t="s">
        <v>335</v>
      </c>
      <c r="AI28" s="139"/>
      <c r="AJ28" s="185" t="s">
        <v>311</v>
      </c>
      <c r="AK28" s="19">
        <f>D12+D53+D57+D61+D65+D66+D70+D80+D84+D87+D92+D95+D96+D98+D99+D102+D111+D113+D114+D115+D119+D127+D136+D134+D135+D137+D138+D143+D144+D147+D149+D151+D154+D156+D158+D162+D164+D166+D169+D170+D172+D173+D176+D177+D178+D188+D192+D198+D203+D205+D215+D216+D222+D227+D231+D94</f>
        <v>14.928333333333327</v>
      </c>
      <c r="AL28" s="19">
        <f>M12+M53+M57+M61+M65+M66+M70+M80+M84+M87+M92+M95+M96+M98+M99+M102+M111+M113+M114+M115+M119+M127+M136+M134+M135+M137+M138+M143+M144+M147+M149+M151+M154+M156+M158+M162+M164+M166+M169+M170+M172+M173+M176+M177+M178+M192+M188+M198+M203+M205+M215+M216+M222+M227+M231+M190+M194+M94</f>
        <v>16.322499999999994</v>
      </c>
      <c r="AM28" s="19">
        <f>R12+R53+R57+R61+R65+R66+R70+R80+R84+R87+R95+R96+R98+R99+R102+R114+R115+R117+R124+R136+R134+R135+R137+R138+R141+R144+R147+R149+R159+R154+R156+R158+R162+R164+R166+R169+R170+R172+R173+R176+R177+R179+R188+R198+R203+R205+R215+R216+R222+R227+R231+R190+R194+R38+R89+R94</f>
        <v>14.899999999999999</v>
      </c>
      <c r="AN28" s="19">
        <f>W12+W53+W57+W61+W65+W66+W70+W80+W84+W87+W95+W96+W98+W99+W102+W114+W115+W117+W124+W136+W134+W135+W138+W141+W144+W147+W149+W159+W154+W156+W158+W162+W164+W166+W169+W170+W172+W173+W176+W177+W179+W188+W198+W203+W205+W215+W216+W222+W227+W231+W190+W194+W38+W89+W94+W41</f>
        <v>14.695000000000002</v>
      </c>
      <c r="AO28" s="19">
        <f>AB12+AB53+AB57+AB61+AB65+AB79+AB70+AB80+AB84+AB87+AB95+AB96+AB98+AB99+AB102+AB114+AB115+AB117+AB123+AB136+AB134+AB135+AB138+AB142+AB144+AB147+AB149+AB159+AB154+AB156+AB158+AB162+AB164+AB166+AB169+AB170+AB172+AB173+AB176+AB177+AB179+AB188+AB192+AB198+AB203+AB205+AB215+AB216+AB222+AB227+AB231+AB90+AB194+AB40+AB89+AB94+AB21+AB31+AB34+AB41</f>
        <v>12.25</v>
      </c>
      <c r="AP28" s="204">
        <f>AG12+AG53+AG57+AG61+AG65+AG79+AG70+AG80+AG84+AG87+AG95+AG96+AG98+AG99+AG102+AG114+AG115+AG117+AG123+AG136+AG134+AG135+AG137+AG138+AG142+AG144+AG147+AG149+AG159+AG154+AG156+AG158+AG162+AG164+AG166+AG169+AG170+AG172+AG173+AG176+AG177+AG179+AG188+AG192+AG198+AG203+AG205+AG215+AG216+AG222+AG227+AG231+AG90+AG194+AG40+AG89+AG93+AG21+AG31+AG34+AG41+AG19+AG71</f>
        <v>15.46083333333333</v>
      </c>
      <c r="AQ28" s="185">
        <f>AVERAGE(AK28:AP28)</f>
        <v>14.759444444444442</v>
      </c>
    </row>
    <row r="29" spans="1:46" s="25" customFormat="1" x14ac:dyDescent="0.25">
      <c r="A29" s="261"/>
      <c r="B29" s="260"/>
      <c r="C29" s="259"/>
      <c r="D29" s="240"/>
      <c r="E29" s="240"/>
      <c r="F29" s="113"/>
      <c r="G29" s="260"/>
      <c r="H29" s="259"/>
      <c r="I29" s="240"/>
      <c r="J29" s="113"/>
      <c r="K29" s="260"/>
      <c r="L29" s="259"/>
      <c r="M29" s="241"/>
      <c r="N29" s="240"/>
      <c r="O29" s="113"/>
      <c r="P29" s="260"/>
      <c r="Q29" s="259"/>
      <c r="R29" s="241"/>
      <c r="S29" s="240"/>
      <c r="T29" s="113"/>
      <c r="U29" s="260"/>
      <c r="V29" s="259"/>
      <c r="W29" s="241"/>
      <c r="X29" s="240"/>
      <c r="Y29" s="113"/>
      <c r="Z29" s="260"/>
      <c r="AA29" s="259"/>
      <c r="AB29" s="241"/>
      <c r="AC29" s="240"/>
      <c r="AD29" s="113"/>
      <c r="AE29" s="260"/>
      <c r="AF29" s="259"/>
      <c r="AG29" s="26"/>
      <c r="AH29" s="24"/>
      <c r="AI29" s="139"/>
      <c r="AJ29" s="186" t="s">
        <v>312</v>
      </c>
      <c r="AK29" s="19">
        <f>D48+D53+D54+D58+D61+D66+D67+D69+D80+D83+D95+D96+D100+D102+D127+D136+D133+D134+D132+D137+D138+D147+D151+D154+D157+D162+D163+D173+D178+D183+D187+D205+D212+D222</f>
        <v>6.043333333333333</v>
      </c>
      <c r="AL29" s="19">
        <f>M48+M53+M54+M58+M61+M66+M67+M69+M80+M83+M95+M96+M100+M102+M127+M136+M133+M134+M132+M137+M138+M147+M151+M154+M157+M162+M163+M173+M178+M183+M187+M205+M212+M222</f>
        <v>6.9366666666666683</v>
      </c>
      <c r="AM29" s="19">
        <f>R48+R53+R54+R58+R61+R66+R67+R69+R80+R83+R95+R96+R100+R102+R127+R136+R133+R134+R132+R137+R138+R147+R154+R157+R162+R163+R173+R179+R183+R187+R205+R212+R222+R77+R117</f>
        <v>7.326666666666668</v>
      </c>
      <c r="AN29" s="19">
        <f>W48+W53+W54+W58+W61+W66+W67+W69+W80+W83+W95+W96+W100+W102+W127+W136+W133+W134+W132+W175+W147+W154+W157+W162+W163+W173+W179+W183+W187+W205+W212+W222+W77+W117+W50</f>
        <v>6.0333333333333332</v>
      </c>
      <c r="AO29" s="19">
        <f>AB48+AB53+AB54+AB58+AB61+AB64+AB67+AB69+AB80+AB83+AB95+AB96+AB100+AB102+AB127+AB136+AB133+AB134+AB132+AB142+AB101+AB147+AB154+AB157+AB162+AB163+AB173+AB179+AB183+AB193+AB205+AB212+AB222+AB79+AB117+AB50+AB22+AB31+AB32+AB38+AB40</f>
        <v>5.5991666666666662</v>
      </c>
      <c r="AP29" s="56"/>
      <c r="AQ29" s="186">
        <f>AVERAGE(AK29:AP29)</f>
        <v>6.3878333333333339</v>
      </c>
    </row>
    <row r="30" spans="1:46" s="25" customFormat="1" x14ac:dyDescent="0.25">
      <c r="A30" s="261"/>
      <c r="B30" s="260"/>
      <c r="C30" s="259"/>
      <c r="D30" s="240">
        <f>B26</f>
        <v>10.06</v>
      </c>
      <c r="E30" s="54" t="s">
        <v>34</v>
      </c>
      <c r="F30" s="113"/>
      <c r="G30" s="260"/>
      <c r="H30" s="259"/>
      <c r="I30" s="240"/>
      <c r="J30" s="113"/>
      <c r="K30" s="260"/>
      <c r="L30" s="259"/>
      <c r="M30" s="241">
        <f>K27</f>
        <v>9.44</v>
      </c>
      <c r="N30" s="54" t="s">
        <v>34</v>
      </c>
      <c r="O30" s="113"/>
      <c r="P30" s="260"/>
      <c r="Q30" s="259"/>
      <c r="R30" s="241">
        <f>P27</f>
        <v>9.4</v>
      </c>
      <c r="S30" s="54" t="s">
        <v>34</v>
      </c>
      <c r="T30" s="113"/>
      <c r="U30" s="260"/>
      <c r="V30" s="259"/>
      <c r="W30" s="241">
        <f>U27</f>
        <v>8.61</v>
      </c>
      <c r="X30" s="54" t="s">
        <v>34</v>
      </c>
      <c r="Y30" s="113"/>
      <c r="Z30" s="260"/>
      <c r="AA30" s="259"/>
      <c r="AB30" s="241">
        <f>Z27</f>
        <v>9.76</v>
      </c>
      <c r="AC30" s="54" t="s">
        <v>34</v>
      </c>
      <c r="AD30" s="113"/>
      <c r="AE30" s="260"/>
      <c r="AF30" s="259"/>
      <c r="AG30" s="26">
        <f>AE27-AG28</f>
        <v>5.17</v>
      </c>
      <c r="AH30" s="54" t="s">
        <v>34</v>
      </c>
      <c r="AI30" s="139"/>
    </row>
    <row r="31" spans="1:46" s="25" customFormat="1" x14ac:dyDescent="0.25">
      <c r="A31" s="261">
        <v>9</v>
      </c>
      <c r="B31" s="260">
        <v>0.43</v>
      </c>
      <c r="C31" s="259">
        <v>5.75</v>
      </c>
      <c r="D31" s="240"/>
      <c r="E31" s="240"/>
      <c r="F31" s="113"/>
      <c r="G31" s="260">
        <v>1.23</v>
      </c>
      <c r="H31" s="259">
        <v>5.81</v>
      </c>
      <c r="I31" s="240"/>
      <c r="J31" s="113"/>
      <c r="K31" s="260">
        <v>0.53</v>
      </c>
      <c r="L31" s="259">
        <v>5.87</v>
      </c>
      <c r="M31" s="241"/>
      <c r="N31" s="240"/>
      <c r="O31" s="113"/>
      <c r="P31" s="260">
        <v>0.54</v>
      </c>
      <c r="Q31" s="259">
        <v>5.75</v>
      </c>
      <c r="R31" s="241"/>
      <c r="S31" s="240"/>
      <c r="T31" s="113"/>
      <c r="U31" s="260">
        <v>3.7</v>
      </c>
      <c r="V31" s="259">
        <v>5.8</v>
      </c>
      <c r="W31" s="241"/>
      <c r="X31" s="240"/>
      <c r="Y31" s="113"/>
      <c r="Z31" s="260">
        <v>1.34</v>
      </c>
      <c r="AA31" s="259">
        <v>5.77</v>
      </c>
      <c r="AB31" s="241">
        <f>R53</f>
        <v>0.13</v>
      </c>
      <c r="AC31" s="10" t="s">
        <v>59</v>
      </c>
      <c r="AD31" s="113"/>
      <c r="AE31" s="260">
        <v>7.0000000000000007E-2</v>
      </c>
      <c r="AF31" s="259">
        <v>5.82</v>
      </c>
      <c r="AG31" s="26">
        <v>0.02</v>
      </c>
      <c r="AH31" s="10" t="s">
        <v>59</v>
      </c>
      <c r="AI31" s="139"/>
    </row>
    <row r="32" spans="1:46" s="25" customFormat="1" x14ac:dyDescent="0.25">
      <c r="A32" s="261"/>
      <c r="B32" s="260"/>
      <c r="C32" s="259"/>
      <c r="D32" s="240"/>
      <c r="E32" s="56"/>
      <c r="F32" s="113"/>
      <c r="G32" s="260"/>
      <c r="H32" s="259"/>
      <c r="I32" s="240"/>
      <c r="J32" s="113"/>
      <c r="K32" s="260"/>
      <c r="L32" s="259"/>
      <c r="M32" s="241"/>
      <c r="N32" s="56"/>
      <c r="O32" s="113"/>
      <c r="P32" s="260"/>
      <c r="Q32" s="259"/>
      <c r="R32" s="241"/>
      <c r="S32" s="24"/>
      <c r="T32" s="113"/>
      <c r="U32" s="260"/>
      <c r="V32" s="259"/>
      <c r="W32" s="241"/>
      <c r="X32" s="24"/>
      <c r="Y32" s="113"/>
      <c r="Z32" s="260"/>
      <c r="AA32" s="259"/>
      <c r="AB32" s="241">
        <f>Z31-AB31</f>
        <v>1.21</v>
      </c>
      <c r="AC32" s="58" t="s">
        <v>18</v>
      </c>
      <c r="AD32" s="113"/>
      <c r="AE32" s="260"/>
      <c r="AF32" s="259"/>
      <c r="AG32" s="26">
        <v>0.05</v>
      </c>
      <c r="AH32" s="58" t="s">
        <v>18</v>
      </c>
      <c r="AI32" s="139"/>
    </row>
    <row r="33" spans="1:41" s="25" customFormat="1" x14ac:dyDescent="0.25">
      <c r="A33" s="242">
        <v>10</v>
      </c>
      <c r="B33" s="241">
        <v>0.08</v>
      </c>
      <c r="C33" s="240">
        <v>5.86</v>
      </c>
      <c r="D33" s="240"/>
      <c r="E33" s="240"/>
      <c r="F33" s="113"/>
      <c r="G33" s="241">
        <v>0.25</v>
      </c>
      <c r="H33" s="240">
        <v>5.92</v>
      </c>
      <c r="I33" s="240"/>
      <c r="J33" s="113"/>
      <c r="K33" s="260">
        <v>0.17</v>
      </c>
      <c r="L33" s="259">
        <v>5.95</v>
      </c>
      <c r="M33" s="241"/>
      <c r="N33" s="240"/>
      <c r="O33" s="113"/>
      <c r="P33" s="260">
        <v>0.17</v>
      </c>
      <c r="Q33" s="259">
        <v>5.87</v>
      </c>
      <c r="R33" s="245"/>
      <c r="S33" s="246"/>
      <c r="T33" s="113"/>
      <c r="U33" s="260">
        <v>0.05</v>
      </c>
      <c r="V33" s="259">
        <v>5.9</v>
      </c>
      <c r="W33" s="241">
        <f>U33</f>
        <v>0.05</v>
      </c>
      <c r="X33" s="249" t="s">
        <v>27</v>
      </c>
      <c r="Y33" s="113"/>
      <c r="Z33" s="260">
        <v>4</v>
      </c>
      <c r="AA33" s="259">
        <v>5.83</v>
      </c>
      <c r="AB33" s="241">
        <v>2.2999999999999998</v>
      </c>
      <c r="AC33" s="249" t="s">
        <v>27</v>
      </c>
      <c r="AD33" s="113"/>
      <c r="AE33" s="241">
        <v>0.13</v>
      </c>
      <c r="AF33" s="240">
        <v>5.88</v>
      </c>
      <c r="AG33" s="26">
        <f>AE33</f>
        <v>0.13</v>
      </c>
      <c r="AH33" s="249" t="s">
        <v>27</v>
      </c>
      <c r="AI33" s="141"/>
    </row>
    <row r="34" spans="1:41" s="25" customFormat="1" x14ac:dyDescent="0.25">
      <c r="A34" s="261">
        <v>11</v>
      </c>
      <c r="B34" s="260">
        <v>0.02</v>
      </c>
      <c r="C34" s="259">
        <v>5.92</v>
      </c>
      <c r="D34" s="240"/>
      <c r="E34" s="8"/>
      <c r="F34" s="113"/>
      <c r="G34" s="260">
        <v>0.44</v>
      </c>
      <c r="H34" s="259">
        <v>6</v>
      </c>
      <c r="I34" s="240"/>
      <c r="J34" s="113"/>
      <c r="K34" s="260"/>
      <c r="L34" s="259"/>
      <c r="M34" s="241"/>
      <c r="N34" s="8"/>
      <c r="O34" s="113"/>
      <c r="P34" s="260"/>
      <c r="Q34" s="259"/>
      <c r="R34" s="245"/>
      <c r="S34" s="18"/>
      <c r="T34" s="113"/>
      <c r="U34" s="260"/>
      <c r="V34" s="259"/>
      <c r="W34" s="241"/>
      <c r="X34" s="18"/>
      <c r="Y34" s="113"/>
      <c r="Z34" s="260"/>
      <c r="AA34" s="259"/>
      <c r="AB34" s="241">
        <f>Z33-AB33-AB31</f>
        <v>1.5700000000000003</v>
      </c>
      <c r="AC34" s="7" t="s">
        <v>58</v>
      </c>
      <c r="AD34" s="113"/>
      <c r="AE34" s="260">
        <v>0.02</v>
      </c>
      <c r="AF34" s="259">
        <v>5.92</v>
      </c>
      <c r="AG34" s="26">
        <f>AE34</f>
        <v>0.02</v>
      </c>
      <c r="AH34" s="7" t="s">
        <v>58</v>
      </c>
      <c r="AI34" s="141"/>
    </row>
    <row r="35" spans="1:41" s="25" customFormat="1" ht="15.75" thickBot="1" x14ac:dyDescent="0.3">
      <c r="A35" s="261"/>
      <c r="B35" s="260"/>
      <c r="C35" s="259"/>
      <c r="D35" s="240"/>
      <c r="E35" s="8"/>
      <c r="F35" s="113"/>
      <c r="G35" s="260"/>
      <c r="H35" s="259"/>
      <c r="I35" s="240"/>
      <c r="J35" s="113"/>
      <c r="K35" s="260"/>
      <c r="L35" s="259"/>
      <c r="M35" s="241"/>
      <c r="N35" s="8"/>
      <c r="O35" s="113"/>
      <c r="P35" s="260"/>
      <c r="Q35" s="259"/>
      <c r="R35" s="245"/>
      <c r="S35" s="18"/>
      <c r="T35" s="113"/>
      <c r="U35" s="260"/>
      <c r="V35" s="259"/>
      <c r="W35" s="241"/>
      <c r="X35" s="18"/>
      <c r="Y35" s="113"/>
      <c r="Z35" s="260"/>
      <c r="AA35" s="259"/>
      <c r="AB35" s="24"/>
      <c r="AC35" s="24"/>
      <c r="AD35" s="113"/>
      <c r="AE35" s="260"/>
      <c r="AF35" s="259"/>
      <c r="AG35" s="26"/>
      <c r="AH35" s="240"/>
      <c r="AI35" s="141"/>
    </row>
    <row r="36" spans="1:41" s="25" customFormat="1" x14ac:dyDescent="0.25">
      <c r="A36" s="261"/>
      <c r="B36" s="260"/>
      <c r="C36" s="259"/>
      <c r="D36" s="240"/>
      <c r="E36" s="24"/>
      <c r="F36" s="113"/>
      <c r="G36" s="260"/>
      <c r="H36" s="259"/>
      <c r="I36" s="240"/>
      <c r="J36" s="113"/>
      <c r="K36" s="260"/>
      <c r="L36" s="259"/>
      <c r="M36" s="241"/>
      <c r="N36" s="24"/>
      <c r="O36" s="113"/>
      <c r="P36" s="260"/>
      <c r="Q36" s="259"/>
      <c r="R36" s="241"/>
      <c r="S36" s="240"/>
      <c r="T36" s="113"/>
      <c r="U36" s="260"/>
      <c r="V36" s="259"/>
      <c r="W36" s="241"/>
      <c r="X36" s="240"/>
      <c r="Y36" s="113"/>
      <c r="Z36" s="260"/>
      <c r="AA36" s="259"/>
      <c r="AB36" s="24"/>
      <c r="AC36" s="24"/>
      <c r="AD36" s="113"/>
      <c r="AE36" s="260"/>
      <c r="AF36" s="259"/>
      <c r="AG36" s="114"/>
      <c r="AH36" s="240"/>
      <c r="AI36" s="141"/>
      <c r="AJ36" s="30" t="s">
        <v>174</v>
      </c>
      <c r="AK36" s="41" t="s">
        <v>1</v>
      </c>
      <c r="AL36" s="38" t="s">
        <v>2</v>
      </c>
      <c r="AM36" s="41" t="s">
        <v>4</v>
      </c>
      <c r="AN36" s="38" t="s">
        <v>16</v>
      </c>
      <c r="AO36" s="41" t="s">
        <v>5</v>
      </c>
    </row>
    <row r="37" spans="1:41" s="25" customFormat="1" x14ac:dyDescent="0.25">
      <c r="A37" s="261"/>
      <c r="B37" s="260"/>
      <c r="C37" s="259"/>
      <c r="D37" s="240"/>
      <c r="E37" s="24"/>
      <c r="F37" s="113"/>
      <c r="G37" s="260"/>
      <c r="H37" s="259"/>
      <c r="I37" s="240"/>
      <c r="J37" s="113"/>
      <c r="K37" s="260"/>
      <c r="L37" s="259"/>
      <c r="M37" s="241"/>
      <c r="N37" s="24"/>
      <c r="O37" s="113"/>
      <c r="P37" s="260"/>
      <c r="Q37" s="259"/>
      <c r="R37" s="241"/>
      <c r="S37" s="240"/>
      <c r="T37" s="113"/>
      <c r="U37" s="260"/>
      <c r="V37" s="259"/>
      <c r="W37" s="241"/>
      <c r="X37" s="240"/>
      <c r="Y37" s="113"/>
      <c r="Z37" s="260"/>
      <c r="AA37" s="259"/>
      <c r="AB37" s="241"/>
      <c r="AC37" s="240"/>
      <c r="AD37" s="113"/>
      <c r="AE37" s="260"/>
      <c r="AF37" s="259"/>
      <c r="AG37" s="114"/>
      <c r="AH37" s="24"/>
      <c r="AI37" s="141"/>
      <c r="AJ37" s="31" t="s">
        <v>175</v>
      </c>
      <c r="AK37" s="245"/>
      <c r="AL37" s="245"/>
      <c r="AM37" s="245"/>
      <c r="AN37" s="245"/>
      <c r="AO37" s="16"/>
    </row>
    <row r="38" spans="1:41" s="25" customFormat="1" x14ac:dyDescent="0.25">
      <c r="A38" s="261">
        <v>12</v>
      </c>
      <c r="B38" s="260">
        <v>0.03</v>
      </c>
      <c r="C38" s="259">
        <v>6.01</v>
      </c>
      <c r="D38" s="240"/>
      <c r="E38" s="142"/>
      <c r="F38" s="113"/>
      <c r="G38" s="260">
        <v>0.08</v>
      </c>
      <c r="H38" s="259">
        <v>6.14</v>
      </c>
      <c r="I38" s="240"/>
      <c r="J38" s="113"/>
      <c r="K38" s="260">
        <v>0.03</v>
      </c>
      <c r="L38" s="259">
        <v>6.14</v>
      </c>
      <c r="M38" s="241"/>
      <c r="N38" s="246"/>
      <c r="O38" s="113"/>
      <c r="P38" s="260">
        <v>0.03</v>
      </c>
      <c r="Q38" s="259">
        <v>5.99</v>
      </c>
      <c r="R38" s="241">
        <v>0.1</v>
      </c>
      <c r="S38" s="128" t="s">
        <v>320</v>
      </c>
      <c r="T38" s="113"/>
      <c r="U38" s="260">
        <v>6.06</v>
      </c>
      <c r="V38" s="259">
        <v>6.19</v>
      </c>
      <c r="W38" s="241">
        <v>0.1</v>
      </c>
      <c r="X38" s="128" t="s">
        <v>320</v>
      </c>
      <c r="Y38" s="113"/>
      <c r="Z38" s="260">
        <v>9.2100000000000009</v>
      </c>
      <c r="AA38" s="259">
        <v>6.22</v>
      </c>
      <c r="AB38" s="241">
        <v>0.1</v>
      </c>
      <c r="AC38" s="62" t="s">
        <v>21</v>
      </c>
      <c r="AD38" s="113"/>
      <c r="AE38" s="260">
        <v>0.11</v>
      </c>
      <c r="AF38" s="259">
        <v>6.01</v>
      </c>
      <c r="AG38" s="114">
        <v>0.05</v>
      </c>
      <c r="AH38" s="74" t="s">
        <v>104</v>
      </c>
      <c r="AI38" s="141"/>
      <c r="AJ38" s="31" t="s">
        <v>181</v>
      </c>
      <c r="AK38" s="241">
        <f>D215</f>
        <v>0.14000000000000001</v>
      </c>
      <c r="AL38" s="241">
        <f>M215+M194</f>
        <v>0.14000000000000001</v>
      </c>
      <c r="AM38" s="241">
        <f>R194</f>
        <v>0.14000000000000001</v>
      </c>
      <c r="AN38" s="241">
        <f>W170</f>
        <v>0.14000000000000001</v>
      </c>
      <c r="AO38" s="19">
        <f>AB170</f>
        <v>0.14000000000000001</v>
      </c>
    </row>
    <row r="39" spans="1:41" s="25" customFormat="1" x14ac:dyDescent="0.25">
      <c r="A39" s="261"/>
      <c r="B39" s="260"/>
      <c r="C39" s="259"/>
      <c r="D39" s="240"/>
      <c r="E39" s="142"/>
      <c r="F39" s="113"/>
      <c r="G39" s="260"/>
      <c r="H39" s="259"/>
      <c r="I39" s="240"/>
      <c r="J39" s="113"/>
      <c r="K39" s="260"/>
      <c r="L39" s="259"/>
      <c r="M39" s="241"/>
      <c r="N39" s="246"/>
      <c r="O39" s="113"/>
      <c r="P39" s="260"/>
      <c r="Q39" s="259"/>
      <c r="R39" s="241"/>
      <c r="S39" s="246"/>
      <c r="T39" s="113"/>
      <c r="U39" s="260"/>
      <c r="V39" s="259"/>
      <c r="W39" s="241">
        <f>AB39-W93</f>
        <v>1.5000000000000002</v>
      </c>
      <c r="X39" s="7" t="s">
        <v>95</v>
      </c>
      <c r="Y39" s="113"/>
      <c r="Z39" s="260"/>
      <c r="AA39" s="259"/>
      <c r="AB39" s="241">
        <f>D43+D68+D93+D141+D153+D193</f>
        <v>1.5000000000000002</v>
      </c>
      <c r="AC39" s="7" t="s">
        <v>95</v>
      </c>
      <c r="AD39" s="113"/>
      <c r="AE39" s="260"/>
      <c r="AF39" s="259"/>
      <c r="AG39" s="114">
        <v>0.02</v>
      </c>
      <c r="AH39" s="7" t="s">
        <v>95</v>
      </c>
      <c r="AI39" s="141"/>
      <c r="AJ39" s="31" t="s">
        <v>176</v>
      </c>
      <c r="AK39" s="241"/>
      <c r="AL39" s="241"/>
      <c r="AM39" s="241"/>
      <c r="AN39" s="241"/>
      <c r="AO39" s="19"/>
    </row>
    <row r="40" spans="1:41" s="25" customFormat="1" x14ac:dyDescent="0.25">
      <c r="A40" s="261"/>
      <c r="B40" s="260"/>
      <c r="C40" s="259"/>
      <c r="D40" s="240"/>
      <c r="E40" s="107"/>
      <c r="F40" s="113"/>
      <c r="G40" s="260"/>
      <c r="H40" s="259"/>
      <c r="I40" s="240"/>
      <c r="J40" s="113"/>
      <c r="K40" s="260"/>
      <c r="L40" s="259"/>
      <c r="M40" s="241"/>
      <c r="N40" s="107"/>
      <c r="O40" s="113"/>
      <c r="P40" s="260">
        <v>0.03</v>
      </c>
      <c r="Q40" s="259">
        <v>6.02</v>
      </c>
      <c r="R40" s="241"/>
      <c r="S40" s="246"/>
      <c r="T40" s="113"/>
      <c r="U40" s="260"/>
      <c r="V40" s="259"/>
      <c r="W40" s="24"/>
      <c r="X40" s="24"/>
      <c r="Y40" s="113"/>
      <c r="Z40" s="260"/>
      <c r="AA40" s="259"/>
      <c r="AB40" s="241">
        <v>0.5</v>
      </c>
      <c r="AC40" s="58" t="s">
        <v>60</v>
      </c>
      <c r="AD40" s="113"/>
      <c r="AE40" s="260"/>
      <c r="AF40" s="259"/>
      <c r="AG40" s="114">
        <v>0.01</v>
      </c>
      <c r="AH40" s="58" t="s">
        <v>60</v>
      </c>
      <c r="AI40" s="141"/>
      <c r="AJ40" s="31" t="s">
        <v>177</v>
      </c>
      <c r="AK40" s="245">
        <f>D228+D219</f>
        <v>1.52</v>
      </c>
      <c r="AL40" s="245">
        <f>M228+M219</f>
        <v>1.0899999999999999</v>
      </c>
      <c r="AM40" s="245">
        <f>R219</f>
        <v>1.25</v>
      </c>
      <c r="AN40" s="245">
        <f>AB129</f>
        <v>0.76</v>
      </c>
      <c r="AO40" s="16">
        <f>AB161</f>
        <v>0</v>
      </c>
    </row>
    <row r="41" spans="1:41" s="25" customFormat="1" x14ac:dyDescent="0.25">
      <c r="A41" s="261"/>
      <c r="B41" s="260"/>
      <c r="C41" s="259"/>
      <c r="D41" s="240"/>
      <c r="E41" s="107"/>
      <c r="F41" s="113"/>
      <c r="G41" s="260"/>
      <c r="H41" s="259"/>
      <c r="I41" s="240"/>
      <c r="J41" s="113"/>
      <c r="K41" s="260"/>
      <c r="L41" s="259"/>
      <c r="M41" s="241"/>
      <c r="N41" s="107"/>
      <c r="O41" s="113"/>
      <c r="P41" s="260"/>
      <c r="Q41" s="259"/>
      <c r="R41" s="241"/>
      <c r="S41" s="246"/>
      <c r="T41" s="113"/>
      <c r="U41" s="260"/>
      <c r="V41" s="259"/>
      <c r="W41" s="241">
        <f>U38-W38-W39-W47+U48-W50-W48</f>
        <v>2.9299999999999997</v>
      </c>
      <c r="X41" s="249" t="s">
        <v>61</v>
      </c>
      <c r="Y41" s="113"/>
      <c r="Z41" s="260"/>
      <c r="AA41" s="259"/>
      <c r="AB41" s="241">
        <f>Z38-AB40-AB39-AB44-AB46-AB47-AB38+Z33+Z31+Z27-AB30-AB32-AB33-AB34-AB31</f>
        <v>3.6099999999999985</v>
      </c>
      <c r="AC41" s="249" t="s">
        <v>61</v>
      </c>
      <c r="AD41" s="113"/>
      <c r="AE41" s="260"/>
      <c r="AF41" s="259"/>
      <c r="AG41" s="114">
        <f>AG39</f>
        <v>0.02</v>
      </c>
      <c r="AH41" s="249" t="s">
        <v>61</v>
      </c>
      <c r="AI41" s="141"/>
      <c r="AJ41" s="117" t="s">
        <v>208</v>
      </c>
      <c r="AK41" s="19"/>
      <c r="AL41" s="19"/>
      <c r="AM41" s="19"/>
      <c r="AN41" s="19"/>
      <c r="AO41" s="19"/>
    </row>
    <row r="42" spans="1:41" s="25" customFormat="1" x14ac:dyDescent="0.25">
      <c r="A42" s="261"/>
      <c r="B42" s="260"/>
      <c r="C42" s="259"/>
      <c r="D42" s="240"/>
      <c r="E42" s="8"/>
      <c r="F42" s="113"/>
      <c r="G42" s="260"/>
      <c r="H42" s="259"/>
      <c r="I42" s="240"/>
      <c r="J42" s="113"/>
      <c r="K42" s="260"/>
      <c r="L42" s="259"/>
      <c r="M42" s="241"/>
      <c r="N42" s="8"/>
      <c r="O42" s="113"/>
      <c r="P42" s="260"/>
      <c r="Q42" s="259"/>
      <c r="R42" s="241"/>
      <c r="S42" s="8"/>
      <c r="T42" s="113"/>
      <c r="U42" s="260"/>
      <c r="V42" s="259"/>
      <c r="W42" s="241"/>
      <c r="X42" s="8"/>
      <c r="Y42" s="113"/>
      <c r="Z42" s="260"/>
      <c r="AA42" s="259"/>
      <c r="AB42" s="241"/>
      <c r="AC42" s="240"/>
      <c r="AD42" s="113"/>
      <c r="AE42" s="260"/>
      <c r="AF42" s="259"/>
      <c r="AG42" s="114"/>
      <c r="AH42" s="24"/>
      <c r="AI42" s="141"/>
      <c r="AJ42" s="31" t="s">
        <v>178</v>
      </c>
      <c r="AK42" s="241">
        <f>D212</f>
        <v>0.25</v>
      </c>
      <c r="AL42" s="241">
        <f>M212</f>
        <v>0.15</v>
      </c>
      <c r="AM42" s="241">
        <f>R183</f>
        <v>0.37</v>
      </c>
      <c r="AN42" s="19">
        <f>W175</f>
        <v>0.31</v>
      </c>
      <c r="AO42" s="19">
        <f>AB101</f>
        <v>0.31</v>
      </c>
    </row>
    <row r="43" spans="1:41" s="25" customFormat="1" x14ac:dyDescent="0.25">
      <c r="A43" s="261">
        <v>13</v>
      </c>
      <c r="B43" s="260">
        <v>1.03</v>
      </c>
      <c r="C43" s="259">
        <v>6.1</v>
      </c>
      <c r="D43" s="240"/>
      <c r="E43" s="8"/>
      <c r="F43" s="113"/>
      <c r="G43" s="260">
        <v>0.16</v>
      </c>
      <c r="H43" s="259">
        <v>6.16</v>
      </c>
      <c r="I43" s="240"/>
      <c r="J43" s="113"/>
      <c r="K43" s="241">
        <v>1.04</v>
      </c>
      <c r="L43" s="240">
        <v>6.21</v>
      </c>
      <c r="M43" s="241"/>
      <c r="N43" s="8"/>
      <c r="O43" s="113"/>
      <c r="P43" s="260">
        <v>1.1299999999999999</v>
      </c>
      <c r="Q43" s="259">
        <v>6.11</v>
      </c>
      <c r="R43" s="241"/>
      <c r="S43" s="8"/>
      <c r="T43" s="113"/>
      <c r="U43" s="260"/>
      <c r="V43" s="259"/>
      <c r="W43" s="24"/>
      <c r="X43" s="24"/>
      <c r="Y43" s="113"/>
      <c r="Z43" s="260"/>
      <c r="AA43" s="259"/>
      <c r="AB43" s="24"/>
      <c r="AC43" s="24"/>
      <c r="AD43" s="113"/>
      <c r="AE43" s="241">
        <v>0.04</v>
      </c>
      <c r="AF43" s="240">
        <v>6.04</v>
      </c>
      <c r="AG43" s="26"/>
      <c r="AH43" s="24"/>
      <c r="AI43" s="141"/>
      <c r="AJ43" s="36" t="s">
        <v>193</v>
      </c>
      <c r="AK43" s="1">
        <f>SUM(AK37:AK42)</f>
        <v>1.9100000000000001</v>
      </c>
      <c r="AL43" s="1">
        <f>SUM(AL37:AL42)</f>
        <v>1.38</v>
      </c>
      <c r="AM43" s="1">
        <f>SUM(AM37:AM42)</f>
        <v>1.7600000000000002</v>
      </c>
      <c r="AN43" s="1">
        <f>SUM(AN37:AN42)</f>
        <v>1.21</v>
      </c>
      <c r="AO43" s="1">
        <f>SUM(AO37:AO42)</f>
        <v>0.45</v>
      </c>
    </row>
    <row r="44" spans="1:41" s="25" customFormat="1" ht="15.75" thickBot="1" x14ac:dyDescent="0.3">
      <c r="A44" s="261"/>
      <c r="B44" s="260"/>
      <c r="C44" s="259"/>
      <c r="D44" s="240"/>
      <c r="E44" s="8"/>
      <c r="F44" s="113"/>
      <c r="G44" s="260"/>
      <c r="H44" s="259"/>
      <c r="I44" s="240"/>
      <c r="J44" s="113"/>
      <c r="K44" s="260">
        <v>0.11</v>
      </c>
      <c r="L44" s="259">
        <v>6.27</v>
      </c>
      <c r="M44" s="241"/>
      <c r="N44" s="8"/>
      <c r="O44" s="113"/>
      <c r="P44" s="260"/>
      <c r="Q44" s="259"/>
      <c r="R44" s="241"/>
      <c r="S44" s="8"/>
      <c r="T44" s="113"/>
      <c r="U44" s="260"/>
      <c r="V44" s="259"/>
      <c r="W44" s="241"/>
      <c r="X44" s="8"/>
      <c r="Y44" s="113"/>
      <c r="Z44" s="260"/>
      <c r="AA44" s="259"/>
      <c r="AB44" s="241"/>
      <c r="AC44" s="8"/>
      <c r="AD44" s="113"/>
      <c r="AE44" s="241">
        <v>0</v>
      </c>
      <c r="AF44" s="240">
        <v>6.08</v>
      </c>
      <c r="AG44" s="26"/>
      <c r="AH44" s="24"/>
      <c r="AI44" s="141"/>
      <c r="AJ44" s="36"/>
      <c r="AK44" s="97"/>
      <c r="AL44" s="97"/>
      <c r="AM44" s="97"/>
      <c r="AN44" s="97"/>
      <c r="AO44" s="97"/>
    </row>
    <row r="45" spans="1:41" s="25" customFormat="1" x14ac:dyDescent="0.25">
      <c r="A45" s="261"/>
      <c r="B45" s="260"/>
      <c r="C45" s="259"/>
      <c r="D45" s="240"/>
      <c r="E45" s="24"/>
      <c r="F45" s="113"/>
      <c r="G45" s="260"/>
      <c r="H45" s="259"/>
      <c r="I45" s="240"/>
      <c r="J45" s="113"/>
      <c r="K45" s="260"/>
      <c r="L45" s="259"/>
      <c r="M45" s="241"/>
      <c r="N45" s="24"/>
      <c r="O45" s="113"/>
      <c r="P45" s="260"/>
      <c r="Q45" s="259"/>
      <c r="R45" s="24"/>
      <c r="S45" s="24"/>
      <c r="T45" s="113"/>
      <c r="U45" s="260"/>
      <c r="V45" s="259"/>
      <c r="W45" s="24"/>
      <c r="X45" s="24"/>
      <c r="Y45" s="113"/>
      <c r="Z45" s="260"/>
      <c r="AA45" s="259"/>
      <c r="AB45" s="241"/>
      <c r="AC45" s="24"/>
      <c r="AD45" s="113"/>
      <c r="AE45" s="241">
        <v>0.01</v>
      </c>
      <c r="AF45" s="240">
        <v>6.12</v>
      </c>
      <c r="AG45" s="26"/>
      <c r="AH45" s="55"/>
      <c r="AI45" s="141"/>
      <c r="AJ45" s="30" t="s">
        <v>179</v>
      </c>
      <c r="AK45" s="41" t="s">
        <v>1</v>
      </c>
      <c r="AL45" s="38" t="s">
        <v>2</v>
      </c>
      <c r="AM45" s="41" t="s">
        <v>4</v>
      </c>
      <c r="AN45" s="38" t="s">
        <v>16</v>
      </c>
      <c r="AO45" s="41" t="s">
        <v>5</v>
      </c>
    </row>
    <row r="46" spans="1:41" s="25" customFormat="1" x14ac:dyDescent="0.25">
      <c r="A46" s="261"/>
      <c r="B46" s="260"/>
      <c r="C46" s="259"/>
      <c r="D46" s="240"/>
      <c r="E46" s="240"/>
      <c r="F46" s="113"/>
      <c r="G46" s="260"/>
      <c r="H46" s="259"/>
      <c r="I46" s="240"/>
      <c r="J46" s="113"/>
      <c r="K46" s="260"/>
      <c r="L46" s="259"/>
      <c r="M46" s="241"/>
      <c r="N46" s="240"/>
      <c r="O46" s="113"/>
      <c r="P46" s="260"/>
      <c r="Q46" s="259"/>
      <c r="R46" s="241"/>
      <c r="S46" s="19"/>
      <c r="T46" s="113"/>
      <c r="U46" s="260"/>
      <c r="V46" s="259"/>
      <c r="W46" s="241"/>
      <c r="X46" s="19"/>
      <c r="Y46" s="113"/>
      <c r="Z46" s="260"/>
      <c r="AA46" s="259"/>
      <c r="AB46" s="241">
        <v>0.63</v>
      </c>
      <c r="AC46" s="6" t="s">
        <v>170</v>
      </c>
      <c r="AD46" s="113"/>
      <c r="AE46" s="241">
        <v>0.02</v>
      </c>
      <c r="AF46" s="240">
        <v>6.15</v>
      </c>
      <c r="AG46" s="26"/>
      <c r="AH46" s="55"/>
      <c r="AI46" s="141"/>
      <c r="AJ46" s="31" t="s">
        <v>184</v>
      </c>
      <c r="AK46" s="241">
        <f>D44+D67</f>
        <v>0.31</v>
      </c>
      <c r="AL46" s="241">
        <f>M44+M67</f>
        <v>0.31</v>
      </c>
      <c r="AM46" s="241">
        <f>R44+R67</f>
        <v>0.31</v>
      </c>
      <c r="AN46" s="241">
        <f>W44+W67</f>
        <v>0.31</v>
      </c>
      <c r="AO46" s="241">
        <f>AB44+AB67</f>
        <v>0.3125</v>
      </c>
    </row>
    <row r="47" spans="1:41" s="25" customFormat="1" x14ac:dyDescent="0.25">
      <c r="A47" s="261"/>
      <c r="B47" s="260"/>
      <c r="C47" s="259"/>
      <c r="D47" s="240">
        <f>B43</f>
        <v>1.03</v>
      </c>
      <c r="E47" s="6" t="s">
        <v>20</v>
      </c>
      <c r="F47" s="113"/>
      <c r="G47" s="241">
        <v>0.32</v>
      </c>
      <c r="H47" s="240">
        <v>6.23</v>
      </c>
      <c r="I47" s="116"/>
      <c r="J47" s="113"/>
      <c r="K47" s="241">
        <v>0.06</v>
      </c>
      <c r="L47" s="240">
        <v>6.33</v>
      </c>
      <c r="M47" s="241">
        <f>K43</f>
        <v>1.04</v>
      </c>
      <c r="N47" s="6" t="s">
        <v>20</v>
      </c>
      <c r="O47" s="113"/>
      <c r="P47" s="260"/>
      <c r="Q47" s="259"/>
      <c r="R47" s="241">
        <f>D47</f>
        <v>1.03</v>
      </c>
      <c r="S47" s="6" t="s">
        <v>20</v>
      </c>
      <c r="T47" s="113"/>
      <c r="U47" s="260"/>
      <c r="V47" s="259"/>
      <c r="W47" s="241">
        <v>4</v>
      </c>
      <c r="X47" s="6" t="s">
        <v>20</v>
      </c>
      <c r="Y47" s="113"/>
      <c r="Z47" s="260"/>
      <c r="AA47" s="259"/>
      <c r="AB47" s="241">
        <v>3</v>
      </c>
      <c r="AC47" s="6" t="s">
        <v>20</v>
      </c>
      <c r="AD47" s="113"/>
      <c r="AE47" s="241">
        <v>1.56</v>
      </c>
      <c r="AF47" s="240">
        <v>6.25</v>
      </c>
      <c r="AG47" s="114">
        <f>AE47</f>
        <v>1.56</v>
      </c>
      <c r="AH47" s="6" t="s">
        <v>20</v>
      </c>
      <c r="AI47" s="141"/>
      <c r="AJ47" s="31" t="s">
        <v>185</v>
      </c>
      <c r="AK47" s="241">
        <f>D80</f>
        <v>0.01</v>
      </c>
      <c r="AL47" s="241">
        <f>M80</f>
        <v>0.01</v>
      </c>
      <c r="AM47" s="241">
        <f>R80</f>
        <v>0.03</v>
      </c>
      <c r="AN47" s="241">
        <f>W80</f>
        <v>0.03</v>
      </c>
      <c r="AO47" s="241">
        <f>AB80</f>
        <v>0.03</v>
      </c>
    </row>
    <row r="48" spans="1:41" s="25" customFormat="1" x14ac:dyDescent="0.25">
      <c r="A48" s="261">
        <v>14</v>
      </c>
      <c r="B48" s="260">
        <v>0.04</v>
      </c>
      <c r="C48" s="259">
        <v>6.21</v>
      </c>
      <c r="D48" s="240">
        <f>B48</f>
        <v>0.04</v>
      </c>
      <c r="E48" s="10" t="s">
        <v>434</v>
      </c>
      <c r="F48" s="113"/>
      <c r="G48" s="260">
        <v>0.33</v>
      </c>
      <c r="H48" s="259">
        <v>6.29</v>
      </c>
      <c r="I48" s="240"/>
      <c r="J48" s="113"/>
      <c r="K48" s="260">
        <v>0.06</v>
      </c>
      <c r="L48" s="259">
        <v>6.37</v>
      </c>
      <c r="M48" s="241">
        <f>K48</f>
        <v>0.06</v>
      </c>
      <c r="N48" s="10" t="s">
        <v>434</v>
      </c>
      <c r="O48" s="113"/>
      <c r="P48" s="260">
        <v>0.17</v>
      </c>
      <c r="Q48" s="259">
        <v>6.26</v>
      </c>
      <c r="R48" s="241">
        <f>D48</f>
        <v>0.04</v>
      </c>
      <c r="S48" s="10" t="s">
        <v>125</v>
      </c>
      <c r="T48" s="113"/>
      <c r="U48" s="260">
        <v>2.61</v>
      </c>
      <c r="V48" s="259">
        <v>6.32</v>
      </c>
      <c r="W48" s="241">
        <f>R48</f>
        <v>0.04</v>
      </c>
      <c r="X48" s="10" t="s">
        <v>125</v>
      </c>
      <c r="Y48" s="113"/>
      <c r="Z48" s="260"/>
      <c r="AA48" s="259"/>
      <c r="AB48" s="241"/>
      <c r="AC48" s="240"/>
      <c r="AD48" s="113"/>
      <c r="AE48" s="260">
        <v>0.02</v>
      </c>
      <c r="AF48" s="259">
        <v>6.34</v>
      </c>
      <c r="AG48" s="26"/>
      <c r="AH48" s="60"/>
      <c r="AI48" s="141"/>
      <c r="AJ48" s="31" t="s">
        <v>186</v>
      </c>
      <c r="AK48" s="241">
        <f>D43+D68+D93+D125+D141+D153+D193</f>
        <v>1.8700000000000003</v>
      </c>
      <c r="AL48" s="241">
        <f>M43+M68+M93+M125+M141+M153+M193</f>
        <v>1.8816666666666662</v>
      </c>
      <c r="AM48" s="241">
        <f>R43+R93+R125+R68</f>
        <v>1.9500000000000004</v>
      </c>
      <c r="AN48" s="241">
        <f>W39+W68+W93+W125</f>
        <v>1.8800000000000003</v>
      </c>
      <c r="AO48" s="241">
        <f>AB39+AB68+AB125</f>
        <v>1.6500000000000004</v>
      </c>
    </row>
    <row r="49" spans="1:41" s="25" customFormat="1" x14ac:dyDescent="0.25">
      <c r="A49" s="261"/>
      <c r="B49" s="260"/>
      <c r="C49" s="259"/>
      <c r="D49" s="240"/>
      <c r="E49" s="18"/>
      <c r="F49" s="113"/>
      <c r="G49" s="260"/>
      <c r="H49" s="259"/>
      <c r="I49" s="240"/>
      <c r="J49" s="113"/>
      <c r="K49" s="260"/>
      <c r="L49" s="259"/>
      <c r="M49" s="241"/>
      <c r="N49" s="18"/>
      <c r="O49" s="113"/>
      <c r="P49" s="260"/>
      <c r="Q49" s="259"/>
      <c r="R49" s="245"/>
      <c r="S49" s="18"/>
      <c r="T49" s="113"/>
      <c r="U49" s="260"/>
      <c r="V49" s="259"/>
      <c r="W49" s="245"/>
      <c r="X49" s="18"/>
      <c r="Y49" s="113"/>
      <c r="Z49" s="260"/>
      <c r="AA49" s="259"/>
      <c r="AB49" s="241"/>
      <c r="AC49" s="240"/>
      <c r="AD49" s="113"/>
      <c r="AE49" s="260"/>
      <c r="AF49" s="259"/>
      <c r="AG49" s="26"/>
      <c r="AH49" s="24"/>
      <c r="AI49" s="141"/>
      <c r="AJ49" s="31" t="s">
        <v>187</v>
      </c>
      <c r="AK49" s="241">
        <f>D84+D114+D135+D149+D158+D166+D169+D177+D216</f>
        <v>1.563333333333333</v>
      </c>
      <c r="AL49" s="241">
        <f>M84+M114+M135+M149+M158+M166+M169+M177+M216</f>
        <v>1.5633333333333332</v>
      </c>
      <c r="AM49" s="241">
        <f>R84+R108+R114+R135+R149</f>
        <v>0.92500000000000004</v>
      </c>
      <c r="AN49" s="241">
        <f>W84+W108+W114+W135+W149</f>
        <v>1.2350000000000001</v>
      </c>
      <c r="AO49" s="241">
        <f>AB84+AB108+AB135+AB149</f>
        <v>1.1599999999999999</v>
      </c>
    </row>
    <row r="50" spans="1:41" s="25" customFormat="1" x14ac:dyDescent="0.25">
      <c r="A50" s="261"/>
      <c r="B50" s="260"/>
      <c r="C50" s="259"/>
      <c r="D50" s="240"/>
      <c r="E50" s="240"/>
      <c r="F50" s="113"/>
      <c r="G50" s="260"/>
      <c r="H50" s="259"/>
      <c r="I50" s="240"/>
      <c r="J50" s="113"/>
      <c r="K50" s="260"/>
      <c r="L50" s="259"/>
      <c r="M50" s="241"/>
      <c r="N50" s="240"/>
      <c r="O50" s="113"/>
      <c r="P50" s="260"/>
      <c r="Q50" s="259"/>
      <c r="R50" s="241"/>
      <c r="S50" s="240"/>
      <c r="T50" s="113"/>
      <c r="U50" s="260"/>
      <c r="V50" s="259"/>
      <c r="W50" s="241">
        <v>0.1</v>
      </c>
      <c r="X50" s="62" t="s">
        <v>21</v>
      </c>
      <c r="Y50" s="113"/>
      <c r="Z50" s="260"/>
      <c r="AA50" s="259"/>
      <c r="AB50" s="24"/>
      <c r="AC50" s="24"/>
      <c r="AD50" s="113"/>
      <c r="AE50" s="241">
        <v>0.01</v>
      </c>
      <c r="AF50" s="240">
        <v>6.38</v>
      </c>
      <c r="AG50" s="26"/>
      <c r="AH50" s="24"/>
      <c r="AI50" s="141"/>
      <c r="AJ50" s="31" t="s">
        <v>188</v>
      </c>
      <c r="AK50" s="241">
        <f>D54+D132</f>
        <v>0.43</v>
      </c>
      <c r="AL50" s="241">
        <f>M54+M132</f>
        <v>0.47666666666666668</v>
      </c>
      <c r="AM50" s="241">
        <f>R54+R132</f>
        <v>0.43</v>
      </c>
      <c r="AN50" s="241">
        <f>W54+W132</f>
        <v>0.43</v>
      </c>
      <c r="AO50" s="241">
        <f>AB54+AB132</f>
        <v>0.43</v>
      </c>
    </row>
    <row r="51" spans="1:41" s="25" customFormat="1" x14ac:dyDescent="0.25">
      <c r="A51" s="261">
        <v>15</v>
      </c>
      <c r="B51" s="260">
        <v>3.45</v>
      </c>
      <c r="C51" s="259">
        <v>6.33</v>
      </c>
      <c r="D51" s="241">
        <v>0.06</v>
      </c>
      <c r="E51" s="63" t="s">
        <v>435</v>
      </c>
      <c r="F51" s="113"/>
      <c r="G51" s="260">
        <v>5.35</v>
      </c>
      <c r="H51" s="259">
        <v>6.39</v>
      </c>
      <c r="I51" s="240"/>
      <c r="J51" s="113"/>
      <c r="K51" s="241">
        <v>3.35</v>
      </c>
      <c r="L51" s="240">
        <v>6.43</v>
      </c>
      <c r="M51" s="241">
        <f>K52</f>
        <v>0.04</v>
      </c>
      <c r="N51" s="63" t="s">
        <v>435</v>
      </c>
      <c r="O51" s="113"/>
      <c r="P51" s="260">
        <v>3.27</v>
      </c>
      <c r="Q51" s="259">
        <v>6.34</v>
      </c>
      <c r="R51" s="241">
        <v>0.06</v>
      </c>
      <c r="S51" s="63" t="s">
        <v>46</v>
      </c>
      <c r="T51" s="113"/>
      <c r="U51" s="260">
        <v>3.44</v>
      </c>
      <c r="V51" s="259">
        <v>6.37</v>
      </c>
      <c r="W51" s="241">
        <f>U51-W52</f>
        <v>4.9999999999999822E-2</v>
      </c>
      <c r="X51" s="63" t="s">
        <v>46</v>
      </c>
      <c r="Y51" s="113"/>
      <c r="Z51" s="260">
        <v>3.39</v>
      </c>
      <c r="AA51" s="259">
        <v>6.39</v>
      </c>
      <c r="AB51" s="241"/>
      <c r="AC51" s="240"/>
      <c r="AD51" s="113"/>
      <c r="AE51" s="260">
        <v>2.78</v>
      </c>
      <c r="AF51" s="259">
        <v>6.48</v>
      </c>
      <c r="AG51" s="26"/>
      <c r="AH51" s="24"/>
      <c r="AI51" s="141"/>
      <c r="AJ51" s="31" t="s">
        <v>189</v>
      </c>
      <c r="AK51" s="241">
        <f>D96+D136+D138+D154+D162+D179</f>
        <v>0.81333333333333324</v>
      </c>
      <c r="AL51" s="241">
        <f>M96+M136+M138+M154+M162</f>
        <v>0.77333333333333332</v>
      </c>
      <c r="AM51" s="241">
        <f>R96+R136+R154+R162+R179</f>
        <v>1.1866666666666665</v>
      </c>
      <c r="AN51" s="241">
        <f>W96+W136+W154+W162+W179</f>
        <v>0.97666666666666657</v>
      </c>
      <c r="AO51" s="241">
        <f>AB96+AB154+AB162+AB136</f>
        <v>0.95000000000000007</v>
      </c>
    </row>
    <row r="52" spans="1:41" s="25" customFormat="1" x14ac:dyDescent="0.25">
      <c r="A52" s="261"/>
      <c r="B52" s="260"/>
      <c r="C52" s="259"/>
      <c r="D52" s="240">
        <f>B51-D51</f>
        <v>3.39</v>
      </c>
      <c r="E52" s="54" t="s">
        <v>34</v>
      </c>
      <c r="F52" s="113"/>
      <c r="G52" s="260"/>
      <c r="H52" s="259"/>
      <c r="I52" s="240"/>
      <c r="J52" s="113"/>
      <c r="K52" s="241">
        <v>0.04</v>
      </c>
      <c r="L52" s="240">
        <v>6.5</v>
      </c>
      <c r="M52" s="241">
        <f>K51</f>
        <v>3.35</v>
      </c>
      <c r="N52" s="54" t="s">
        <v>34</v>
      </c>
      <c r="O52" s="113"/>
      <c r="P52" s="260"/>
      <c r="Q52" s="259"/>
      <c r="R52" s="241">
        <f>P51-R51</f>
        <v>3.21</v>
      </c>
      <c r="S52" s="54" t="s">
        <v>34</v>
      </c>
      <c r="T52" s="113"/>
      <c r="U52" s="260"/>
      <c r="V52" s="259"/>
      <c r="W52" s="241">
        <v>3.39</v>
      </c>
      <c r="X52" s="54" t="s">
        <v>34</v>
      </c>
      <c r="Y52" s="113"/>
      <c r="Z52" s="260"/>
      <c r="AA52" s="259"/>
      <c r="AB52" s="241">
        <f>Z51+Z53-AB54-AB55-AB62</f>
        <v>4.68</v>
      </c>
      <c r="AC52" s="54" t="s">
        <v>34</v>
      </c>
      <c r="AD52" s="113"/>
      <c r="AE52" s="260"/>
      <c r="AF52" s="259"/>
      <c r="AG52" s="26">
        <f>AE51</f>
        <v>2.78</v>
      </c>
      <c r="AH52" s="54" t="s">
        <v>34</v>
      </c>
      <c r="AI52" s="141"/>
      <c r="AJ52" s="31" t="s">
        <v>190</v>
      </c>
      <c r="AK52" s="241">
        <f>D55+D82+D107+D139+D140+D165+D186+D197+D211+D213+D214+D221+D229</f>
        <v>2.6213333333333333</v>
      </c>
      <c r="AL52" s="241">
        <f>M55+M82+M107+M139+M140+M167+M186+M197+M211+M213+M214+M221+M229</f>
        <v>1.458666666666667</v>
      </c>
      <c r="AM52" s="241">
        <f>R55+R82+R105+R106+R139+R140+R151+R171+R195</f>
        <v>2.57</v>
      </c>
      <c r="AN52" s="241">
        <f>W55+W82+W105+W106+W139+W140+W151+W171+W195</f>
        <v>1.9</v>
      </c>
      <c r="AO52" s="241">
        <f>AB55+AB82+AB106+AB139+AB195+AB171</f>
        <v>2.4000000000000004</v>
      </c>
    </row>
    <row r="53" spans="1:41" s="25" customFormat="1" x14ac:dyDescent="0.25">
      <c r="A53" s="261">
        <v>16</v>
      </c>
      <c r="B53" s="260">
        <v>0.44</v>
      </c>
      <c r="C53" s="259">
        <v>6.48</v>
      </c>
      <c r="D53" s="240">
        <f>R53</f>
        <v>0.13</v>
      </c>
      <c r="E53" s="10" t="s">
        <v>441</v>
      </c>
      <c r="F53" s="113"/>
      <c r="G53" s="260">
        <v>0.87</v>
      </c>
      <c r="H53" s="259">
        <v>6.54</v>
      </c>
      <c r="I53" s="240"/>
      <c r="J53" s="113"/>
      <c r="K53" s="260">
        <v>0.53</v>
      </c>
      <c r="L53" s="259">
        <v>6.59</v>
      </c>
      <c r="M53" s="241">
        <f>M54</f>
        <v>0.17666666666666667</v>
      </c>
      <c r="N53" s="10" t="s">
        <v>441</v>
      </c>
      <c r="O53" s="113"/>
      <c r="P53" s="260">
        <v>0.39</v>
      </c>
      <c r="Q53" s="259">
        <v>6.49</v>
      </c>
      <c r="R53" s="241">
        <f>0.13</f>
        <v>0.13</v>
      </c>
      <c r="S53" s="10" t="s">
        <v>323</v>
      </c>
      <c r="T53" s="113"/>
      <c r="U53" s="260">
        <v>1.1599999999999999</v>
      </c>
      <c r="V53" s="259">
        <v>6.5</v>
      </c>
      <c r="W53" s="241">
        <f>R53</f>
        <v>0.13</v>
      </c>
      <c r="X53" s="10" t="s">
        <v>323</v>
      </c>
      <c r="Y53" s="113"/>
      <c r="Z53" s="260">
        <v>3.73</v>
      </c>
      <c r="AA53" s="259">
        <v>6.52</v>
      </c>
      <c r="AB53" s="24"/>
      <c r="AC53" s="24"/>
      <c r="AD53" s="113"/>
      <c r="AE53" s="260">
        <v>1.18</v>
      </c>
      <c r="AF53" s="259">
        <v>6.68</v>
      </c>
      <c r="AG53" s="26"/>
      <c r="AH53" s="24"/>
      <c r="AI53" s="141"/>
      <c r="AJ53" s="31" t="s">
        <v>191</v>
      </c>
      <c r="AK53" s="241">
        <f>D99+D144+D156+D172+D231</f>
        <v>2.14</v>
      </c>
      <c r="AL53" s="241">
        <f>M99+M144+M156+M172+M231+M190</f>
        <v>2.14</v>
      </c>
      <c r="AM53" s="241">
        <f>R89+R99+R156+R159+R172+R190</f>
        <v>2.1300000000000003</v>
      </c>
      <c r="AN53" s="241">
        <f>W89+W99+W156+W159+W172+W190</f>
        <v>1</v>
      </c>
      <c r="AO53" s="241">
        <f>AB99+AB156+AB89</f>
        <v>0.84000000000000008</v>
      </c>
    </row>
    <row r="54" spans="1:41" s="25" customFormat="1" x14ac:dyDescent="0.25">
      <c r="A54" s="261"/>
      <c r="B54" s="260"/>
      <c r="C54" s="259"/>
      <c r="D54" s="240">
        <f>R54</f>
        <v>0.13</v>
      </c>
      <c r="E54" s="59" t="s">
        <v>103</v>
      </c>
      <c r="F54" s="113"/>
      <c r="G54" s="260"/>
      <c r="H54" s="259"/>
      <c r="I54" s="240"/>
      <c r="J54" s="113"/>
      <c r="K54" s="260"/>
      <c r="L54" s="259"/>
      <c r="M54" s="241">
        <f>K53/3</f>
        <v>0.17666666666666667</v>
      </c>
      <c r="N54" s="59" t="s">
        <v>103</v>
      </c>
      <c r="O54" s="113"/>
      <c r="P54" s="260"/>
      <c r="Q54" s="259"/>
      <c r="R54" s="241">
        <v>0.13</v>
      </c>
      <c r="S54" s="59" t="s">
        <v>103</v>
      </c>
      <c r="T54" s="113"/>
      <c r="U54" s="260"/>
      <c r="V54" s="259"/>
      <c r="W54" s="241">
        <f>R54</f>
        <v>0.13</v>
      </c>
      <c r="X54" s="59" t="s">
        <v>103</v>
      </c>
      <c r="Y54" s="113"/>
      <c r="Z54" s="260"/>
      <c r="AA54" s="259"/>
      <c r="AB54" s="241">
        <f>D54</f>
        <v>0.13</v>
      </c>
      <c r="AC54" s="59" t="s">
        <v>103</v>
      </c>
      <c r="AD54" s="113"/>
      <c r="AE54" s="260"/>
      <c r="AF54" s="259"/>
      <c r="AG54" s="26">
        <f>(AE53+AE62+AE63-AG57)/3</f>
        <v>9.0000000000000011E-2</v>
      </c>
      <c r="AH54" s="59" t="s">
        <v>103</v>
      </c>
      <c r="AI54" s="141"/>
      <c r="AJ54" s="36" t="s">
        <v>203</v>
      </c>
      <c r="AK54" s="19">
        <f>D69</f>
        <v>0.01</v>
      </c>
      <c r="AL54" s="19">
        <f>M69</f>
        <v>0.01</v>
      </c>
      <c r="AM54" s="19">
        <f>R69+R118</f>
        <v>0.01</v>
      </c>
      <c r="AN54" s="19">
        <f>W69+W118</f>
        <v>0.01</v>
      </c>
      <c r="AO54" s="19">
        <f>AB69+AB118</f>
        <v>0.01</v>
      </c>
    </row>
    <row r="55" spans="1:41" s="25" customFormat="1" x14ac:dyDescent="0.25">
      <c r="A55" s="261"/>
      <c r="B55" s="260"/>
      <c r="C55" s="259"/>
      <c r="D55" s="240">
        <f>R55</f>
        <v>0.13</v>
      </c>
      <c r="E55" s="249" t="s">
        <v>64</v>
      </c>
      <c r="F55" s="113"/>
      <c r="G55" s="260"/>
      <c r="H55" s="259"/>
      <c r="I55" s="240"/>
      <c r="J55" s="113"/>
      <c r="K55" s="260"/>
      <c r="L55" s="259"/>
      <c r="M55" s="241">
        <f>M54</f>
        <v>0.17666666666666667</v>
      </c>
      <c r="N55" s="249" t="s">
        <v>64</v>
      </c>
      <c r="O55" s="113"/>
      <c r="P55" s="260"/>
      <c r="Q55" s="259"/>
      <c r="R55" s="241">
        <v>0.13</v>
      </c>
      <c r="S55" s="249" t="s">
        <v>64</v>
      </c>
      <c r="T55" s="113"/>
      <c r="U55" s="260"/>
      <c r="V55" s="259"/>
      <c r="W55" s="241">
        <v>0.9</v>
      </c>
      <c r="X55" s="249" t="s">
        <v>64</v>
      </c>
      <c r="Y55" s="113"/>
      <c r="Z55" s="260"/>
      <c r="AA55" s="259"/>
      <c r="AB55" s="241">
        <v>1.31</v>
      </c>
      <c r="AC55" s="249" t="s">
        <v>64</v>
      </c>
      <c r="AD55" s="113"/>
      <c r="AE55" s="260"/>
      <c r="AF55" s="259"/>
      <c r="AG55" s="26">
        <f>AG54</f>
        <v>9.0000000000000011E-2</v>
      </c>
      <c r="AH55" s="249" t="s">
        <v>64</v>
      </c>
      <c r="AI55" s="141"/>
      <c r="AJ55" s="36" t="s">
        <v>204</v>
      </c>
      <c r="AK55" s="19">
        <f>D134+D173</f>
        <v>8.3333333333333343E-2</v>
      </c>
      <c r="AL55" s="19">
        <f>M134+M173</f>
        <v>8.3333333333333343E-2</v>
      </c>
      <c r="AM55" s="19">
        <f>R134+R173</f>
        <v>8.3333333333333343E-2</v>
      </c>
      <c r="AN55" s="19">
        <f>W134+W173+W142</f>
        <v>8.3333333333333343E-2</v>
      </c>
      <c r="AO55" s="19">
        <f>AB134+AB142</f>
        <v>0.08</v>
      </c>
    </row>
    <row r="56" spans="1:41" s="25" customFormat="1" x14ac:dyDescent="0.25">
      <c r="A56" s="261"/>
      <c r="B56" s="260"/>
      <c r="C56" s="259"/>
      <c r="D56" s="24"/>
      <c r="E56" s="24"/>
      <c r="F56" s="113"/>
      <c r="G56" s="260"/>
      <c r="H56" s="259"/>
      <c r="I56" s="240"/>
      <c r="J56" s="113"/>
      <c r="K56" s="260"/>
      <c r="L56" s="259"/>
      <c r="M56" s="24"/>
      <c r="N56" s="24"/>
      <c r="O56" s="113"/>
      <c r="P56" s="260"/>
      <c r="Q56" s="259"/>
      <c r="R56" s="24"/>
      <c r="S56" s="24"/>
      <c r="T56" s="113"/>
      <c r="U56" s="260"/>
      <c r="V56" s="259"/>
      <c r="W56" s="24"/>
      <c r="X56" s="24"/>
      <c r="Y56" s="113"/>
      <c r="Z56" s="260"/>
      <c r="AA56" s="259"/>
      <c r="AB56" s="24"/>
      <c r="AC56" s="24"/>
      <c r="AD56" s="113"/>
      <c r="AE56" s="260"/>
      <c r="AF56" s="259"/>
      <c r="AG56" s="26"/>
      <c r="AH56" s="24"/>
      <c r="AI56" s="141"/>
      <c r="AJ56" s="36" t="s">
        <v>198</v>
      </c>
      <c r="AK56" s="19"/>
      <c r="AL56" s="19"/>
      <c r="AM56" s="19"/>
      <c r="AN56" s="19"/>
      <c r="AO56" s="19"/>
    </row>
    <row r="57" spans="1:41" s="25" customFormat="1" x14ac:dyDescent="0.25">
      <c r="A57" s="261">
        <v>17</v>
      </c>
      <c r="B57" s="260">
        <v>0.26</v>
      </c>
      <c r="C57" s="259">
        <v>6.58</v>
      </c>
      <c r="D57" s="240">
        <v>0.2</v>
      </c>
      <c r="E57" s="22" t="s">
        <v>62</v>
      </c>
      <c r="F57" s="113"/>
      <c r="G57" s="263">
        <v>0.13</v>
      </c>
      <c r="H57" s="266">
        <v>6.62</v>
      </c>
      <c r="I57" s="240"/>
      <c r="J57" s="113"/>
      <c r="K57" s="260">
        <v>0.36</v>
      </c>
      <c r="L57" s="259">
        <v>6.69</v>
      </c>
      <c r="M57" s="241">
        <f>D57</f>
        <v>0.2</v>
      </c>
      <c r="N57" s="22" t="s">
        <v>62</v>
      </c>
      <c r="O57" s="113"/>
      <c r="P57" s="260">
        <v>0.5</v>
      </c>
      <c r="Q57" s="259">
        <v>6.59</v>
      </c>
      <c r="R57" s="241">
        <v>0.2</v>
      </c>
      <c r="S57" s="22" t="s">
        <v>62</v>
      </c>
      <c r="T57" s="113"/>
      <c r="U57" s="260">
        <v>2.3199999999999998</v>
      </c>
      <c r="V57" s="259">
        <v>6.62</v>
      </c>
      <c r="W57" s="241">
        <v>0.2</v>
      </c>
      <c r="X57" s="22" t="s">
        <v>62</v>
      </c>
      <c r="Y57" s="113"/>
      <c r="Z57" s="260">
        <v>1.03</v>
      </c>
      <c r="AA57" s="259">
        <v>6.63</v>
      </c>
      <c r="AB57" s="241">
        <f>AG57-AB94</f>
        <v>0.51999999999999991</v>
      </c>
      <c r="AC57" s="22" t="s">
        <v>62</v>
      </c>
      <c r="AD57" s="113"/>
      <c r="AE57" s="260"/>
      <c r="AF57" s="259"/>
      <c r="AG57" s="26">
        <f>AE53</f>
        <v>1.18</v>
      </c>
      <c r="AH57" s="22" t="s">
        <v>62</v>
      </c>
      <c r="AI57" s="141"/>
      <c r="AJ57" s="36" t="s">
        <v>199</v>
      </c>
      <c r="AK57" s="19"/>
      <c r="AL57" s="19"/>
      <c r="AM57" s="19"/>
      <c r="AN57" s="19"/>
      <c r="AO57" s="19"/>
    </row>
    <row r="58" spans="1:41" s="25" customFormat="1" x14ac:dyDescent="0.25">
      <c r="A58" s="261"/>
      <c r="B58" s="260"/>
      <c r="C58" s="259"/>
      <c r="D58" s="241">
        <v>0.02</v>
      </c>
      <c r="E58" s="59" t="s">
        <v>409</v>
      </c>
      <c r="F58" s="113"/>
      <c r="G58" s="264"/>
      <c r="H58" s="267"/>
      <c r="I58" s="240"/>
      <c r="J58" s="113"/>
      <c r="K58" s="260"/>
      <c r="L58" s="259"/>
      <c r="M58" s="241">
        <f>D58</f>
        <v>0.02</v>
      </c>
      <c r="N58" s="59" t="s">
        <v>409</v>
      </c>
      <c r="O58" s="113"/>
      <c r="P58" s="260"/>
      <c r="Q58" s="259"/>
      <c r="R58" s="241">
        <v>0.02</v>
      </c>
      <c r="S58" s="59" t="s">
        <v>51</v>
      </c>
      <c r="T58" s="113"/>
      <c r="U58" s="260"/>
      <c r="V58" s="259"/>
      <c r="W58" s="241">
        <f>R58</f>
        <v>0.02</v>
      </c>
      <c r="X58" s="59" t="s">
        <v>51</v>
      </c>
      <c r="Y58" s="113"/>
      <c r="Z58" s="260"/>
      <c r="AA58" s="259"/>
      <c r="AB58" s="24"/>
      <c r="AC58" s="24"/>
      <c r="AD58" s="113"/>
      <c r="AE58" s="260"/>
      <c r="AF58" s="259"/>
      <c r="AG58" s="26"/>
      <c r="AH58" s="24"/>
      <c r="AI58" s="141"/>
      <c r="AJ58" s="31" t="s">
        <v>192</v>
      </c>
      <c r="AK58" s="241">
        <f>D157+D181</f>
        <v>0.18666666666666668</v>
      </c>
      <c r="AL58" s="241">
        <f>M157+M181</f>
        <v>0.18666666666666668</v>
      </c>
      <c r="AM58" s="241">
        <f>R157+R181</f>
        <v>0.18666666666666668</v>
      </c>
      <c r="AN58" s="241">
        <f>W157+W181</f>
        <v>0.20666666666666667</v>
      </c>
      <c r="AO58" s="241">
        <f>AB157+AB181</f>
        <v>0.18666666666666668</v>
      </c>
    </row>
    <row r="59" spans="1:41" s="25" customFormat="1" x14ac:dyDescent="0.25">
      <c r="A59" s="261"/>
      <c r="B59" s="260"/>
      <c r="C59" s="259"/>
      <c r="D59" s="241">
        <v>0.02</v>
      </c>
      <c r="E59" s="249" t="s">
        <v>408</v>
      </c>
      <c r="F59" s="113"/>
      <c r="G59" s="264"/>
      <c r="H59" s="267"/>
      <c r="I59" s="240"/>
      <c r="J59" s="113"/>
      <c r="K59" s="260"/>
      <c r="L59" s="259"/>
      <c r="M59" s="241">
        <f>K57-M57-M58-M61</f>
        <v>0.11999999999999998</v>
      </c>
      <c r="N59" s="249" t="s">
        <v>408</v>
      </c>
      <c r="O59" s="113"/>
      <c r="P59" s="260"/>
      <c r="Q59" s="259"/>
      <c r="R59" s="241">
        <v>0.3</v>
      </c>
      <c r="S59" s="249" t="s">
        <v>423</v>
      </c>
      <c r="T59" s="113"/>
      <c r="U59" s="260"/>
      <c r="V59" s="259"/>
      <c r="W59" s="241">
        <f>U57-W57-W58-W61-W62</f>
        <v>1.3099999999999994</v>
      </c>
      <c r="X59" s="249" t="s">
        <v>50</v>
      </c>
      <c r="Y59" s="113"/>
      <c r="Z59" s="260"/>
      <c r="AA59" s="259"/>
      <c r="AB59" s="24"/>
      <c r="AC59" s="24"/>
      <c r="AD59" s="113"/>
      <c r="AE59" s="260"/>
      <c r="AF59" s="259"/>
      <c r="AG59" s="26"/>
      <c r="AH59" s="24"/>
      <c r="AI59" s="141"/>
      <c r="AJ59" s="36" t="s">
        <v>205</v>
      </c>
      <c r="AK59" s="241">
        <f>D222</f>
        <v>0.27</v>
      </c>
      <c r="AL59" s="241">
        <f>M222</f>
        <v>0.33</v>
      </c>
      <c r="AM59" s="19">
        <f>R222</f>
        <v>1.03</v>
      </c>
      <c r="AN59" s="19"/>
      <c r="AO59" s="19"/>
    </row>
    <row r="60" spans="1:41" s="25" customFormat="1" x14ac:dyDescent="0.25">
      <c r="A60" s="261"/>
      <c r="B60" s="260"/>
      <c r="C60" s="259"/>
      <c r="D60" s="24"/>
      <c r="E60" s="24"/>
      <c r="F60" s="113"/>
      <c r="G60" s="264"/>
      <c r="H60" s="267"/>
      <c r="I60" s="240"/>
      <c r="J60" s="113"/>
      <c r="K60" s="260"/>
      <c r="L60" s="259"/>
      <c r="M60" s="24"/>
      <c r="N60" s="24"/>
      <c r="O60" s="113"/>
      <c r="P60" s="260"/>
      <c r="Q60" s="259"/>
      <c r="R60" s="24"/>
      <c r="S60" s="24"/>
      <c r="T60" s="113"/>
      <c r="U60" s="260"/>
      <c r="V60" s="259"/>
      <c r="W60" s="24"/>
      <c r="X60" s="24"/>
      <c r="Y60" s="113"/>
      <c r="Z60" s="260"/>
      <c r="AA60" s="259"/>
      <c r="AB60" s="241"/>
      <c r="AC60" s="240"/>
      <c r="AD60" s="113"/>
      <c r="AE60" s="260"/>
      <c r="AF60" s="259"/>
      <c r="AG60" s="26"/>
      <c r="AH60" s="24"/>
      <c r="AI60" s="141"/>
      <c r="AJ60" s="36" t="s">
        <v>193</v>
      </c>
      <c r="AK60" s="1">
        <f>SUM(AK46:AK59)</f>
        <v>10.308000000000002</v>
      </c>
      <c r="AL60" s="1">
        <f>SUM(AL46:AL59)</f>
        <v>9.2236666666666682</v>
      </c>
      <c r="AM60" s="1">
        <f>SUM(AM46:AM59)</f>
        <v>10.841666666666669</v>
      </c>
      <c r="AN60" s="1">
        <f>SUM(AN46:AN59)</f>
        <v>8.0616666666666656</v>
      </c>
      <c r="AO60" s="1">
        <f>SUM(AO46:AO59)</f>
        <v>8.0491666666666681</v>
      </c>
    </row>
    <row r="61" spans="1:41" s="25" customFormat="1" x14ac:dyDescent="0.25">
      <c r="A61" s="261"/>
      <c r="B61" s="260"/>
      <c r="C61" s="259"/>
      <c r="D61" s="241">
        <v>0.02</v>
      </c>
      <c r="E61" s="62" t="s">
        <v>101</v>
      </c>
      <c r="F61" s="113"/>
      <c r="G61" s="265"/>
      <c r="H61" s="268"/>
      <c r="I61" s="240"/>
      <c r="J61" s="113"/>
      <c r="K61" s="260"/>
      <c r="L61" s="259"/>
      <c r="M61" s="241">
        <f>D61</f>
        <v>0.02</v>
      </c>
      <c r="N61" s="62" t="s">
        <v>101</v>
      </c>
      <c r="O61" s="113"/>
      <c r="P61" s="260"/>
      <c r="Q61" s="259"/>
      <c r="R61" s="241">
        <v>0.02</v>
      </c>
      <c r="S61" s="62" t="s">
        <v>101</v>
      </c>
      <c r="T61" s="113"/>
      <c r="U61" s="260"/>
      <c r="V61" s="259"/>
      <c r="W61" s="241">
        <f>AB61</f>
        <v>0.51000000000000012</v>
      </c>
      <c r="X61" s="62" t="s">
        <v>101</v>
      </c>
      <c r="Y61" s="113"/>
      <c r="Z61" s="260"/>
      <c r="AA61" s="259"/>
      <c r="AB61" s="241">
        <f>Z57-AB57</f>
        <v>0.51000000000000012</v>
      </c>
      <c r="AC61" s="62" t="s">
        <v>101</v>
      </c>
      <c r="AD61" s="113"/>
      <c r="AE61" s="260"/>
      <c r="AF61" s="259"/>
      <c r="AG61" s="26">
        <f>AG54</f>
        <v>9.0000000000000011E-2</v>
      </c>
      <c r="AH61" s="62" t="s">
        <v>101</v>
      </c>
      <c r="AI61" s="141"/>
    </row>
    <row r="62" spans="1:41" s="25" customFormat="1" ht="15.75" thickBot="1" x14ac:dyDescent="0.3">
      <c r="A62" s="261">
        <v>18</v>
      </c>
      <c r="B62" s="260">
        <v>0.03</v>
      </c>
      <c r="C62" s="259">
        <v>6.66</v>
      </c>
      <c r="D62" s="241"/>
      <c r="E62" s="240"/>
      <c r="F62" s="113"/>
      <c r="G62" s="260">
        <v>0.44</v>
      </c>
      <c r="H62" s="259">
        <v>6.73</v>
      </c>
      <c r="I62" s="240"/>
      <c r="J62" s="113"/>
      <c r="K62" s="260">
        <v>0.03</v>
      </c>
      <c r="L62" s="259">
        <v>6.78</v>
      </c>
      <c r="M62" s="241"/>
      <c r="N62" s="240"/>
      <c r="O62" s="113"/>
      <c r="P62" s="260">
        <v>0.03</v>
      </c>
      <c r="Q62" s="259">
        <v>6.69</v>
      </c>
      <c r="R62" s="241"/>
      <c r="S62" s="24"/>
      <c r="T62" s="113"/>
      <c r="U62" s="260"/>
      <c r="V62" s="259"/>
      <c r="W62" s="241">
        <v>0.28000000000000003</v>
      </c>
      <c r="X62" s="63" t="s">
        <v>22</v>
      </c>
      <c r="Y62" s="113"/>
      <c r="Z62" s="260"/>
      <c r="AA62" s="259"/>
      <c r="AB62" s="241">
        <v>1</v>
      </c>
      <c r="AC62" s="63" t="s">
        <v>22</v>
      </c>
      <c r="AD62" s="113"/>
      <c r="AE62" s="241">
        <v>0.18</v>
      </c>
      <c r="AF62" s="240">
        <v>6.79</v>
      </c>
      <c r="AG62" s="26"/>
      <c r="AH62" s="24"/>
      <c r="AI62" s="141"/>
    </row>
    <row r="63" spans="1:41" s="25" customFormat="1" x14ac:dyDescent="0.25">
      <c r="A63" s="261"/>
      <c r="B63" s="260"/>
      <c r="C63" s="259"/>
      <c r="D63" s="240"/>
      <c r="E63" s="240"/>
      <c r="F63" s="113"/>
      <c r="G63" s="260"/>
      <c r="H63" s="259"/>
      <c r="I63" s="240"/>
      <c r="J63" s="113"/>
      <c r="K63" s="260"/>
      <c r="L63" s="259"/>
      <c r="M63" s="241"/>
      <c r="N63" s="240"/>
      <c r="O63" s="113"/>
      <c r="P63" s="260"/>
      <c r="Q63" s="259"/>
      <c r="R63" s="241"/>
      <c r="S63" s="24"/>
      <c r="T63" s="113"/>
      <c r="U63" s="260"/>
      <c r="V63" s="259"/>
      <c r="W63" s="241"/>
      <c r="X63" s="24"/>
      <c r="Y63" s="113"/>
      <c r="Z63" s="260"/>
      <c r="AA63" s="259"/>
      <c r="AB63" s="241"/>
      <c r="AC63" s="24"/>
      <c r="AD63" s="113"/>
      <c r="AE63" s="241">
        <v>0.09</v>
      </c>
      <c r="AF63" s="240">
        <v>6.84</v>
      </c>
      <c r="AG63" s="26"/>
      <c r="AH63" s="24"/>
      <c r="AI63" s="141"/>
      <c r="AJ63" s="153" t="s">
        <v>277</v>
      </c>
      <c r="AK63" s="41" t="s">
        <v>1</v>
      </c>
      <c r="AL63" s="38" t="s">
        <v>2</v>
      </c>
      <c r="AM63" s="41" t="s">
        <v>4</v>
      </c>
      <c r="AN63" s="21"/>
      <c r="AO63" s="21"/>
    </row>
    <row r="64" spans="1:41" s="25" customFormat="1" x14ac:dyDescent="0.25">
      <c r="A64" s="242">
        <v>19</v>
      </c>
      <c r="B64" s="241">
        <v>0.02</v>
      </c>
      <c r="C64" s="240">
        <v>6.68</v>
      </c>
      <c r="D64" s="24"/>
      <c r="E64" s="24"/>
      <c r="F64" s="113"/>
      <c r="G64" s="260"/>
      <c r="H64" s="259"/>
      <c r="I64" s="240"/>
      <c r="J64" s="113"/>
      <c r="K64" s="241">
        <v>0.02</v>
      </c>
      <c r="L64" s="240">
        <v>6.8</v>
      </c>
      <c r="M64" s="24"/>
      <c r="N64" s="24"/>
      <c r="O64" s="113"/>
      <c r="P64" s="241">
        <v>0.04</v>
      </c>
      <c r="Q64" s="240">
        <v>6.72</v>
      </c>
      <c r="R64" s="24"/>
      <c r="S64" s="24"/>
      <c r="T64" s="113"/>
      <c r="U64" s="260">
        <v>2.65</v>
      </c>
      <c r="V64" s="259">
        <v>6.75</v>
      </c>
      <c r="W64" s="24"/>
      <c r="X64" s="24"/>
      <c r="Y64" s="113"/>
      <c r="Z64" s="260">
        <v>0.16</v>
      </c>
      <c r="AA64" s="259">
        <v>6.79</v>
      </c>
      <c r="AB64" s="241">
        <f>Z64</f>
        <v>0.16</v>
      </c>
      <c r="AC64" s="68" t="s">
        <v>39</v>
      </c>
      <c r="AD64" s="113"/>
      <c r="AE64" s="260">
        <v>0.02</v>
      </c>
      <c r="AF64" s="259">
        <v>6.89</v>
      </c>
      <c r="AG64" s="114"/>
      <c r="AH64" s="24"/>
      <c r="AI64" s="141"/>
      <c r="AJ64" s="111" t="s">
        <v>272</v>
      </c>
      <c r="AK64" s="19">
        <f>D5+D12+D47+D54+D55+D57+D61+D69+D70+D73+D88+D74+D94+D104+D109+D134+D148+D174</f>
        <v>23.083333333333336</v>
      </c>
      <c r="AL64" s="19">
        <f>M5+M12+M47+M54+M55+M57+M61+M69+M70+M73+M88+M74+M94+M104+M109+M134+M148+M174</f>
        <v>27.421666666666667</v>
      </c>
      <c r="AM64" s="19">
        <f>R5+R12+R47+R54+R55+R57+R61+R69+R70+R73+R88+R74+R94+R104+R109+R134+R148+R174+R72</f>
        <v>24.306666666666668</v>
      </c>
      <c r="AN64" s="19">
        <f>AVERAGE(AK64:AM64)</f>
        <v>24.937222222222221</v>
      </c>
      <c r="AO64" s="21" t="s">
        <v>297</v>
      </c>
    </row>
    <row r="65" spans="1:41" s="25" customFormat="1" x14ac:dyDescent="0.25">
      <c r="A65" s="261">
        <v>20</v>
      </c>
      <c r="B65" s="260">
        <v>0.01</v>
      </c>
      <c r="C65" s="259">
        <v>6.73</v>
      </c>
      <c r="D65" s="240">
        <f>R65</f>
        <v>0.01</v>
      </c>
      <c r="E65" s="63" t="s">
        <v>436</v>
      </c>
      <c r="F65" s="113"/>
      <c r="G65" s="260">
        <v>0.04</v>
      </c>
      <c r="H65" s="259">
        <v>6.79</v>
      </c>
      <c r="I65" s="240"/>
      <c r="J65" s="113"/>
      <c r="K65" s="260">
        <v>0.01</v>
      </c>
      <c r="L65" s="259">
        <v>6.83</v>
      </c>
      <c r="M65" s="241">
        <f>M66</f>
        <v>0.01</v>
      </c>
      <c r="N65" s="63" t="s">
        <v>436</v>
      </c>
      <c r="O65" s="113"/>
      <c r="P65" s="260">
        <v>0.01</v>
      </c>
      <c r="Q65" s="259">
        <v>6.75</v>
      </c>
      <c r="R65" s="241">
        <f>P65</f>
        <v>0.01</v>
      </c>
      <c r="S65" s="63" t="s">
        <v>504</v>
      </c>
      <c r="T65" s="113"/>
      <c r="U65" s="260"/>
      <c r="V65" s="259"/>
      <c r="W65" s="241">
        <v>1.33</v>
      </c>
      <c r="X65" s="63" t="s">
        <v>127</v>
      </c>
      <c r="Y65" s="113"/>
      <c r="Z65" s="260"/>
      <c r="AA65" s="259"/>
      <c r="AB65" s="241"/>
      <c r="AC65" s="240"/>
      <c r="AD65" s="113"/>
      <c r="AE65" s="260"/>
      <c r="AF65" s="259"/>
      <c r="AG65" s="114"/>
      <c r="AH65" s="24"/>
      <c r="AI65" s="141"/>
      <c r="AJ65" s="111" t="s">
        <v>273</v>
      </c>
      <c r="AK65" s="19">
        <f>D48+D51+D53+D58+D59+D65+D66+D67+D68+D80+D82+D84+D92+D96+D99+D100+D107+D108+D110+D111+D138+D144+D146+D157+D170+D222</f>
        <v>4.0991666666666671</v>
      </c>
      <c r="AL65" s="19">
        <f>M48+M51+M53+M58+M59+M65+M66+M67+M68+M80+M82+M84+M92+M96+M99+M100+M107+M108+M110+M111+M138+M144+M146+M157+M170+M222</f>
        <v>4.4258333333333333</v>
      </c>
      <c r="AM65" s="19">
        <f>R48+R51+R53+R58+R59+R65+R66+R67+R68+R80+R82+R84+R92+R96+R99+R100+R107+R108+R110+R111+R138+R144+R146+R157+R170+R222+R38+R49+R71+R77+R85+R89+R124</f>
        <v>4.2866666666666671</v>
      </c>
      <c r="AN65" s="19">
        <f>AVERAGE(AK65:AM65)</f>
        <v>4.2705555555555561</v>
      </c>
      <c r="AO65" s="21" t="s">
        <v>300</v>
      </c>
    </row>
    <row r="66" spans="1:41" s="25" customFormat="1" x14ac:dyDescent="0.25">
      <c r="A66" s="261"/>
      <c r="B66" s="260"/>
      <c r="C66" s="259"/>
      <c r="D66" s="240">
        <f>R66</f>
        <v>0.01</v>
      </c>
      <c r="E66" s="59" t="s">
        <v>407</v>
      </c>
      <c r="F66" s="113"/>
      <c r="G66" s="260"/>
      <c r="H66" s="259"/>
      <c r="I66" s="240"/>
      <c r="J66" s="113"/>
      <c r="K66" s="260"/>
      <c r="L66" s="259"/>
      <c r="M66" s="241">
        <f>K65</f>
        <v>0.01</v>
      </c>
      <c r="N66" s="59" t="s">
        <v>407</v>
      </c>
      <c r="O66" s="113"/>
      <c r="P66" s="260"/>
      <c r="Q66" s="259"/>
      <c r="R66" s="241">
        <f>P65</f>
        <v>0.01</v>
      </c>
      <c r="S66" s="59" t="s">
        <v>505</v>
      </c>
      <c r="T66" s="113"/>
      <c r="U66" s="260"/>
      <c r="V66" s="259"/>
      <c r="W66" s="241">
        <v>0.33</v>
      </c>
      <c r="X66" s="59" t="s">
        <v>126</v>
      </c>
      <c r="Y66" s="113"/>
      <c r="Z66" s="260"/>
      <c r="AA66" s="259"/>
      <c r="AB66" s="241"/>
      <c r="AC66" s="24"/>
      <c r="AD66" s="113"/>
      <c r="AE66" s="241">
        <v>0.03</v>
      </c>
      <c r="AF66" s="240">
        <v>6.96</v>
      </c>
      <c r="AG66" s="114"/>
      <c r="AH66" s="24"/>
      <c r="AI66" s="141"/>
      <c r="AJ66" s="111" t="s">
        <v>274</v>
      </c>
      <c r="AK66" s="19">
        <f>D216+D215+D214+D193+D192+D183+D182+D180+D178+D177+D169+D166+D165+D164+D162+D161+D158+D156+D154+D153+D149+D139+D137+D132+D135+D136+D131+D127+D125+D119+D114+D113+D102+D98+D97+D95+D93+D87+D83+D76+D143+D214</f>
        <v>12.476666666666665</v>
      </c>
      <c r="AL66" s="19">
        <f>M216+M215+M21+M183+M182+M180+M178+M177+M169+M166+M165+M164+M162+M161+M158+M156+M154+M153+M149+M139+M137+M132+M135+M136+M131+M127+M125+M119+M114+M113+M102+M98+M97+M95+M93+M87+M83+M76+M143+M193+M192+M194+M214</f>
        <v>13.618333333333332</v>
      </c>
      <c r="AM66" s="19">
        <f>R216+R215+R21+R184+R182+R179+R178+R177+R169+R167+R166+R164+R162+R161+R158+R156+R154+R153+R149+R139+R137+R132+R135+R136+R127+R125+R119+R114+R113+R102+R98+R97+R95+R93+R87+R83+R76+R143+R194+R214+R171</f>
        <v>10.661666666666669</v>
      </c>
      <c r="AN66" s="19">
        <f>AVERAGE(AK66:AM66)</f>
        <v>12.252222222222223</v>
      </c>
      <c r="AO66" s="21" t="s">
        <v>301</v>
      </c>
    </row>
    <row r="67" spans="1:41" s="25" customFormat="1" x14ac:dyDescent="0.25">
      <c r="A67" s="261">
        <v>21</v>
      </c>
      <c r="B67" s="260">
        <v>0.53</v>
      </c>
      <c r="C67" s="259">
        <v>6.87</v>
      </c>
      <c r="D67" s="240">
        <f>R67</f>
        <v>0.31</v>
      </c>
      <c r="E67" s="10" t="s">
        <v>105</v>
      </c>
      <c r="F67" s="113"/>
      <c r="G67" s="260">
        <v>1.56</v>
      </c>
      <c r="H67" s="259">
        <v>6.94</v>
      </c>
      <c r="I67" s="240"/>
      <c r="J67" s="113"/>
      <c r="K67" s="241">
        <v>0.01</v>
      </c>
      <c r="L67" s="240">
        <v>6.92</v>
      </c>
      <c r="M67" s="241">
        <f>D67</f>
        <v>0.31</v>
      </c>
      <c r="N67" s="10" t="s">
        <v>105</v>
      </c>
      <c r="O67" s="113"/>
      <c r="P67" s="260">
        <v>0.6</v>
      </c>
      <c r="Q67" s="259">
        <v>6.88</v>
      </c>
      <c r="R67" s="241">
        <v>0.31</v>
      </c>
      <c r="S67" s="10" t="s">
        <v>105</v>
      </c>
      <c r="T67" s="113"/>
      <c r="U67" s="260">
        <v>1.6</v>
      </c>
      <c r="V67" s="259">
        <v>6.9</v>
      </c>
      <c r="W67" s="241">
        <f>R67</f>
        <v>0.31</v>
      </c>
      <c r="X67" s="10" t="s">
        <v>105</v>
      </c>
      <c r="Y67" s="113"/>
      <c r="Z67" s="260">
        <v>1.78</v>
      </c>
      <c r="AA67" s="259">
        <v>6.94</v>
      </c>
      <c r="AB67" s="241">
        <f>(Z67-AB72)/4</f>
        <v>0.3125</v>
      </c>
      <c r="AC67" s="10" t="s">
        <v>105</v>
      </c>
      <c r="AD67" s="113"/>
      <c r="AE67" s="260">
        <v>1.32</v>
      </c>
      <c r="AF67" s="259">
        <v>7.09</v>
      </c>
      <c r="AG67" s="114">
        <f>AB67</f>
        <v>0.3125</v>
      </c>
      <c r="AH67" s="10" t="s">
        <v>105</v>
      </c>
      <c r="AI67" s="141"/>
      <c r="AJ67" s="111" t="s">
        <v>275</v>
      </c>
      <c r="AK67" s="19">
        <f>D231+D229+D227+D226+D221+D220+D217+D213+D211+D206+D205+D203+D202+D198+D197+D191+D186+D176+D173+D172+D168+D163+D155+D151+D150+D147+D140+D133+D123+D122+D121+D115</f>
        <v>11.684666666666667</v>
      </c>
      <c r="AL67" s="19">
        <f>M231+M229+M227+M226+M221+M220+M217+M213+M211+M206+M205+M203+M202+M198+M197+M191+M186+M176+M173+M172+M168+M163+M155+M151+M150+M147+M140+M133+M123+M122+M121+M115+M190+M171</f>
        <v>9.5828333333333333</v>
      </c>
      <c r="AM67" s="19">
        <f>R231+R229+R227+R226+R221+R220+R217+R213+R211+R206+R205+R203+R198+R195+R191+R186+R176+R173+R172+R168+R163+R155+R151+R150+R147+R140+R133+R123+R122+R121+R115+R190+R170+R117+R141+R159+R165</f>
        <v>10.725</v>
      </c>
      <c r="AN67" s="19">
        <f>AVERAGE(AK67:AM67)</f>
        <v>10.664166666666667</v>
      </c>
      <c r="AO67" s="21" t="s">
        <v>298</v>
      </c>
    </row>
    <row r="68" spans="1:41" s="25" customFormat="1" x14ac:dyDescent="0.25">
      <c r="A68" s="261"/>
      <c r="B68" s="260"/>
      <c r="C68" s="259"/>
      <c r="D68" s="241">
        <v>0.01</v>
      </c>
      <c r="E68" s="7" t="s">
        <v>106</v>
      </c>
      <c r="F68" s="113"/>
      <c r="G68" s="260"/>
      <c r="H68" s="259"/>
      <c r="I68" s="240"/>
      <c r="J68" s="113"/>
      <c r="K68" s="260">
        <v>0.56000000000000005</v>
      </c>
      <c r="L68" s="259">
        <v>6.98</v>
      </c>
      <c r="M68" s="241">
        <f>D68</f>
        <v>0.01</v>
      </c>
      <c r="N68" s="7" t="s">
        <v>106</v>
      </c>
      <c r="O68" s="113"/>
      <c r="P68" s="260"/>
      <c r="Q68" s="259"/>
      <c r="R68" s="241">
        <v>0.01</v>
      </c>
      <c r="S68" s="7" t="s">
        <v>106</v>
      </c>
      <c r="T68" s="113"/>
      <c r="U68" s="260"/>
      <c r="V68" s="259"/>
      <c r="W68" s="241">
        <f>AB68</f>
        <v>0.01</v>
      </c>
      <c r="X68" s="7" t="s">
        <v>106</v>
      </c>
      <c r="Y68" s="113"/>
      <c r="Z68" s="260"/>
      <c r="AA68" s="259"/>
      <c r="AB68" s="241">
        <v>0.01</v>
      </c>
      <c r="AC68" s="7" t="s">
        <v>106</v>
      </c>
      <c r="AD68" s="113"/>
      <c r="AE68" s="260"/>
      <c r="AF68" s="259"/>
      <c r="AG68" s="114">
        <f>AB68</f>
        <v>0.01</v>
      </c>
      <c r="AH68" s="7" t="s">
        <v>106</v>
      </c>
      <c r="AI68" s="141"/>
      <c r="AJ68" s="111" t="s">
        <v>276</v>
      </c>
      <c r="AK68" s="19">
        <f>D228+D219+D212+D188+D187+D160</f>
        <v>2.69</v>
      </c>
      <c r="AL68" s="19">
        <f>M228+M219+M212+M187+M188+M160</f>
        <v>2.2299999999999995</v>
      </c>
      <c r="AM68" s="19">
        <f>R228+R219+R212+R187+R188+R160+R183</f>
        <v>2.87</v>
      </c>
      <c r="AN68" s="19">
        <f>AVERAGE(AK68:AM68)</f>
        <v>2.5966666666666667</v>
      </c>
      <c r="AO68" s="21" t="s">
        <v>299</v>
      </c>
    </row>
    <row r="69" spans="1:41" s="25" customFormat="1" x14ac:dyDescent="0.25">
      <c r="A69" s="261"/>
      <c r="B69" s="260"/>
      <c r="C69" s="259"/>
      <c r="D69" s="241">
        <v>0.01</v>
      </c>
      <c r="E69" s="62" t="s">
        <v>66</v>
      </c>
      <c r="F69" s="113"/>
      <c r="G69" s="260"/>
      <c r="H69" s="259"/>
      <c r="I69" s="240"/>
      <c r="J69" s="113"/>
      <c r="K69" s="260"/>
      <c r="L69" s="259"/>
      <c r="M69" s="241">
        <f>R69</f>
        <v>0.01</v>
      </c>
      <c r="N69" s="62" t="s">
        <v>66</v>
      </c>
      <c r="O69" s="113"/>
      <c r="P69" s="260"/>
      <c r="Q69" s="259"/>
      <c r="R69" s="241">
        <v>0.01</v>
      </c>
      <c r="S69" s="62" t="s">
        <v>66</v>
      </c>
      <c r="T69" s="113"/>
      <c r="U69" s="260"/>
      <c r="V69" s="259"/>
      <c r="W69" s="241">
        <f>R69</f>
        <v>0.01</v>
      </c>
      <c r="X69" s="62" t="s">
        <v>66</v>
      </c>
      <c r="Y69" s="113"/>
      <c r="Z69" s="260"/>
      <c r="AA69" s="259"/>
      <c r="AB69" s="241">
        <v>0.01</v>
      </c>
      <c r="AC69" s="62" t="s">
        <v>66</v>
      </c>
      <c r="AD69" s="113"/>
      <c r="AE69" s="260"/>
      <c r="AF69" s="259"/>
      <c r="AG69" s="114">
        <f>AB69</f>
        <v>0.01</v>
      </c>
      <c r="AH69" s="62" t="s">
        <v>66</v>
      </c>
      <c r="AI69" s="141"/>
      <c r="AJ69" s="111" t="s">
        <v>555</v>
      </c>
      <c r="AK69" s="21"/>
      <c r="AL69" s="21"/>
      <c r="AM69" s="21"/>
      <c r="AN69" s="19">
        <f>R58+R59+R65+R66+R53+R51+R48+R38+R71+R76+R77+R83+R85+R87+R92+R97+R98+R100+R102+R117+R122+R124+R133+R165+R188</f>
        <v>9.6999999999999993</v>
      </c>
      <c r="AO69" s="21"/>
    </row>
    <row r="70" spans="1:41" s="25" customFormat="1" x14ac:dyDescent="0.25">
      <c r="A70" s="261"/>
      <c r="B70" s="260"/>
      <c r="C70" s="259"/>
      <c r="D70" s="241">
        <f>B67-D67-D69-D68</f>
        <v>0.2</v>
      </c>
      <c r="E70" s="70" t="s">
        <v>63</v>
      </c>
      <c r="F70" s="113"/>
      <c r="G70" s="260"/>
      <c r="H70" s="259"/>
      <c r="I70" s="240"/>
      <c r="J70" s="113"/>
      <c r="K70" s="260"/>
      <c r="L70" s="259"/>
      <c r="M70" s="241">
        <f>K67+K68-M67-M69-M68</f>
        <v>0.24000000000000005</v>
      </c>
      <c r="N70" s="70" t="s">
        <v>63</v>
      </c>
      <c r="O70" s="113"/>
      <c r="P70" s="260"/>
      <c r="Q70" s="259"/>
      <c r="R70" s="241">
        <v>0.01</v>
      </c>
      <c r="S70" s="70" t="s">
        <v>63</v>
      </c>
      <c r="T70" s="113"/>
      <c r="U70" s="260"/>
      <c r="V70" s="259"/>
      <c r="W70" s="241">
        <f>U67-W71-W69-W68-W67</f>
        <v>0.64000000000000012</v>
      </c>
      <c r="X70" s="70" t="s">
        <v>63</v>
      </c>
      <c r="Y70" s="113"/>
      <c r="Z70" s="260"/>
      <c r="AA70" s="259"/>
      <c r="AB70" s="241">
        <v>0.23</v>
      </c>
      <c r="AC70" s="70" t="s">
        <v>63</v>
      </c>
      <c r="AD70" s="113"/>
      <c r="AE70" s="260"/>
      <c r="AF70" s="259"/>
      <c r="AG70" s="114">
        <v>0.2</v>
      </c>
      <c r="AH70" s="70" t="s">
        <v>63</v>
      </c>
      <c r="AI70" s="141"/>
      <c r="AJ70" s="111" t="s">
        <v>556</v>
      </c>
      <c r="AN70" s="26">
        <f>R123+R141+R147+R160+R183+R219</f>
        <v>6.2400000000000011</v>
      </c>
    </row>
    <row r="71" spans="1:41" s="25" customFormat="1" x14ac:dyDescent="0.25">
      <c r="A71" s="261"/>
      <c r="B71" s="260"/>
      <c r="C71" s="259"/>
      <c r="D71" s="240"/>
      <c r="E71" s="240"/>
      <c r="F71" s="113"/>
      <c r="G71" s="260"/>
      <c r="H71" s="259"/>
      <c r="I71" s="240"/>
      <c r="J71" s="113"/>
      <c r="K71" s="260"/>
      <c r="L71" s="259"/>
      <c r="M71" s="24"/>
      <c r="N71" s="24"/>
      <c r="O71" s="113"/>
      <c r="P71" s="260"/>
      <c r="Q71" s="259"/>
      <c r="R71" s="241">
        <f>P67-R70-R67-R69</f>
        <v>0.26999999999999996</v>
      </c>
      <c r="S71" s="6" t="s">
        <v>506</v>
      </c>
      <c r="T71" s="113"/>
      <c r="U71" s="260"/>
      <c r="V71" s="259"/>
      <c r="W71" s="241">
        <v>0.63</v>
      </c>
      <c r="X71" s="6" t="s">
        <v>171</v>
      </c>
      <c r="Y71" s="113"/>
      <c r="Z71" s="260"/>
      <c r="AA71" s="259"/>
      <c r="AB71" s="24"/>
      <c r="AC71" s="24"/>
      <c r="AD71" s="113"/>
      <c r="AE71" s="260"/>
      <c r="AF71" s="259"/>
      <c r="AG71" s="114">
        <f>AE67-AG67-AG68-AG69-AG70</f>
        <v>0.78750000000000009</v>
      </c>
      <c r="AH71" s="74" t="s">
        <v>333</v>
      </c>
      <c r="AI71" s="141"/>
      <c r="AJ71" s="111" t="s">
        <v>286</v>
      </c>
      <c r="AN71" s="26">
        <f>R95+R121+R187</f>
        <v>1.66</v>
      </c>
    </row>
    <row r="72" spans="1:41" s="25" customFormat="1" x14ac:dyDescent="0.25">
      <c r="A72" s="261"/>
      <c r="B72" s="260"/>
      <c r="C72" s="259"/>
      <c r="D72" s="24"/>
      <c r="E72" s="24"/>
      <c r="F72" s="113"/>
      <c r="G72" s="260"/>
      <c r="H72" s="259"/>
      <c r="I72" s="240"/>
      <c r="J72" s="113"/>
      <c r="K72" s="260"/>
      <c r="L72" s="259"/>
      <c r="M72" s="24"/>
      <c r="N72" s="24"/>
      <c r="O72" s="113"/>
      <c r="P72" s="260"/>
      <c r="Q72" s="259"/>
      <c r="R72" s="241"/>
      <c r="S72" s="240"/>
      <c r="T72" s="113"/>
      <c r="U72" s="260"/>
      <c r="V72" s="259"/>
      <c r="W72" s="245"/>
      <c r="X72" s="246"/>
      <c r="Y72" s="113"/>
      <c r="Z72" s="260"/>
      <c r="AA72" s="259"/>
      <c r="AB72" s="241">
        <v>0.53</v>
      </c>
      <c r="AC72" s="6" t="s">
        <v>121</v>
      </c>
      <c r="AD72" s="113"/>
      <c r="AE72" s="260"/>
      <c r="AF72" s="259"/>
      <c r="AG72" s="114"/>
      <c r="AH72" s="24"/>
      <c r="AI72" s="141"/>
      <c r="AJ72" s="111" t="s">
        <v>547</v>
      </c>
      <c r="AN72" s="26">
        <f>R58+R59+R65+R66+R53+R51+R48+R38+R71+R76+R77+R83+R85+R87+R92+R97+R98+R100+R102+R117+R122+R124+R133+R165+R188+R123+R141+R147+R160+R183+R219+R95+R121+R187+R67+R68+R80+R82+R93+R96+R99+R114+R115+R125+R132+R135+R136+R139+R140+R149+R151+R154+R156+R157+R162+R172+R173+R190+R194+R195+R222</f>
        <v>28.263333333333346</v>
      </c>
    </row>
    <row r="73" spans="1:41" s="25" customFormat="1" ht="15.75" thickBot="1" x14ac:dyDescent="0.3">
      <c r="A73" s="261">
        <v>22</v>
      </c>
      <c r="B73" s="260">
        <v>4.62</v>
      </c>
      <c r="C73" s="259">
        <v>7.01</v>
      </c>
      <c r="D73" s="240">
        <f>R73</f>
        <v>0.91000000000000081</v>
      </c>
      <c r="E73" s="6" t="s">
        <v>48</v>
      </c>
      <c r="F73" s="113"/>
      <c r="G73" s="260">
        <v>0.18</v>
      </c>
      <c r="H73" s="259">
        <v>7.04</v>
      </c>
      <c r="I73" s="116"/>
      <c r="J73" s="113"/>
      <c r="K73" s="260">
        <v>4.7699999999999996</v>
      </c>
      <c r="L73" s="259">
        <v>7.12</v>
      </c>
      <c r="M73" s="241">
        <f>R73</f>
        <v>0.91000000000000081</v>
      </c>
      <c r="N73" s="6" t="s">
        <v>48</v>
      </c>
      <c r="O73" s="113"/>
      <c r="P73" s="260">
        <v>4.5999999999999996</v>
      </c>
      <c r="Q73" s="259">
        <v>7.02</v>
      </c>
      <c r="R73" s="241">
        <f>AB73</f>
        <v>0.91000000000000081</v>
      </c>
      <c r="S73" s="6" t="s">
        <v>48</v>
      </c>
      <c r="T73" s="113"/>
      <c r="U73" s="260">
        <v>5.44</v>
      </c>
      <c r="V73" s="259">
        <v>7.04</v>
      </c>
      <c r="W73" s="241">
        <f>AB73</f>
        <v>0.91000000000000081</v>
      </c>
      <c r="X73" s="6" t="s">
        <v>48</v>
      </c>
      <c r="Y73" s="113"/>
      <c r="Z73" s="260">
        <v>4.7699999999999996</v>
      </c>
      <c r="AA73" s="259">
        <v>7.07</v>
      </c>
      <c r="AB73" s="241">
        <f>AG73-AB88</f>
        <v>0.91000000000000081</v>
      </c>
      <c r="AC73" s="6" t="s">
        <v>48</v>
      </c>
      <c r="AD73" s="113"/>
      <c r="AE73" s="260">
        <v>6.21</v>
      </c>
      <c r="AF73" s="259">
        <v>7.17</v>
      </c>
      <c r="AG73" s="26">
        <f>AE73-AG74-AG75-AG79</f>
        <v>1.6600000000000008</v>
      </c>
      <c r="AH73" s="6" t="s">
        <v>48</v>
      </c>
      <c r="AI73" s="141"/>
    </row>
    <row r="74" spans="1:41" s="25" customFormat="1" x14ac:dyDescent="0.25">
      <c r="A74" s="261"/>
      <c r="B74" s="260"/>
      <c r="C74" s="259"/>
      <c r="D74" s="240">
        <v>1.54</v>
      </c>
      <c r="E74" s="6" t="s">
        <v>49</v>
      </c>
      <c r="F74" s="113"/>
      <c r="G74" s="260"/>
      <c r="H74" s="259"/>
      <c r="I74" s="116"/>
      <c r="J74" s="113"/>
      <c r="K74" s="260"/>
      <c r="L74" s="259"/>
      <c r="M74" s="241">
        <f>R74</f>
        <v>1.54</v>
      </c>
      <c r="N74" s="6" t="s">
        <v>49</v>
      </c>
      <c r="O74" s="113"/>
      <c r="P74" s="260"/>
      <c r="Q74" s="259"/>
      <c r="R74" s="241">
        <f>D74</f>
        <v>1.54</v>
      </c>
      <c r="S74" s="6" t="s">
        <v>49</v>
      </c>
      <c r="T74" s="113"/>
      <c r="U74" s="260"/>
      <c r="V74" s="259"/>
      <c r="W74" s="241">
        <f>AB74</f>
        <v>1.54</v>
      </c>
      <c r="X74" s="6" t="s">
        <v>49</v>
      </c>
      <c r="Y74" s="113"/>
      <c r="Z74" s="260"/>
      <c r="AA74" s="259"/>
      <c r="AB74" s="241">
        <f>R74</f>
        <v>1.54</v>
      </c>
      <c r="AC74" s="6" t="s">
        <v>49</v>
      </c>
      <c r="AD74" s="113"/>
      <c r="AE74" s="260"/>
      <c r="AF74" s="259"/>
      <c r="AG74" s="26">
        <v>2.0699999999999998</v>
      </c>
      <c r="AH74" s="6" t="s">
        <v>49</v>
      </c>
      <c r="AI74" s="141"/>
      <c r="AJ74" s="153" t="s">
        <v>278</v>
      </c>
      <c r="AK74" s="184" t="s">
        <v>1</v>
      </c>
      <c r="AL74" s="21"/>
      <c r="AM74" s="21"/>
      <c r="AN74" s="21"/>
      <c r="AO74" s="21"/>
    </row>
    <row r="75" spans="1:41" s="25" customFormat="1" x14ac:dyDescent="0.25">
      <c r="A75" s="261"/>
      <c r="B75" s="260"/>
      <c r="C75" s="259"/>
      <c r="D75" s="241">
        <v>1.54</v>
      </c>
      <c r="E75" s="54" t="s">
        <v>34</v>
      </c>
      <c r="F75" s="113"/>
      <c r="G75" s="260"/>
      <c r="H75" s="259"/>
      <c r="I75" s="240"/>
      <c r="J75" s="113"/>
      <c r="K75" s="260"/>
      <c r="L75" s="259"/>
      <c r="M75" s="241">
        <f>K73-M74-M73</f>
        <v>2.3199999999999985</v>
      </c>
      <c r="N75" s="54" t="s">
        <v>34</v>
      </c>
      <c r="O75" s="113"/>
      <c r="P75" s="260"/>
      <c r="Q75" s="259"/>
      <c r="R75" s="241">
        <f>P73-R73-R74</f>
        <v>2.1499999999999986</v>
      </c>
      <c r="S75" s="54" t="s">
        <v>34</v>
      </c>
      <c r="T75" s="113"/>
      <c r="U75" s="260"/>
      <c r="V75" s="259"/>
      <c r="W75" s="241">
        <f>U73-W73-W74+U67+U64-W66-W65-W70-W69-W67-W71-W68</f>
        <v>3.9800000000000004</v>
      </c>
      <c r="X75" s="54" t="s">
        <v>34</v>
      </c>
      <c r="Y75" s="113"/>
      <c r="Z75" s="260"/>
      <c r="AA75" s="259"/>
      <c r="AB75" s="241">
        <f>Z73-AB73-AB74+Z76-AB79+Z80+Z85-AB89-AB88-AB80-AB84-AB82</f>
        <v>6.3499999999999979</v>
      </c>
      <c r="AC75" s="54" t="s">
        <v>34</v>
      </c>
      <c r="AD75" s="113"/>
      <c r="AE75" s="260"/>
      <c r="AF75" s="259"/>
      <c r="AG75" s="26">
        <v>2.0699999999999998</v>
      </c>
      <c r="AH75" s="54" t="s">
        <v>34</v>
      </c>
      <c r="AI75" s="141"/>
      <c r="AJ75" s="111" t="s">
        <v>279</v>
      </c>
      <c r="AK75" s="19">
        <f>D5+D12+D47+D54+D55+D57+D61+D69+D70+D73+D88+D74+D94+D104+D109+D134+D148+D174+D48+D51+D53+D58+D59+D65+D66+D67+D68+D76+D80+D82+D83+D84+D87+D93+D95+D96+D97+D98+D99+D100+D102+D111+D114+D115+D121+D123+D122+D125+D133+D136+D135+D132+D139+D140+D147+D154+D156+D157+D162+D160+D172+D187+D188+D219+D222</f>
        <v>34.323333333333352</v>
      </c>
      <c r="AL75" s="21"/>
      <c r="AM75" s="21"/>
      <c r="AN75" s="21"/>
      <c r="AO75" s="21" t="s">
        <v>302</v>
      </c>
    </row>
    <row r="76" spans="1:41" s="25" customFormat="1" x14ac:dyDescent="0.25">
      <c r="A76" s="261">
        <v>23</v>
      </c>
      <c r="B76" s="260">
        <v>2.1800000000000002</v>
      </c>
      <c r="C76" s="259">
        <v>7.05</v>
      </c>
      <c r="D76" s="240">
        <f>B76</f>
        <v>2.1800000000000002</v>
      </c>
      <c r="E76" s="63" t="s">
        <v>405</v>
      </c>
      <c r="F76" s="113"/>
      <c r="G76" s="263">
        <v>3.69</v>
      </c>
      <c r="H76" s="266">
        <v>7.13</v>
      </c>
      <c r="I76" s="240"/>
      <c r="J76" s="113"/>
      <c r="K76" s="260">
        <v>2.2999999999999998</v>
      </c>
      <c r="L76" s="259">
        <v>7.16</v>
      </c>
      <c r="M76" s="241">
        <f>K76</f>
        <v>2.2999999999999998</v>
      </c>
      <c r="N76" s="63" t="s">
        <v>405</v>
      </c>
      <c r="O76" s="113"/>
      <c r="P76" s="260">
        <v>2.78</v>
      </c>
      <c r="Q76" s="259">
        <v>7.09</v>
      </c>
      <c r="R76" s="241">
        <f>P76-R77-R79</f>
        <v>2.7399999999999998</v>
      </c>
      <c r="S76" s="63" t="s">
        <v>507</v>
      </c>
      <c r="T76" s="113"/>
      <c r="U76" s="260">
        <v>3.22</v>
      </c>
      <c r="V76" s="259">
        <v>7.12</v>
      </c>
      <c r="W76" s="241">
        <f>U76-W77-W79</f>
        <v>3.18</v>
      </c>
      <c r="X76" s="63" t="s">
        <v>222</v>
      </c>
      <c r="Y76" s="113"/>
      <c r="Z76" s="260">
        <v>3.99</v>
      </c>
      <c r="AA76" s="259">
        <v>7.13</v>
      </c>
      <c r="AB76" s="241"/>
      <c r="AC76" s="246"/>
      <c r="AD76" s="113"/>
      <c r="AE76" s="260"/>
      <c r="AF76" s="259"/>
      <c r="AG76" s="26"/>
      <c r="AH76" s="24"/>
      <c r="AI76" s="141"/>
      <c r="AJ76" s="111" t="s">
        <v>280</v>
      </c>
      <c r="AK76" s="19">
        <f>D92+D107+D108+D110+D113+D119+D127+D131+D137+D138+D144+D143+D146+D149+D150+D151+D155+D158+D163+D165+D166+D168+D169+D170+D176+D177+D186+D191+D197+D211+D212+D215+D228</f>
        <v>9.399166666666666</v>
      </c>
      <c r="AL76" s="21"/>
      <c r="AM76" s="21"/>
      <c r="AN76" s="21"/>
      <c r="AO76" s="21" t="s">
        <v>303</v>
      </c>
    </row>
    <row r="77" spans="1:41" s="25" customFormat="1" x14ac:dyDescent="0.25">
      <c r="A77" s="261"/>
      <c r="B77" s="260"/>
      <c r="C77" s="259"/>
      <c r="D77" s="240"/>
      <c r="E77" s="240"/>
      <c r="F77" s="113"/>
      <c r="G77" s="264"/>
      <c r="H77" s="267"/>
      <c r="I77" s="240"/>
      <c r="J77" s="113"/>
      <c r="K77" s="260"/>
      <c r="L77" s="259"/>
      <c r="M77" s="241"/>
      <c r="N77" s="240"/>
      <c r="O77" s="113"/>
      <c r="P77" s="260"/>
      <c r="Q77" s="259"/>
      <c r="R77" s="241">
        <v>0.04</v>
      </c>
      <c r="S77" s="62" t="s">
        <v>324</v>
      </c>
      <c r="T77" s="113"/>
      <c r="U77" s="260"/>
      <c r="V77" s="259"/>
      <c r="W77" s="241">
        <f>R77</f>
        <v>0.04</v>
      </c>
      <c r="X77" s="62" t="s">
        <v>324</v>
      </c>
      <c r="Y77" s="113"/>
      <c r="Z77" s="260"/>
      <c r="AA77" s="259"/>
      <c r="AB77" s="241"/>
      <c r="AC77" s="18"/>
      <c r="AD77" s="113"/>
      <c r="AE77" s="260"/>
      <c r="AF77" s="259"/>
      <c r="AG77" s="26"/>
      <c r="AH77" s="24"/>
      <c r="AI77" s="141"/>
      <c r="AJ77" s="111" t="s">
        <v>281</v>
      </c>
      <c r="AK77" s="19">
        <f>D153+D161+D164+D178+D180+D182+D183+D192+D198+D193+D202+D203+D205+D206+D213+D214+D216+D221</f>
        <v>6.8013333333333321</v>
      </c>
      <c r="AL77" s="21"/>
      <c r="AM77" s="21"/>
      <c r="AN77" s="21"/>
      <c r="AO77" s="21" t="s">
        <v>304</v>
      </c>
    </row>
    <row r="78" spans="1:41" s="25" customFormat="1" x14ac:dyDescent="0.25">
      <c r="A78" s="261"/>
      <c r="B78" s="260"/>
      <c r="C78" s="259"/>
      <c r="D78" s="240"/>
      <c r="E78" s="240"/>
      <c r="F78" s="113"/>
      <c r="G78" s="265"/>
      <c r="H78" s="268"/>
      <c r="I78" s="240"/>
      <c r="J78" s="113"/>
      <c r="K78" s="260"/>
      <c r="L78" s="259"/>
      <c r="M78" s="241"/>
      <c r="N78" s="240"/>
      <c r="O78" s="113"/>
      <c r="P78" s="260"/>
      <c r="Q78" s="259"/>
      <c r="R78" s="241"/>
      <c r="S78" s="241"/>
      <c r="T78" s="113"/>
      <c r="U78" s="260"/>
      <c r="V78" s="259"/>
      <c r="W78" s="241"/>
      <c r="X78" s="241"/>
      <c r="Y78" s="113"/>
      <c r="Z78" s="260"/>
      <c r="AA78" s="259"/>
      <c r="AB78" s="241"/>
      <c r="AC78" s="241"/>
      <c r="AD78" s="113"/>
      <c r="AE78" s="260"/>
      <c r="AF78" s="259"/>
      <c r="AG78" s="26"/>
      <c r="AH78" s="240"/>
      <c r="AI78" s="141"/>
      <c r="AJ78" s="111" t="s">
        <v>282</v>
      </c>
      <c r="AK78" s="19">
        <f>D217+D220+D227+D229+D231</f>
        <v>2.79</v>
      </c>
      <c r="AL78" s="21"/>
      <c r="AM78" s="21"/>
      <c r="AN78" s="21"/>
      <c r="AO78" s="21" t="s">
        <v>305</v>
      </c>
    </row>
    <row r="79" spans="1:41" s="25" customFormat="1" x14ac:dyDescent="0.25">
      <c r="A79" s="261"/>
      <c r="B79" s="260"/>
      <c r="C79" s="259"/>
      <c r="D79" s="240"/>
      <c r="E79" s="18"/>
      <c r="F79" s="113"/>
      <c r="G79" s="241">
        <v>0.08</v>
      </c>
      <c r="H79" s="240">
        <v>7.21</v>
      </c>
      <c r="I79" s="240"/>
      <c r="J79" s="113"/>
      <c r="K79" s="241">
        <v>0.04</v>
      </c>
      <c r="L79" s="240">
        <v>7.33</v>
      </c>
      <c r="M79" s="241"/>
      <c r="N79" s="18"/>
      <c r="O79" s="113"/>
      <c r="P79" s="260"/>
      <c r="Q79" s="259"/>
      <c r="R79" s="245"/>
      <c r="S79" s="18"/>
      <c r="T79" s="113"/>
      <c r="U79" s="260"/>
      <c r="V79" s="259"/>
      <c r="W79" s="245"/>
      <c r="X79" s="18"/>
      <c r="Y79" s="113"/>
      <c r="Z79" s="260"/>
      <c r="AA79" s="259"/>
      <c r="AB79" s="241">
        <v>0.41</v>
      </c>
      <c r="AC79" s="68" t="s">
        <v>98</v>
      </c>
      <c r="AD79" s="113"/>
      <c r="AE79" s="260"/>
      <c r="AF79" s="259"/>
      <c r="AG79" s="26">
        <f>AB79</f>
        <v>0.41</v>
      </c>
      <c r="AH79" s="68" t="s">
        <v>98</v>
      </c>
      <c r="AI79" s="141"/>
      <c r="AJ79" s="111" t="s">
        <v>283</v>
      </c>
      <c r="AK79" s="19">
        <f>D226</f>
        <v>0.54</v>
      </c>
      <c r="AL79" s="21"/>
      <c r="AM79" s="21"/>
      <c r="AN79" s="21"/>
      <c r="AO79" s="21" t="s">
        <v>306</v>
      </c>
    </row>
    <row r="80" spans="1:41" s="25" customFormat="1" x14ac:dyDescent="0.25">
      <c r="A80" s="261">
        <v>24</v>
      </c>
      <c r="B80" s="260">
        <v>0.72</v>
      </c>
      <c r="C80" s="259">
        <v>7.29</v>
      </c>
      <c r="D80" s="241">
        <v>0.01</v>
      </c>
      <c r="E80" s="10" t="s">
        <v>338</v>
      </c>
      <c r="F80" s="113"/>
      <c r="G80" s="263">
        <v>0.14000000000000001</v>
      </c>
      <c r="H80" s="266">
        <v>7.31</v>
      </c>
      <c r="I80" s="240"/>
      <c r="J80" s="113"/>
      <c r="K80" s="260">
        <v>0.93</v>
      </c>
      <c r="L80" s="259">
        <v>7.41</v>
      </c>
      <c r="M80" s="241">
        <v>0.01</v>
      </c>
      <c r="N80" s="10" t="s">
        <v>338</v>
      </c>
      <c r="O80" s="113"/>
      <c r="P80" s="260">
        <v>1.1499999999999999</v>
      </c>
      <c r="Q80" s="259">
        <v>7.31</v>
      </c>
      <c r="R80" s="241">
        <f>AB80</f>
        <v>0.03</v>
      </c>
      <c r="S80" s="10" t="s">
        <v>338</v>
      </c>
      <c r="T80" s="113"/>
      <c r="U80" s="241">
        <v>0.51</v>
      </c>
      <c r="V80" s="240">
        <v>7.27</v>
      </c>
      <c r="W80" s="241">
        <f>AB80</f>
        <v>0.03</v>
      </c>
      <c r="X80" s="10" t="s">
        <v>338</v>
      </c>
      <c r="Y80" s="113"/>
      <c r="Z80" s="260">
        <v>0.85</v>
      </c>
      <c r="AA80" s="259">
        <v>7.36</v>
      </c>
      <c r="AB80" s="241">
        <f>AB82</f>
        <v>0.03</v>
      </c>
      <c r="AC80" s="10" t="s">
        <v>338</v>
      </c>
      <c r="AD80" s="113"/>
      <c r="AE80" s="241">
        <v>0.06</v>
      </c>
      <c r="AF80" s="240">
        <v>7.36</v>
      </c>
      <c r="AG80" s="114">
        <f>AE80</f>
        <v>0.06</v>
      </c>
      <c r="AH80" s="10" t="s">
        <v>338</v>
      </c>
      <c r="AI80" s="141"/>
      <c r="AJ80" s="111" t="s">
        <v>285</v>
      </c>
      <c r="AK80" s="19">
        <f>D165+D194+D194+D226+D227+D229+D231+D228+D203+D197+D168+D164+D127+D82+D205</f>
        <v>7.3741666666666692</v>
      </c>
      <c r="AL80" s="21"/>
      <c r="AM80" s="21"/>
      <c r="AN80" s="21"/>
      <c r="AO80" s="21" t="s">
        <v>307</v>
      </c>
    </row>
    <row r="81" spans="1:41" s="25" customFormat="1" x14ac:dyDescent="0.25">
      <c r="A81" s="261"/>
      <c r="B81" s="260"/>
      <c r="C81" s="259"/>
      <c r="D81" s="24"/>
      <c r="E81" s="24"/>
      <c r="F81" s="113"/>
      <c r="G81" s="264"/>
      <c r="H81" s="267"/>
      <c r="I81" s="240"/>
      <c r="J81" s="113"/>
      <c r="K81" s="260"/>
      <c r="L81" s="259"/>
      <c r="M81" s="24"/>
      <c r="N81" s="24"/>
      <c r="O81" s="113"/>
      <c r="P81" s="260"/>
      <c r="Q81" s="259"/>
      <c r="R81" s="24"/>
      <c r="S81" s="24"/>
      <c r="T81" s="113"/>
      <c r="U81" s="260">
        <v>1.56</v>
      </c>
      <c r="V81" s="259">
        <v>7.35</v>
      </c>
      <c r="W81" s="24"/>
      <c r="X81" s="24"/>
      <c r="Y81" s="113"/>
      <c r="Z81" s="260"/>
      <c r="AA81" s="259"/>
      <c r="AB81" s="24"/>
      <c r="AC81" s="24"/>
      <c r="AD81" s="113"/>
      <c r="AE81" s="260">
        <v>0.38</v>
      </c>
      <c r="AF81" s="259">
        <v>7.45</v>
      </c>
      <c r="AG81" s="114"/>
      <c r="AH81" s="24"/>
      <c r="AI81" s="141"/>
      <c r="AJ81" s="111" t="s">
        <v>284</v>
      </c>
      <c r="AK81" s="19">
        <f>D92+D107+D108+D110+D113+D119+D131+D137+D138+D144+D143+D146+D149+D150+D151+D155+D158+D163+D167+D169+D170+D186+D196+D211+D215+D153+D161+D183+D198+D202+D213+D214+D216+D221+D217+D220+D166+D176+D177+D178+D180+D182+D191+D192+D193</f>
        <v>11.446333333333332</v>
      </c>
      <c r="AL81" s="21"/>
      <c r="AM81" s="21"/>
      <c r="AN81" s="21"/>
      <c r="AO81" s="21" t="s">
        <v>308</v>
      </c>
    </row>
    <row r="82" spans="1:41" s="25" customFormat="1" x14ac:dyDescent="0.25">
      <c r="A82" s="261"/>
      <c r="B82" s="260"/>
      <c r="C82" s="259"/>
      <c r="D82" s="241">
        <f>M82</f>
        <v>0.02</v>
      </c>
      <c r="E82" s="249" t="s">
        <v>211</v>
      </c>
      <c r="F82" s="113"/>
      <c r="G82" s="264"/>
      <c r="H82" s="267"/>
      <c r="I82" s="240"/>
      <c r="J82" s="113"/>
      <c r="K82" s="260"/>
      <c r="L82" s="259"/>
      <c r="M82" s="241">
        <f>R82</f>
        <v>0.02</v>
      </c>
      <c r="N82" s="249" t="s">
        <v>211</v>
      </c>
      <c r="O82" s="113"/>
      <c r="P82" s="260"/>
      <c r="Q82" s="259"/>
      <c r="R82" s="241">
        <v>0.02</v>
      </c>
      <c r="S82" s="249" t="s">
        <v>211</v>
      </c>
      <c r="T82" s="113"/>
      <c r="U82" s="260"/>
      <c r="V82" s="259"/>
      <c r="W82" s="241">
        <v>0.02</v>
      </c>
      <c r="X82" s="249" t="s">
        <v>211</v>
      </c>
      <c r="Y82" s="113"/>
      <c r="Z82" s="260"/>
      <c r="AA82" s="259"/>
      <c r="AB82" s="241">
        <v>0.03</v>
      </c>
      <c r="AC82" s="249" t="s">
        <v>211</v>
      </c>
      <c r="AD82" s="113"/>
      <c r="AE82" s="260"/>
      <c r="AF82" s="259"/>
      <c r="AG82" s="114">
        <f>AB82</f>
        <v>0.03</v>
      </c>
      <c r="AH82" s="249" t="s">
        <v>211</v>
      </c>
      <c r="AI82" s="141"/>
      <c r="AJ82" s="111" t="s">
        <v>286</v>
      </c>
      <c r="AK82" s="19">
        <f>D210+D206+D204+D204+D190+D181+D181+D175+D175+D175+D167+D167+D127</f>
        <v>0.71</v>
      </c>
      <c r="AL82" s="21"/>
      <c r="AM82" s="21"/>
      <c r="AN82" s="21"/>
      <c r="AO82" s="21"/>
    </row>
    <row r="83" spans="1:41" s="25" customFormat="1" x14ac:dyDescent="0.25">
      <c r="A83" s="261"/>
      <c r="B83" s="260"/>
      <c r="C83" s="259"/>
      <c r="D83" s="240">
        <f>B80-D82-D84-D80</f>
        <v>0.40999999999999992</v>
      </c>
      <c r="E83" s="14" t="s">
        <v>420</v>
      </c>
      <c r="F83" s="113"/>
      <c r="G83" s="265"/>
      <c r="H83" s="268"/>
      <c r="I83" s="240"/>
      <c r="J83" s="113"/>
      <c r="K83" s="260"/>
      <c r="L83" s="259"/>
      <c r="M83" s="241">
        <f>K80-M82-M84-M80</f>
        <v>0.62</v>
      </c>
      <c r="N83" s="14" t="s">
        <v>420</v>
      </c>
      <c r="O83" s="113"/>
      <c r="P83" s="260"/>
      <c r="Q83" s="259"/>
      <c r="R83" s="241">
        <f>P80+P85-R79-R82-R84-R80-R85</f>
        <v>0.81999999999999984</v>
      </c>
      <c r="S83" s="14" t="s">
        <v>508</v>
      </c>
      <c r="T83" s="113"/>
      <c r="U83" s="260"/>
      <c r="V83" s="259"/>
      <c r="W83" s="241">
        <f>U81-W82-W84-W80-W85</f>
        <v>1.04</v>
      </c>
      <c r="X83" s="14" t="s">
        <v>129</v>
      </c>
      <c r="Y83" s="113"/>
      <c r="Z83" s="260"/>
      <c r="AA83" s="259"/>
      <c r="AB83" s="24"/>
      <c r="AC83" s="24"/>
      <c r="AD83" s="113"/>
      <c r="AE83" s="260"/>
      <c r="AF83" s="259"/>
      <c r="AG83" s="114"/>
      <c r="AH83" s="24"/>
      <c r="AI83" s="141"/>
      <c r="AJ83" s="111" t="s">
        <v>309</v>
      </c>
      <c r="AK83" s="19">
        <f>D165+D192+D193+D226+D227+D229+D231+D228+D92+D107+D108+D110+D113+D119+D127+D131+D137+D138+D144+D143+D146+D149+D150+D151+D155+D158+D163+D166+D168+D169+D170+D176+D177+D186+D191+D197+D211+D212+D215+D153+D161+D164+D178+D180+D182+D183+D198+D202+D203+D205+D206+D213+D214+D216+D221+D217+D220</f>
        <v>19.530500000000007</v>
      </c>
      <c r="AL83" s="21"/>
      <c r="AM83" s="21"/>
      <c r="AN83" s="21"/>
      <c r="AO83" s="21" t="s">
        <v>310</v>
      </c>
    </row>
    <row r="84" spans="1:41" s="25" customFormat="1" x14ac:dyDescent="0.25">
      <c r="A84" s="261"/>
      <c r="B84" s="260"/>
      <c r="C84" s="259"/>
      <c r="D84" s="241">
        <f>M84</f>
        <v>0.28000000000000003</v>
      </c>
      <c r="E84" s="7" t="s">
        <v>75</v>
      </c>
      <c r="F84" s="113"/>
      <c r="G84" s="241">
        <v>1.1599999999999999</v>
      </c>
      <c r="H84" s="240">
        <v>7.35</v>
      </c>
      <c r="I84" s="240"/>
      <c r="J84" s="113"/>
      <c r="K84" s="260"/>
      <c r="L84" s="259"/>
      <c r="M84" s="241">
        <f>R84</f>
        <v>0.28000000000000003</v>
      </c>
      <c r="N84" s="7" t="s">
        <v>75</v>
      </c>
      <c r="O84" s="113"/>
      <c r="P84" s="260"/>
      <c r="Q84" s="259"/>
      <c r="R84" s="241">
        <v>0.28000000000000003</v>
      </c>
      <c r="S84" s="7" t="s">
        <v>75</v>
      </c>
      <c r="T84" s="113"/>
      <c r="U84" s="260"/>
      <c r="V84" s="259"/>
      <c r="W84" s="241">
        <v>0.28000000000000003</v>
      </c>
      <c r="X84" s="7" t="s">
        <v>75</v>
      </c>
      <c r="Y84" s="113"/>
      <c r="Z84" s="260"/>
      <c r="AA84" s="259"/>
      <c r="AB84" s="241">
        <f>Z80-AB82-AB80</f>
        <v>0.78999999999999992</v>
      </c>
      <c r="AC84" s="7" t="s">
        <v>75</v>
      </c>
      <c r="AD84" s="113"/>
      <c r="AE84" s="260"/>
      <c r="AF84" s="259"/>
      <c r="AG84" s="26">
        <f>AE81-AG82</f>
        <v>0.35</v>
      </c>
      <c r="AH84" s="7" t="s">
        <v>75</v>
      </c>
      <c r="AI84" s="141"/>
    </row>
    <row r="85" spans="1:41" s="25" customFormat="1" x14ac:dyDescent="0.25">
      <c r="A85" s="261">
        <v>25</v>
      </c>
      <c r="B85" s="260">
        <v>0.09</v>
      </c>
      <c r="C85" s="259">
        <v>7.39</v>
      </c>
      <c r="D85" s="240"/>
      <c r="E85" s="24"/>
      <c r="F85" s="113"/>
      <c r="G85" s="241">
        <v>0.14000000000000001</v>
      </c>
      <c r="H85" s="240">
        <v>7.47</v>
      </c>
      <c r="I85" s="240"/>
      <c r="J85" s="113"/>
      <c r="K85" s="241">
        <v>0.12</v>
      </c>
      <c r="L85" s="240">
        <v>7.46</v>
      </c>
      <c r="M85" s="241"/>
      <c r="N85" s="24"/>
      <c r="O85" s="113"/>
      <c r="P85" s="260">
        <v>0.19</v>
      </c>
      <c r="Q85" s="259">
        <v>7.39</v>
      </c>
      <c r="R85" s="241">
        <f>P85</f>
        <v>0.19</v>
      </c>
      <c r="S85" s="143" t="s">
        <v>52</v>
      </c>
      <c r="T85" s="113"/>
      <c r="U85" s="260"/>
      <c r="V85" s="259"/>
      <c r="W85" s="241">
        <f>R85</f>
        <v>0.19</v>
      </c>
      <c r="X85" s="143" t="s">
        <v>52</v>
      </c>
      <c r="Y85" s="113"/>
      <c r="Z85" s="260">
        <v>1.2</v>
      </c>
      <c r="AA85" s="259">
        <v>7.5</v>
      </c>
      <c r="AB85" s="24"/>
      <c r="AC85" s="24"/>
      <c r="AD85" s="113"/>
      <c r="AE85" s="260">
        <v>0.05</v>
      </c>
      <c r="AF85" s="259">
        <v>7.54</v>
      </c>
      <c r="AG85" s="26"/>
      <c r="AH85" s="24"/>
      <c r="AI85" s="141"/>
    </row>
    <row r="86" spans="1:41" s="25" customFormat="1" x14ac:dyDescent="0.25">
      <c r="A86" s="261"/>
      <c r="B86" s="260"/>
      <c r="C86" s="259"/>
      <c r="D86" s="240"/>
      <c r="E86" s="240"/>
      <c r="F86" s="113"/>
      <c r="G86" s="241">
        <v>0.09</v>
      </c>
      <c r="H86" s="240">
        <v>7.51</v>
      </c>
      <c r="I86" s="240"/>
      <c r="J86" s="113"/>
      <c r="K86" s="241">
        <v>0.06</v>
      </c>
      <c r="L86" s="240">
        <v>7.5</v>
      </c>
      <c r="M86" s="241"/>
      <c r="N86" s="240"/>
      <c r="O86" s="113"/>
      <c r="P86" s="260"/>
      <c r="Q86" s="259"/>
      <c r="R86" s="241"/>
      <c r="S86" s="240"/>
      <c r="T86" s="113"/>
      <c r="U86" s="260"/>
      <c r="V86" s="259"/>
      <c r="W86" s="241"/>
      <c r="X86" s="240"/>
      <c r="Y86" s="113"/>
      <c r="Z86" s="260"/>
      <c r="AA86" s="259"/>
      <c r="AB86" s="241"/>
      <c r="AC86" s="240"/>
      <c r="AD86" s="113"/>
      <c r="AE86" s="260"/>
      <c r="AF86" s="259"/>
      <c r="AG86" s="26"/>
      <c r="AH86" s="24"/>
      <c r="AI86" s="141"/>
    </row>
    <row r="87" spans="1:41" s="25" customFormat="1" x14ac:dyDescent="0.25">
      <c r="A87" s="261">
        <v>26</v>
      </c>
      <c r="B87" s="260">
        <v>0.76</v>
      </c>
      <c r="C87" s="259">
        <v>7.49</v>
      </c>
      <c r="D87" s="241">
        <v>0.01</v>
      </c>
      <c r="E87" s="7" t="s">
        <v>422</v>
      </c>
      <c r="F87" s="113"/>
      <c r="G87" s="260">
        <v>1.06</v>
      </c>
      <c r="H87" s="259">
        <v>7.58</v>
      </c>
      <c r="I87" s="240"/>
      <c r="J87" s="113"/>
      <c r="K87" s="260">
        <v>1.55</v>
      </c>
      <c r="L87" s="259">
        <v>7.62</v>
      </c>
      <c r="M87" s="241">
        <f>K87-M88</f>
        <v>0.8</v>
      </c>
      <c r="N87" s="7" t="s">
        <v>422</v>
      </c>
      <c r="O87" s="113"/>
      <c r="P87" s="260">
        <v>2.39</v>
      </c>
      <c r="Q87" s="259">
        <v>7.51</v>
      </c>
      <c r="R87" s="241">
        <f>P87-R88-R89</f>
        <v>1.6400000000000001</v>
      </c>
      <c r="S87" s="7" t="s">
        <v>509</v>
      </c>
      <c r="T87" s="113"/>
      <c r="U87" s="260">
        <v>1.76</v>
      </c>
      <c r="V87" s="259">
        <v>7.5</v>
      </c>
      <c r="W87" s="241">
        <f>U87-W88</f>
        <v>1.01</v>
      </c>
      <c r="X87" s="7" t="s">
        <v>266</v>
      </c>
      <c r="Y87" s="113"/>
      <c r="Z87" s="260"/>
      <c r="AA87" s="259"/>
      <c r="AB87" s="241"/>
      <c r="AC87" s="24"/>
      <c r="AD87" s="113"/>
      <c r="AE87" s="260">
        <v>0.11</v>
      </c>
      <c r="AF87" s="259">
        <v>7.57</v>
      </c>
      <c r="AG87" s="26"/>
      <c r="AH87" s="8"/>
      <c r="AI87" s="141"/>
    </row>
    <row r="88" spans="1:41" s="25" customFormat="1" x14ac:dyDescent="0.25">
      <c r="A88" s="261"/>
      <c r="B88" s="260"/>
      <c r="C88" s="259"/>
      <c r="D88" s="240">
        <f>B87-D87</f>
        <v>0.75</v>
      </c>
      <c r="E88" s="6" t="s">
        <v>38</v>
      </c>
      <c r="F88" s="113"/>
      <c r="G88" s="260"/>
      <c r="H88" s="259"/>
      <c r="I88" s="116"/>
      <c r="J88" s="113"/>
      <c r="K88" s="260"/>
      <c r="L88" s="259"/>
      <c r="M88" s="241">
        <f>R88</f>
        <v>0.75</v>
      </c>
      <c r="N88" s="6" t="s">
        <v>38</v>
      </c>
      <c r="O88" s="113"/>
      <c r="P88" s="260"/>
      <c r="Q88" s="259"/>
      <c r="R88" s="241">
        <v>0.75</v>
      </c>
      <c r="S88" s="6" t="s">
        <v>38</v>
      </c>
      <c r="T88" s="113"/>
      <c r="U88" s="260"/>
      <c r="V88" s="259"/>
      <c r="W88" s="241">
        <f>R88</f>
        <v>0.75</v>
      </c>
      <c r="X88" s="6" t="s">
        <v>38</v>
      </c>
      <c r="Y88" s="113"/>
      <c r="Z88" s="260"/>
      <c r="AA88" s="259"/>
      <c r="AB88" s="241">
        <f>W88</f>
        <v>0.75</v>
      </c>
      <c r="AC88" s="6" t="s">
        <v>38</v>
      </c>
      <c r="AD88" s="113"/>
      <c r="AE88" s="260"/>
      <c r="AF88" s="259"/>
      <c r="AG88" s="114"/>
      <c r="AH88" s="240"/>
      <c r="AI88" s="141"/>
    </row>
    <row r="89" spans="1:41" s="25" customFormat="1" x14ac:dyDescent="0.25">
      <c r="A89" s="261"/>
      <c r="B89" s="260"/>
      <c r="C89" s="259"/>
      <c r="D89" s="240"/>
      <c r="E89" s="24"/>
      <c r="F89" s="113"/>
      <c r="G89" s="260"/>
      <c r="H89" s="259"/>
      <c r="I89" s="240"/>
      <c r="J89" s="113"/>
      <c r="K89" s="260">
        <v>0.08</v>
      </c>
      <c r="L89" s="259">
        <v>7.69</v>
      </c>
      <c r="M89" s="241"/>
      <c r="N89" s="24"/>
      <c r="O89" s="113"/>
      <c r="P89" s="260"/>
      <c r="Q89" s="259"/>
      <c r="R89" s="245"/>
      <c r="S89" s="246"/>
      <c r="T89" s="113"/>
      <c r="U89" s="260"/>
      <c r="V89" s="259"/>
      <c r="W89" s="245"/>
      <c r="X89" s="246"/>
      <c r="Y89" s="113"/>
      <c r="Z89" s="260"/>
      <c r="AA89" s="259"/>
      <c r="AB89" s="245"/>
      <c r="AC89" s="246"/>
      <c r="AD89" s="113"/>
      <c r="AE89" s="260"/>
      <c r="AF89" s="259"/>
      <c r="AG89" s="245"/>
      <c r="AH89" s="246"/>
      <c r="AI89" s="141"/>
    </row>
    <row r="90" spans="1:41" s="25" customFormat="1" x14ac:dyDescent="0.25">
      <c r="A90" s="261"/>
      <c r="B90" s="260"/>
      <c r="C90" s="259"/>
      <c r="D90" s="240"/>
      <c r="E90" s="240"/>
      <c r="F90" s="113"/>
      <c r="G90" s="260"/>
      <c r="H90" s="259"/>
      <c r="I90" s="240"/>
      <c r="J90" s="113"/>
      <c r="K90" s="260"/>
      <c r="L90" s="259"/>
      <c r="M90" s="241"/>
      <c r="N90" s="240"/>
      <c r="O90" s="113"/>
      <c r="P90" s="260"/>
      <c r="Q90" s="259"/>
      <c r="R90" s="241"/>
      <c r="S90" s="246"/>
      <c r="T90" s="113"/>
      <c r="U90" s="260"/>
      <c r="V90" s="259"/>
      <c r="W90" s="241"/>
      <c r="X90" s="240"/>
      <c r="Y90" s="113"/>
      <c r="Z90" s="260"/>
      <c r="AA90" s="259"/>
      <c r="AB90" s="241"/>
      <c r="AC90" s="240"/>
      <c r="AD90" s="113"/>
      <c r="AE90" s="260">
        <v>0.08</v>
      </c>
      <c r="AF90" s="259">
        <v>7.61</v>
      </c>
      <c r="AG90" s="26"/>
      <c r="AH90" s="240"/>
      <c r="AI90" s="141"/>
    </row>
    <row r="91" spans="1:41" s="25" customFormat="1" x14ac:dyDescent="0.25">
      <c r="A91" s="261"/>
      <c r="B91" s="260"/>
      <c r="C91" s="259"/>
      <c r="D91" s="240"/>
      <c r="E91" s="240"/>
      <c r="F91" s="113"/>
      <c r="G91" s="260"/>
      <c r="H91" s="259"/>
      <c r="I91" s="240"/>
      <c r="J91" s="113"/>
      <c r="K91" s="260"/>
      <c r="L91" s="259"/>
      <c r="M91" s="241"/>
      <c r="N91" s="240"/>
      <c r="O91" s="113"/>
      <c r="P91" s="260"/>
      <c r="Q91" s="259"/>
      <c r="R91" s="241"/>
      <c r="S91" s="240"/>
      <c r="T91" s="113"/>
      <c r="U91" s="260"/>
      <c r="V91" s="259"/>
      <c r="W91" s="241"/>
      <c r="X91" s="240"/>
      <c r="Y91" s="113"/>
      <c r="Z91" s="260">
        <v>1.36</v>
      </c>
      <c r="AA91" s="259">
        <v>7.65</v>
      </c>
      <c r="AB91" s="241"/>
      <c r="AC91" s="240"/>
      <c r="AD91" s="113"/>
      <c r="AE91" s="260"/>
      <c r="AF91" s="259"/>
      <c r="AG91" s="26"/>
      <c r="AH91" s="240"/>
      <c r="AI91" s="141"/>
    </row>
    <row r="92" spans="1:41" s="25" customFormat="1" x14ac:dyDescent="0.25">
      <c r="A92" s="261">
        <v>27</v>
      </c>
      <c r="B92" s="260">
        <v>2.87</v>
      </c>
      <c r="C92" s="259">
        <v>7.65</v>
      </c>
      <c r="D92" s="241">
        <v>0.1</v>
      </c>
      <c r="E92" s="144" t="s">
        <v>145</v>
      </c>
      <c r="F92" s="113"/>
      <c r="G92" s="260">
        <v>3.68</v>
      </c>
      <c r="H92" s="259">
        <v>7.72</v>
      </c>
      <c r="I92" s="240"/>
      <c r="J92" s="113"/>
      <c r="K92" s="260">
        <v>4.0999999999999996</v>
      </c>
      <c r="L92" s="259">
        <v>7.78</v>
      </c>
      <c r="M92" s="241">
        <v>0.1</v>
      </c>
      <c r="N92" s="144" t="s">
        <v>145</v>
      </c>
      <c r="O92" s="113"/>
      <c r="P92" s="260">
        <v>4.78</v>
      </c>
      <c r="Q92" s="259">
        <v>7.67</v>
      </c>
      <c r="R92" s="241">
        <v>0.53</v>
      </c>
      <c r="S92" s="6" t="s">
        <v>313</v>
      </c>
      <c r="T92" s="113"/>
      <c r="U92" s="260">
        <v>2.6</v>
      </c>
      <c r="V92" s="259">
        <v>7.69</v>
      </c>
      <c r="W92" s="241">
        <f>R92</f>
        <v>0.53</v>
      </c>
      <c r="X92" s="6" t="s">
        <v>313</v>
      </c>
      <c r="Y92" s="113"/>
      <c r="Z92" s="260"/>
      <c r="AA92" s="259"/>
      <c r="AB92" s="241"/>
      <c r="AC92" s="240"/>
      <c r="AD92" s="113"/>
      <c r="AE92" s="241">
        <v>0.04</v>
      </c>
      <c r="AF92" s="240">
        <v>7.74</v>
      </c>
      <c r="AG92" s="26"/>
      <c r="AH92" s="240"/>
      <c r="AI92" s="141"/>
    </row>
    <row r="93" spans="1:41" s="25" customFormat="1" x14ac:dyDescent="0.25">
      <c r="A93" s="261"/>
      <c r="B93" s="260"/>
      <c r="C93" s="259"/>
      <c r="D93" s="240">
        <f>(B92-D94-D95-D98-D100-D99-D96-D92)</f>
        <v>1.2700000000000002</v>
      </c>
      <c r="E93" s="7" t="s">
        <v>354</v>
      </c>
      <c r="F93" s="113"/>
      <c r="G93" s="260"/>
      <c r="H93" s="259"/>
      <c r="I93" s="240"/>
      <c r="J93" s="113"/>
      <c r="K93" s="260"/>
      <c r="L93" s="259"/>
      <c r="M93" s="241">
        <f>K92-M94-M95-M100-M99-M96-M92-M97-M98</f>
        <v>1.3299999999999994</v>
      </c>
      <c r="N93" s="7" t="s">
        <v>354</v>
      </c>
      <c r="O93" s="113"/>
      <c r="P93" s="260"/>
      <c r="Q93" s="259"/>
      <c r="R93" s="241">
        <f>P92-R94-R95-R98-R100-R99-R96-R92-R97</f>
        <v>1.5700000000000003</v>
      </c>
      <c r="S93" s="7" t="s">
        <v>354</v>
      </c>
      <c r="T93" s="113"/>
      <c r="U93" s="260"/>
      <c r="V93" s="259"/>
      <c r="W93" s="241"/>
      <c r="X93" s="8"/>
      <c r="Y93" s="113"/>
      <c r="Z93" s="260"/>
      <c r="AA93" s="259"/>
      <c r="AB93" s="24"/>
      <c r="AC93" s="24"/>
      <c r="AD93" s="113"/>
      <c r="AE93" s="260">
        <v>0.24</v>
      </c>
      <c r="AF93" s="259">
        <v>7.81</v>
      </c>
      <c r="AG93" s="26"/>
      <c r="AH93" s="240"/>
      <c r="AI93" s="141"/>
    </row>
    <row r="94" spans="1:41" s="25" customFormat="1" x14ac:dyDescent="0.25">
      <c r="A94" s="261"/>
      <c r="B94" s="260"/>
      <c r="C94" s="259"/>
      <c r="D94" s="241">
        <v>0.48</v>
      </c>
      <c r="E94" s="15" t="s">
        <v>68</v>
      </c>
      <c r="F94" s="113"/>
      <c r="G94" s="260"/>
      <c r="H94" s="259"/>
      <c r="I94" s="240"/>
      <c r="J94" s="113"/>
      <c r="K94" s="260"/>
      <c r="L94" s="259"/>
      <c r="M94" s="241">
        <v>0.92</v>
      </c>
      <c r="N94" s="15" t="s">
        <v>68</v>
      </c>
      <c r="O94" s="113"/>
      <c r="P94" s="260"/>
      <c r="Q94" s="259"/>
      <c r="R94" s="241">
        <v>0.92</v>
      </c>
      <c r="S94" s="15" t="s">
        <v>68</v>
      </c>
      <c r="T94" s="113"/>
      <c r="U94" s="260"/>
      <c r="V94" s="259"/>
      <c r="W94" s="241">
        <v>0.78</v>
      </c>
      <c r="X94" s="15" t="s">
        <v>68</v>
      </c>
      <c r="Y94" s="113"/>
      <c r="Z94" s="260"/>
      <c r="AA94" s="259"/>
      <c r="AB94" s="241">
        <v>0.66</v>
      </c>
      <c r="AC94" s="15" t="s">
        <v>68</v>
      </c>
      <c r="AD94" s="113"/>
      <c r="AE94" s="260"/>
      <c r="AF94" s="259"/>
      <c r="AG94" s="26"/>
      <c r="AH94" s="240"/>
      <c r="AI94" s="141"/>
    </row>
    <row r="95" spans="1:41" s="25" customFormat="1" x14ac:dyDescent="0.25">
      <c r="A95" s="261"/>
      <c r="B95" s="260"/>
      <c r="C95" s="259"/>
      <c r="D95" s="241">
        <v>0.24</v>
      </c>
      <c r="E95" s="58" t="s">
        <v>417</v>
      </c>
      <c r="F95" s="113"/>
      <c r="G95" s="260"/>
      <c r="H95" s="259"/>
      <c r="I95" s="240"/>
      <c r="J95" s="113"/>
      <c r="K95" s="260"/>
      <c r="L95" s="259"/>
      <c r="M95" s="241">
        <v>0.6</v>
      </c>
      <c r="N95" s="58" t="s">
        <v>417</v>
      </c>
      <c r="O95" s="113"/>
      <c r="P95" s="260"/>
      <c r="Q95" s="259"/>
      <c r="R95" s="241">
        <v>0.6</v>
      </c>
      <c r="S95" s="58" t="s">
        <v>532</v>
      </c>
      <c r="T95" s="113"/>
      <c r="U95" s="260"/>
      <c r="V95" s="259"/>
      <c r="W95" s="241">
        <v>0.24</v>
      </c>
      <c r="X95" s="58" t="s">
        <v>130</v>
      </c>
      <c r="Y95" s="113"/>
      <c r="Z95" s="260"/>
      <c r="AA95" s="259"/>
      <c r="AB95" s="241"/>
      <c r="AC95" s="24"/>
      <c r="AD95" s="113"/>
      <c r="AE95" s="260"/>
      <c r="AF95" s="259"/>
      <c r="AG95" s="26"/>
      <c r="AH95" s="24"/>
      <c r="AI95" s="141"/>
    </row>
    <row r="96" spans="1:41" s="25" customFormat="1" x14ac:dyDescent="0.25">
      <c r="A96" s="261"/>
      <c r="B96" s="260"/>
      <c r="C96" s="259"/>
      <c r="D96" s="241">
        <f>R96</f>
        <v>0.28999999999999998</v>
      </c>
      <c r="E96" s="59" t="s">
        <v>74</v>
      </c>
      <c r="F96" s="113"/>
      <c r="G96" s="260"/>
      <c r="H96" s="259"/>
      <c r="I96" s="240"/>
      <c r="J96" s="113"/>
      <c r="K96" s="260"/>
      <c r="L96" s="259"/>
      <c r="M96" s="241">
        <f>D96</f>
        <v>0.28999999999999998</v>
      </c>
      <c r="N96" s="59" t="s">
        <v>74</v>
      </c>
      <c r="O96" s="113"/>
      <c r="P96" s="260"/>
      <c r="Q96" s="259"/>
      <c r="R96" s="241">
        <v>0.28999999999999998</v>
      </c>
      <c r="S96" s="59" t="s">
        <v>74</v>
      </c>
      <c r="T96" s="113"/>
      <c r="U96" s="260"/>
      <c r="V96" s="259"/>
      <c r="W96" s="241">
        <v>0.28999999999999998</v>
      </c>
      <c r="X96" s="59" t="s">
        <v>74</v>
      </c>
      <c r="Y96" s="113"/>
      <c r="Z96" s="260"/>
      <c r="AA96" s="259"/>
      <c r="AB96" s="241">
        <v>0.19</v>
      </c>
      <c r="AC96" s="59" t="s">
        <v>74</v>
      </c>
      <c r="AD96" s="113"/>
      <c r="AE96" s="260"/>
      <c r="AF96" s="259"/>
      <c r="AG96" s="26">
        <f>AE93-AG99</f>
        <v>0.06</v>
      </c>
      <c r="AH96" s="59" t="s">
        <v>74</v>
      </c>
      <c r="AI96" s="141"/>
    </row>
    <row r="97" spans="1:35" s="25" customFormat="1" x14ac:dyDescent="0.25">
      <c r="A97" s="261"/>
      <c r="B97" s="260"/>
      <c r="C97" s="259"/>
      <c r="D97" s="241">
        <v>0.37</v>
      </c>
      <c r="E97" s="22" t="s">
        <v>406</v>
      </c>
      <c r="F97" s="113"/>
      <c r="G97" s="260"/>
      <c r="H97" s="259"/>
      <c r="I97" s="240"/>
      <c r="J97" s="113"/>
      <c r="K97" s="260"/>
      <c r="L97" s="259"/>
      <c r="M97" s="241">
        <f>R97</f>
        <v>0.37</v>
      </c>
      <c r="N97" s="22" t="s">
        <v>406</v>
      </c>
      <c r="O97" s="113"/>
      <c r="P97" s="260"/>
      <c r="Q97" s="259"/>
      <c r="R97" s="241">
        <f>W97</f>
        <v>0.37</v>
      </c>
      <c r="S97" s="22" t="s">
        <v>209</v>
      </c>
      <c r="T97" s="113"/>
      <c r="U97" s="260"/>
      <c r="V97" s="259"/>
      <c r="W97" s="241">
        <f>D97</f>
        <v>0.37</v>
      </c>
      <c r="X97" s="22" t="s">
        <v>209</v>
      </c>
      <c r="Y97" s="113"/>
      <c r="Z97" s="260"/>
      <c r="AA97" s="259"/>
      <c r="AB97" s="24"/>
      <c r="AC97" s="24"/>
      <c r="AD97" s="113"/>
      <c r="AE97" s="260"/>
      <c r="AF97" s="259"/>
      <c r="AG97" s="26"/>
      <c r="AH97" s="24"/>
      <c r="AI97" s="141"/>
    </row>
    <row r="98" spans="1:35" s="25" customFormat="1" x14ac:dyDescent="0.25">
      <c r="A98" s="261"/>
      <c r="B98" s="260"/>
      <c r="C98" s="259"/>
      <c r="D98" s="241">
        <v>0.24</v>
      </c>
      <c r="E98" s="249" t="s">
        <v>403</v>
      </c>
      <c r="F98" s="113"/>
      <c r="G98" s="260"/>
      <c r="H98" s="259"/>
      <c r="I98" s="240"/>
      <c r="J98" s="113"/>
      <c r="K98" s="260"/>
      <c r="L98" s="259"/>
      <c r="M98" s="241">
        <f>D98</f>
        <v>0.24</v>
      </c>
      <c r="N98" s="249" t="s">
        <v>403</v>
      </c>
      <c r="O98" s="113"/>
      <c r="P98" s="260"/>
      <c r="Q98" s="259"/>
      <c r="R98" s="241">
        <v>0.25</v>
      </c>
      <c r="S98" s="249" t="s">
        <v>131</v>
      </c>
      <c r="T98" s="113"/>
      <c r="U98" s="260"/>
      <c r="V98" s="259"/>
      <c r="W98" s="241">
        <f>R98</f>
        <v>0.25</v>
      </c>
      <c r="X98" s="249" t="s">
        <v>131</v>
      </c>
      <c r="Y98" s="113"/>
      <c r="Z98" s="260"/>
      <c r="AA98" s="259"/>
      <c r="AB98" s="24"/>
      <c r="AC98" s="24"/>
      <c r="AD98" s="113"/>
      <c r="AE98" s="260"/>
      <c r="AF98" s="259"/>
      <c r="AG98" s="26"/>
      <c r="AH98" s="24"/>
      <c r="AI98" s="141"/>
    </row>
    <row r="99" spans="1:35" s="25" customFormat="1" x14ac:dyDescent="0.25">
      <c r="A99" s="261"/>
      <c r="B99" s="260"/>
      <c r="C99" s="259"/>
      <c r="D99" s="241">
        <f>R99</f>
        <v>0.19</v>
      </c>
      <c r="E99" s="249" t="s">
        <v>73</v>
      </c>
      <c r="F99" s="113"/>
      <c r="G99" s="260"/>
      <c r="H99" s="259"/>
      <c r="I99" s="240"/>
      <c r="J99" s="113"/>
      <c r="K99" s="260"/>
      <c r="L99" s="259"/>
      <c r="M99" s="241">
        <f>D99</f>
        <v>0.19</v>
      </c>
      <c r="N99" s="249" t="s">
        <v>73</v>
      </c>
      <c r="O99" s="113"/>
      <c r="P99" s="260"/>
      <c r="Q99" s="259"/>
      <c r="R99" s="245">
        <v>0.19</v>
      </c>
      <c r="S99" s="249" t="s">
        <v>73</v>
      </c>
      <c r="T99" s="113"/>
      <c r="U99" s="260"/>
      <c r="V99" s="259"/>
      <c r="W99" s="245">
        <v>0.19</v>
      </c>
      <c r="X99" s="249" t="s">
        <v>73</v>
      </c>
      <c r="Y99" s="113"/>
      <c r="Z99" s="260"/>
      <c r="AA99" s="259"/>
      <c r="AB99" s="245">
        <f>Z91+Z85-AB88-AB101-AB96-AB94</f>
        <v>0.65</v>
      </c>
      <c r="AC99" s="249" t="s">
        <v>73</v>
      </c>
      <c r="AD99" s="113"/>
      <c r="AE99" s="260"/>
      <c r="AF99" s="259"/>
      <c r="AG99" s="16">
        <v>0.18</v>
      </c>
      <c r="AH99" s="249" t="s">
        <v>73</v>
      </c>
      <c r="AI99" s="141"/>
    </row>
    <row r="100" spans="1:35" s="25" customFormat="1" x14ac:dyDescent="0.25">
      <c r="A100" s="261"/>
      <c r="B100" s="260"/>
      <c r="C100" s="259"/>
      <c r="D100" s="241">
        <f>R100</f>
        <v>0.06</v>
      </c>
      <c r="E100" s="68" t="s">
        <v>440</v>
      </c>
      <c r="F100" s="113"/>
      <c r="G100" s="260"/>
      <c r="H100" s="259"/>
      <c r="I100" s="240"/>
      <c r="J100" s="113"/>
      <c r="K100" s="260"/>
      <c r="L100" s="259"/>
      <c r="M100" s="241">
        <f>D100</f>
        <v>0.06</v>
      </c>
      <c r="N100" s="68" t="s">
        <v>440</v>
      </c>
      <c r="O100" s="113"/>
      <c r="P100" s="260"/>
      <c r="Q100" s="259"/>
      <c r="R100" s="241">
        <v>0.06</v>
      </c>
      <c r="S100" s="68" t="s">
        <v>132</v>
      </c>
      <c r="T100" s="113"/>
      <c r="U100" s="260"/>
      <c r="V100" s="259"/>
      <c r="W100" s="241">
        <f>R100</f>
        <v>0.06</v>
      </c>
      <c r="X100" s="68" t="s">
        <v>132</v>
      </c>
      <c r="Y100" s="113"/>
      <c r="Z100" s="260"/>
      <c r="AA100" s="259"/>
      <c r="AB100" s="241"/>
      <c r="AC100" s="240"/>
      <c r="AD100" s="113"/>
      <c r="AE100" s="260"/>
      <c r="AF100" s="259"/>
      <c r="AG100" s="26"/>
      <c r="AH100" s="24"/>
      <c r="AI100" s="141"/>
    </row>
    <row r="101" spans="1:35" s="25" customFormat="1" x14ac:dyDescent="0.25">
      <c r="A101" s="261"/>
      <c r="B101" s="260"/>
      <c r="C101" s="259"/>
      <c r="D101" s="24"/>
      <c r="E101" s="24"/>
      <c r="F101" s="113"/>
      <c r="G101" s="260"/>
      <c r="H101" s="259"/>
      <c r="I101" s="240"/>
      <c r="J101" s="113"/>
      <c r="K101" s="260"/>
      <c r="L101" s="259"/>
      <c r="M101" s="24"/>
      <c r="N101" s="24"/>
      <c r="O101" s="113"/>
      <c r="P101" s="260"/>
      <c r="Q101" s="259"/>
      <c r="R101" s="24"/>
      <c r="S101" s="24"/>
      <c r="T101" s="113"/>
      <c r="U101" s="260"/>
      <c r="V101" s="259"/>
      <c r="W101" s="24"/>
      <c r="X101" s="24"/>
      <c r="Y101" s="113"/>
      <c r="Z101" s="260"/>
      <c r="AA101" s="259"/>
      <c r="AB101" s="241">
        <v>0.31</v>
      </c>
      <c r="AC101" s="75" t="s">
        <v>196</v>
      </c>
      <c r="AD101" s="113"/>
      <c r="AE101" s="260"/>
      <c r="AF101" s="259"/>
      <c r="AG101" s="26"/>
      <c r="AH101" s="240"/>
      <c r="AI101" s="141"/>
    </row>
    <row r="102" spans="1:35" s="25" customFormat="1" x14ac:dyDescent="0.25">
      <c r="A102" s="261">
        <v>28</v>
      </c>
      <c r="B102" s="260">
        <v>1.1000000000000001</v>
      </c>
      <c r="C102" s="259">
        <v>7.77</v>
      </c>
      <c r="D102" s="241">
        <v>0.01</v>
      </c>
      <c r="E102" s="22" t="s">
        <v>417</v>
      </c>
      <c r="F102" s="113"/>
      <c r="G102" s="260">
        <v>1.57</v>
      </c>
      <c r="H102" s="259">
        <v>7.84</v>
      </c>
      <c r="I102" s="240"/>
      <c r="J102" s="113"/>
      <c r="K102" s="260">
        <v>1.1200000000000001</v>
      </c>
      <c r="L102" s="259">
        <v>7.89</v>
      </c>
      <c r="M102" s="241">
        <f>D102+D127-M127</f>
        <v>0.13500000000000001</v>
      </c>
      <c r="N102" s="22" t="s">
        <v>417</v>
      </c>
      <c r="O102" s="113"/>
      <c r="P102" s="260">
        <v>1.0900000000000001</v>
      </c>
      <c r="Q102" s="259">
        <v>7.79</v>
      </c>
      <c r="R102" s="241">
        <v>0.12</v>
      </c>
      <c r="S102" s="22" t="s">
        <v>130</v>
      </c>
      <c r="T102" s="113"/>
      <c r="U102" s="260">
        <v>1.18</v>
      </c>
      <c r="V102" s="259">
        <v>7.83</v>
      </c>
      <c r="W102" s="241">
        <v>0.12</v>
      </c>
      <c r="X102" s="22" t="s">
        <v>130</v>
      </c>
      <c r="Y102" s="113"/>
      <c r="Z102" s="260">
        <v>1.38</v>
      </c>
      <c r="AA102" s="259">
        <v>7.83</v>
      </c>
      <c r="AB102" s="241"/>
      <c r="AC102" s="240"/>
      <c r="AD102" s="113"/>
      <c r="AE102" s="241">
        <v>7.0000000000000007E-2</v>
      </c>
      <c r="AF102" s="240">
        <v>7.85</v>
      </c>
      <c r="AG102" s="26"/>
      <c r="AH102" s="240"/>
      <c r="AI102" s="141"/>
    </row>
    <row r="103" spans="1:35" s="25" customFormat="1" x14ac:dyDescent="0.25">
      <c r="A103" s="261"/>
      <c r="B103" s="260"/>
      <c r="C103" s="259"/>
      <c r="D103" s="240">
        <f>B102-D102</f>
        <v>1.0900000000000001</v>
      </c>
      <c r="E103" s="54" t="s">
        <v>34</v>
      </c>
      <c r="F103" s="113"/>
      <c r="G103" s="260"/>
      <c r="H103" s="259"/>
      <c r="I103" s="240"/>
      <c r="J103" s="113"/>
      <c r="K103" s="260"/>
      <c r="L103" s="259"/>
      <c r="M103" s="241">
        <f>K102-M102</f>
        <v>0.9850000000000001</v>
      </c>
      <c r="N103" s="54" t="s">
        <v>34</v>
      </c>
      <c r="O103" s="113"/>
      <c r="P103" s="260"/>
      <c r="Q103" s="259"/>
      <c r="R103" s="241">
        <f>P102-R102</f>
        <v>0.97000000000000008</v>
      </c>
      <c r="S103" s="54" t="s">
        <v>34</v>
      </c>
      <c r="T103" s="113"/>
      <c r="U103" s="260"/>
      <c r="V103" s="259"/>
      <c r="W103" s="241">
        <f>U102-W102</f>
        <v>1.06</v>
      </c>
      <c r="X103" s="54" t="s">
        <v>34</v>
      </c>
      <c r="Y103" s="113"/>
      <c r="Z103" s="260"/>
      <c r="AA103" s="259"/>
      <c r="AB103" s="241">
        <f>Z102</f>
        <v>1.38</v>
      </c>
      <c r="AC103" s="54" t="s">
        <v>34</v>
      </c>
      <c r="AD103" s="113"/>
      <c r="AE103" s="241">
        <v>0.78</v>
      </c>
      <c r="AF103" s="240">
        <v>7.94</v>
      </c>
      <c r="AG103" s="26">
        <f>AE103+AE102</f>
        <v>0.85000000000000009</v>
      </c>
      <c r="AH103" s="54" t="s">
        <v>34</v>
      </c>
      <c r="AI103" s="141"/>
    </row>
    <row r="104" spans="1:35" s="25" customFormat="1" x14ac:dyDescent="0.25">
      <c r="A104" s="261">
        <v>29</v>
      </c>
      <c r="B104" s="260">
        <v>4.72</v>
      </c>
      <c r="C104" s="259">
        <v>7.88</v>
      </c>
      <c r="D104" s="240">
        <f>(B104-D107-D108)/2</f>
        <v>2.04</v>
      </c>
      <c r="E104" s="6" t="s">
        <v>23</v>
      </c>
      <c r="F104" s="113"/>
      <c r="G104" s="263">
        <v>0.22</v>
      </c>
      <c r="H104" s="266">
        <v>7.91</v>
      </c>
      <c r="I104" s="116"/>
      <c r="J104" s="113"/>
      <c r="K104" s="260">
        <v>4.93</v>
      </c>
      <c r="L104" s="259">
        <v>8.01</v>
      </c>
      <c r="M104" s="241">
        <f>(K104-M107-M108)/2</f>
        <v>2.145</v>
      </c>
      <c r="N104" s="6" t="s">
        <v>23</v>
      </c>
      <c r="O104" s="113"/>
      <c r="P104" s="260">
        <v>4.51</v>
      </c>
      <c r="Q104" s="259">
        <v>7.91</v>
      </c>
      <c r="R104" s="241">
        <f>P104/2</f>
        <v>2.2549999999999999</v>
      </c>
      <c r="S104" s="6" t="s">
        <v>23</v>
      </c>
      <c r="T104" s="113"/>
      <c r="U104" s="260">
        <v>4.54</v>
      </c>
      <c r="V104" s="259">
        <v>7.93</v>
      </c>
      <c r="W104" s="241">
        <f>U104/2</f>
        <v>2.27</v>
      </c>
      <c r="X104" s="6" t="s">
        <v>23</v>
      </c>
      <c r="Y104" s="113"/>
      <c r="Z104" s="260">
        <v>4.3099999999999996</v>
      </c>
      <c r="AA104" s="259">
        <v>7.95</v>
      </c>
      <c r="AB104" s="241">
        <f>Z104/2</f>
        <v>2.1549999999999998</v>
      </c>
      <c r="AC104" s="6" t="s">
        <v>23</v>
      </c>
      <c r="AD104" s="113"/>
      <c r="AE104" s="260">
        <v>4.05</v>
      </c>
      <c r="AF104" s="259">
        <v>8.06</v>
      </c>
      <c r="AG104" s="26">
        <v>2.0249999999999999</v>
      </c>
      <c r="AH104" s="6" t="s">
        <v>23</v>
      </c>
      <c r="AI104" s="141"/>
    </row>
    <row r="105" spans="1:35" s="25" customFormat="1" x14ac:dyDescent="0.25">
      <c r="A105" s="261"/>
      <c r="B105" s="260"/>
      <c r="C105" s="259"/>
      <c r="D105" s="240"/>
      <c r="E105" s="240"/>
      <c r="F105" s="113"/>
      <c r="G105" s="265"/>
      <c r="H105" s="268"/>
      <c r="I105" s="240"/>
      <c r="J105" s="113"/>
      <c r="K105" s="260"/>
      <c r="L105" s="259"/>
      <c r="M105" s="241"/>
      <c r="N105" s="240"/>
      <c r="O105" s="113"/>
      <c r="P105" s="260"/>
      <c r="Q105" s="259"/>
      <c r="R105" s="241"/>
      <c r="S105" s="246"/>
      <c r="T105" s="113"/>
      <c r="U105" s="260"/>
      <c r="V105" s="259"/>
      <c r="W105" s="241"/>
      <c r="X105" s="246"/>
      <c r="Y105" s="113"/>
      <c r="Z105" s="260"/>
      <c r="AA105" s="259"/>
      <c r="AB105" s="241"/>
      <c r="AC105" s="246"/>
      <c r="AD105" s="113"/>
      <c r="AE105" s="260"/>
      <c r="AF105" s="259"/>
      <c r="AG105" s="26"/>
      <c r="AH105" s="246"/>
      <c r="AI105" s="141"/>
    </row>
    <row r="106" spans="1:35" s="25" customFormat="1" x14ac:dyDescent="0.25">
      <c r="A106" s="261"/>
      <c r="B106" s="260"/>
      <c r="C106" s="259"/>
      <c r="D106" s="240"/>
      <c r="E106" s="240"/>
      <c r="F106" s="113"/>
      <c r="G106" s="263">
        <v>0.21</v>
      </c>
      <c r="H106" s="266">
        <v>7.94</v>
      </c>
      <c r="I106" s="240"/>
      <c r="J106" s="113"/>
      <c r="K106" s="260"/>
      <c r="L106" s="259"/>
      <c r="M106" s="241"/>
      <c r="N106" s="240"/>
      <c r="O106" s="113"/>
      <c r="P106" s="260"/>
      <c r="Q106" s="259"/>
      <c r="R106" s="241"/>
      <c r="S106" s="246"/>
      <c r="T106" s="113"/>
      <c r="U106" s="260"/>
      <c r="V106" s="259"/>
      <c r="W106" s="241"/>
      <c r="X106" s="246"/>
      <c r="Y106" s="113"/>
      <c r="Z106" s="260"/>
      <c r="AA106" s="259"/>
      <c r="AB106" s="245"/>
      <c r="AC106" s="246"/>
      <c r="AD106" s="113"/>
      <c r="AE106" s="260"/>
      <c r="AF106" s="259"/>
      <c r="AG106" s="26"/>
      <c r="AH106" s="24"/>
      <c r="AI106" s="141"/>
    </row>
    <row r="107" spans="1:35" s="25" customFormat="1" x14ac:dyDescent="0.25">
      <c r="A107" s="261"/>
      <c r="B107" s="260"/>
      <c r="C107" s="259"/>
      <c r="D107" s="241">
        <v>0.01</v>
      </c>
      <c r="E107" s="249" t="s">
        <v>146</v>
      </c>
      <c r="F107" s="113"/>
      <c r="G107" s="264"/>
      <c r="H107" s="267"/>
      <c r="I107" s="240"/>
      <c r="J107" s="113"/>
      <c r="K107" s="260"/>
      <c r="L107" s="259"/>
      <c r="M107" s="241">
        <v>0.01</v>
      </c>
      <c r="N107" s="249" t="s">
        <v>146</v>
      </c>
      <c r="O107" s="113"/>
      <c r="P107" s="260"/>
      <c r="Q107" s="259"/>
      <c r="R107" s="241"/>
      <c r="S107" s="246"/>
      <c r="T107" s="113"/>
      <c r="U107" s="260"/>
      <c r="V107" s="259"/>
      <c r="W107" s="241"/>
      <c r="X107" s="246"/>
      <c r="Y107" s="113"/>
      <c r="Z107" s="260"/>
      <c r="AA107" s="259"/>
      <c r="AB107" s="245"/>
      <c r="AC107" s="246"/>
      <c r="AD107" s="113"/>
      <c r="AE107" s="260"/>
      <c r="AF107" s="259"/>
      <c r="AG107" s="26"/>
      <c r="AH107" s="24"/>
      <c r="AI107" s="141"/>
    </row>
    <row r="108" spans="1:35" s="25" customFormat="1" x14ac:dyDescent="0.25">
      <c r="A108" s="261"/>
      <c r="B108" s="260"/>
      <c r="C108" s="259"/>
      <c r="D108" s="241">
        <v>0.63</v>
      </c>
      <c r="E108" s="6" t="s">
        <v>147</v>
      </c>
      <c r="F108" s="113"/>
      <c r="G108" s="265"/>
      <c r="H108" s="268"/>
      <c r="I108" s="116"/>
      <c r="J108" s="113"/>
      <c r="K108" s="260"/>
      <c r="L108" s="259"/>
      <c r="M108" s="241">
        <f>D108</f>
        <v>0.63</v>
      </c>
      <c r="N108" s="6" t="s">
        <v>147</v>
      </c>
      <c r="O108" s="113"/>
      <c r="P108" s="260"/>
      <c r="Q108" s="259"/>
      <c r="R108" s="241"/>
      <c r="S108" s="18"/>
      <c r="T108" s="113"/>
      <c r="U108" s="260"/>
      <c r="V108" s="259"/>
      <c r="W108" s="241"/>
      <c r="X108" s="18"/>
      <c r="Y108" s="113"/>
      <c r="Z108" s="260"/>
      <c r="AA108" s="259"/>
      <c r="AB108" s="245"/>
      <c r="AC108" s="18"/>
      <c r="AD108" s="113"/>
      <c r="AE108" s="260"/>
      <c r="AF108" s="259"/>
      <c r="AG108" s="26"/>
      <c r="AH108" s="24"/>
      <c r="AI108" s="141"/>
    </row>
    <row r="109" spans="1:35" s="25" customFormat="1" x14ac:dyDescent="0.25">
      <c r="A109" s="261"/>
      <c r="B109" s="260"/>
      <c r="C109" s="259"/>
      <c r="D109" s="240">
        <v>2.04</v>
      </c>
      <c r="E109" s="6" t="s">
        <v>24</v>
      </c>
      <c r="F109" s="113"/>
      <c r="G109" s="241">
        <v>0.11</v>
      </c>
      <c r="H109" s="240">
        <v>8</v>
      </c>
      <c r="I109" s="116"/>
      <c r="J109" s="113"/>
      <c r="K109" s="260"/>
      <c r="L109" s="259"/>
      <c r="M109" s="241">
        <v>2.15</v>
      </c>
      <c r="N109" s="6" t="s">
        <v>24</v>
      </c>
      <c r="O109" s="113"/>
      <c r="P109" s="260"/>
      <c r="Q109" s="259"/>
      <c r="R109" s="241">
        <f>R104</f>
        <v>2.2549999999999999</v>
      </c>
      <c r="S109" s="6" t="s">
        <v>24</v>
      </c>
      <c r="T109" s="113"/>
      <c r="U109" s="260"/>
      <c r="V109" s="259"/>
      <c r="W109" s="241">
        <f>W104</f>
        <v>2.27</v>
      </c>
      <c r="X109" s="6" t="s">
        <v>24</v>
      </c>
      <c r="Y109" s="113"/>
      <c r="Z109" s="260"/>
      <c r="AA109" s="259"/>
      <c r="AB109" s="241">
        <f>AB104</f>
        <v>2.1549999999999998</v>
      </c>
      <c r="AC109" s="6" t="s">
        <v>24</v>
      </c>
      <c r="AD109" s="113"/>
      <c r="AE109" s="260"/>
      <c r="AF109" s="259"/>
      <c r="AG109" s="26">
        <f>AG104</f>
        <v>2.0249999999999999</v>
      </c>
      <c r="AH109" s="6" t="s">
        <v>24</v>
      </c>
      <c r="AI109" s="141"/>
    </row>
    <row r="110" spans="1:35" s="25" customFormat="1" x14ac:dyDescent="0.25">
      <c r="A110" s="242">
        <v>30</v>
      </c>
      <c r="B110" s="241">
        <v>0.3</v>
      </c>
      <c r="C110" s="240">
        <v>7.98</v>
      </c>
      <c r="D110" s="240">
        <v>0.19</v>
      </c>
      <c r="E110" s="143" t="s">
        <v>54</v>
      </c>
      <c r="F110" s="113"/>
      <c r="G110" s="241">
        <v>0.32</v>
      </c>
      <c r="H110" s="240">
        <v>8.09</v>
      </c>
      <c r="I110" s="240"/>
      <c r="J110" s="113"/>
      <c r="K110" s="241">
        <v>0.32</v>
      </c>
      <c r="L110" s="240">
        <v>8.1199999999999992</v>
      </c>
      <c r="M110" s="241">
        <f>K110</f>
        <v>0.32</v>
      </c>
      <c r="N110" s="70" t="s">
        <v>54</v>
      </c>
      <c r="O110" s="113"/>
      <c r="P110" s="241">
        <v>0.26</v>
      </c>
      <c r="Q110" s="240">
        <v>8.01</v>
      </c>
      <c r="R110" s="241"/>
      <c r="S110" s="240"/>
      <c r="T110" s="113"/>
      <c r="U110" s="260">
        <v>1.17</v>
      </c>
      <c r="V110" s="259">
        <v>8.11</v>
      </c>
      <c r="W110" s="241"/>
      <c r="X110" s="240"/>
      <c r="Y110" s="113"/>
      <c r="Z110" s="260">
        <v>1.1399999999999999</v>
      </c>
      <c r="AA110" s="259">
        <v>8.08</v>
      </c>
      <c r="AB110" s="241"/>
      <c r="AC110" s="240"/>
      <c r="AD110" s="113"/>
      <c r="AE110" s="241">
        <v>0.13</v>
      </c>
      <c r="AF110" s="240">
        <v>8.17</v>
      </c>
      <c r="AG110" s="26"/>
      <c r="AH110" s="24"/>
      <c r="AI110" s="141"/>
    </row>
    <row r="111" spans="1:35" s="25" customFormat="1" x14ac:dyDescent="0.25">
      <c r="A111" s="261">
        <v>31</v>
      </c>
      <c r="B111" s="260">
        <v>0.45</v>
      </c>
      <c r="C111" s="259">
        <v>8.0500000000000007</v>
      </c>
      <c r="D111" s="240">
        <f>B111</f>
        <v>0.45</v>
      </c>
      <c r="E111" s="15" t="s">
        <v>70</v>
      </c>
      <c r="F111" s="113"/>
      <c r="G111" s="260">
        <v>0.36</v>
      </c>
      <c r="H111" s="259">
        <v>8.14</v>
      </c>
      <c r="I111" s="240"/>
      <c r="J111" s="113"/>
      <c r="K111" s="260">
        <v>0.44</v>
      </c>
      <c r="L111" s="259">
        <v>8.1999999999999993</v>
      </c>
      <c r="M111" s="241">
        <f>K111</f>
        <v>0.44</v>
      </c>
      <c r="N111" s="15" t="s">
        <v>70</v>
      </c>
      <c r="O111" s="113"/>
      <c r="P111" s="260">
        <v>0.46</v>
      </c>
      <c r="Q111" s="259">
        <v>8.09</v>
      </c>
      <c r="R111" s="241"/>
      <c r="S111" s="240"/>
      <c r="T111" s="113"/>
      <c r="U111" s="260"/>
      <c r="V111" s="259"/>
      <c r="W111" s="241"/>
      <c r="X111" s="240"/>
      <c r="Y111" s="113"/>
      <c r="Z111" s="260"/>
      <c r="AA111" s="259"/>
      <c r="AB111" s="241"/>
      <c r="AC111" s="240"/>
      <c r="AD111" s="113"/>
      <c r="AE111" s="241">
        <v>0.1</v>
      </c>
      <c r="AF111" s="240">
        <v>8.2200000000000006</v>
      </c>
      <c r="AG111" s="26"/>
      <c r="AH111" s="24"/>
      <c r="AI111" s="141"/>
    </row>
    <row r="112" spans="1:35" s="25" customFormat="1" x14ac:dyDescent="0.25">
      <c r="A112" s="261"/>
      <c r="B112" s="260"/>
      <c r="C112" s="259"/>
      <c r="D112" s="240"/>
      <c r="E112" s="240"/>
      <c r="F112" s="113"/>
      <c r="G112" s="260"/>
      <c r="H112" s="259"/>
      <c r="I112" s="240"/>
      <c r="J112" s="113"/>
      <c r="K112" s="260"/>
      <c r="L112" s="259"/>
      <c r="M112" s="241"/>
      <c r="N112" s="240"/>
      <c r="O112" s="113"/>
      <c r="P112" s="260"/>
      <c r="Q112" s="259"/>
      <c r="R112" s="241"/>
      <c r="S112" s="240"/>
      <c r="T112" s="113"/>
      <c r="U112" s="260"/>
      <c r="V112" s="259"/>
      <c r="W112" s="241"/>
      <c r="X112" s="240"/>
      <c r="Y112" s="113"/>
      <c r="Z112" s="260"/>
      <c r="AA112" s="259"/>
      <c r="AB112" s="241"/>
      <c r="AC112" s="240"/>
      <c r="AD112" s="113"/>
      <c r="AE112" s="260">
        <v>0.14000000000000001</v>
      </c>
      <c r="AF112" s="259">
        <v>8.25</v>
      </c>
      <c r="AG112" s="26"/>
      <c r="AH112" s="240"/>
      <c r="AI112" s="141"/>
    </row>
    <row r="113" spans="1:35" s="25" customFormat="1" x14ac:dyDescent="0.25">
      <c r="A113" s="261">
        <v>32</v>
      </c>
      <c r="B113" s="260">
        <v>0.02</v>
      </c>
      <c r="C113" s="259">
        <v>8.1300000000000008</v>
      </c>
      <c r="D113" s="240">
        <v>0.01</v>
      </c>
      <c r="E113" s="7" t="s">
        <v>78</v>
      </c>
      <c r="F113" s="113"/>
      <c r="G113" s="263">
        <v>0.06</v>
      </c>
      <c r="H113" s="266">
        <v>8.19</v>
      </c>
      <c r="I113" s="240"/>
      <c r="J113" s="113"/>
      <c r="K113" s="260">
        <v>0.04</v>
      </c>
      <c r="L113" s="259">
        <v>8.26</v>
      </c>
      <c r="M113" s="241">
        <f>D113</f>
        <v>0.01</v>
      </c>
      <c r="N113" s="7" t="s">
        <v>78</v>
      </c>
      <c r="O113" s="113"/>
      <c r="P113" s="260">
        <v>0.09</v>
      </c>
      <c r="Q113" s="259">
        <v>8.11</v>
      </c>
      <c r="R113" s="241"/>
      <c r="S113" s="240"/>
      <c r="T113" s="113"/>
      <c r="U113" s="260"/>
      <c r="V113" s="259"/>
      <c r="W113" s="241"/>
      <c r="X113" s="240"/>
      <c r="Y113" s="113"/>
      <c r="Z113" s="260"/>
      <c r="AA113" s="259"/>
      <c r="AB113" s="241"/>
      <c r="AC113" s="240"/>
      <c r="AD113" s="113"/>
      <c r="AE113" s="260"/>
      <c r="AF113" s="259"/>
      <c r="AG113" s="26"/>
      <c r="AH113" s="240"/>
      <c r="AI113" s="141"/>
    </row>
    <row r="114" spans="1:35" s="25" customFormat="1" x14ac:dyDescent="0.25">
      <c r="A114" s="261"/>
      <c r="B114" s="260"/>
      <c r="C114" s="259"/>
      <c r="D114" s="240">
        <v>0.01</v>
      </c>
      <c r="E114" s="7" t="s">
        <v>353</v>
      </c>
      <c r="F114" s="113"/>
      <c r="G114" s="264"/>
      <c r="H114" s="267"/>
      <c r="I114" s="240"/>
      <c r="J114" s="113"/>
      <c r="K114" s="260"/>
      <c r="L114" s="259"/>
      <c r="M114" s="241">
        <f>K113/3</f>
        <v>1.3333333333333334E-2</v>
      </c>
      <c r="N114" s="7" t="s">
        <v>353</v>
      </c>
      <c r="O114" s="113"/>
      <c r="P114" s="260"/>
      <c r="Q114" s="259"/>
      <c r="R114" s="241">
        <f>(P113+P111)/2</f>
        <v>0.27500000000000002</v>
      </c>
      <c r="S114" s="7" t="s">
        <v>353</v>
      </c>
      <c r="T114" s="113"/>
      <c r="U114" s="260"/>
      <c r="V114" s="259"/>
      <c r="W114" s="241">
        <f>U110/2</f>
        <v>0.58499999999999996</v>
      </c>
      <c r="X114" s="7" t="s">
        <v>353</v>
      </c>
      <c r="Y114" s="113"/>
      <c r="Z114" s="260"/>
      <c r="AA114" s="259"/>
      <c r="AB114" s="241"/>
      <c r="AC114" s="240"/>
      <c r="AD114" s="113"/>
      <c r="AE114" s="260"/>
      <c r="AF114" s="259"/>
      <c r="AG114" s="26"/>
      <c r="AH114" s="240"/>
      <c r="AI114" s="141"/>
    </row>
    <row r="115" spans="1:35" s="25" customFormat="1" x14ac:dyDescent="0.25">
      <c r="A115" s="261"/>
      <c r="B115" s="260"/>
      <c r="C115" s="259"/>
      <c r="D115" s="240">
        <v>0.01</v>
      </c>
      <c r="E115" s="249" t="s">
        <v>269</v>
      </c>
      <c r="F115" s="113"/>
      <c r="G115" s="265"/>
      <c r="H115" s="268"/>
      <c r="I115" s="240"/>
      <c r="J115" s="113"/>
      <c r="K115" s="260"/>
      <c r="L115" s="259"/>
      <c r="M115" s="241">
        <f>-M119-M113-M114-M121-M122-M123+K113+K117</f>
        <v>0.46666666666666656</v>
      </c>
      <c r="N115" s="249" t="s">
        <v>269</v>
      </c>
      <c r="O115" s="113"/>
      <c r="P115" s="260"/>
      <c r="Q115" s="259"/>
      <c r="R115" s="241">
        <f>R114</f>
        <v>0.27500000000000002</v>
      </c>
      <c r="S115" s="249" t="s">
        <v>533</v>
      </c>
      <c r="T115" s="113"/>
      <c r="U115" s="260"/>
      <c r="V115" s="259"/>
      <c r="W115" s="241">
        <v>0.59</v>
      </c>
      <c r="X115" s="249" t="s">
        <v>269</v>
      </c>
      <c r="Y115" s="113"/>
      <c r="Z115" s="260"/>
      <c r="AA115" s="259"/>
      <c r="AB115" s="241"/>
      <c r="AC115" s="240"/>
      <c r="AD115" s="113"/>
      <c r="AE115" s="260"/>
      <c r="AF115" s="259"/>
      <c r="AG115" s="26"/>
      <c r="AH115" s="240"/>
      <c r="AI115" s="141"/>
    </row>
    <row r="116" spans="1:35" s="25" customFormat="1" x14ac:dyDescent="0.25">
      <c r="A116" s="261"/>
      <c r="B116" s="260"/>
      <c r="C116" s="259"/>
      <c r="D116" s="24"/>
      <c r="E116" s="24"/>
      <c r="F116" s="113"/>
      <c r="G116" s="241">
        <v>0.03</v>
      </c>
      <c r="H116" s="240">
        <v>8.2200000000000006</v>
      </c>
      <c r="I116" s="240"/>
      <c r="J116" s="113"/>
      <c r="K116" s="260"/>
      <c r="L116" s="259"/>
      <c r="M116" s="24"/>
      <c r="N116" s="24"/>
      <c r="O116" s="113"/>
      <c r="P116" s="260"/>
      <c r="Q116" s="259"/>
      <c r="R116" s="241"/>
      <c r="S116" s="240"/>
      <c r="T116" s="113"/>
      <c r="U116" s="260"/>
      <c r="V116" s="259"/>
      <c r="W116" s="241"/>
      <c r="X116" s="240"/>
      <c r="Y116" s="113"/>
      <c r="Z116" s="260"/>
      <c r="AA116" s="259"/>
      <c r="AB116" s="241"/>
      <c r="AC116" s="240"/>
      <c r="AD116" s="113"/>
      <c r="AE116" s="260"/>
      <c r="AF116" s="259"/>
      <c r="AG116" s="26"/>
      <c r="AH116" s="55"/>
      <c r="AI116" s="141"/>
    </row>
    <row r="117" spans="1:35" s="25" customFormat="1" x14ac:dyDescent="0.25">
      <c r="A117" s="261">
        <v>33</v>
      </c>
      <c r="B117" s="260">
        <v>1.57</v>
      </c>
      <c r="C117" s="259">
        <v>8.25</v>
      </c>
      <c r="D117" s="240"/>
      <c r="E117" s="18"/>
      <c r="F117" s="113"/>
      <c r="G117" s="263">
        <v>0.14000000000000001</v>
      </c>
      <c r="H117" s="266">
        <v>8.2899999999999991</v>
      </c>
      <c r="I117" s="240"/>
      <c r="J117" s="113"/>
      <c r="K117" s="260">
        <v>2.02</v>
      </c>
      <c r="L117" s="259">
        <v>8.41</v>
      </c>
      <c r="M117" s="241"/>
      <c r="N117" s="18"/>
      <c r="O117" s="113"/>
      <c r="P117" s="241">
        <v>0.41</v>
      </c>
      <c r="Q117" s="240">
        <v>8.2100000000000009</v>
      </c>
      <c r="R117" s="241">
        <f>P117</f>
        <v>0.41</v>
      </c>
      <c r="S117" s="15" t="s">
        <v>511</v>
      </c>
      <c r="T117" s="113"/>
      <c r="U117" s="241">
        <v>0.73</v>
      </c>
      <c r="V117" s="240">
        <v>8.24</v>
      </c>
      <c r="W117" s="241">
        <f>U117</f>
        <v>0.73</v>
      </c>
      <c r="X117" s="15" t="s">
        <v>325</v>
      </c>
      <c r="Y117" s="113"/>
      <c r="Z117" s="241">
        <v>0.97</v>
      </c>
      <c r="AA117" s="240">
        <v>8.25</v>
      </c>
      <c r="AB117" s="241"/>
      <c r="AC117" s="240"/>
      <c r="AD117" s="113"/>
      <c r="AE117" s="241">
        <v>0.32</v>
      </c>
      <c r="AF117" s="240">
        <v>8.39</v>
      </c>
      <c r="AG117" s="26"/>
      <c r="AH117" s="55"/>
      <c r="AI117" s="141"/>
    </row>
    <row r="118" spans="1:35" s="25" customFormat="1" x14ac:dyDescent="0.25">
      <c r="A118" s="261"/>
      <c r="B118" s="260"/>
      <c r="C118" s="259"/>
      <c r="D118" s="240"/>
      <c r="E118" s="240"/>
      <c r="F118" s="113"/>
      <c r="G118" s="264"/>
      <c r="H118" s="267"/>
      <c r="I118" s="240"/>
      <c r="J118" s="113"/>
      <c r="K118" s="260"/>
      <c r="L118" s="259"/>
      <c r="M118" s="241"/>
      <c r="N118" s="240"/>
      <c r="O118" s="113"/>
      <c r="P118" s="260">
        <v>1.99</v>
      </c>
      <c r="Q118" s="259">
        <v>8.31</v>
      </c>
      <c r="R118" s="241"/>
      <c r="S118" s="246"/>
      <c r="T118" s="113"/>
      <c r="U118" s="260">
        <v>1.25</v>
      </c>
      <c r="V118" s="259">
        <v>8.33</v>
      </c>
      <c r="W118" s="245"/>
      <c r="X118" s="246"/>
      <c r="Y118" s="113"/>
      <c r="Z118" s="260">
        <v>0.4</v>
      </c>
      <c r="AA118" s="259">
        <v>8.33</v>
      </c>
      <c r="AB118" s="245"/>
      <c r="AC118" s="246"/>
      <c r="AD118" s="113"/>
      <c r="AE118" s="260">
        <v>0.11</v>
      </c>
      <c r="AF118" s="259">
        <v>8.4600000000000009</v>
      </c>
      <c r="AG118" s="26"/>
      <c r="AH118" s="55"/>
      <c r="AI118" s="141"/>
    </row>
    <row r="119" spans="1:35" s="25" customFormat="1" x14ac:dyDescent="0.25">
      <c r="A119" s="261"/>
      <c r="B119" s="260"/>
      <c r="C119" s="259"/>
      <c r="D119" s="240">
        <f>B117-D121-D122-D123</f>
        <v>1.54</v>
      </c>
      <c r="E119" s="7" t="s">
        <v>78</v>
      </c>
      <c r="F119" s="113"/>
      <c r="G119" s="264"/>
      <c r="H119" s="267"/>
      <c r="I119" s="240"/>
      <c r="J119" s="113"/>
      <c r="K119" s="260"/>
      <c r="L119" s="259"/>
      <c r="M119" s="241">
        <f>D119</f>
        <v>1.54</v>
      </c>
      <c r="N119" s="7" t="s">
        <v>78</v>
      </c>
      <c r="O119" s="113"/>
      <c r="P119" s="260"/>
      <c r="Q119" s="259"/>
      <c r="R119" s="241"/>
      <c r="S119" s="24"/>
      <c r="T119" s="113"/>
      <c r="U119" s="260"/>
      <c r="V119" s="259"/>
      <c r="W119" s="241"/>
      <c r="X119" s="24"/>
      <c r="Y119" s="113"/>
      <c r="Z119" s="260"/>
      <c r="AA119" s="259"/>
      <c r="AB119" s="241"/>
      <c r="AC119" s="24"/>
      <c r="AD119" s="113"/>
      <c r="AE119" s="260"/>
      <c r="AF119" s="259"/>
      <c r="AG119" s="26"/>
      <c r="AH119" s="55"/>
      <c r="AI119" s="141"/>
    </row>
    <row r="120" spans="1:35" s="25" customFormat="1" x14ac:dyDescent="0.25">
      <c r="A120" s="261"/>
      <c r="B120" s="260"/>
      <c r="C120" s="259"/>
      <c r="D120" s="240"/>
      <c r="E120" s="240"/>
      <c r="F120" s="113"/>
      <c r="G120" s="264"/>
      <c r="H120" s="267"/>
      <c r="I120" s="240"/>
      <c r="J120" s="113"/>
      <c r="K120" s="260"/>
      <c r="L120" s="259"/>
      <c r="M120" s="241"/>
      <c r="N120" s="240"/>
      <c r="O120" s="113"/>
      <c r="P120" s="260"/>
      <c r="Q120" s="259"/>
      <c r="R120" s="241"/>
      <c r="S120" s="240"/>
      <c r="T120" s="113"/>
      <c r="U120" s="260"/>
      <c r="V120" s="259"/>
      <c r="W120" s="241"/>
      <c r="X120" s="240"/>
      <c r="Y120" s="113"/>
      <c r="Z120" s="260"/>
      <c r="AA120" s="259"/>
      <c r="AB120" s="241"/>
      <c r="AC120" s="240"/>
      <c r="AD120" s="113"/>
      <c r="AE120" s="260"/>
      <c r="AF120" s="259"/>
      <c r="AG120" s="26"/>
      <c r="AH120" s="55"/>
      <c r="AI120" s="141"/>
    </row>
    <row r="121" spans="1:35" s="25" customFormat="1" x14ac:dyDescent="0.25">
      <c r="A121" s="261"/>
      <c r="B121" s="260"/>
      <c r="C121" s="259"/>
      <c r="D121" s="241">
        <v>0.03</v>
      </c>
      <c r="E121" s="249" t="s">
        <v>401</v>
      </c>
      <c r="F121" s="113"/>
      <c r="G121" s="264"/>
      <c r="H121" s="267"/>
      <c r="I121" s="240"/>
      <c r="J121" s="113"/>
      <c r="K121" s="260"/>
      <c r="L121" s="259"/>
      <c r="M121" s="241">
        <v>0.03</v>
      </c>
      <c r="N121" s="249" t="s">
        <v>401</v>
      </c>
      <c r="O121" s="113"/>
      <c r="P121" s="260"/>
      <c r="Q121" s="259"/>
      <c r="R121" s="241">
        <v>0.55000000000000004</v>
      </c>
      <c r="S121" s="249" t="s">
        <v>41</v>
      </c>
      <c r="T121" s="113"/>
      <c r="U121" s="260"/>
      <c r="V121" s="259"/>
      <c r="W121" s="241"/>
      <c r="X121" s="246"/>
      <c r="Y121" s="113"/>
      <c r="Z121" s="260"/>
      <c r="AA121" s="259"/>
      <c r="AB121" s="241"/>
      <c r="AC121" s="240"/>
      <c r="AD121" s="113"/>
      <c r="AE121" s="260"/>
      <c r="AF121" s="259"/>
      <c r="AG121" s="26"/>
      <c r="AH121" s="55"/>
      <c r="AI121" s="141"/>
    </row>
    <row r="122" spans="1:35" s="25" customFormat="1" x14ac:dyDescent="0.25">
      <c r="A122" s="261"/>
      <c r="B122" s="260"/>
      <c r="C122" s="259"/>
      <c r="D122" s="241"/>
      <c r="E122" s="240"/>
      <c r="F122" s="113"/>
      <c r="G122" s="264"/>
      <c r="H122" s="267"/>
      <c r="I122" s="240"/>
      <c r="J122" s="113"/>
      <c r="K122" s="260"/>
      <c r="L122" s="259"/>
      <c r="M122" s="241"/>
      <c r="N122" s="240"/>
      <c r="O122" s="113"/>
      <c r="P122" s="260"/>
      <c r="Q122" s="259"/>
      <c r="R122" s="241">
        <f>R121</f>
        <v>0.55000000000000004</v>
      </c>
      <c r="S122" s="249" t="s">
        <v>221</v>
      </c>
      <c r="T122" s="113"/>
      <c r="U122" s="260"/>
      <c r="V122" s="259"/>
      <c r="W122" s="241">
        <f>U118-W120-W124-W125</f>
        <v>0.70000000000000007</v>
      </c>
      <c r="X122" s="249" t="s">
        <v>221</v>
      </c>
      <c r="Y122" s="113"/>
      <c r="Z122" s="260"/>
      <c r="AA122" s="259"/>
      <c r="AB122" s="241"/>
      <c r="AC122" s="240"/>
      <c r="AD122" s="113"/>
      <c r="AE122" s="260"/>
      <c r="AF122" s="259"/>
      <c r="AG122" s="26"/>
      <c r="AH122" s="55"/>
      <c r="AI122" s="141"/>
    </row>
    <row r="123" spans="1:35" s="25" customFormat="1" x14ac:dyDescent="0.25">
      <c r="A123" s="261"/>
      <c r="B123" s="260"/>
      <c r="C123" s="259"/>
      <c r="D123" s="241"/>
      <c r="E123" s="240"/>
      <c r="F123" s="113"/>
      <c r="G123" s="265"/>
      <c r="H123" s="268"/>
      <c r="I123" s="240"/>
      <c r="J123" s="113"/>
      <c r="K123" s="260"/>
      <c r="L123" s="259"/>
      <c r="M123" s="241"/>
      <c r="N123" s="240"/>
      <c r="O123" s="113"/>
      <c r="P123" s="260"/>
      <c r="Q123" s="259"/>
      <c r="R123" s="241">
        <f>R122</f>
        <v>0.55000000000000004</v>
      </c>
      <c r="S123" s="249" t="s">
        <v>42</v>
      </c>
      <c r="T123" s="113"/>
      <c r="U123" s="260"/>
      <c r="V123" s="259"/>
      <c r="W123" s="24"/>
      <c r="X123" s="24"/>
      <c r="Y123" s="113"/>
      <c r="Z123" s="260"/>
      <c r="AA123" s="259"/>
      <c r="AB123" s="241"/>
      <c r="AC123" s="240"/>
      <c r="AD123" s="113"/>
      <c r="AE123" s="260"/>
      <c r="AF123" s="259"/>
      <c r="AG123" s="26"/>
      <c r="AH123" s="55"/>
      <c r="AI123" s="141"/>
    </row>
    <row r="124" spans="1:35" s="25" customFormat="1" ht="15.75" customHeight="1" x14ac:dyDescent="0.25">
      <c r="A124" s="261"/>
      <c r="B124" s="260"/>
      <c r="C124" s="259"/>
      <c r="D124" s="24"/>
      <c r="E124" s="24"/>
      <c r="F124" s="113"/>
      <c r="G124" s="241">
        <v>1.27</v>
      </c>
      <c r="H124" s="240">
        <v>8.34</v>
      </c>
      <c r="I124" s="240"/>
      <c r="J124" s="113"/>
      <c r="K124" s="260"/>
      <c r="L124" s="259"/>
      <c r="M124" s="24"/>
      <c r="N124" s="24"/>
      <c r="O124" s="113"/>
      <c r="P124" s="260"/>
      <c r="Q124" s="259"/>
      <c r="R124" s="241">
        <v>0.18</v>
      </c>
      <c r="S124" s="15" t="s">
        <v>326</v>
      </c>
      <c r="T124" s="113"/>
      <c r="U124" s="260"/>
      <c r="V124" s="259"/>
      <c r="W124" s="241">
        <f>R124</f>
        <v>0.18</v>
      </c>
      <c r="X124" s="15" t="s">
        <v>326</v>
      </c>
      <c r="Y124" s="113"/>
      <c r="Z124" s="260"/>
      <c r="AA124" s="259"/>
      <c r="AB124" s="241"/>
      <c r="AC124" s="240"/>
      <c r="AD124" s="113"/>
      <c r="AE124" s="260"/>
      <c r="AF124" s="259"/>
      <c r="AG124" s="26"/>
      <c r="AH124" s="24"/>
      <c r="AI124" s="141"/>
    </row>
    <row r="125" spans="1:35" s="25" customFormat="1" x14ac:dyDescent="0.25">
      <c r="A125" s="261">
        <v>34</v>
      </c>
      <c r="B125" s="260">
        <v>0.6</v>
      </c>
      <c r="C125" s="259">
        <v>8.3699999999999992</v>
      </c>
      <c r="D125" s="240">
        <f>R125</f>
        <v>0.37</v>
      </c>
      <c r="E125" s="7" t="s">
        <v>107</v>
      </c>
      <c r="F125" s="113"/>
      <c r="G125" s="260">
        <v>0.56000000000000005</v>
      </c>
      <c r="H125" s="259">
        <v>8.4499999999999993</v>
      </c>
      <c r="I125" s="240"/>
      <c r="J125" s="113"/>
      <c r="K125" s="260">
        <v>0.21</v>
      </c>
      <c r="L125" s="259">
        <v>8.5</v>
      </c>
      <c r="M125" s="241">
        <f>K125/2</f>
        <v>0.105</v>
      </c>
      <c r="N125" s="7" t="s">
        <v>107</v>
      </c>
      <c r="O125" s="113"/>
      <c r="P125" s="260">
        <v>0.37</v>
      </c>
      <c r="Q125" s="259">
        <v>8.3800000000000008</v>
      </c>
      <c r="R125" s="241">
        <f>P125</f>
        <v>0.37</v>
      </c>
      <c r="S125" s="7" t="s">
        <v>107</v>
      </c>
      <c r="T125" s="113"/>
      <c r="U125" s="260"/>
      <c r="V125" s="259"/>
      <c r="W125" s="241">
        <f>R125</f>
        <v>0.37</v>
      </c>
      <c r="X125" s="7" t="s">
        <v>107</v>
      </c>
      <c r="Y125" s="113"/>
      <c r="Z125" s="260">
        <v>0.14000000000000001</v>
      </c>
      <c r="AA125" s="259">
        <v>8.4600000000000009</v>
      </c>
      <c r="AB125" s="241">
        <f>Z125</f>
        <v>0.14000000000000001</v>
      </c>
      <c r="AC125" s="7" t="s">
        <v>107</v>
      </c>
      <c r="AD125" s="113"/>
      <c r="AE125" s="241">
        <v>0.01</v>
      </c>
      <c r="AF125" s="240">
        <v>8.5399999999999991</v>
      </c>
      <c r="AG125" s="26">
        <f>AE125+AE126</f>
        <v>0.14000000000000001</v>
      </c>
      <c r="AH125" s="7" t="s">
        <v>107</v>
      </c>
      <c r="AI125" s="141"/>
    </row>
    <row r="126" spans="1:35" s="25" customFormat="1" x14ac:dyDescent="0.25">
      <c r="A126" s="261"/>
      <c r="B126" s="260"/>
      <c r="C126" s="259"/>
      <c r="D126" s="240"/>
      <c r="E126" s="240"/>
      <c r="F126" s="113"/>
      <c r="G126" s="260"/>
      <c r="H126" s="259"/>
      <c r="I126" s="240"/>
      <c r="J126" s="113"/>
      <c r="K126" s="260"/>
      <c r="L126" s="259"/>
      <c r="M126" s="241"/>
      <c r="N126" s="240"/>
      <c r="O126" s="113"/>
      <c r="P126" s="260"/>
      <c r="Q126" s="259"/>
      <c r="R126" s="241"/>
      <c r="S126" s="240"/>
      <c r="T126" s="113"/>
      <c r="U126" s="260"/>
      <c r="V126" s="259"/>
      <c r="W126" s="241"/>
      <c r="X126" s="240"/>
      <c r="Y126" s="113"/>
      <c r="Z126" s="260"/>
      <c r="AA126" s="259"/>
      <c r="AB126" s="241"/>
      <c r="AC126" s="240"/>
      <c r="AD126" s="113"/>
      <c r="AE126" s="260">
        <v>0.13</v>
      </c>
      <c r="AF126" s="259">
        <v>8.57</v>
      </c>
      <c r="AG126" s="26"/>
      <c r="AH126" s="240"/>
      <c r="AI126" s="141"/>
    </row>
    <row r="127" spans="1:35" s="25" customFormat="1" x14ac:dyDescent="0.25">
      <c r="A127" s="261"/>
      <c r="B127" s="260"/>
      <c r="C127" s="259"/>
      <c r="D127" s="241">
        <f>B125-D125</f>
        <v>0.22999999999999998</v>
      </c>
      <c r="E127" s="22" t="s">
        <v>473</v>
      </c>
      <c r="F127" s="113"/>
      <c r="G127" s="260"/>
      <c r="H127" s="259"/>
      <c r="I127" s="240"/>
      <c r="J127" s="113"/>
      <c r="K127" s="260"/>
      <c r="L127" s="259"/>
      <c r="M127" s="241">
        <f>M125</f>
        <v>0.105</v>
      </c>
      <c r="N127" s="22" t="s">
        <v>228</v>
      </c>
      <c r="O127" s="113"/>
      <c r="P127" s="260"/>
      <c r="Q127" s="259"/>
      <c r="R127" s="241"/>
      <c r="S127" s="240"/>
      <c r="T127" s="113"/>
      <c r="U127" s="260"/>
      <c r="V127" s="259"/>
      <c r="W127" s="241"/>
      <c r="X127" s="240"/>
      <c r="Y127" s="113"/>
      <c r="Z127" s="260"/>
      <c r="AA127" s="259"/>
      <c r="AB127" s="241"/>
      <c r="AC127" s="240"/>
      <c r="AD127" s="113"/>
      <c r="AE127" s="260"/>
      <c r="AF127" s="259"/>
      <c r="AG127" s="26"/>
      <c r="AH127" s="240"/>
      <c r="AI127" s="141"/>
    </row>
    <row r="128" spans="1:35" s="25" customFormat="1" x14ac:dyDescent="0.25">
      <c r="A128" s="261">
        <v>35</v>
      </c>
      <c r="B128" s="260">
        <v>0.9</v>
      </c>
      <c r="C128" s="259">
        <v>8.4700000000000006</v>
      </c>
      <c r="D128" s="240"/>
      <c r="E128" s="240"/>
      <c r="F128" s="113"/>
      <c r="G128" s="260">
        <v>0.87</v>
      </c>
      <c r="H128" s="259">
        <v>8.5500000000000007</v>
      </c>
      <c r="I128" s="240"/>
      <c r="J128" s="113"/>
      <c r="K128" s="241">
        <v>0.54</v>
      </c>
      <c r="L128" s="240">
        <v>8.6300000000000008</v>
      </c>
      <c r="M128" s="241"/>
      <c r="N128" s="240"/>
      <c r="O128" s="113"/>
      <c r="P128" s="260">
        <v>0.71</v>
      </c>
      <c r="Q128" s="259">
        <v>8.51</v>
      </c>
      <c r="R128" s="241"/>
      <c r="S128" s="240"/>
      <c r="T128" s="113"/>
      <c r="U128" s="260">
        <v>1.18</v>
      </c>
      <c r="V128" s="259">
        <v>8.5299999999999994</v>
      </c>
      <c r="W128" s="241"/>
      <c r="X128" s="240"/>
      <c r="Y128" s="113"/>
      <c r="Z128" s="260">
        <v>0.76</v>
      </c>
      <c r="AA128" s="259">
        <v>8.5500000000000007</v>
      </c>
      <c r="AB128" s="241"/>
      <c r="AC128" s="240"/>
      <c r="AD128" s="113"/>
      <c r="AE128" s="260">
        <v>0.61</v>
      </c>
      <c r="AF128" s="259">
        <v>8.67</v>
      </c>
      <c r="AG128" s="26"/>
      <c r="AH128" s="240"/>
      <c r="AI128" s="141"/>
    </row>
    <row r="129" spans="1:35" s="25" customFormat="1" x14ac:dyDescent="0.25">
      <c r="A129" s="261"/>
      <c r="B129" s="260"/>
      <c r="C129" s="259"/>
      <c r="D129" s="240"/>
      <c r="E129" s="240"/>
      <c r="F129" s="113"/>
      <c r="G129" s="260"/>
      <c r="H129" s="259"/>
      <c r="I129" s="240"/>
      <c r="J129" s="113"/>
      <c r="K129" s="260">
        <v>0.09</v>
      </c>
      <c r="L129" s="259">
        <v>8.67</v>
      </c>
      <c r="M129" s="24"/>
      <c r="N129" s="24"/>
      <c r="O129" s="113"/>
      <c r="P129" s="260"/>
      <c r="Q129" s="259"/>
      <c r="R129" s="24"/>
      <c r="S129" s="24"/>
      <c r="T129" s="113"/>
      <c r="U129" s="260"/>
      <c r="V129" s="259"/>
      <c r="W129" s="241">
        <v>0.3</v>
      </c>
      <c r="X129" s="81" t="s">
        <v>534</v>
      </c>
      <c r="Y129" s="113"/>
      <c r="Z129" s="260"/>
      <c r="AA129" s="259"/>
      <c r="AB129" s="241">
        <f>Z128</f>
        <v>0.76</v>
      </c>
      <c r="AC129" s="110" t="s">
        <v>43</v>
      </c>
      <c r="AD129" s="113"/>
      <c r="AE129" s="260"/>
      <c r="AF129" s="259"/>
      <c r="AG129" s="26"/>
      <c r="AH129" s="240"/>
      <c r="AI129" s="141"/>
    </row>
    <row r="130" spans="1:35" s="25" customFormat="1" x14ac:dyDescent="0.25">
      <c r="A130" s="261"/>
      <c r="B130" s="260"/>
      <c r="C130" s="259"/>
      <c r="D130" s="24"/>
      <c r="E130" s="24"/>
      <c r="F130" s="113"/>
      <c r="G130" s="260"/>
      <c r="H130" s="259"/>
      <c r="I130" s="240"/>
      <c r="J130" s="113"/>
      <c r="K130" s="260"/>
      <c r="L130" s="259"/>
      <c r="M130" s="24"/>
      <c r="N130" s="24"/>
      <c r="O130" s="113"/>
      <c r="P130" s="260"/>
      <c r="Q130" s="259"/>
      <c r="R130" s="241"/>
      <c r="S130" s="240"/>
      <c r="T130" s="113"/>
      <c r="U130" s="260"/>
      <c r="V130" s="259"/>
      <c r="W130" s="241"/>
      <c r="X130" s="240"/>
      <c r="Y130" s="113"/>
      <c r="Z130" s="260"/>
      <c r="AA130" s="259"/>
      <c r="AB130" s="241"/>
      <c r="AC130" s="240"/>
      <c r="AD130" s="113"/>
      <c r="AE130" s="260"/>
      <c r="AF130" s="259"/>
      <c r="AG130" s="26"/>
      <c r="AH130" s="240"/>
      <c r="AI130" s="141"/>
    </row>
    <row r="131" spans="1:35" s="25" customFormat="1" x14ac:dyDescent="0.25">
      <c r="A131" s="261">
        <v>36</v>
      </c>
      <c r="B131" s="260">
        <v>0.18</v>
      </c>
      <c r="C131" s="259">
        <v>8.57</v>
      </c>
      <c r="D131" s="241">
        <f>D134</f>
        <v>4.3333333333333335E-2</v>
      </c>
      <c r="E131" s="7" t="s">
        <v>149</v>
      </c>
      <c r="F131" s="113"/>
      <c r="G131" s="260">
        <v>0.31</v>
      </c>
      <c r="H131" s="259">
        <v>8.64</v>
      </c>
      <c r="I131" s="240"/>
      <c r="J131" s="113"/>
      <c r="K131" s="260">
        <v>0.55000000000000004</v>
      </c>
      <c r="L131" s="259">
        <v>8.7100000000000009</v>
      </c>
      <c r="M131" s="241">
        <f>K131-M134-M136-M133</f>
        <v>0.41333333333333339</v>
      </c>
      <c r="N131" s="7" t="s">
        <v>149</v>
      </c>
      <c r="O131" s="113"/>
      <c r="P131" s="260">
        <v>0.66</v>
      </c>
      <c r="Q131" s="259">
        <v>8.58</v>
      </c>
      <c r="R131" s="24"/>
      <c r="S131" s="24"/>
      <c r="T131" s="113"/>
      <c r="U131" s="260">
        <v>0.43</v>
      </c>
      <c r="V131" s="259">
        <v>8.6300000000000008</v>
      </c>
      <c r="W131" s="24"/>
      <c r="X131" s="24"/>
      <c r="Y131" s="113"/>
      <c r="Z131" s="260">
        <v>0.42</v>
      </c>
      <c r="AA131" s="259">
        <v>8.6999999999999993</v>
      </c>
      <c r="AB131" s="24"/>
      <c r="AC131" s="24"/>
      <c r="AD131" s="113"/>
      <c r="AE131" s="260">
        <v>0.18</v>
      </c>
      <c r="AF131" s="259">
        <v>8.7899999999999991</v>
      </c>
      <c r="AG131" s="26"/>
      <c r="AH131" s="24"/>
      <c r="AI131" s="141"/>
    </row>
    <row r="132" spans="1:35" s="25" customFormat="1" x14ac:dyDescent="0.25">
      <c r="A132" s="261"/>
      <c r="B132" s="260"/>
      <c r="C132" s="259"/>
      <c r="D132" s="241">
        <f>R132</f>
        <v>0.3</v>
      </c>
      <c r="E132" s="59" t="s">
        <v>109</v>
      </c>
      <c r="F132" s="113"/>
      <c r="G132" s="260"/>
      <c r="H132" s="259"/>
      <c r="I132" s="240"/>
      <c r="J132" s="113"/>
      <c r="K132" s="260"/>
      <c r="L132" s="259"/>
      <c r="M132" s="241">
        <f>D132</f>
        <v>0.3</v>
      </c>
      <c r="N132" s="59" t="s">
        <v>109</v>
      </c>
      <c r="O132" s="113"/>
      <c r="P132" s="260"/>
      <c r="Q132" s="259"/>
      <c r="R132" s="241">
        <f>AB132</f>
        <v>0.3</v>
      </c>
      <c r="S132" s="59" t="s">
        <v>109</v>
      </c>
      <c r="T132" s="113"/>
      <c r="U132" s="260"/>
      <c r="V132" s="259"/>
      <c r="W132" s="241">
        <f>AB132</f>
        <v>0.3</v>
      </c>
      <c r="X132" s="59" t="s">
        <v>109</v>
      </c>
      <c r="Y132" s="113"/>
      <c r="Z132" s="260"/>
      <c r="AA132" s="259"/>
      <c r="AB132" s="241">
        <v>0.3</v>
      </c>
      <c r="AC132" s="59" t="s">
        <v>109</v>
      </c>
      <c r="AD132" s="113"/>
      <c r="AE132" s="260"/>
      <c r="AF132" s="259"/>
      <c r="AG132" s="26">
        <f>AB132</f>
        <v>0.3</v>
      </c>
      <c r="AH132" s="59" t="s">
        <v>109</v>
      </c>
      <c r="AI132" s="141"/>
    </row>
    <row r="133" spans="1:35" s="25" customFormat="1" x14ac:dyDescent="0.25">
      <c r="A133" s="261"/>
      <c r="B133" s="260"/>
      <c r="C133" s="259"/>
      <c r="D133" s="240">
        <v>0.05</v>
      </c>
      <c r="E133" s="62" t="s">
        <v>415</v>
      </c>
      <c r="F133" s="113"/>
      <c r="G133" s="260"/>
      <c r="H133" s="259"/>
      <c r="I133" s="240"/>
      <c r="J133" s="113"/>
      <c r="K133" s="260"/>
      <c r="L133" s="259"/>
      <c r="M133" s="241">
        <f t="shared" ref="M133:M140" si="3">D133</f>
        <v>0.05</v>
      </c>
      <c r="N133" s="62" t="s">
        <v>415</v>
      </c>
      <c r="O133" s="113"/>
      <c r="P133" s="260"/>
      <c r="Q133" s="259"/>
      <c r="R133" s="241">
        <v>0.1</v>
      </c>
      <c r="S133" s="62" t="s">
        <v>314</v>
      </c>
      <c r="T133" s="113"/>
      <c r="U133" s="260"/>
      <c r="V133" s="259"/>
      <c r="W133" s="241">
        <f>R133</f>
        <v>0.1</v>
      </c>
      <c r="X133" s="62" t="s">
        <v>314</v>
      </c>
      <c r="Y133" s="113"/>
      <c r="Z133" s="260"/>
      <c r="AA133" s="259"/>
      <c r="AB133" s="241"/>
      <c r="AC133" s="240"/>
      <c r="AD133" s="113"/>
      <c r="AE133" s="260"/>
      <c r="AF133" s="259"/>
      <c r="AI133" s="141"/>
    </row>
    <row r="134" spans="1:35" s="25" customFormat="1" x14ac:dyDescent="0.25">
      <c r="A134" s="261"/>
      <c r="B134" s="260"/>
      <c r="C134" s="259"/>
      <c r="D134" s="241">
        <f>(B131-D133)/3</f>
        <v>4.3333333333333335E-2</v>
      </c>
      <c r="E134" s="62" t="s">
        <v>102</v>
      </c>
      <c r="F134" s="113"/>
      <c r="G134" s="260"/>
      <c r="H134" s="259"/>
      <c r="I134" s="240"/>
      <c r="J134" s="113"/>
      <c r="K134" s="260"/>
      <c r="L134" s="259"/>
      <c r="M134" s="241">
        <f t="shared" si="3"/>
        <v>4.3333333333333335E-2</v>
      </c>
      <c r="N134" s="62" t="s">
        <v>102</v>
      </c>
      <c r="O134" s="113"/>
      <c r="P134" s="260"/>
      <c r="Q134" s="259"/>
      <c r="R134" s="241">
        <f>D134</f>
        <v>4.3333333333333335E-2</v>
      </c>
      <c r="S134" s="62" t="s">
        <v>102</v>
      </c>
      <c r="T134" s="113"/>
      <c r="U134" s="260"/>
      <c r="V134" s="259"/>
      <c r="W134" s="241">
        <f>R134</f>
        <v>4.3333333333333335E-2</v>
      </c>
      <c r="X134" s="62" t="s">
        <v>102</v>
      </c>
      <c r="Y134" s="113"/>
      <c r="Z134" s="260"/>
      <c r="AA134" s="259"/>
      <c r="AB134" s="241">
        <v>0.04</v>
      </c>
      <c r="AC134" s="62" t="s">
        <v>102</v>
      </c>
      <c r="AD134" s="113"/>
      <c r="AE134" s="260"/>
      <c r="AF134" s="259"/>
      <c r="AG134" s="26">
        <f>AB134</f>
        <v>0.04</v>
      </c>
      <c r="AH134" s="62" t="s">
        <v>102</v>
      </c>
      <c r="AI134" s="141"/>
    </row>
    <row r="135" spans="1:35" s="25" customFormat="1" x14ac:dyDescent="0.25">
      <c r="A135" s="261">
        <v>37</v>
      </c>
      <c r="B135" s="260">
        <v>9.75</v>
      </c>
      <c r="C135" s="259">
        <v>8.7200000000000006</v>
      </c>
      <c r="D135" s="241">
        <f>R135</f>
        <v>0.3</v>
      </c>
      <c r="E135" s="7" t="s">
        <v>72</v>
      </c>
      <c r="F135" s="113"/>
      <c r="G135" s="260">
        <v>1.62</v>
      </c>
      <c r="H135" s="259">
        <v>8.75</v>
      </c>
      <c r="I135" s="240"/>
      <c r="J135" s="113"/>
      <c r="K135" s="241">
        <v>3.32</v>
      </c>
      <c r="L135" s="240">
        <v>8.84</v>
      </c>
      <c r="M135" s="241">
        <f t="shared" si="3"/>
        <v>0.3</v>
      </c>
      <c r="N135" s="7" t="s">
        <v>72</v>
      </c>
      <c r="O135" s="113"/>
      <c r="P135" s="241">
        <v>2.7</v>
      </c>
      <c r="Q135" s="240">
        <v>8.6999999999999993</v>
      </c>
      <c r="R135" s="241">
        <f>AB135</f>
        <v>0.3</v>
      </c>
      <c r="S135" s="7" t="s">
        <v>72</v>
      </c>
      <c r="T135" s="113"/>
      <c r="U135" s="260">
        <v>6.23</v>
      </c>
      <c r="V135" s="259">
        <v>8.7799999999999994</v>
      </c>
      <c r="W135" s="241">
        <f>AB135</f>
        <v>0.3</v>
      </c>
      <c r="X135" s="7" t="s">
        <v>72</v>
      </c>
      <c r="Y135" s="113"/>
      <c r="Z135" s="260">
        <v>8.0500000000000007</v>
      </c>
      <c r="AA135" s="259">
        <v>8.8000000000000007</v>
      </c>
      <c r="AB135" s="241">
        <f>0.3</f>
        <v>0.3</v>
      </c>
      <c r="AC135" s="7" t="s">
        <v>72</v>
      </c>
      <c r="AD135" s="113"/>
      <c r="AE135" s="260">
        <v>7.16</v>
      </c>
      <c r="AF135" s="259">
        <v>8.93</v>
      </c>
      <c r="AG135" s="26">
        <f>AB135</f>
        <v>0.3</v>
      </c>
      <c r="AH135" s="7" t="s">
        <v>72</v>
      </c>
      <c r="AI135" s="141"/>
    </row>
    <row r="136" spans="1:35" s="25" customFormat="1" x14ac:dyDescent="0.25">
      <c r="A136" s="261"/>
      <c r="B136" s="260"/>
      <c r="C136" s="259"/>
      <c r="D136" s="241">
        <f>D134</f>
        <v>4.3333333333333335E-2</v>
      </c>
      <c r="E136" s="58" t="s">
        <v>110</v>
      </c>
      <c r="F136" s="113"/>
      <c r="G136" s="260"/>
      <c r="H136" s="259"/>
      <c r="I136" s="240"/>
      <c r="J136" s="113"/>
      <c r="K136" s="260">
        <v>9.06</v>
      </c>
      <c r="L136" s="259">
        <v>8.8800000000000008</v>
      </c>
      <c r="M136" s="241">
        <f>D136</f>
        <v>4.3333333333333335E-2</v>
      </c>
      <c r="N136" s="58" t="s">
        <v>110</v>
      </c>
      <c r="O136" s="113"/>
      <c r="P136" s="260">
        <v>8.1199999999999992</v>
      </c>
      <c r="Q136" s="259">
        <v>8.76</v>
      </c>
      <c r="R136" s="241">
        <f>P131-R134-R133</f>
        <v>0.51666666666666672</v>
      </c>
      <c r="S136" s="58" t="s">
        <v>110</v>
      </c>
      <c r="T136" s="113"/>
      <c r="U136" s="260"/>
      <c r="V136" s="259"/>
      <c r="W136" s="241">
        <f>U131-W134-W133</f>
        <v>0.28666666666666663</v>
      </c>
      <c r="X136" s="58" t="s">
        <v>110</v>
      </c>
      <c r="Y136" s="113"/>
      <c r="Z136" s="260"/>
      <c r="AA136" s="259"/>
      <c r="AB136" s="241">
        <f>Z131-AB134</f>
        <v>0.38</v>
      </c>
      <c r="AC136" s="58" t="s">
        <v>110</v>
      </c>
      <c r="AD136" s="113"/>
      <c r="AE136" s="260"/>
      <c r="AF136" s="259"/>
      <c r="AG136" s="26">
        <v>0.38</v>
      </c>
      <c r="AH136" s="58" t="s">
        <v>110</v>
      </c>
      <c r="AI136" s="141"/>
    </row>
    <row r="137" spans="1:35" s="25" customFormat="1" x14ac:dyDescent="0.25">
      <c r="A137" s="261"/>
      <c r="B137" s="260"/>
      <c r="C137" s="259"/>
      <c r="D137" s="241">
        <v>0.1</v>
      </c>
      <c r="E137" s="59" t="s">
        <v>228</v>
      </c>
      <c r="F137" s="113"/>
      <c r="G137" s="260"/>
      <c r="H137" s="259"/>
      <c r="I137" s="240"/>
      <c r="J137" s="113"/>
      <c r="K137" s="260"/>
      <c r="L137" s="259"/>
      <c r="M137" s="241">
        <f t="shared" si="3"/>
        <v>0.1</v>
      </c>
      <c r="N137" s="59" t="s">
        <v>228</v>
      </c>
      <c r="O137" s="113"/>
      <c r="P137" s="260"/>
      <c r="Q137" s="259"/>
      <c r="R137" s="24"/>
      <c r="S137" s="24"/>
      <c r="T137" s="113"/>
      <c r="U137" s="260"/>
      <c r="V137" s="259"/>
      <c r="Y137" s="113"/>
      <c r="Z137" s="260"/>
      <c r="AA137" s="259"/>
      <c r="AD137" s="113"/>
      <c r="AE137" s="260"/>
      <c r="AF137" s="259"/>
      <c r="AG137" s="26"/>
      <c r="AH137" s="24"/>
      <c r="AI137" s="141"/>
    </row>
    <row r="138" spans="1:35" s="25" customFormat="1" x14ac:dyDescent="0.25">
      <c r="A138" s="261"/>
      <c r="B138" s="260"/>
      <c r="C138" s="259"/>
      <c r="D138" s="241">
        <v>0.1</v>
      </c>
      <c r="E138" s="59" t="s">
        <v>81</v>
      </c>
      <c r="F138" s="113"/>
      <c r="G138" s="260"/>
      <c r="H138" s="259"/>
      <c r="I138" s="240"/>
      <c r="J138" s="113"/>
      <c r="K138" s="260"/>
      <c r="L138" s="259"/>
      <c r="M138" s="241">
        <f t="shared" si="3"/>
        <v>0.1</v>
      </c>
      <c r="N138" s="59" t="s">
        <v>81</v>
      </c>
      <c r="O138" s="113"/>
      <c r="P138" s="260"/>
      <c r="Q138" s="259"/>
      <c r="R138" s="24"/>
      <c r="S138" s="24"/>
      <c r="T138" s="113"/>
      <c r="U138" s="260"/>
      <c r="V138" s="259"/>
      <c r="W138" s="24"/>
      <c r="X138" s="24"/>
      <c r="Y138" s="113"/>
      <c r="Z138" s="260"/>
      <c r="AA138" s="259"/>
      <c r="AB138" s="241"/>
      <c r="AC138" s="240"/>
      <c r="AD138" s="113"/>
      <c r="AE138" s="260"/>
      <c r="AF138" s="259"/>
      <c r="AG138" s="26"/>
      <c r="AH138" s="240"/>
      <c r="AI138" s="141"/>
    </row>
    <row r="139" spans="1:35" s="25" customFormat="1" x14ac:dyDescent="0.25">
      <c r="A139" s="261"/>
      <c r="B139" s="260"/>
      <c r="C139" s="259"/>
      <c r="D139" s="241">
        <v>0.01</v>
      </c>
      <c r="E139" s="249" t="s">
        <v>71</v>
      </c>
      <c r="F139" s="113"/>
      <c r="G139" s="260"/>
      <c r="H139" s="259"/>
      <c r="I139" s="240"/>
      <c r="J139" s="113"/>
      <c r="K139" s="260"/>
      <c r="L139" s="259"/>
      <c r="M139" s="241">
        <v>0.4</v>
      </c>
      <c r="N139" s="249" t="s">
        <v>71</v>
      </c>
      <c r="O139" s="113"/>
      <c r="P139" s="260"/>
      <c r="Q139" s="259"/>
      <c r="R139" s="241">
        <f>W139</f>
        <v>0.01</v>
      </c>
      <c r="S139" s="249" t="s">
        <v>71</v>
      </c>
      <c r="T139" s="113"/>
      <c r="U139" s="260"/>
      <c r="V139" s="259"/>
      <c r="W139" s="241">
        <v>0.01</v>
      </c>
      <c r="X139" s="249" t="s">
        <v>71</v>
      </c>
      <c r="Y139" s="113"/>
      <c r="Z139" s="260"/>
      <c r="AA139" s="259"/>
      <c r="AB139" s="241">
        <v>0.13</v>
      </c>
      <c r="AC139" s="249" t="s">
        <v>71</v>
      </c>
      <c r="AD139" s="113"/>
      <c r="AE139" s="260"/>
      <c r="AF139" s="259"/>
      <c r="AG139" s="26">
        <f>AB139</f>
        <v>0.13</v>
      </c>
      <c r="AH139" s="249" t="s">
        <v>71</v>
      </c>
      <c r="AI139" s="141"/>
    </row>
    <row r="140" spans="1:35" s="25" customFormat="1" x14ac:dyDescent="0.25">
      <c r="A140" s="261"/>
      <c r="B140" s="260"/>
      <c r="C140" s="259"/>
      <c r="D140" s="241">
        <v>0.01</v>
      </c>
      <c r="E140" s="249" t="s">
        <v>352</v>
      </c>
      <c r="F140" s="113"/>
      <c r="G140" s="260"/>
      <c r="H140" s="259"/>
      <c r="I140" s="240"/>
      <c r="J140" s="113"/>
      <c r="K140" s="260"/>
      <c r="L140" s="259"/>
      <c r="M140" s="241">
        <f t="shared" si="3"/>
        <v>0.01</v>
      </c>
      <c r="N140" s="249" t="s">
        <v>352</v>
      </c>
      <c r="O140" s="113"/>
      <c r="P140" s="260"/>
      <c r="Q140" s="259"/>
      <c r="R140" s="241">
        <f>W140</f>
        <v>0.01</v>
      </c>
      <c r="S140" s="249" t="s">
        <v>352</v>
      </c>
      <c r="T140" s="113"/>
      <c r="U140" s="260"/>
      <c r="V140" s="259"/>
      <c r="W140" s="241">
        <v>0.01</v>
      </c>
      <c r="X140" s="249" t="s">
        <v>352</v>
      </c>
      <c r="Y140" s="113"/>
      <c r="Z140" s="260"/>
      <c r="AA140" s="259"/>
      <c r="AB140" s="241"/>
      <c r="AC140" s="240"/>
      <c r="AD140" s="113"/>
      <c r="AE140" s="260"/>
      <c r="AF140" s="259"/>
      <c r="AG140" s="26"/>
      <c r="AH140" s="240"/>
      <c r="AI140" s="141"/>
    </row>
    <row r="141" spans="1:35" s="25" customFormat="1" x14ac:dyDescent="0.25">
      <c r="A141" s="261"/>
      <c r="B141" s="260"/>
      <c r="C141" s="259"/>
      <c r="D141" s="240"/>
      <c r="E141" s="18"/>
      <c r="F141" s="113"/>
      <c r="G141" s="260"/>
      <c r="H141" s="259"/>
      <c r="I141" s="240"/>
      <c r="J141" s="113"/>
      <c r="K141" s="260"/>
      <c r="L141" s="259"/>
      <c r="M141" s="241"/>
      <c r="N141" s="18"/>
      <c r="O141" s="113"/>
      <c r="P141" s="260"/>
      <c r="Q141" s="259"/>
      <c r="R141" s="241">
        <f>P135</f>
        <v>2.7</v>
      </c>
      <c r="S141" s="249" t="s">
        <v>512</v>
      </c>
      <c r="T141" s="113"/>
      <c r="U141" s="260"/>
      <c r="V141" s="259"/>
      <c r="W141" s="241">
        <v>0.01</v>
      </c>
      <c r="X141" s="249" t="s">
        <v>135</v>
      </c>
      <c r="Y141" s="113"/>
      <c r="Z141" s="260"/>
      <c r="AA141" s="259"/>
      <c r="AB141" s="241"/>
      <c r="AC141" s="240"/>
      <c r="AD141" s="113"/>
      <c r="AE141" s="260"/>
      <c r="AF141" s="259"/>
      <c r="AG141" s="26"/>
      <c r="AH141" s="240"/>
      <c r="AI141" s="139"/>
    </row>
    <row r="142" spans="1:35" s="25" customFormat="1" x14ac:dyDescent="0.25">
      <c r="A142" s="261"/>
      <c r="B142" s="260"/>
      <c r="C142" s="259"/>
      <c r="D142" s="24"/>
      <c r="E142" s="24"/>
      <c r="F142" s="113"/>
      <c r="G142" s="260"/>
      <c r="H142" s="259"/>
      <c r="I142" s="240"/>
      <c r="J142" s="113"/>
      <c r="K142" s="260"/>
      <c r="L142" s="259"/>
      <c r="M142" s="24"/>
      <c r="N142" s="24"/>
      <c r="O142" s="113"/>
      <c r="P142" s="260"/>
      <c r="Q142" s="259"/>
      <c r="R142" s="241"/>
      <c r="S142" s="240"/>
      <c r="T142" s="113"/>
      <c r="U142" s="260"/>
      <c r="V142" s="259"/>
      <c r="W142" s="245"/>
      <c r="X142" s="145"/>
      <c r="Y142" s="113"/>
      <c r="Z142" s="260"/>
      <c r="AA142" s="259"/>
      <c r="AB142" s="241">
        <v>0.04</v>
      </c>
      <c r="AC142" s="14" t="s">
        <v>113</v>
      </c>
      <c r="AD142" s="113"/>
      <c r="AE142" s="260"/>
      <c r="AF142" s="259"/>
      <c r="AG142" s="26">
        <f>AB142</f>
        <v>0.04</v>
      </c>
      <c r="AH142" s="14" t="s">
        <v>113</v>
      </c>
      <c r="AI142" s="139"/>
    </row>
    <row r="143" spans="1:35" s="25" customFormat="1" x14ac:dyDescent="0.25">
      <c r="A143" s="261"/>
      <c r="B143" s="260"/>
      <c r="C143" s="259"/>
      <c r="D143" s="241">
        <v>0.01</v>
      </c>
      <c r="E143" s="249" t="s">
        <v>79</v>
      </c>
      <c r="F143" s="113"/>
      <c r="G143" s="260"/>
      <c r="H143" s="259"/>
      <c r="I143" s="240"/>
      <c r="J143" s="113"/>
      <c r="K143" s="260"/>
      <c r="L143" s="259"/>
      <c r="M143" s="245">
        <v>0.01</v>
      </c>
      <c r="N143" s="249" t="s">
        <v>79</v>
      </c>
      <c r="O143" s="113"/>
      <c r="P143" s="260"/>
      <c r="Q143" s="259"/>
      <c r="R143" s="241"/>
      <c r="S143" s="24"/>
      <c r="T143" s="113"/>
      <c r="U143" s="260"/>
      <c r="V143" s="259"/>
      <c r="W143" s="241"/>
      <c r="X143" s="24"/>
      <c r="Y143" s="113"/>
      <c r="Z143" s="260"/>
      <c r="AA143" s="259"/>
      <c r="AB143" s="241"/>
      <c r="AC143" s="240"/>
      <c r="AD143" s="113"/>
      <c r="AE143" s="260"/>
      <c r="AF143" s="259"/>
      <c r="AG143" s="26"/>
      <c r="AH143" s="240"/>
      <c r="AI143" s="139"/>
    </row>
    <row r="144" spans="1:35" s="25" customFormat="1" x14ac:dyDescent="0.25">
      <c r="A144" s="261"/>
      <c r="B144" s="260"/>
      <c r="C144" s="259"/>
      <c r="D144" s="241">
        <v>0.01</v>
      </c>
      <c r="E144" s="249" t="s">
        <v>80</v>
      </c>
      <c r="F144" s="113"/>
      <c r="G144" s="260"/>
      <c r="H144" s="259"/>
      <c r="I144" s="240"/>
      <c r="J144" s="113"/>
      <c r="K144" s="260"/>
      <c r="L144" s="259"/>
      <c r="M144" s="241">
        <v>0.01</v>
      </c>
      <c r="N144" s="249" t="s">
        <v>80</v>
      </c>
      <c r="O144" s="113"/>
      <c r="P144" s="260"/>
      <c r="Q144" s="259"/>
      <c r="R144" s="241"/>
      <c r="S144" s="240"/>
      <c r="T144" s="113"/>
      <c r="U144" s="260"/>
      <c r="V144" s="259"/>
      <c r="W144" s="241"/>
      <c r="X144" s="240"/>
      <c r="Y144" s="113"/>
      <c r="Z144" s="260"/>
      <c r="AA144" s="259"/>
      <c r="AB144" s="241"/>
      <c r="AC144" s="240"/>
      <c r="AD144" s="113"/>
      <c r="AE144" s="260"/>
      <c r="AF144" s="259"/>
      <c r="AG144" s="26"/>
      <c r="AH144" s="240"/>
      <c r="AI144" s="139"/>
    </row>
    <row r="145" spans="1:35" s="25" customFormat="1" x14ac:dyDescent="0.25">
      <c r="A145" s="261"/>
      <c r="B145" s="260"/>
      <c r="C145" s="259"/>
      <c r="D145" s="24"/>
      <c r="E145" s="24"/>
      <c r="F145" s="113"/>
      <c r="G145" s="260"/>
      <c r="H145" s="259"/>
      <c r="I145" s="240"/>
      <c r="J145" s="113"/>
      <c r="K145" s="260"/>
      <c r="L145" s="259"/>
      <c r="M145" s="24"/>
      <c r="N145" s="24"/>
      <c r="O145" s="113"/>
      <c r="P145" s="260"/>
      <c r="Q145" s="259"/>
      <c r="R145" s="241"/>
      <c r="S145" s="24"/>
      <c r="T145" s="113"/>
      <c r="U145" s="260"/>
      <c r="V145" s="259"/>
      <c r="W145" s="241"/>
      <c r="X145" s="24"/>
      <c r="Y145" s="113"/>
      <c r="Z145" s="260"/>
      <c r="AA145" s="259"/>
      <c r="AB145" s="241"/>
      <c r="AC145" s="24"/>
      <c r="AD145" s="113"/>
      <c r="AE145" s="260"/>
      <c r="AF145" s="259"/>
      <c r="AG145" s="26"/>
      <c r="AH145" s="240"/>
      <c r="AI145" s="139"/>
    </row>
    <row r="146" spans="1:35" s="25" customFormat="1" x14ac:dyDescent="0.25">
      <c r="A146" s="261"/>
      <c r="B146" s="260"/>
      <c r="C146" s="259"/>
      <c r="D146" s="241">
        <v>0.53</v>
      </c>
      <c r="E146" s="6" t="s">
        <v>244</v>
      </c>
      <c r="F146" s="113"/>
      <c r="G146" s="260"/>
      <c r="H146" s="259"/>
      <c r="I146" s="116"/>
      <c r="J146" s="113"/>
      <c r="K146" s="260"/>
      <c r="L146" s="259"/>
      <c r="M146" s="241">
        <f>D146</f>
        <v>0.53</v>
      </c>
      <c r="N146" s="6" t="s">
        <v>244</v>
      </c>
      <c r="O146" s="113"/>
      <c r="P146" s="260"/>
      <c r="Q146" s="259"/>
      <c r="R146" s="241"/>
      <c r="S146" s="24"/>
      <c r="T146" s="113"/>
      <c r="U146" s="260"/>
      <c r="V146" s="259"/>
      <c r="W146" s="241"/>
      <c r="X146" s="24"/>
      <c r="Y146" s="113"/>
      <c r="Z146" s="260"/>
      <c r="AA146" s="259"/>
      <c r="AB146" s="241"/>
      <c r="AC146" s="24"/>
      <c r="AD146" s="113"/>
      <c r="AE146" s="260"/>
      <c r="AF146" s="259"/>
      <c r="AG146" s="26"/>
      <c r="AH146" s="240"/>
      <c r="AI146" s="139"/>
    </row>
    <row r="147" spans="1:35" s="25" customFormat="1" x14ac:dyDescent="0.25">
      <c r="A147" s="261"/>
      <c r="B147" s="260"/>
      <c r="C147" s="259"/>
      <c r="D147" s="241">
        <f>R147-D205</f>
        <v>0.33000000000000007</v>
      </c>
      <c r="E147" s="62" t="s">
        <v>123</v>
      </c>
      <c r="F147" s="113"/>
      <c r="G147" s="260"/>
      <c r="H147" s="259"/>
      <c r="I147" s="240"/>
      <c r="J147" s="113"/>
      <c r="K147" s="260"/>
      <c r="L147" s="259"/>
      <c r="M147" s="241">
        <f>D147+D205-M205</f>
        <v>0.57000000000000006</v>
      </c>
      <c r="N147" s="62" t="s">
        <v>123</v>
      </c>
      <c r="O147" s="113"/>
      <c r="P147" s="260"/>
      <c r="Q147" s="259"/>
      <c r="R147" s="241">
        <v>0.81</v>
      </c>
      <c r="S147" s="62" t="s">
        <v>513</v>
      </c>
      <c r="T147" s="113"/>
      <c r="U147" s="260"/>
      <c r="V147" s="259"/>
      <c r="W147" s="241">
        <v>0.01</v>
      </c>
      <c r="X147" s="62" t="s">
        <v>139</v>
      </c>
      <c r="Y147" s="113"/>
      <c r="Z147" s="260"/>
      <c r="AA147" s="259"/>
      <c r="AB147" s="241"/>
      <c r="AC147" s="24"/>
      <c r="AD147" s="113"/>
      <c r="AE147" s="260"/>
      <c r="AF147" s="259"/>
      <c r="AG147" s="26"/>
      <c r="AH147" s="240"/>
      <c r="AI147" s="139"/>
    </row>
    <row r="148" spans="1:35" s="25" customFormat="1" x14ac:dyDescent="0.25">
      <c r="A148" s="261"/>
      <c r="B148" s="260"/>
      <c r="C148" s="259"/>
      <c r="D148" s="240">
        <f>AB148</f>
        <v>7.280000000000002</v>
      </c>
      <c r="E148" s="6" t="s">
        <v>25</v>
      </c>
      <c r="F148" s="113"/>
      <c r="G148" s="260"/>
      <c r="H148" s="259"/>
      <c r="I148" s="116"/>
      <c r="J148" s="113"/>
      <c r="K148" s="260"/>
      <c r="L148" s="259"/>
      <c r="M148" s="241">
        <f>K136+K135-M139-M135-M140-M132-M137-M143-M144-M138-M146-M147</f>
        <v>10.050000000000001</v>
      </c>
      <c r="N148" s="6" t="s">
        <v>25</v>
      </c>
      <c r="O148" s="113"/>
      <c r="P148" s="260"/>
      <c r="Q148" s="259"/>
      <c r="R148" s="241">
        <f>P136+P149-R156-R154-R157-R151-R149-R147-R132-R140-R139-R141+P135</f>
        <v>7.8233333333333333</v>
      </c>
      <c r="S148" s="6" t="s">
        <v>25</v>
      </c>
      <c r="T148" s="113"/>
      <c r="U148" s="260"/>
      <c r="V148" s="259"/>
      <c r="W148" s="241">
        <f>U135-W147-W142-W132-W140-W135-W139-W141</f>
        <v>5.5900000000000016</v>
      </c>
      <c r="X148" s="6" t="s">
        <v>25</v>
      </c>
      <c r="Y148" s="113"/>
      <c r="Z148" s="260"/>
      <c r="AA148" s="259"/>
      <c r="AB148" s="241">
        <f>Z135-AB142-AB132-AB135-AB139</f>
        <v>7.280000000000002</v>
      </c>
      <c r="AC148" s="6" t="s">
        <v>25</v>
      </c>
      <c r="AD148" s="113"/>
      <c r="AE148" s="260"/>
      <c r="AF148" s="259"/>
      <c r="AG148" s="26">
        <f>AE135-AG142-AG139-AG132-AG135</f>
        <v>6.3900000000000006</v>
      </c>
      <c r="AH148" s="6" t="s">
        <v>25</v>
      </c>
      <c r="AI148" s="139"/>
    </row>
    <row r="149" spans="1:35" s="25" customFormat="1" x14ac:dyDescent="0.25">
      <c r="A149" s="261">
        <v>38</v>
      </c>
      <c r="B149" s="260">
        <v>1.41</v>
      </c>
      <c r="C149" s="259">
        <v>8.9</v>
      </c>
      <c r="D149" s="241">
        <f>M149</f>
        <v>0.08</v>
      </c>
      <c r="E149" s="7" t="s">
        <v>155</v>
      </c>
      <c r="F149" s="113"/>
      <c r="G149" s="263">
        <v>0.06</v>
      </c>
      <c r="H149" s="266">
        <v>8.93</v>
      </c>
      <c r="I149" s="240"/>
      <c r="J149" s="113"/>
      <c r="K149" s="260">
        <v>0.16</v>
      </c>
      <c r="L149" s="259">
        <v>9</v>
      </c>
      <c r="M149" s="241">
        <v>0.08</v>
      </c>
      <c r="N149" s="7" t="s">
        <v>155</v>
      </c>
      <c r="O149" s="113"/>
      <c r="P149" s="260">
        <v>1.59</v>
      </c>
      <c r="Q149" s="259">
        <v>8.9600000000000009</v>
      </c>
      <c r="R149" s="241">
        <f>AB149</f>
        <v>7.0000000000000007E-2</v>
      </c>
      <c r="S149" s="7" t="s">
        <v>72</v>
      </c>
      <c r="T149" s="113"/>
      <c r="U149" s="260">
        <v>0.5</v>
      </c>
      <c r="V149" s="259">
        <v>8.9600000000000009</v>
      </c>
      <c r="W149" s="241">
        <f>AB149</f>
        <v>7.0000000000000007E-2</v>
      </c>
      <c r="X149" s="7" t="s">
        <v>72</v>
      </c>
      <c r="Y149" s="113"/>
      <c r="Z149" s="260">
        <v>0.38</v>
      </c>
      <c r="AA149" s="259">
        <v>8.9700000000000006</v>
      </c>
      <c r="AB149" s="241">
        <f>Z149-AB101</f>
        <v>7.0000000000000007E-2</v>
      </c>
      <c r="AC149" s="7" t="s">
        <v>72</v>
      </c>
      <c r="AD149" s="113"/>
      <c r="AE149" s="260">
        <v>0.4</v>
      </c>
      <c r="AF149" s="259">
        <v>9.1</v>
      </c>
      <c r="AG149" s="26">
        <v>0.2</v>
      </c>
      <c r="AH149" s="7" t="s">
        <v>72</v>
      </c>
      <c r="AI149" s="139"/>
    </row>
    <row r="150" spans="1:35" s="25" customFormat="1" x14ac:dyDescent="0.25">
      <c r="A150" s="261"/>
      <c r="B150" s="260"/>
      <c r="C150" s="259"/>
      <c r="D150" s="240">
        <f>B149-D151-D149</f>
        <v>0.92</v>
      </c>
      <c r="E150" s="249" t="s">
        <v>271</v>
      </c>
      <c r="F150" s="113"/>
      <c r="G150" s="264"/>
      <c r="H150" s="267"/>
      <c r="I150" s="240"/>
      <c r="J150" s="113"/>
      <c r="K150" s="260"/>
      <c r="L150" s="259"/>
      <c r="M150" s="241">
        <f>D150</f>
        <v>0.92</v>
      </c>
      <c r="N150" s="249" t="s">
        <v>271</v>
      </c>
      <c r="O150" s="113"/>
      <c r="P150" s="260"/>
      <c r="Q150" s="259"/>
      <c r="R150" s="24"/>
      <c r="S150" s="24"/>
      <c r="T150" s="113"/>
      <c r="U150" s="260"/>
      <c r="V150" s="259"/>
      <c r="W150" s="24"/>
      <c r="X150" s="24"/>
      <c r="Y150" s="113"/>
      <c r="Z150" s="260"/>
      <c r="AA150" s="259"/>
      <c r="AB150" s="24"/>
      <c r="AC150" s="24"/>
      <c r="AD150" s="113"/>
      <c r="AE150" s="260"/>
      <c r="AF150" s="259"/>
      <c r="AG150" s="26"/>
      <c r="AH150" s="24"/>
      <c r="AI150" s="139"/>
    </row>
    <row r="151" spans="1:35" s="25" customFormat="1" x14ac:dyDescent="0.25">
      <c r="A151" s="261"/>
      <c r="B151" s="260"/>
      <c r="C151" s="259"/>
      <c r="D151" s="241">
        <f>M151</f>
        <v>0.41</v>
      </c>
      <c r="E151" s="15" t="s">
        <v>255</v>
      </c>
      <c r="F151" s="113"/>
      <c r="G151" s="265"/>
      <c r="H151" s="268"/>
      <c r="I151" s="240"/>
      <c r="J151" s="113"/>
      <c r="K151" s="260"/>
      <c r="L151" s="259"/>
      <c r="M151" s="241">
        <v>0.41</v>
      </c>
      <c r="N151" s="15" t="s">
        <v>255</v>
      </c>
      <c r="O151" s="113"/>
      <c r="P151" s="260"/>
      <c r="Q151" s="259"/>
      <c r="R151" s="241">
        <f>W151</f>
        <v>0.12</v>
      </c>
      <c r="S151" s="249" t="s">
        <v>342</v>
      </c>
      <c r="T151" s="113"/>
      <c r="U151" s="260"/>
      <c r="V151" s="259"/>
      <c r="W151" s="241">
        <f>U149-W149-W175</f>
        <v>0.12</v>
      </c>
      <c r="X151" s="249" t="s">
        <v>342</v>
      </c>
      <c r="Y151" s="113"/>
      <c r="Z151" s="260"/>
      <c r="AA151" s="259"/>
      <c r="AB151" s="24"/>
      <c r="AC151" s="24"/>
      <c r="AD151" s="113"/>
      <c r="AE151" s="260"/>
      <c r="AF151" s="259"/>
      <c r="AG151" s="26"/>
      <c r="AH151" s="24"/>
      <c r="AI151" s="139"/>
    </row>
    <row r="152" spans="1:35" s="25" customFormat="1" x14ac:dyDescent="0.25">
      <c r="A152" s="261"/>
      <c r="B152" s="260"/>
      <c r="C152" s="259"/>
      <c r="D152" s="24"/>
      <c r="E152" s="24"/>
      <c r="F152" s="113"/>
      <c r="G152" s="241">
        <v>1.18</v>
      </c>
      <c r="H152" s="240">
        <v>9.01</v>
      </c>
      <c r="I152" s="240"/>
      <c r="J152" s="113"/>
      <c r="K152" s="260">
        <v>2.34</v>
      </c>
      <c r="L152" s="259">
        <v>9.07</v>
      </c>
      <c r="M152" s="24"/>
      <c r="N152" s="24"/>
      <c r="O152" s="113"/>
      <c r="P152" s="260"/>
      <c r="Q152" s="259"/>
      <c r="R152" s="241"/>
      <c r="S152" s="240"/>
      <c r="T152" s="113"/>
      <c r="U152" s="260"/>
      <c r="V152" s="259"/>
      <c r="W152" s="24"/>
      <c r="X152" s="24"/>
      <c r="Y152" s="113"/>
      <c r="Z152" s="260"/>
      <c r="AA152" s="259"/>
      <c r="AB152" s="24"/>
      <c r="AC152" s="24"/>
      <c r="AD152" s="113"/>
      <c r="AE152" s="260"/>
      <c r="AF152" s="259"/>
      <c r="AG152" s="26"/>
      <c r="AH152" s="240"/>
      <c r="AI152" s="139"/>
    </row>
    <row r="153" spans="1:35" s="25" customFormat="1" x14ac:dyDescent="0.25">
      <c r="A153" s="261">
        <v>39</v>
      </c>
      <c r="B153" s="260">
        <v>0.98</v>
      </c>
      <c r="C153" s="259">
        <v>9</v>
      </c>
      <c r="D153" s="240">
        <v>0.21</v>
      </c>
      <c r="E153" s="7" t="s">
        <v>173</v>
      </c>
      <c r="F153" s="113"/>
      <c r="G153" s="260">
        <v>0.5</v>
      </c>
      <c r="H153" s="259">
        <v>9.08</v>
      </c>
      <c r="I153" s="240"/>
      <c r="J153" s="113"/>
      <c r="K153" s="260"/>
      <c r="L153" s="259"/>
      <c r="M153" s="241">
        <f>M155</f>
        <v>0.42666666666666664</v>
      </c>
      <c r="N153" s="7" t="s">
        <v>173</v>
      </c>
      <c r="O153" s="113"/>
      <c r="P153" s="260"/>
      <c r="Q153" s="259"/>
      <c r="R153" s="241"/>
      <c r="S153" s="240"/>
      <c r="T153" s="113"/>
      <c r="U153" s="260"/>
      <c r="V153" s="259"/>
      <c r="W153" s="241"/>
      <c r="X153" s="240"/>
      <c r="Y153" s="113"/>
      <c r="Z153" s="260"/>
      <c r="AA153" s="259"/>
      <c r="AB153" s="241"/>
      <c r="AC153" s="240"/>
      <c r="AD153" s="113"/>
      <c r="AE153" s="260"/>
      <c r="AF153" s="259"/>
      <c r="AG153" s="26"/>
      <c r="AH153" s="240"/>
      <c r="AI153" s="139"/>
    </row>
    <row r="154" spans="1:35" s="25" customFormat="1" x14ac:dyDescent="0.25">
      <c r="A154" s="261"/>
      <c r="B154" s="260"/>
      <c r="C154" s="259"/>
      <c r="D154" s="241">
        <f>R154</f>
        <v>0.19</v>
      </c>
      <c r="E154" s="59" t="s">
        <v>110</v>
      </c>
      <c r="F154" s="113"/>
      <c r="G154" s="260"/>
      <c r="H154" s="259"/>
      <c r="I154" s="240"/>
      <c r="J154" s="113"/>
      <c r="K154" s="260"/>
      <c r="L154" s="259"/>
      <c r="M154" s="241">
        <f>R154</f>
        <v>0.19</v>
      </c>
      <c r="N154" s="59" t="s">
        <v>110</v>
      </c>
      <c r="O154" s="113"/>
      <c r="P154" s="260"/>
      <c r="Q154" s="259"/>
      <c r="R154" s="241">
        <f>AB154</f>
        <v>0.19</v>
      </c>
      <c r="S154" s="59" t="s">
        <v>110</v>
      </c>
      <c r="T154" s="113"/>
      <c r="U154" s="260">
        <v>0.62</v>
      </c>
      <c r="V154" s="259">
        <v>9.0399999999999991</v>
      </c>
      <c r="W154" s="241">
        <v>0.21</v>
      </c>
      <c r="X154" s="59" t="s">
        <v>110</v>
      </c>
      <c r="Y154" s="113"/>
      <c r="Z154" s="260">
        <v>0.56000000000000005</v>
      </c>
      <c r="AA154" s="259">
        <v>9.2100000000000009</v>
      </c>
      <c r="AB154" s="241">
        <f>0.19</f>
        <v>0.19</v>
      </c>
      <c r="AC154" s="59" t="s">
        <v>110</v>
      </c>
      <c r="AD154" s="113"/>
      <c r="AE154" s="260"/>
      <c r="AF154" s="259"/>
      <c r="AG154" s="26">
        <f>(AE149-AG149)/3</f>
        <v>6.6666666666666666E-2</v>
      </c>
      <c r="AH154" s="59" t="s">
        <v>110</v>
      </c>
      <c r="AI154" s="139"/>
    </row>
    <row r="155" spans="1:35" s="25" customFormat="1" x14ac:dyDescent="0.25">
      <c r="A155" s="261"/>
      <c r="B155" s="260"/>
      <c r="C155" s="259"/>
      <c r="D155" s="240">
        <f>(B153-D157-D156-D154)/2</f>
        <v>0.20666666666666664</v>
      </c>
      <c r="E155" s="249" t="s">
        <v>271</v>
      </c>
      <c r="F155" s="113"/>
      <c r="G155" s="260"/>
      <c r="H155" s="259"/>
      <c r="I155" s="240"/>
      <c r="J155" s="113"/>
      <c r="K155" s="260"/>
      <c r="L155" s="259"/>
      <c r="M155" s="241">
        <f>(K152-M150-M157-M154-M156)/2</f>
        <v>0.42666666666666664</v>
      </c>
      <c r="N155" s="249" t="s">
        <v>271</v>
      </c>
      <c r="O155" s="113"/>
      <c r="P155" s="260"/>
      <c r="Q155" s="259"/>
      <c r="R155" s="24"/>
      <c r="S155" s="24"/>
      <c r="T155" s="113"/>
      <c r="U155" s="260"/>
      <c r="V155" s="259"/>
      <c r="W155" s="24"/>
      <c r="X155" s="24"/>
      <c r="Y155" s="113"/>
      <c r="Z155" s="260"/>
      <c r="AA155" s="259"/>
      <c r="AB155" s="24"/>
      <c r="AC155" s="24"/>
      <c r="AD155" s="113"/>
      <c r="AE155" s="260"/>
      <c r="AF155" s="259"/>
      <c r="AG155" s="26"/>
      <c r="AH155" s="24"/>
      <c r="AI155" s="139"/>
    </row>
    <row r="156" spans="1:35" s="25" customFormat="1" x14ac:dyDescent="0.25">
      <c r="A156" s="261"/>
      <c r="B156" s="260"/>
      <c r="C156" s="259"/>
      <c r="D156" s="241">
        <f>R156</f>
        <v>0.19</v>
      </c>
      <c r="E156" s="249" t="s">
        <v>111</v>
      </c>
      <c r="F156" s="113"/>
      <c r="G156" s="260"/>
      <c r="H156" s="259"/>
      <c r="I156" s="240"/>
      <c r="J156" s="113"/>
      <c r="K156" s="260"/>
      <c r="L156" s="259"/>
      <c r="M156" s="241">
        <f>R156</f>
        <v>0.19</v>
      </c>
      <c r="N156" s="249" t="s">
        <v>111</v>
      </c>
      <c r="O156" s="113"/>
      <c r="P156" s="260"/>
      <c r="Q156" s="259"/>
      <c r="R156" s="241">
        <f>AB156</f>
        <v>0.19</v>
      </c>
      <c r="S156" s="249" t="s">
        <v>111</v>
      </c>
      <c r="T156" s="113"/>
      <c r="U156" s="260"/>
      <c r="V156" s="259"/>
      <c r="W156" s="241">
        <v>0.21</v>
      </c>
      <c r="X156" s="249" t="s">
        <v>111</v>
      </c>
      <c r="Y156" s="113"/>
      <c r="Z156" s="260"/>
      <c r="AA156" s="259"/>
      <c r="AB156" s="241">
        <f>0.19</f>
        <v>0.19</v>
      </c>
      <c r="AC156" s="249" t="s">
        <v>111</v>
      </c>
      <c r="AD156" s="113"/>
      <c r="AE156" s="260"/>
      <c r="AF156" s="259"/>
      <c r="AG156" s="26">
        <f>AG154</f>
        <v>6.6666666666666666E-2</v>
      </c>
      <c r="AH156" s="249" t="s">
        <v>111</v>
      </c>
      <c r="AI156" s="139"/>
    </row>
    <row r="157" spans="1:35" s="25" customFormat="1" x14ac:dyDescent="0.25">
      <c r="A157" s="261"/>
      <c r="B157" s="260"/>
      <c r="C157" s="259"/>
      <c r="D157" s="241">
        <f>R157</f>
        <v>0.18666666666666668</v>
      </c>
      <c r="E157" s="68" t="s">
        <v>119</v>
      </c>
      <c r="F157" s="113"/>
      <c r="G157" s="260"/>
      <c r="H157" s="259"/>
      <c r="I157" s="240"/>
      <c r="J157" s="113"/>
      <c r="K157" s="260"/>
      <c r="L157" s="259"/>
      <c r="M157" s="241">
        <f>R157</f>
        <v>0.18666666666666668</v>
      </c>
      <c r="N157" s="68" t="s">
        <v>119</v>
      </c>
      <c r="O157" s="113"/>
      <c r="P157" s="260"/>
      <c r="Q157" s="259"/>
      <c r="R157" s="241">
        <f>AB157</f>
        <v>0.18666666666666668</v>
      </c>
      <c r="S157" s="68" t="s">
        <v>119</v>
      </c>
      <c r="T157" s="113"/>
      <c r="U157" s="260"/>
      <c r="V157" s="259"/>
      <c r="W157" s="241">
        <f>U154/3</f>
        <v>0.20666666666666667</v>
      </c>
      <c r="X157" s="68" t="s">
        <v>119</v>
      </c>
      <c r="Y157" s="113"/>
      <c r="Z157" s="260"/>
      <c r="AA157" s="259"/>
      <c r="AB157" s="241">
        <f>Z154/3</f>
        <v>0.18666666666666668</v>
      </c>
      <c r="AC157" s="68" t="s">
        <v>119</v>
      </c>
      <c r="AD157" s="113"/>
      <c r="AE157" s="260"/>
      <c r="AF157" s="259"/>
      <c r="AG157" s="26">
        <v>0.19</v>
      </c>
      <c r="AH157" s="68" t="s">
        <v>119</v>
      </c>
      <c r="AI157" s="139"/>
    </row>
    <row r="158" spans="1:35" s="25" customFormat="1" x14ac:dyDescent="0.25">
      <c r="A158" s="261">
        <v>40</v>
      </c>
      <c r="B158" s="260">
        <v>0.57999999999999996</v>
      </c>
      <c r="C158" s="259">
        <v>9.07</v>
      </c>
      <c r="D158" s="240">
        <f>B158-D160</f>
        <v>1.9999999999999907E-2</v>
      </c>
      <c r="E158" s="7" t="s">
        <v>155</v>
      </c>
      <c r="F158" s="113"/>
      <c r="G158" s="260">
        <v>0.73</v>
      </c>
      <c r="H158" s="259">
        <v>9.17</v>
      </c>
      <c r="I158" s="240"/>
      <c r="J158" s="113"/>
      <c r="K158" s="260">
        <v>0.66</v>
      </c>
      <c r="L158" s="259">
        <v>9.2200000000000006</v>
      </c>
      <c r="M158" s="241">
        <f>K158-M160</f>
        <v>0.36000000000000004</v>
      </c>
      <c r="N158" s="7" t="s">
        <v>155</v>
      </c>
      <c r="O158" s="113"/>
      <c r="P158" s="260">
        <v>0.56000000000000005</v>
      </c>
      <c r="Q158" s="259">
        <v>9.1</v>
      </c>
      <c r="R158" s="24"/>
      <c r="S158" s="24"/>
      <c r="T158" s="113"/>
      <c r="U158" s="260">
        <v>0.32</v>
      </c>
      <c r="V158" s="259">
        <v>9.11</v>
      </c>
      <c r="W158" s="24"/>
      <c r="X158" s="24"/>
      <c r="Y158" s="113"/>
      <c r="Z158" s="260"/>
      <c r="AA158" s="259"/>
      <c r="AB158" s="24"/>
      <c r="AC158" s="24"/>
      <c r="AD158" s="113"/>
      <c r="AE158" s="260">
        <v>0.27</v>
      </c>
      <c r="AF158" s="259">
        <v>9.19</v>
      </c>
      <c r="AG158" s="26"/>
      <c r="AH158" s="240"/>
      <c r="AI158" s="139"/>
    </row>
    <row r="159" spans="1:35" s="25" customFormat="1" x14ac:dyDescent="0.25">
      <c r="A159" s="261"/>
      <c r="B159" s="260"/>
      <c r="C159" s="259"/>
      <c r="F159" s="113"/>
      <c r="G159" s="260"/>
      <c r="H159" s="259"/>
      <c r="I159" s="240"/>
      <c r="J159" s="113"/>
      <c r="K159" s="260"/>
      <c r="L159" s="259"/>
      <c r="M159" s="26"/>
      <c r="N159" s="45"/>
      <c r="O159" s="113"/>
      <c r="P159" s="260"/>
      <c r="Q159" s="259"/>
      <c r="R159" s="241"/>
      <c r="S159" s="45"/>
      <c r="T159" s="113"/>
      <c r="U159" s="260"/>
      <c r="V159" s="259"/>
      <c r="W159" s="241"/>
      <c r="X159" s="45"/>
      <c r="Y159" s="113"/>
      <c r="Z159" s="260"/>
      <c r="AA159" s="259"/>
      <c r="AB159" s="241"/>
      <c r="AC159" s="240"/>
      <c r="AD159" s="113"/>
      <c r="AE159" s="260"/>
      <c r="AF159" s="259"/>
      <c r="AG159" s="26"/>
      <c r="AH159" s="240"/>
      <c r="AI159" s="139"/>
    </row>
    <row r="160" spans="1:35" s="25" customFormat="1" x14ac:dyDescent="0.25">
      <c r="A160" s="261"/>
      <c r="B160" s="260"/>
      <c r="C160" s="259"/>
      <c r="D160" s="241">
        <f>R160</f>
        <v>0.56000000000000005</v>
      </c>
      <c r="E160" s="77" t="s">
        <v>412</v>
      </c>
      <c r="F160" s="113"/>
      <c r="G160" s="260"/>
      <c r="H160" s="259"/>
      <c r="I160" s="240"/>
      <c r="J160" s="113"/>
      <c r="K160" s="260"/>
      <c r="L160" s="259"/>
      <c r="M160" s="241">
        <v>0.3</v>
      </c>
      <c r="N160" s="77" t="s">
        <v>412</v>
      </c>
      <c r="O160" s="113"/>
      <c r="P160" s="260"/>
      <c r="Q160" s="259"/>
      <c r="R160" s="241">
        <f>P158</f>
        <v>0.56000000000000005</v>
      </c>
      <c r="S160" s="77" t="s">
        <v>207</v>
      </c>
      <c r="T160" s="113"/>
      <c r="U160" s="260">
        <v>0.92</v>
      </c>
      <c r="V160" s="259">
        <v>9.27</v>
      </c>
      <c r="W160" s="241"/>
      <c r="X160" s="24"/>
      <c r="Y160" s="113"/>
      <c r="Z160" s="260"/>
      <c r="AA160" s="259"/>
      <c r="AB160" s="241"/>
      <c r="AC160" s="240"/>
      <c r="AD160" s="113"/>
      <c r="AE160" s="260"/>
      <c r="AF160" s="259"/>
      <c r="AG160" s="26"/>
      <c r="AH160" s="240"/>
      <c r="AI160" s="139"/>
    </row>
    <row r="161" spans="1:35" s="25" customFormat="1" x14ac:dyDescent="0.25">
      <c r="A161" s="261">
        <v>41</v>
      </c>
      <c r="B161" s="260">
        <v>0.42</v>
      </c>
      <c r="C161" s="259">
        <v>9.2200000000000006</v>
      </c>
      <c r="D161" s="241">
        <v>0.05</v>
      </c>
      <c r="E161" s="7" t="s">
        <v>154</v>
      </c>
      <c r="F161" s="113"/>
      <c r="G161" s="263">
        <v>0.14000000000000001</v>
      </c>
      <c r="H161" s="266">
        <v>9.2899999999999991</v>
      </c>
      <c r="I161" s="240"/>
      <c r="J161" s="113"/>
      <c r="K161" s="260">
        <v>0.25</v>
      </c>
      <c r="L161" s="259">
        <v>9.3699999999999992</v>
      </c>
      <c r="M161" s="241">
        <f>D161</f>
        <v>0.05</v>
      </c>
      <c r="N161" s="7" t="s">
        <v>154</v>
      </c>
      <c r="O161" s="113"/>
      <c r="P161" s="260">
        <v>0.77</v>
      </c>
      <c r="Q161" s="259">
        <v>9.26</v>
      </c>
      <c r="R161" s="241"/>
      <c r="S161" s="19"/>
      <c r="T161" s="113"/>
      <c r="U161" s="260"/>
      <c r="V161" s="259"/>
      <c r="W161" s="241">
        <f>M219</f>
        <v>1.0899999999999999</v>
      </c>
      <c r="X161" s="75" t="s">
        <v>317</v>
      </c>
      <c r="Y161" s="113"/>
      <c r="Z161" s="260">
        <v>0.73</v>
      </c>
      <c r="AA161" s="259">
        <v>9.31</v>
      </c>
      <c r="AB161" s="241"/>
      <c r="AC161" s="8"/>
      <c r="AD161" s="113"/>
      <c r="AE161" s="260">
        <v>0.21</v>
      </c>
      <c r="AF161" s="259">
        <v>9.35</v>
      </c>
      <c r="AG161" s="26"/>
      <c r="AH161" s="240"/>
      <c r="AI161" s="139"/>
    </row>
    <row r="162" spans="1:35" s="25" customFormat="1" x14ac:dyDescent="0.25">
      <c r="A162" s="261"/>
      <c r="B162" s="260"/>
      <c r="C162" s="259"/>
      <c r="D162" s="240">
        <f>R162</f>
        <v>0.19</v>
      </c>
      <c r="E162" s="22" t="s">
        <v>110</v>
      </c>
      <c r="F162" s="113"/>
      <c r="G162" s="265"/>
      <c r="H162" s="268"/>
      <c r="I162" s="240"/>
      <c r="J162" s="113"/>
      <c r="K162" s="260"/>
      <c r="L162" s="259"/>
      <c r="M162" s="241">
        <f>K161-M163-M161</f>
        <v>0.15000000000000002</v>
      </c>
      <c r="N162" s="22" t="s">
        <v>110</v>
      </c>
      <c r="O162" s="113"/>
      <c r="P162" s="260"/>
      <c r="Q162" s="259"/>
      <c r="R162" s="241">
        <f>W162</f>
        <v>0.19</v>
      </c>
      <c r="S162" s="22" t="s">
        <v>110</v>
      </c>
      <c r="T162" s="113"/>
      <c r="U162" s="260"/>
      <c r="V162" s="259"/>
      <c r="W162" s="241">
        <v>0.19</v>
      </c>
      <c r="X162" s="22" t="s">
        <v>110</v>
      </c>
      <c r="Y162" s="113"/>
      <c r="Z162" s="260"/>
      <c r="AA162" s="259"/>
      <c r="AB162" s="241">
        <v>0.19</v>
      </c>
      <c r="AC162" s="22" t="s">
        <v>110</v>
      </c>
      <c r="AD162" s="113"/>
      <c r="AE162" s="260"/>
      <c r="AF162" s="259"/>
      <c r="AG162" s="26">
        <f>AE161</f>
        <v>0.21</v>
      </c>
      <c r="AH162" s="22" t="s">
        <v>110</v>
      </c>
      <c r="AI162" s="139"/>
    </row>
    <row r="163" spans="1:35" s="25" customFormat="1" x14ac:dyDescent="0.25">
      <c r="A163" s="261"/>
      <c r="B163" s="260"/>
      <c r="C163" s="259"/>
      <c r="D163" s="241">
        <v>0.05</v>
      </c>
      <c r="E163" s="62" t="s">
        <v>153</v>
      </c>
      <c r="F163" s="113"/>
      <c r="G163" s="241">
        <v>0.41</v>
      </c>
      <c r="H163" s="240">
        <v>9.31</v>
      </c>
      <c r="I163" s="240"/>
      <c r="J163" s="113"/>
      <c r="K163" s="260"/>
      <c r="L163" s="259"/>
      <c r="M163" s="241">
        <f>D163</f>
        <v>0.05</v>
      </c>
      <c r="N163" s="62" t="s">
        <v>153</v>
      </c>
      <c r="O163" s="113"/>
      <c r="P163" s="260"/>
      <c r="Q163" s="259"/>
      <c r="R163" s="241"/>
      <c r="S163" s="240"/>
      <c r="T163" s="113"/>
      <c r="U163" s="260"/>
      <c r="V163" s="259"/>
      <c r="W163" s="241"/>
      <c r="X163" s="240"/>
      <c r="Y163" s="113"/>
      <c r="Z163" s="260"/>
      <c r="AA163" s="259"/>
      <c r="AB163" s="241"/>
      <c r="AC163" s="240"/>
      <c r="AD163" s="113"/>
      <c r="AE163" s="260"/>
      <c r="AF163" s="259"/>
      <c r="AG163" s="26"/>
      <c r="AH163" s="56"/>
      <c r="AI163" s="139"/>
    </row>
    <row r="164" spans="1:35" s="25" customFormat="1" x14ac:dyDescent="0.25">
      <c r="A164" s="261">
        <v>42</v>
      </c>
      <c r="B164" s="260">
        <v>1.1499999999999999</v>
      </c>
      <c r="C164" s="259">
        <v>9.32</v>
      </c>
      <c r="D164" s="240">
        <f>(B164-D167)/3</f>
        <v>0.3833333333333333</v>
      </c>
      <c r="E164" s="7" t="s">
        <v>458</v>
      </c>
      <c r="F164" s="113"/>
      <c r="G164" s="263">
        <v>1.1399999999999999</v>
      </c>
      <c r="H164" s="266">
        <v>9.44</v>
      </c>
      <c r="I164" s="240"/>
      <c r="J164" s="113"/>
      <c r="K164" s="260">
        <v>0.47</v>
      </c>
      <c r="L164" s="259">
        <v>9.39</v>
      </c>
      <c r="M164" s="241">
        <f>K164/3</f>
        <v>0.15666666666666665</v>
      </c>
      <c r="N164" s="7" t="s">
        <v>229</v>
      </c>
      <c r="O164" s="113"/>
      <c r="P164" s="260"/>
      <c r="Q164" s="259"/>
      <c r="R164" s="24"/>
      <c r="S164" s="24"/>
      <c r="T164" s="113"/>
      <c r="U164" s="260">
        <v>5</v>
      </c>
      <c r="V164" s="259">
        <v>9.5</v>
      </c>
      <c r="W164" s="245"/>
      <c r="X164" s="16"/>
      <c r="Y164" s="113"/>
      <c r="Z164" s="260">
        <v>0.13</v>
      </c>
      <c r="AA164" s="259">
        <v>9.4499999999999993</v>
      </c>
      <c r="AB164" s="245"/>
      <c r="AC164" s="16"/>
      <c r="AD164" s="113"/>
      <c r="AE164" s="241">
        <v>0.26</v>
      </c>
      <c r="AF164" s="240">
        <v>9.43</v>
      </c>
      <c r="AG164" s="26"/>
      <c r="AH164" s="49"/>
      <c r="AI164" s="139"/>
    </row>
    <row r="165" spans="1:35" s="25" customFormat="1" x14ac:dyDescent="0.25">
      <c r="A165" s="261"/>
      <c r="B165" s="260"/>
      <c r="C165" s="259"/>
      <c r="D165" s="240">
        <f>D164</f>
        <v>0.3833333333333333</v>
      </c>
      <c r="E165" s="249" t="s">
        <v>87</v>
      </c>
      <c r="F165" s="113"/>
      <c r="G165" s="264"/>
      <c r="H165" s="267"/>
      <c r="I165" s="240"/>
      <c r="J165" s="113"/>
      <c r="K165" s="260"/>
      <c r="L165" s="259"/>
      <c r="M165" s="24"/>
      <c r="N165" s="24"/>
      <c r="O165" s="113"/>
      <c r="P165" s="260"/>
      <c r="Q165" s="259"/>
      <c r="R165" s="241">
        <f>P161-R162</f>
        <v>0.58000000000000007</v>
      </c>
      <c r="S165" s="70" t="s">
        <v>226</v>
      </c>
      <c r="T165" s="113"/>
      <c r="U165" s="260"/>
      <c r="V165" s="259"/>
      <c r="W165" s="241">
        <f>R165</f>
        <v>0.58000000000000007</v>
      </c>
      <c r="X165" s="70" t="s">
        <v>226</v>
      </c>
      <c r="Y165" s="113"/>
      <c r="Z165" s="260"/>
      <c r="AA165" s="259"/>
      <c r="AB165" s="241"/>
      <c r="AC165" s="240"/>
      <c r="AD165" s="113"/>
      <c r="AE165" s="241"/>
      <c r="AF165" s="240"/>
      <c r="AG165" s="26"/>
      <c r="AH165" s="49"/>
      <c r="AI165" s="139"/>
    </row>
    <row r="166" spans="1:35" s="25" customFormat="1" x14ac:dyDescent="0.25">
      <c r="A166" s="261"/>
      <c r="B166" s="260"/>
      <c r="C166" s="259"/>
      <c r="D166" s="240">
        <f>D165</f>
        <v>0.3833333333333333</v>
      </c>
      <c r="E166" s="7" t="s">
        <v>545</v>
      </c>
      <c r="F166" s="113"/>
      <c r="G166" s="264"/>
      <c r="H166" s="267"/>
      <c r="I166" s="240"/>
      <c r="J166" s="113"/>
      <c r="K166" s="260"/>
      <c r="L166" s="259"/>
      <c r="M166" s="241">
        <v>0.16</v>
      </c>
      <c r="N166" s="7" t="s">
        <v>230</v>
      </c>
      <c r="O166" s="113"/>
      <c r="P166" s="260"/>
      <c r="Q166" s="259"/>
      <c r="R166" s="241"/>
      <c r="S166" s="240"/>
      <c r="T166" s="113"/>
      <c r="U166" s="260"/>
      <c r="V166" s="259"/>
      <c r="W166" s="241"/>
      <c r="X166" s="240"/>
      <c r="Y166" s="113"/>
      <c r="Z166" s="260"/>
      <c r="AA166" s="259"/>
      <c r="AB166" s="241"/>
      <c r="AC166" s="240"/>
      <c r="AD166" s="113"/>
      <c r="AE166" s="241">
        <v>0.06</v>
      </c>
      <c r="AF166" s="240">
        <v>9.51</v>
      </c>
      <c r="AG166" s="26"/>
      <c r="AH166" s="240"/>
      <c r="AI166" s="139"/>
    </row>
    <row r="167" spans="1:35" s="25" customFormat="1" x14ac:dyDescent="0.25">
      <c r="A167" s="261"/>
      <c r="B167" s="260"/>
      <c r="C167" s="259"/>
      <c r="D167" s="240"/>
      <c r="E167" s="16"/>
      <c r="F167" s="113"/>
      <c r="G167" s="264"/>
      <c r="H167" s="267"/>
      <c r="I167" s="240"/>
      <c r="J167" s="113"/>
      <c r="K167" s="260"/>
      <c r="L167" s="259"/>
      <c r="M167" s="241">
        <v>0.16</v>
      </c>
      <c r="N167" s="249" t="s">
        <v>248</v>
      </c>
      <c r="O167" s="113"/>
      <c r="P167" s="260"/>
      <c r="Q167" s="259"/>
      <c r="R167" s="245"/>
      <c r="S167" s="16"/>
      <c r="T167" s="113"/>
      <c r="U167" s="260"/>
      <c r="V167" s="259"/>
      <c r="W167" s="241"/>
      <c r="X167" s="16"/>
      <c r="Y167" s="113"/>
      <c r="Z167" s="260"/>
      <c r="AA167" s="259"/>
      <c r="AB167" s="241"/>
      <c r="AC167" s="240"/>
      <c r="AD167" s="113"/>
      <c r="AE167" s="241">
        <v>0.05</v>
      </c>
      <c r="AF167" s="240">
        <v>9.56</v>
      </c>
      <c r="AG167" s="26"/>
      <c r="AH167" s="240"/>
      <c r="AI167" s="139"/>
    </row>
    <row r="168" spans="1:35" s="25" customFormat="1" x14ac:dyDescent="0.25">
      <c r="A168" s="261">
        <v>43</v>
      </c>
      <c r="B168" s="260">
        <v>5.82</v>
      </c>
      <c r="C168" s="259">
        <v>9.43</v>
      </c>
      <c r="D168" s="241">
        <f>B168-D170-D172-D169-D173-D174</f>
        <v>0.30750000000000099</v>
      </c>
      <c r="E168" s="249" t="s">
        <v>339</v>
      </c>
      <c r="F168" s="113"/>
      <c r="G168" s="264"/>
      <c r="H168" s="267"/>
      <c r="I168" s="240"/>
      <c r="J168" s="113"/>
      <c r="K168" s="260">
        <v>6.46</v>
      </c>
      <c r="L168" s="259">
        <v>9.6</v>
      </c>
      <c r="M168" s="24"/>
      <c r="N168" s="24"/>
      <c r="O168" s="113"/>
      <c r="P168" s="260">
        <v>5.17</v>
      </c>
      <c r="Q168" s="259">
        <v>9.49</v>
      </c>
      <c r="R168" s="241"/>
      <c r="S168" s="240"/>
      <c r="T168" s="113"/>
      <c r="U168" s="260"/>
      <c r="V168" s="259"/>
      <c r="W168" s="241"/>
      <c r="X168" s="240"/>
      <c r="Y168" s="113"/>
      <c r="Z168" s="260">
        <v>5.61</v>
      </c>
      <c r="AA168" s="259">
        <v>9.5299999999999994</v>
      </c>
      <c r="AB168" s="241"/>
      <c r="AC168" s="240"/>
      <c r="AD168" s="113"/>
      <c r="AE168" s="260">
        <v>5.01</v>
      </c>
      <c r="AF168" s="259">
        <v>9.67</v>
      </c>
      <c r="AG168" s="26"/>
      <c r="AH168" s="240"/>
      <c r="AI168" s="139"/>
    </row>
    <row r="169" spans="1:35" s="25" customFormat="1" x14ac:dyDescent="0.25">
      <c r="A169" s="261"/>
      <c r="B169" s="260"/>
      <c r="C169" s="259"/>
      <c r="D169" s="241">
        <v>0.18</v>
      </c>
      <c r="E169" s="7" t="s">
        <v>155</v>
      </c>
      <c r="F169" s="113"/>
      <c r="G169" s="264"/>
      <c r="H169" s="267"/>
      <c r="I169" s="240"/>
      <c r="J169" s="113"/>
      <c r="K169" s="260"/>
      <c r="L169" s="259"/>
      <c r="M169" s="241">
        <f>D169</f>
        <v>0.18</v>
      </c>
      <c r="N169" s="7" t="s">
        <v>155</v>
      </c>
      <c r="O169" s="113"/>
      <c r="P169" s="260"/>
      <c r="Q169" s="259"/>
      <c r="R169" s="241"/>
      <c r="S169" s="240"/>
      <c r="T169" s="113"/>
      <c r="U169" s="260"/>
      <c r="V169" s="259"/>
      <c r="W169" s="241"/>
      <c r="X169" s="240"/>
      <c r="Y169" s="113"/>
      <c r="Z169" s="260"/>
      <c r="AA169" s="259"/>
      <c r="AB169" s="241"/>
      <c r="AC169" s="240"/>
      <c r="AD169" s="113"/>
      <c r="AE169" s="260"/>
      <c r="AF169" s="259"/>
      <c r="AG169" s="26"/>
      <c r="AH169" s="240"/>
      <c r="AI169" s="139"/>
    </row>
    <row r="170" spans="1:35" s="25" customFormat="1" x14ac:dyDescent="0.25">
      <c r="A170" s="261"/>
      <c r="B170" s="260"/>
      <c r="C170" s="259"/>
      <c r="D170" s="241">
        <f>(B168-D172-D173-D174)/4</f>
        <v>0.16250000000000009</v>
      </c>
      <c r="E170" s="22" t="s">
        <v>83</v>
      </c>
      <c r="F170" s="113"/>
      <c r="G170" s="264"/>
      <c r="H170" s="267"/>
      <c r="I170" s="240"/>
      <c r="J170" s="113"/>
      <c r="K170" s="260"/>
      <c r="L170" s="259"/>
      <c r="M170" s="241">
        <f>D170</f>
        <v>0.16250000000000009</v>
      </c>
      <c r="N170" s="22" t="s">
        <v>83</v>
      </c>
      <c r="O170" s="113"/>
      <c r="P170" s="260"/>
      <c r="Q170" s="259"/>
      <c r="R170" s="241"/>
      <c r="S170" s="240"/>
      <c r="T170" s="113"/>
      <c r="U170" s="260"/>
      <c r="V170" s="259"/>
      <c r="W170" s="241">
        <v>0.14000000000000001</v>
      </c>
      <c r="X170" s="75" t="s">
        <v>180</v>
      </c>
      <c r="Y170" s="113"/>
      <c r="Z170" s="260"/>
      <c r="AA170" s="259"/>
      <c r="AB170" s="241">
        <f>W170</f>
        <v>0.14000000000000001</v>
      </c>
      <c r="AC170" s="75" t="s">
        <v>180</v>
      </c>
      <c r="AD170" s="113"/>
      <c r="AE170" s="260"/>
      <c r="AF170" s="259"/>
      <c r="AG170" s="26">
        <f>AB170</f>
        <v>0.14000000000000001</v>
      </c>
      <c r="AH170" s="75" t="s">
        <v>180</v>
      </c>
      <c r="AI170" s="139"/>
    </row>
    <row r="171" spans="1:35" s="25" customFormat="1" x14ac:dyDescent="0.25">
      <c r="A171" s="261"/>
      <c r="B171" s="260"/>
      <c r="C171" s="259"/>
      <c r="F171" s="113"/>
      <c r="G171" s="264"/>
      <c r="H171" s="267"/>
      <c r="I171" s="240"/>
      <c r="J171" s="113"/>
      <c r="K171" s="260"/>
      <c r="L171" s="259"/>
      <c r="M171" s="241">
        <f>D168</f>
        <v>0.30750000000000099</v>
      </c>
      <c r="N171" s="249" t="s">
        <v>271</v>
      </c>
      <c r="O171" s="113"/>
      <c r="P171" s="260"/>
      <c r="Q171" s="259"/>
      <c r="R171" s="245"/>
      <c r="S171" s="246"/>
      <c r="T171" s="113"/>
      <c r="U171" s="260"/>
      <c r="V171" s="259"/>
      <c r="W171" s="245"/>
      <c r="X171" s="246"/>
      <c r="Y171" s="113"/>
      <c r="Z171" s="260"/>
      <c r="AA171" s="259"/>
      <c r="AB171" s="245"/>
      <c r="AC171" s="246"/>
      <c r="AD171" s="113"/>
      <c r="AE171" s="260"/>
      <c r="AF171" s="259"/>
      <c r="AG171" s="16"/>
      <c r="AH171" s="246"/>
      <c r="AI171" s="139"/>
    </row>
    <row r="172" spans="1:35" s="25" customFormat="1" x14ac:dyDescent="0.25">
      <c r="A172" s="261"/>
      <c r="B172" s="260"/>
      <c r="C172" s="259"/>
      <c r="D172" s="241">
        <f>R172</f>
        <v>0.04</v>
      </c>
      <c r="E172" s="249" t="s">
        <v>355</v>
      </c>
      <c r="F172" s="113"/>
      <c r="G172" s="264"/>
      <c r="H172" s="267"/>
      <c r="I172" s="240"/>
      <c r="J172" s="113"/>
      <c r="K172" s="260"/>
      <c r="L172" s="259"/>
      <c r="M172" s="241">
        <f>R172</f>
        <v>0.04</v>
      </c>
      <c r="N172" s="249" t="s">
        <v>355</v>
      </c>
      <c r="O172" s="113"/>
      <c r="P172" s="260"/>
      <c r="Q172" s="259"/>
      <c r="R172" s="241">
        <v>0.04</v>
      </c>
      <c r="S172" s="249" t="s">
        <v>355</v>
      </c>
      <c r="T172" s="113"/>
      <c r="U172" s="260"/>
      <c r="V172" s="259"/>
      <c r="W172" s="241">
        <f>R172</f>
        <v>0.04</v>
      </c>
      <c r="X172" s="249" t="s">
        <v>355</v>
      </c>
      <c r="Y172" s="113"/>
      <c r="Z172" s="260"/>
      <c r="AA172" s="259"/>
      <c r="AB172" s="241"/>
      <c r="AC172" s="240"/>
      <c r="AD172" s="113"/>
      <c r="AE172" s="260"/>
      <c r="AF172" s="259"/>
      <c r="AG172" s="26"/>
      <c r="AH172" s="240"/>
      <c r="AI172" s="139"/>
    </row>
    <row r="173" spans="1:35" s="25" customFormat="1" x14ac:dyDescent="0.25">
      <c r="A173" s="261"/>
      <c r="B173" s="260"/>
      <c r="C173" s="259"/>
      <c r="D173" s="241">
        <f>R173</f>
        <v>0.04</v>
      </c>
      <c r="E173" s="14" t="s">
        <v>351</v>
      </c>
      <c r="F173" s="113"/>
      <c r="G173" s="265"/>
      <c r="H173" s="268"/>
      <c r="I173" s="240"/>
      <c r="J173" s="113"/>
      <c r="K173" s="260"/>
      <c r="L173" s="259"/>
      <c r="M173" s="241">
        <f>R173</f>
        <v>0.04</v>
      </c>
      <c r="N173" s="14" t="s">
        <v>351</v>
      </c>
      <c r="O173" s="113"/>
      <c r="P173" s="260"/>
      <c r="Q173" s="259"/>
      <c r="R173" s="241">
        <v>0.04</v>
      </c>
      <c r="S173" s="14" t="s">
        <v>351</v>
      </c>
      <c r="T173" s="113"/>
      <c r="U173" s="260"/>
      <c r="V173" s="259"/>
      <c r="W173" s="241">
        <f>R173</f>
        <v>0.04</v>
      </c>
      <c r="X173" s="14" t="s">
        <v>351</v>
      </c>
      <c r="Y173" s="113"/>
      <c r="Z173" s="260"/>
      <c r="AA173" s="259"/>
      <c r="AB173" s="241"/>
      <c r="AC173" s="240"/>
      <c r="AD173" s="113"/>
      <c r="AE173" s="260"/>
      <c r="AF173" s="259"/>
      <c r="AG173" s="26"/>
      <c r="AH173" s="240"/>
      <c r="AI173" s="139"/>
    </row>
    <row r="174" spans="1:35" s="25" customFormat="1" x14ac:dyDescent="0.25">
      <c r="A174" s="261"/>
      <c r="B174" s="260"/>
      <c r="C174" s="259"/>
      <c r="D174" s="240">
        <f>R174</f>
        <v>5.09</v>
      </c>
      <c r="E174" s="6" t="s">
        <v>26</v>
      </c>
      <c r="F174" s="113"/>
      <c r="G174" s="260">
        <v>0.75</v>
      </c>
      <c r="H174" s="259">
        <v>9.64</v>
      </c>
      <c r="I174" s="116"/>
      <c r="J174" s="113"/>
      <c r="K174" s="260"/>
      <c r="L174" s="259"/>
      <c r="M174" s="241">
        <f>K168-M171-M170-M169-M172-M173</f>
        <v>5.7299999999999986</v>
      </c>
      <c r="N174" s="6" t="s">
        <v>26</v>
      </c>
      <c r="O174" s="113"/>
      <c r="P174" s="260"/>
      <c r="Q174" s="259"/>
      <c r="R174" s="241">
        <f>P168-R171-R172-R173-R179</f>
        <v>5.09</v>
      </c>
      <c r="S174" s="6" t="s">
        <v>26</v>
      </c>
      <c r="T174" s="113"/>
      <c r="U174" s="260"/>
      <c r="V174" s="259"/>
      <c r="W174" s="241">
        <f>U164-W164-W165-W171-W172-W173-W179+U183-W170+U160-W161-W162</f>
        <v>4.4000000000000004</v>
      </c>
      <c r="X174" s="6" t="s">
        <v>26</v>
      </c>
      <c r="Y174" s="113"/>
      <c r="Z174" s="260"/>
      <c r="AA174" s="259"/>
      <c r="AB174" s="241">
        <f>Z168-AB170-AB171+Z164+Z161-AB161-AB162</f>
        <v>6.14</v>
      </c>
      <c r="AC174" s="6" t="s">
        <v>26</v>
      </c>
      <c r="AD174" s="113"/>
      <c r="AE174" s="260"/>
      <c r="AF174" s="259"/>
      <c r="AG174" s="26">
        <f>AE168-AG171-AG170</f>
        <v>4.87</v>
      </c>
      <c r="AH174" s="6" t="s">
        <v>26</v>
      </c>
      <c r="AI174" s="139"/>
    </row>
    <row r="175" spans="1:35" s="25" customFormat="1" x14ac:dyDescent="0.25">
      <c r="A175" s="261">
        <v>44</v>
      </c>
      <c r="B175" s="260">
        <v>0.73</v>
      </c>
      <c r="C175" s="259">
        <v>9.5</v>
      </c>
      <c r="D175" s="240"/>
      <c r="E175" s="24"/>
      <c r="F175" s="113"/>
      <c r="G175" s="260"/>
      <c r="H175" s="259"/>
      <c r="I175" s="240"/>
      <c r="J175" s="113"/>
      <c r="K175" s="260">
        <v>0.39</v>
      </c>
      <c r="L175" s="259">
        <v>9.69</v>
      </c>
      <c r="O175" s="113"/>
      <c r="P175" s="260"/>
      <c r="Q175" s="259"/>
      <c r="R175" s="241"/>
      <c r="S175" s="8"/>
      <c r="T175" s="113"/>
      <c r="U175" s="260"/>
      <c r="V175" s="259"/>
      <c r="W175" s="241">
        <f>AB101</f>
        <v>0.31</v>
      </c>
      <c r="X175" s="75" t="s">
        <v>318</v>
      </c>
      <c r="Y175" s="113"/>
      <c r="Z175" s="260"/>
      <c r="AA175" s="259"/>
      <c r="AB175" s="241"/>
      <c r="AC175" s="8"/>
      <c r="AD175" s="113"/>
      <c r="AE175" s="260"/>
      <c r="AF175" s="259"/>
      <c r="AG175" s="26"/>
      <c r="AH175" s="24"/>
      <c r="AI175" s="139"/>
    </row>
    <row r="176" spans="1:35" s="25" customFormat="1" x14ac:dyDescent="0.25">
      <c r="A176" s="261"/>
      <c r="B176" s="260"/>
      <c r="C176" s="259"/>
      <c r="D176" s="240">
        <f>(B175-D179)/4</f>
        <v>0.1825</v>
      </c>
      <c r="E176" s="249" t="s">
        <v>456</v>
      </c>
      <c r="F176" s="113"/>
      <c r="G176" s="260"/>
      <c r="H176" s="259"/>
      <c r="I176" s="240"/>
      <c r="J176" s="113"/>
      <c r="K176" s="260"/>
      <c r="L176" s="259"/>
      <c r="M176" s="241">
        <v>0.1</v>
      </c>
      <c r="N176" s="249" t="s">
        <v>84</v>
      </c>
      <c r="O176" s="113"/>
      <c r="P176" s="260"/>
      <c r="Q176" s="259"/>
      <c r="R176" s="241"/>
      <c r="S176" s="240"/>
      <c r="T176" s="113"/>
      <c r="U176" s="260"/>
      <c r="V176" s="259"/>
      <c r="W176" s="241"/>
      <c r="X176" s="240"/>
      <c r="Y176" s="113"/>
      <c r="Z176" s="260"/>
      <c r="AA176" s="259"/>
      <c r="AB176" s="241"/>
      <c r="AC176" s="240"/>
      <c r="AD176" s="113"/>
      <c r="AE176" s="260"/>
      <c r="AF176" s="259"/>
      <c r="AG176" s="26"/>
      <c r="AH176" s="240"/>
      <c r="AI176" s="139"/>
    </row>
    <row r="177" spans="1:35" s="25" customFormat="1" x14ac:dyDescent="0.25">
      <c r="A177" s="261"/>
      <c r="B177" s="260"/>
      <c r="C177" s="259"/>
      <c r="D177" s="241">
        <f>0.17</f>
        <v>0.17</v>
      </c>
      <c r="E177" s="7" t="s">
        <v>472</v>
      </c>
      <c r="F177" s="113"/>
      <c r="G177" s="260"/>
      <c r="H177" s="259"/>
      <c r="I177" s="240"/>
      <c r="J177" s="113"/>
      <c r="K177" s="260"/>
      <c r="L177" s="259"/>
      <c r="M177" s="241">
        <v>0.09</v>
      </c>
      <c r="N177" s="7" t="s">
        <v>155</v>
      </c>
      <c r="O177" s="113"/>
      <c r="P177" s="260"/>
      <c r="Q177" s="259"/>
      <c r="R177" s="241"/>
      <c r="S177" s="240"/>
      <c r="T177" s="113"/>
      <c r="U177" s="260"/>
      <c r="V177" s="259"/>
      <c r="W177" s="241"/>
      <c r="X177" s="240"/>
      <c r="Y177" s="113"/>
      <c r="Z177" s="260"/>
      <c r="AA177" s="259"/>
      <c r="AB177" s="241"/>
      <c r="AC177" s="240"/>
      <c r="AD177" s="113"/>
      <c r="AE177" s="260"/>
      <c r="AF177" s="259"/>
      <c r="AG177" s="26"/>
      <c r="AH177" s="240"/>
      <c r="AI177" s="139"/>
    </row>
    <row r="178" spans="1:35" s="25" customFormat="1" x14ac:dyDescent="0.25">
      <c r="A178" s="261"/>
      <c r="B178" s="260"/>
      <c r="C178" s="259"/>
      <c r="D178" s="241">
        <v>0.17</v>
      </c>
      <c r="E178" s="59" t="s">
        <v>471</v>
      </c>
      <c r="F178" s="113"/>
      <c r="G178" s="260"/>
      <c r="H178" s="259"/>
      <c r="I178" s="240"/>
      <c r="J178" s="113"/>
      <c r="K178" s="260"/>
      <c r="L178" s="259"/>
      <c r="M178" s="241">
        <v>0.09</v>
      </c>
      <c r="N178" s="59" t="s">
        <v>233</v>
      </c>
      <c r="O178" s="113"/>
      <c r="P178" s="260"/>
      <c r="Q178" s="259"/>
      <c r="R178" s="241"/>
      <c r="S178" s="24"/>
      <c r="T178" s="113"/>
      <c r="U178" s="260"/>
      <c r="V178" s="259"/>
      <c r="W178" s="241"/>
      <c r="X178" s="24"/>
      <c r="Y178" s="113"/>
      <c r="Z178" s="260"/>
      <c r="AA178" s="259"/>
      <c r="AB178" s="241"/>
      <c r="AC178" s="240"/>
      <c r="AD178" s="113"/>
      <c r="AE178" s="260"/>
      <c r="AF178" s="259"/>
      <c r="AG178" s="26"/>
      <c r="AH178" s="240"/>
      <c r="AI178" s="139"/>
    </row>
    <row r="179" spans="1:35" s="25" customFormat="1" x14ac:dyDescent="0.25">
      <c r="A179" s="261"/>
      <c r="B179" s="260"/>
      <c r="C179" s="259"/>
      <c r="D179" s="241"/>
      <c r="E179" s="96"/>
      <c r="F179" s="113"/>
      <c r="G179" s="260"/>
      <c r="H179" s="259"/>
      <c r="I179" s="240"/>
      <c r="J179" s="113"/>
      <c r="K179" s="260"/>
      <c r="L179" s="259"/>
      <c r="O179" s="113"/>
      <c r="P179" s="260"/>
      <c r="Q179" s="259"/>
      <c r="R179" s="245"/>
      <c r="S179" s="96"/>
      <c r="T179" s="113"/>
      <c r="U179" s="260"/>
      <c r="V179" s="259"/>
      <c r="W179" s="245"/>
      <c r="X179" s="96"/>
      <c r="Y179" s="113"/>
      <c r="Z179" s="260"/>
      <c r="AA179" s="259"/>
      <c r="AB179" s="241"/>
      <c r="AC179" s="240"/>
      <c r="AD179" s="113"/>
      <c r="AE179" s="260"/>
      <c r="AF179" s="259"/>
      <c r="AG179" s="26"/>
      <c r="AH179" s="240"/>
      <c r="AI179" s="139"/>
    </row>
    <row r="180" spans="1:35" s="25" customFormat="1" x14ac:dyDescent="0.25">
      <c r="A180" s="261"/>
      <c r="B180" s="260"/>
      <c r="C180" s="259"/>
      <c r="D180" s="241">
        <v>0.17</v>
      </c>
      <c r="E180" s="249" t="s">
        <v>470</v>
      </c>
      <c r="F180" s="113"/>
      <c r="G180" s="260"/>
      <c r="H180" s="259"/>
      <c r="I180" s="240"/>
      <c r="J180" s="113"/>
      <c r="K180" s="260"/>
      <c r="L180" s="259"/>
      <c r="M180" s="241">
        <v>0.09</v>
      </c>
      <c r="N180" s="249" t="s">
        <v>218</v>
      </c>
      <c r="O180" s="113"/>
      <c r="P180" s="260"/>
      <c r="Q180" s="259"/>
      <c r="R180" s="241"/>
      <c r="S180" s="240"/>
      <c r="T180" s="113"/>
      <c r="U180" s="260"/>
      <c r="V180" s="259"/>
      <c r="W180" s="241"/>
      <c r="X180" s="240"/>
      <c r="Y180" s="113"/>
      <c r="Z180" s="260"/>
      <c r="AA180" s="259"/>
      <c r="AB180" s="241"/>
      <c r="AC180" s="240"/>
      <c r="AD180" s="113"/>
      <c r="AE180" s="260"/>
      <c r="AF180" s="259"/>
      <c r="AG180" s="26"/>
      <c r="AH180" s="240"/>
      <c r="AI180" s="139"/>
    </row>
    <row r="181" spans="1:35" s="25" customFormat="1" x14ac:dyDescent="0.25">
      <c r="A181" s="261">
        <v>45</v>
      </c>
      <c r="B181" s="260">
        <v>0.69</v>
      </c>
      <c r="C181" s="259">
        <v>9.58</v>
      </c>
      <c r="D181" s="240"/>
      <c r="E181" s="8"/>
      <c r="F181" s="113"/>
      <c r="G181" s="260">
        <v>0.46</v>
      </c>
      <c r="H181" s="259">
        <v>9.77</v>
      </c>
      <c r="I181" s="240"/>
      <c r="J181" s="113"/>
      <c r="K181" s="260">
        <v>0.53</v>
      </c>
      <c r="L181" s="259">
        <v>9.84</v>
      </c>
      <c r="M181" s="241"/>
      <c r="N181" s="8"/>
      <c r="O181" s="113"/>
      <c r="P181" s="260">
        <v>0.57999999999999996</v>
      </c>
      <c r="Q181" s="259">
        <v>9.7200000000000006</v>
      </c>
      <c r="R181" s="245"/>
      <c r="S181" s="18"/>
      <c r="T181" s="113"/>
      <c r="U181" s="260"/>
      <c r="V181" s="259"/>
      <c r="W181" s="241"/>
      <c r="X181" s="18"/>
      <c r="Y181" s="113"/>
      <c r="Z181" s="260">
        <v>0.13</v>
      </c>
      <c r="AA181" s="259">
        <v>9.69</v>
      </c>
      <c r="AB181" s="245"/>
      <c r="AC181" s="18"/>
      <c r="AD181" s="113"/>
      <c r="AE181" s="241">
        <v>0.1</v>
      </c>
      <c r="AF181" s="240">
        <v>9.85</v>
      </c>
      <c r="AG181" s="26"/>
      <c r="AH181" s="240"/>
      <c r="AI181" s="139"/>
    </row>
    <row r="182" spans="1:35" s="25" customFormat="1" x14ac:dyDescent="0.25">
      <c r="A182" s="261"/>
      <c r="B182" s="260"/>
      <c r="C182" s="259"/>
      <c r="D182" s="240">
        <f>B181-D181</f>
        <v>0.69</v>
      </c>
      <c r="E182" s="7" t="s">
        <v>469</v>
      </c>
      <c r="F182" s="113"/>
      <c r="G182" s="260"/>
      <c r="H182" s="259"/>
      <c r="I182" s="240"/>
      <c r="J182" s="113"/>
      <c r="K182" s="260"/>
      <c r="L182" s="259"/>
      <c r="M182" s="241">
        <f>K181-M181</f>
        <v>0.53</v>
      </c>
      <c r="N182" s="7" t="s">
        <v>154</v>
      </c>
      <c r="O182" s="113"/>
      <c r="P182" s="260"/>
      <c r="Q182" s="259"/>
      <c r="R182" s="24"/>
      <c r="S182" s="24"/>
      <c r="T182" s="113"/>
      <c r="U182" s="260"/>
      <c r="V182" s="259"/>
      <c r="W182" s="241"/>
      <c r="X182" s="16"/>
      <c r="Y182" s="113"/>
      <c r="Z182" s="260"/>
      <c r="AA182" s="259"/>
      <c r="AB182" s="241"/>
      <c r="AC182" s="240"/>
      <c r="AD182" s="113"/>
      <c r="AE182" s="241">
        <v>0.06</v>
      </c>
      <c r="AF182" s="240">
        <v>9.8699999999999992</v>
      </c>
      <c r="AG182" s="26"/>
      <c r="AH182" s="240"/>
      <c r="AI182" s="139"/>
    </row>
    <row r="183" spans="1:35" s="25" customFormat="1" x14ac:dyDescent="0.25">
      <c r="A183" s="261">
        <v>46</v>
      </c>
      <c r="B183" s="260">
        <v>0.74</v>
      </c>
      <c r="C183" s="259">
        <v>9.76</v>
      </c>
      <c r="D183" s="240">
        <f>B183</f>
        <v>0.74</v>
      </c>
      <c r="E183" s="59" t="s">
        <v>217</v>
      </c>
      <c r="F183" s="113"/>
      <c r="G183" s="260">
        <v>0.57999999999999996</v>
      </c>
      <c r="H183" s="259">
        <v>9.8800000000000008</v>
      </c>
      <c r="I183" s="240"/>
      <c r="J183" s="113"/>
      <c r="K183" s="241">
        <v>0.05</v>
      </c>
      <c r="L183" s="240">
        <v>9.89</v>
      </c>
      <c r="M183" s="241">
        <f>K183+K184</f>
        <v>0.78</v>
      </c>
      <c r="N183" s="59" t="s">
        <v>217</v>
      </c>
      <c r="O183" s="113"/>
      <c r="P183" s="241">
        <v>0.37</v>
      </c>
      <c r="Q183" s="240">
        <v>9.8699999999999992</v>
      </c>
      <c r="R183" s="241">
        <f>P183</f>
        <v>0.37</v>
      </c>
      <c r="S183" s="75" t="s">
        <v>141</v>
      </c>
      <c r="T183" s="113"/>
      <c r="U183" s="260">
        <v>0.56000000000000005</v>
      </c>
      <c r="V183" s="259">
        <v>9.83</v>
      </c>
      <c r="W183" s="241"/>
      <c r="X183" s="240"/>
      <c r="Y183" s="113"/>
      <c r="Z183" s="260">
        <v>0.56000000000000005</v>
      </c>
      <c r="AA183" s="259">
        <v>9.8800000000000008</v>
      </c>
      <c r="AB183" s="241"/>
      <c r="AC183" s="240"/>
      <c r="AD183" s="113"/>
      <c r="AE183" s="241">
        <v>0.13</v>
      </c>
      <c r="AF183" s="240">
        <v>9.98</v>
      </c>
      <c r="AG183" s="26"/>
      <c r="AH183" s="240"/>
      <c r="AI183" s="139"/>
    </row>
    <row r="184" spans="1:35" s="25" customFormat="1" x14ac:dyDescent="0.25">
      <c r="A184" s="261"/>
      <c r="B184" s="260"/>
      <c r="C184" s="259"/>
      <c r="D184" s="240"/>
      <c r="E184" s="18"/>
      <c r="F184" s="113"/>
      <c r="G184" s="260"/>
      <c r="H184" s="259"/>
      <c r="I184" s="240"/>
      <c r="J184" s="113"/>
      <c r="K184" s="260">
        <v>0.73</v>
      </c>
      <c r="L184" s="259">
        <v>9.9600000000000009</v>
      </c>
      <c r="M184" s="241"/>
      <c r="N184" s="18"/>
      <c r="O184" s="113"/>
      <c r="P184" s="260">
        <v>0.2</v>
      </c>
      <c r="Q184" s="259">
        <v>9.92</v>
      </c>
      <c r="R184" s="241"/>
      <c r="S184" s="240"/>
      <c r="T184" s="113"/>
      <c r="U184" s="260"/>
      <c r="V184" s="259"/>
      <c r="W184" s="241"/>
      <c r="X184" s="240"/>
      <c r="Y184" s="113"/>
      <c r="Z184" s="260"/>
      <c r="AA184" s="259"/>
      <c r="AB184" s="241"/>
      <c r="AC184" s="240"/>
      <c r="AD184" s="113"/>
      <c r="AE184" s="241">
        <v>0.13</v>
      </c>
      <c r="AF184" s="240">
        <v>10.039999999999999</v>
      </c>
      <c r="AG184" s="26"/>
      <c r="AH184" s="240"/>
      <c r="AI184" s="139"/>
    </row>
    <row r="185" spans="1:35" s="25" customFormat="1" x14ac:dyDescent="0.25">
      <c r="A185" s="261"/>
      <c r="B185" s="260"/>
      <c r="C185" s="259"/>
      <c r="D185" s="240"/>
      <c r="E185" s="240"/>
      <c r="F185" s="113"/>
      <c r="G185" s="260"/>
      <c r="H185" s="259"/>
      <c r="I185" s="240"/>
      <c r="J185" s="113"/>
      <c r="K185" s="260"/>
      <c r="L185" s="259"/>
      <c r="M185" s="241"/>
      <c r="N185" s="240"/>
      <c r="O185" s="113"/>
      <c r="P185" s="260"/>
      <c r="Q185" s="259"/>
      <c r="R185" s="241"/>
      <c r="S185" s="240"/>
      <c r="T185" s="113"/>
      <c r="U185" s="260"/>
      <c r="V185" s="259"/>
      <c r="W185" s="241"/>
      <c r="X185" s="240"/>
      <c r="Y185" s="113"/>
      <c r="Z185" s="260"/>
      <c r="AA185" s="259"/>
      <c r="AB185" s="241"/>
      <c r="AC185" s="240"/>
      <c r="AD185" s="113"/>
      <c r="AE185" s="241">
        <v>0.09</v>
      </c>
      <c r="AF185" s="240">
        <v>10.09</v>
      </c>
      <c r="AG185" s="26"/>
      <c r="AH185" s="240"/>
      <c r="AI185" s="139"/>
    </row>
    <row r="186" spans="1:35" s="25" customFormat="1" x14ac:dyDescent="0.25">
      <c r="A186" s="261">
        <v>47</v>
      </c>
      <c r="B186" s="260">
        <v>0.88</v>
      </c>
      <c r="C186" s="259">
        <v>10</v>
      </c>
      <c r="D186" s="241">
        <v>0.09</v>
      </c>
      <c r="E186" s="249" t="s">
        <v>91</v>
      </c>
      <c r="F186" s="113"/>
      <c r="G186" s="263">
        <v>0.96</v>
      </c>
      <c r="H186" s="266">
        <v>10.09</v>
      </c>
      <c r="I186" s="240"/>
      <c r="J186" s="113"/>
      <c r="K186" s="241">
        <v>0.54</v>
      </c>
      <c r="L186" s="240">
        <v>10.06</v>
      </c>
      <c r="M186" s="241">
        <f>D186</f>
        <v>0.09</v>
      </c>
      <c r="N186" s="249" t="s">
        <v>91</v>
      </c>
      <c r="O186" s="113"/>
      <c r="P186" s="241">
        <v>0.2</v>
      </c>
      <c r="Q186" s="240">
        <v>9.9700000000000006</v>
      </c>
      <c r="R186" s="241"/>
      <c r="S186" s="240"/>
      <c r="T186" s="113"/>
      <c r="U186" s="260">
        <v>0.62</v>
      </c>
      <c r="V186" s="259">
        <v>10.06</v>
      </c>
      <c r="W186" s="241"/>
      <c r="X186" s="240"/>
      <c r="Y186" s="113"/>
      <c r="Z186" s="260">
        <v>0.36</v>
      </c>
      <c r="AA186" s="259">
        <v>10.07</v>
      </c>
      <c r="AB186" s="241"/>
      <c r="AC186" s="240"/>
      <c r="AD186" s="113"/>
      <c r="AE186" s="241">
        <v>0.02</v>
      </c>
      <c r="AF186" s="240">
        <v>10.17</v>
      </c>
      <c r="AG186" s="26"/>
      <c r="AH186" s="240"/>
      <c r="AI186" s="139"/>
    </row>
    <row r="187" spans="1:35" s="25" customFormat="1" x14ac:dyDescent="0.25">
      <c r="A187" s="261"/>
      <c r="B187" s="260"/>
      <c r="C187" s="259"/>
      <c r="D187" s="241">
        <v>0.18</v>
      </c>
      <c r="E187" s="81" t="s">
        <v>411</v>
      </c>
      <c r="F187" s="113"/>
      <c r="G187" s="264"/>
      <c r="H187" s="267"/>
      <c r="I187" s="240"/>
      <c r="J187" s="113"/>
      <c r="K187" s="260">
        <v>2.2000000000000002</v>
      </c>
      <c r="L187" s="259">
        <v>10.19</v>
      </c>
      <c r="M187" s="241">
        <f>K187+K186-M188-M190-M191-M193-M192</f>
        <v>0.51</v>
      </c>
      <c r="N187" s="81" t="s">
        <v>411</v>
      </c>
      <c r="O187" s="113"/>
      <c r="P187" s="260">
        <v>2.2000000000000002</v>
      </c>
      <c r="Q187" s="259">
        <v>10.07</v>
      </c>
      <c r="R187" s="241">
        <f>M187</f>
        <v>0.51</v>
      </c>
      <c r="S187" s="81" t="s">
        <v>535</v>
      </c>
      <c r="T187" s="113"/>
      <c r="U187" s="260"/>
      <c r="V187" s="259"/>
      <c r="W187" s="241">
        <f>U186/3</f>
        <v>0.20666666666666667</v>
      </c>
      <c r="X187" s="81" t="s">
        <v>144</v>
      </c>
      <c r="Y187" s="113"/>
      <c r="Z187" s="260"/>
      <c r="AA187" s="259"/>
      <c r="AB187" s="241"/>
      <c r="AC187" s="240"/>
      <c r="AD187" s="113"/>
      <c r="AE187" s="260">
        <v>0.1</v>
      </c>
      <c r="AF187" s="259">
        <v>10.23</v>
      </c>
      <c r="AG187" s="26"/>
      <c r="AH187" s="49"/>
      <c r="AI187" s="139"/>
    </row>
    <row r="188" spans="1:35" s="25" customFormat="1" x14ac:dyDescent="0.25">
      <c r="A188" s="261"/>
      <c r="B188" s="260"/>
      <c r="C188" s="259"/>
      <c r="D188" s="241">
        <v>0.18</v>
      </c>
      <c r="E188" s="70" t="s">
        <v>437</v>
      </c>
      <c r="F188" s="113"/>
      <c r="G188" s="264"/>
      <c r="H188" s="267"/>
      <c r="I188" s="240"/>
      <c r="J188" s="113"/>
      <c r="K188" s="260"/>
      <c r="L188" s="259"/>
      <c r="M188" s="241">
        <f>D188</f>
        <v>0.18</v>
      </c>
      <c r="N188" s="70" t="s">
        <v>437</v>
      </c>
      <c r="O188" s="113"/>
      <c r="P188" s="260"/>
      <c r="Q188" s="259"/>
      <c r="R188" s="241">
        <f>M188</f>
        <v>0.18</v>
      </c>
      <c r="S188" s="70" t="s">
        <v>499</v>
      </c>
      <c r="T188" s="113"/>
      <c r="U188" s="260"/>
      <c r="V188" s="259"/>
      <c r="W188" s="241">
        <v>0.21</v>
      </c>
      <c r="X188" s="70" t="s">
        <v>143</v>
      </c>
      <c r="Y188" s="113"/>
      <c r="Z188" s="260"/>
      <c r="AA188" s="259"/>
      <c r="AB188" s="241"/>
      <c r="AC188" s="240"/>
      <c r="AD188" s="113"/>
      <c r="AE188" s="260"/>
      <c r="AF188" s="259"/>
      <c r="AG188" s="26"/>
      <c r="AH188" s="49"/>
      <c r="AI188" s="139"/>
    </row>
    <row r="189" spans="1:35" s="25" customFormat="1" x14ac:dyDescent="0.25">
      <c r="A189" s="261"/>
      <c r="B189" s="260"/>
      <c r="C189" s="259"/>
      <c r="D189" s="240"/>
      <c r="E189" s="246"/>
      <c r="F189" s="113"/>
      <c r="G189" s="264"/>
      <c r="H189" s="267"/>
      <c r="I189" s="240"/>
      <c r="J189" s="113"/>
      <c r="K189" s="260"/>
      <c r="L189" s="259"/>
      <c r="M189" s="24"/>
      <c r="N189" s="24"/>
      <c r="O189" s="113"/>
      <c r="P189" s="260"/>
      <c r="Q189" s="259"/>
      <c r="R189" s="24"/>
      <c r="S189" s="24"/>
      <c r="T189" s="113"/>
      <c r="U189" s="260"/>
      <c r="V189" s="259"/>
      <c r="W189" s="24"/>
      <c r="X189" s="24"/>
      <c r="Y189" s="113"/>
      <c r="Z189" s="260"/>
      <c r="AA189" s="259"/>
      <c r="AB189" s="241"/>
      <c r="AC189" s="240"/>
      <c r="AD189" s="113"/>
      <c r="AE189" s="241"/>
      <c r="AF189" s="240"/>
      <c r="AG189" s="26"/>
      <c r="AH189" s="49"/>
      <c r="AI189" s="139"/>
    </row>
    <row r="190" spans="1:35" s="25" customFormat="1" x14ac:dyDescent="0.25">
      <c r="A190" s="261"/>
      <c r="B190" s="260"/>
      <c r="C190" s="259"/>
      <c r="D190" s="24"/>
      <c r="E190" s="24"/>
      <c r="F190" s="113"/>
      <c r="G190" s="264"/>
      <c r="H190" s="267"/>
      <c r="I190" s="240"/>
      <c r="J190" s="113"/>
      <c r="K190" s="260"/>
      <c r="L190" s="259"/>
      <c r="M190" s="241">
        <f>D231</f>
        <v>1.71</v>
      </c>
      <c r="N190" s="249" t="s">
        <v>164</v>
      </c>
      <c r="O190" s="113"/>
      <c r="P190" s="260"/>
      <c r="Q190" s="259"/>
      <c r="R190" s="241">
        <f>P187+P186-R187-R188</f>
        <v>1.7100000000000004</v>
      </c>
      <c r="S190" s="249" t="s">
        <v>164</v>
      </c>
      <c r="T190" s="113"/>
      <c r="U190" s="260"/>
      <c r="V190" s="259"/>
      <c r="W190" s="241">
        <f>U183</f>
        <v>0.56000000000000005</v>
      </c>
      <c r="X190" s="249" t="s">
        <v>164</v>
      </c>
      <c r="Y190" s="113"/>
      <c r="Z190" s="260"/>
      <c r="AA190" s="259"/>
      <c r="AB190" s="241"/>
      <c r="AC190" s="240"/>
      <c r="AD190" s="113"/>
      <c r="AE190" s="241">
        <v>0.05</v>
      </c>
      <c r="AF190" s="240">
        <v>10.26</v>
      </c>
      <c r="AG190" s="26"/>
      <c r="AH190" s="49"/>
      <c r="AI190" s="139"/>
    </row>
    <row r="191" spans="1:35" s="25" customFormat="1" x14ac:dyDescent="0.25">
      <c r="A191" s="261"/>
      <c r="B191" s="260"/>
      <c r="C191" s="259"/>
      <c r="D191" s="240">
        <f>R165</f>
        <v>0.58000000000000007</v>
      </c>
      <c r="E191" s="70" t="s">
        <v>468</v>
      </c>
      <c r="F191" s="113"/>
      <c r="G191" s="264"/>
      <c r="H191" s="267"/>
      <c r="I191" s="240"/>
      <c r="J191" s="113"/>
      <c r="K191" s="260"/>
      <c r="L191" s="259"/>
      <c r="M191" s="241">
        <v>0.32</v>
      </c>
      <c r="N191" s="70" t="s">
        <v>249</v>
      </c>
      <c r="O191" s="113"/>
      <c r="P191" s="260"/>
      <c r="Q191" s="259"/>
      <c r="R191" s="241"/>
      <c r="S191" s="240"/>
      <c r="T191" s="113"/>
      <c r="U191" s="260"/>
      <c r="V191" s="259"/>
      <c r="W191" s="241"/>
      <c r="X191" s="240"/>
      <c r="Y191" s="113"/>
      <c r="Z191" s="260"/>
      <c r="AA191" s="259"/>
      <c r="AB191" s="241"/>
      <c r="AC191" s="240"/>
      <c r="AD191" s="113"/>
      <c r="AE191" s="260">
        <v>0.02</v>
      </c>
      <c r="AF191" s="259">
        <v>10.34</v>
      </c>
      <c r="AG191" s="26"/>
      <c r="AH191" s="49"/>
      <c r="AI191" s="139"/>
    </row>
    <row r="192" spans="1:35" s="25" customFormat="1" x14ac:dyDescent="0.25">
      <c r="A192" s="261"/>
      <c r="B192" s="260"/>
      <c r="C192" s="259"/>
      <c r="D192" s="241">
        <v>0.01</v>
      </c>
      <c r="E192" s="7" t="s">
        <v>229</v>
      </c>
      <c r="F192" s="113"/>
      <c r="G192" s="264"/>
      <c r="H192" s="267"/>
      <c r="I192" s="240"/>
      <c r="J192" s="113"/>
      <c r="K192" s="260"/>
      <c r="L192" s="259"/>
      <c r="M192" s="241">
        <f>D192</f>
        <v>0.01</v>
      </c>
      <c r="N192" s="7" t="s">
        <v>229</v>
      </c>
      <c r="O192" s="113"/>
      <c r="P192" s="260"/>
      <c r="Q192" s="259"/>
      <c r="R192" s="24"/>
      <c r="S192" s="24"/>
      <c r="T192" s="113"/>
      <c r="U192" s="260"/>
      <c r="V192" s="259"/>
      <c r="W192" s="24"/>
      <c r="X192" s="24"/>
      <c r="Y192" s="113"/>
      <c r="Z192" s="260"/>
      <c r="AA192" s="259"/>
      <c r="AB192" s="241"/>
      <c r="AC192" s="240"/>
      <c r="AD192" s="113"/>
      <c r="AE192" s="260"/>
      <c r="AF192" s="259"/>
      <c r="AG192" s="26"/>
      <c r="AH192" s="49"/>
      <c r="AI192" s="139"/>
    </row>
    <row r="193" spans="1:35" s="25" customFormat="1" x14ac:dyDescent="0.25">
      <c r="A193" s="261"/>
      <c r="B193" s="260"/>
      <c r="C193" s="259"/>
      <c r="D193" s="241">
        <v>0.01</v>
      </c>
      <c r="E193" s="7" t="s">
        <v>173</v>
      </c>
      <c r="F193" s="113"/>
      <c r="G193" s="264"/>
      <c r="H193" s="267"/>
      <c r="I193" s="240"/>
      <c r="J193" s="113"/>
      <c r="K193" s="260"/>
      <c r="L193" s="259"/>
      <c r="M193" s="241">
        <f>D193</f>
        <v>0.01</v>
      </c>
      <c r="N193" s="7" t="s">
        <v>173</v>
      </c>
      <c r="O193" s="113"/>
      <c r="P193" s="260"/>
      <c r="Q193" s="259"/>
      <c r="R193" s="24"/>
      <c r="S193" s="24"/>
      <c r="T193" s="113"/>
      <c r="U193" s="260"/>
      <c r="V193" s="259"/>
      <c r="W193" s="24"/>
      <c r="X193" s="24"/>
      <c r="Y193" s="113"/>
      <c r="Z193" s="260"/>
      <c r="AA193" s="259"/>
      <c r="AB193" s="241"/>
      <c r="AC193" s="240"/>
      <c r="AD193" s="113"/>
      <c r="AE193" s="260"/>
      <c r="AF193" s="259"/>
      <c r="AG193" s="26"/>
      <c r="AH193" s="240"/>
      <c r="AI193" s="139"/>
    </row>
    <row r="194" spans="1:35" s="25" customFormat="1" x14ac:dyDescent="0.25">
      <c r="A194" s="261">
        <v>48</v>
      </c>
      <c r="B194" s="260">
        <v>2.15</v>
      </c>
      <c r="C194" s="259">
        <v>10.16</v>
      </c>
      <c r="D194" s="240"/>
      <c r="E194" s="240"/>
      <c r="F194" s="113"/>
      <c r="G194" s="264"/>
      <c r="H194" s="267"/>
      <c r="I194" s="240"/>
      <c r="J194" s="113"/>
      <c r="K194" s="260">
        <v>2.2999999999999998</v>
      </c>
      <c r="L194" s="259">
        <v>10.32</v>
      </c>
      <c r="M194" s="241">
        <v>0.04</v>
      </c>
      <c r="N194" s="75" t="s">
        <v>167</v>
      </c>
      <c r="O194" s="113"/>
      <c r="P194" s="260">
        <v>2.42</v>
      </c>
      <c r="Q194" s="259">
        <v>10.199999999999999</v>
      </c>
      <c r="R194" s="241">
        <v>0.14000000000000001</v>
      </c>
      <c r="S194" s="75" t="s">
        <v>167</v>
      </c>
      <c r="T194" s="113"/>
      <c r="U194" s="260">
        <v>0.84</v>
      </c>
      <c r="V194" s="259">
        <v>10.24</v>
      </c>
      <c r="W194" s="241"/>
      <c r="X194" s="240"/>
      <c r="Y194" s="113"/>
      <c r="Z194" s="260">
        <v>0.93</v>
      </c>
      <c r="AA194" s="259">
        <v>10.28</v>
      </c>
      <c r="AB194" s="241"/>
      <c r="AC194" s="240"/>
      <c r="AD194" s="113"/>
      <c r="AE194" s="260">
        <v>0.49</v>
      </c>
      <c r="AF194" s="259">
        <v>10.43</v>
      </c>
      <c r="AG194" s="26"/>
      <c r="AH194" s="60"/>
      <c r="AI194" s="139"/>
    </row>
    <row r="195" spans="1:35" s="25" customFormat="1" x14ac:dyDescent="0.25">
      <c r="A195" s="261"/>
      <c r="B195" s="260"/>
      <c r="C195" s="259"/>
      <c r="D195" s="240"/>
      <c r="E195" s="240"/>
      <c r="F195" s="113"/>
      <c r="G195" s="264"/>
      <c r="H195" s="267"/>
      <c r="I195" s="240"/>
      <c r="J195" s="113"/>
      <c r="K195" s="260"/>
      <c r="L195" s="259"/>
      <c r="M195" s="241"/>
      <c r="N195" s="240"/>
      <c r="O195" s="113"/>
      <c r="P195" s="260"/>
      <c r="Q195" s="259"/>
      <c r="R195" s="241">
        <f>P194-R194-R198</f>
        <v>2.2799999999999998</v>
      </c>
      <c r="S195" s="249" t="s">
        <v>69</v>
      </c>
      <c r="T195" s="113"/>
      <c r="U195" s="260"/>
      <c r="V195" s="259"/>
      <c r="W195" s="241">
        <f>U194</f>
        <v>0.84</v>
      </c>
      <c r="X195" s="249" t="s">
        <v>69</v>
      </c>
      <c r="Y195" s="113"/>
      <c r="Z195" s="260"/>
      <c r="AA195" s="259"/>
      <c r="AB195" s="241">
        <f>Z194</f>
        <v>0.93</v>
      </c>
      <c r="AC195" s="249" t="s">
        <v>69</v>
      </c>
      <c r="AD195" s="113"/>
      <c r="AE195" s="260"/>
      <c r="AF195" s="259"/>
      <c r="AG195" s="26">
        <f>AE194</f>
        <v>0.49</v>
      </c>
      <c r="AH195" s="249" t="s">
        <v>69</v>
      </c>
      <c r="AI195" s="139"/>
    </row>
    <row r="196" spans="1:35" s="25" customFormat="1" x14ac:dyDescent="0.25">
      <c r="A196" s="261"/>
      <c r="B196" s="260"/>
      <c r="C196" s="259"/>
      <c r="D196" s="240"/>
      <c r="E196" s="18"/>
      <c r="F196" s="113"/>
      <c r="G196" s="264"/>
      <c r="H196" s="267"/>
      <c r="I196" s="240"/>
      <c r="J196" s="113"/>
      <c r="K196" s="260"/>
      <c r="L196" s="259"/>
      <c r="M196" s="24"/>
      <c r="N196" s="24"/>
      <c r="O196" s="113"/>
      <c r="P196" s="260"/>
      <c r="Q196" s="259"/>
      <c r="R196" s="241"/>
      <c r="S196" s="240"/>
      <c r="T196" s="113"/>
      <c r="U196" s="260"/>
      <c r="V196" s="259"/>
      <c r="W196" s="241"/>
      <c r="X196" s="240"/>
      <c r="Y196" s="113"/>
      <c r="Z196" s="260"/>
      <c r="AA196" s="259"/>
      <c r="AB196" s="241"/>
      <c r="AC196" s="240"/>
      <c r="AD196" s="113"/>
      <c r="AE196" s="260"/>
      <c r="AF196" s="259"/>
      <c r="AG196" s="26"/>
      <c r="AH196" s="60"/>
      <c r="AI196" s="139"/>
    </row>
    <row r="197" spans="1:35" s="25" customFormat="1" x14ac:dyDescent="0.25">
      <c r="A197" s="261"/>
      <c r="B197" s="260"/>
      <c r="C197" s="259"/>
      <c r="D197" s="241">
        <v>0.95</v>
      </c>
      <c r="E197" s="249" t="s">
        <v>398</v>
      </c>
      <c r="F197" s="113"/>
      <c r="G197" s="265"/>
      <c r="H197" s="268"/>
      <c r="I197" s="240"/>
      <c r="J197" s="113"/>
      <c r="K197" s="260"/>
      <c r="L197" s="259"/>
      <c r="M197" s="241"/>
      <c r="N197" s="240"/>
      <c r="O197" s="113"/>
      <c r="P197" s="260"/>
      <c r="Q197" s="259"/>
      <c r="R197" s="241"/>
      <c r="S197" s="240"/>
      <c r="T197" s="113"/>
      <c r="U197" s="260"/>
      <c r="V197" s="259"/>
      <c r="W197" s="241"/>
      <c r="X197" s="240"/>
      <c r="Y197" s="113"/>
      <c r="Z197" s="260"/>
      <c r="AA197" s="259"/>
      <c r="AB197" s="241"/>
      <c r="AC197" s="240"/>
      <c r="AD197" s="113"/>
      <c r="AE197" s="260"/>
      <c r="AF197" s="259"/>
      <c r="AG197" s="26"/>
      <c r="AH197" s="60"/>
      <c r="AI197" s="139"/>
    </row>
    <row r="198" spans="1:35" s="25" customFormat="1" x14ac:dyDescent="0.25">
      <c r="A198" s="261"/>
      <c r="B198" s="260"/>
      <c r="C198" s="259"/>
      <c r="D198" s="240">
        <f>B194-D196-D197</f>
        <v>1.2</v>
      </c>
      <c r="E198" s="249" t="s">
        <v>85</v>
      </c>
      <c r="F198" s="113"/>
      <c r="G198" s="260">
        <v>1.44</v>
      </c>
      <c r="H198" s="259">
        <v>10.24</v>
      </c>
      <c r="I198" s="240"/>
      <c r="J198" s="113"/>
      <c r="K198" s="260"/>
      <c r="L198" s="259"/>
      <c r="M198" s="241">
        <f>K194</f>
        <v>2.2999999999999998</v>
      </c>
      <c r="N198" s="249" t="s">
        <v>85</v>
      </c>
      <c r="O198" s="113"/>
      <c r="P198" s="260"/>
      <c r="Q198" s="259"/>
      <c r="R198" s="245"/>
      <c r="S198" s="246"/>
      <c r="T198" s="113"/>
      <c r="U198" s="260"/>
      <c r="V198" s="259"/>
      <c r="W198" s="241"/>
      <c r="X198" s="240"/>
      <c r="Y198" s="113"/>
      <c r="Z198" s="260"/>
      <c r="AA198" s="259"/>
      <c r="AB198" s="241"/>
      <c r="AC198" s="240"/>
      <c r="AD198" s="113"/>
      <c r="AE198" s="260"/>
      <c r="AF198" s="259"/>
      <c r="AG198" s="26"/>
      <c r="AH198" s="60"/>
      <c r="AI198" s="139"/>
    </row>
    <row r="199" spans="1:35" s="25" customFormat="1" x14ac:dyDescent="0.25">
      <c r="A199" s="261">
        <v>49</v>
      </c>
      <c r="B199" s="260">
        <v>0.28000000000000003</v>
      </c>
      <c r="C199" s="259">
        <v>10.28</v>
      </c>
      <c r="D199" s="240"/>
      <c r="E199" s="240"/>
      <c r="F199" s="113"/>
      <c r="G199" s="260"/>
      <c r="H199" s="259"/>
      <c r="I199" s="240"/>
      <c r="J199" s="113"/>
      <c r="K199" s="241">
        <v>0.09</v>
      </c>
      <c r="L199" s="240">
        <v>10.43</v>
      </c>
      <c r="M199" s="241"/>
      <c r="N199" s="240"/>
      <c r="O199" s="113"/>
      <c r="P199" s="260"/>
      <c r="Q199" s="259"/>
      <c r="R199" s="241"/>
      <c r="S199" s="240"/>
      <c r="T199" s="113"/>
      <c r="U199" s="260"/>
      <c r="V199" s="259"/>
      <c r="W199" s="241"/>
      <c r="X199" s="240"/>
      <c r="Y199" s="113"/>
      <c r="Z199" s="260"/>
      <c r="AA199" s="259"/>
      <c r="AB199" s="241"/>
      <c r="AC199" s="240"/>
      <c r="AD199" s="113"/>
      <c r="AE199" s="260">
        <v>0.02</v>
      </c>
      <c r="AF199" s="259">
        <v>10.54</v>
      </c>
      <c r="AG199" s="26"/>
      <c r="AH199" s="60"/>
      <c r="AI199" s="139"/>
    </row>
    <row r="200" spans="1:35" s="25" customFormat="1" x14ac:dyDescent="0.25">
      <c r="A200" s="261"/>
      <c r="B200" s="260"/>
      <c r="C200" s="259"/>
      <c r="D200" s="240"/>
      <c r="E200" s="240"/>
      <c r="F200" s="113"/>
      <c r="G200" s="260"/>
      <c r="H200" s="259"/>
      <c r="I200" s="240"/>
      <c r="J200" s="113"/>
      <c r="K200" s="241">
        <v>0.15</v>
      </c>
      <c r="L200" s="240">
        <v>10.46</v>
      </c>
      <c r="M200" s="241"/>
      <c r="N200" s="240"/>
      <c r="O200" s="113"/>
      <c r="P200" s="260"/>
      <c r="Q200" s="259"/>
      <c r="R200" s="24"/>
      <c r="S200" s="24"/>
      <c r="T200" s="113"/>
      <c r="U200" s="260"/>
      <c r="V200" s="259"/>
      <c r="W200" s="241"/>
      <c r="X200" s="240"/>
      <c r="Y200" s="113"/>
      <c r="Z200" s="260"/>
      <c r="AA200" s="259"/>
      <c r="AB200" s="241"/>
      <c r="AC200" s="240"/>
      <c r="AD200" s="113"/>
      <c r="AE200" s="260"/>
      <c r="AF200" s="259"/>
      <c r="AG200" s="26"/>
      <c r="AH200" s="60"/>
      <c r="AI200" s="139"/>
    </row>
    <row r="201" spans="1:35" s="25" customFormat="1" x14ac:dyDescent="0.25">
      <c r="A201" s="261">
        <v>50</v>
      </c>
      <c r="B201" s="260">
        <v>0.19</v>
      </c>
      <c r="C201" s="259">
        <v>10.38</v>
      </c>
      <c r="D201" s="240"/>
      <c r="E201" s="240"/>
      <c r="F201" s="113"/>
      <c r="G201" s="260"/>
      <c r="H201" s="259"/>
      <c r="I201" s="240"/>
      <c r="J201" s="113"/>
      <c r="K201" s="260">
        <v>0.27</v>
      </c>
      <c r="L201" s="259">
        <v>10.54</v>
      </c>
      <c r="M201" s="241"/>
      <c r="N201" s="240"/>
      <c r="O201" s="113"/>
      <c r="P201" s="260">
        <v>0.25</v>
      </c>
      <c r="Q201" s="259">
        <v>10.42</v>
      </c>
      <c r="R201" s="24"/>
      <c r="S201" s="24"/>
      <c r="T201" s="113"/>
      <c r="U201" s="241">
        <v>0.11</v>
      </c>
      <c r="V201" s="240">
        <v>10.43</v>
      </c>
      <c r="W201" s="241"/>
      <c r="X201" s="240"/>
      <c r="Y201" s="113"/>
      <c r="Z201" s="241"/>
      <c r="AA201" s="240"/>
      <c r="AB201" s="241"/>
      <c r="AC201" s="240"/>
      <c r="AD201" s="113"/>
      <c r="AE201" s="260"/>
      <c r="AF201" s="259"/>
      <c r="AG201" s="26"/>
      <c r="AH201" s="60"/>
      <c r="AI201" s="139"/>
    </row>
    <row r="202" spans="1:35" s="25" customFormat="1" x14ac:dyDescent="0.25">
      <c r="A202" s="261"/>
      <c r="B202" s="260"/>
      <c r="C202" s="259"/>
      <c r="D202" s="240">
        <f>B201</f>
        <v>0.19</v>
      </c>
      <c r="E202" s="249" t="s">
        <v>337</v>
      </c>
      <c r="F202" s="113"/>
      <c r="G202" s="260"/>
      <c r="H202" s="259"/>
      <c r="I202" s="240"/>
      <c r="J202" s="113"/>
      <c r="K202" s="260"/>
      <c r="L202" s="259"/>
      <c r="M202" s="241">
        <f>K201</f>
        <v>0.27</v>
      </c>
      <c r="N202" s="249" t="s">
        <v>337</v>
      </c>
      <c r="O202" s="113"/>
      <c r="P202" s="260"/>
      <c r="Q202" s="259"/>
      <c r="R202" s="24"/>
      <c r="S202" s="24"/>
      <c r="T202" s="113"/>
      <c r="U202" s="241">
        <v>0.11</v>
      </c>
      <c r="V202" s="240">
        <v>10.48</v>
      </c>
      <c r="W202" s="241"/>
      <c r="X202" s="240"/>
      <c r="Y202" s="113"/>
      <c r="Z202" s="241"/>
      <c r="AA202" s="240"/>
      <c r="AB202" s="241"/>
      <c r="AC202" s="240"/>
      <c r="AD202" s="113"/>
      <c r="AE202" s="260"/>
      <c r="AF202" s="259"/>
      <c r="AG202" s="26"/>
      <c r="AH202" s="60"/>
      <c r="AI202" s="139"/>
    </row>
    <row r="203" spans="1:35" s="25" customFormat="1" x14ac:dyDescent="0.25">
      <c r="A203" s="261">
        <v>51</v>
      </c>
      <c r="B203" s="260">
        <v>1.33</v>
      </c>
      <c r="C203" s="259">
        <v>10.6</v>
      </c>
      <c r="D203" s="240">
        <f>B203</f>
        <v>1.33</v>
      </c>
      <c r="E203" s="249" t="s">
        <v>467</v>
      </c>
      <c r="F203" s="113"/>
      <c r="G203" s="260">
        <v>0.78</v>
      </c>
      <c r="H203" s="259">
        <v>10.75</v>
      </c>
      <c r="I203" s="240"/>
      <c r="J203" s="113"/>
      <c r="K203" s="241">
        <v>7.0000000000000007E-2</v>
      </c>
      <c r="L203" s="240">
        <v>10.64</v>
      </c>
      <c r="M203" s="241">
        <f>K203</f>
        <v>7.0000000000000007E-2</v>
      </c>
      <c r="N203" s="249" t="s">
        <v>85</v>
      </c>
      <c r="O203" s="113"/>
      <c r="P203" s="260">
        <v>0.4</v>
      </c>
      <c r="Q203" s="259">
        <v>10.57</v>
      </c>
      <c r="R203" s="241"/>
      <c r="S203" s="240"/>
      <c r="T203" s="113"/>
      <c r="U203" s="241">
        <v>0.25</v>
      </c>
      <c r="V203" s="240">
        <v>10.57</v>
      </c>
      <c r="W203" s="241"/>
      <c r="X203" s="240"/>
      <c r="Y203" s="113"/>
      <c r="Z203" s="241"/>
      <c r="AA203" s="240"/>
      <c r="AB203" s="241"/>
      <c r="AC203" s="240"/>
      <c r="AD203" s="113"/>
      <c r="AE203" s="241"/>
      <c r="AF203" s="241"/>
      <c r="AG203" s="114"/>
      <c r="AH203" s="60"/>
      <c r="AI203" s="139"/>
    </row>
    <row r="204" spans="1:35" s="25" customFormat="1" x14ac:dyDescent="0.25">
      <c r="A204" s="261"/>
      <c r="B204" s="260"/>
      <c r="C204" s="259"/>
      <c r="D204" s="240"/>
      <c r="E204" s="240"/>
      <c r="F204" s="113"/>
      <c r="G204" s="260"/>
      <c r="H204" s="259"/>
      <c r="I204" s="240"/>
      <c r="J204" s="113"/>
      <c r="K204" s="241">
        <v>0.17</v>
      </c>
      <c r="L204" s="240">
        <v>10.67</v>
      </c>
      <c r="M204" s="241"/>
      <c r="N204" s="240"/>
      <c r="O204" s="113"/>
      <c r="P204" s="260"/>
      <c r="Q204" s="259"/>
      <c r="R204" s="241"/>
      <c r="S204" s="240"/>
      <c r="T204" s="113"/>
      <c r="U204" s="241">
        <v>0.09</v>
      </c>
      <c r="V204" s="240">
        <v>10.72</v>
      </c>
      <c r="W204" s="241"/>
      <c r="X204" s="240"/>
      <c r="Y204" s="113"/>
      <c r="Z204" s="241"/>
      <c r="AA204" s="240"/>
      <c r="AB204" s="241"/>
      <c r="AC204" s="240"/>
      <c r="AD204" s="113"/>
      <c r="AE204" s="241"/>
      <c r="AF204" s="241"/>
      <c r="AG204" s="114"/>
      <c r="AH204" s="60"/>
      <c r="AI204" s="139"/>
    </row>
    <row r="205" spans="1:35" s="25" customFormat="1" x14ac:dyDescent="0.25">
      <c r="A205" s="261">
        <v>52</v>
      </c>
      <c r="B205" s="260">
        <v>0.96</v>
      </c>
      <c r="C205" s="259">
        <v>10.77</v>
      </c>
      <c r="D205" s="240">
        <f>B205/2</f>
        <v>0.48</v>
      </c>
      <c r="E205" s="15" t="s">
        <v>546</v>
      </c>
      <c r="F205" s="113"/>
      <c r="G205" s="260">
        <v>0.69</v>
      </c>
      <c r="H205" s="259">
        <v>10.91</v>
      </c>
      <c r="I205" s="240"/>
      <c r="J205" s="113"/>
      <c r="K205" s="260">
        <v>0.28000000000000003</v>
      </c>
      <c r="L205" s="259">
        <v>10.85</v>
      </c>
      <c r="M205" s="241">
        <f>(K205+K208+K209)/2</f>
        <v>0.24000000000000005</v>
      </c>
      <c r="N205" s="15" t="s">
        <v>236</v>
      </c>
      <c r="O205" s="113"/>
      <c r="P205" s="260">
        <v>0.31</v>
      </c>
      <c r="Q205" s="259">
        <v>10.84</v>
      </c>
      <c r="R205" s="241"/>
      <c r="S205" s="240"/>
      <c r="T205" s="113"/>
      <c r="U205" s="56"/>
      <c r="V205" s="56"/>
      <c r="W205" s="56"/>
      <c r="X205" s="240"/>
      <c r="Y205" s="113"/>
      <c r="Z205" s="241"/>
      <c r="AA205" s="240"/>
      <c r="AB205" s="241"/>
      <c r="AC205" s="240"/>
      <c r="AD205" s="113"/>
      <c r="AE205" s="241"/>
      <c r="AF205" s="241"/>
      <c r="AG205" s="114"/>
      <c r="AH205" s="60"/>
      <c r="AI205" s="139"/>
    </row>
    <row r="206" spans="1:35" s="25" customFormat="1" x14ac:dyDescent="0.25">
      <c r="A206" s="261"/>
      <c r="B206" s="260"/>
      <c r="C206" s="259"/>
      <c r="D206" s="240">
        <f>D205</f>
        <v>0.48</v>
      </c>
      <c r="E206" s="249" t="s">
        <v>536</v>
      </c>
      <c r="F206" s="113"/>
      <c r="G206" s="260"/>
      <c r="H206" s="259"/>
      <c r="I206" s="240"/>
      <c r="J206" s="113"/>
      <c r="K206" s="260"/>
      <c r="L206" s="259"/>
      <c r="M206" s="241">
        <v>0.24</v>
      </c>
      <c r="N206" s="249" t="s">
        <v>337</v>
      </c>
      <c r="O206" s="113"/>
      <c r="P206" s="260"/>
      <c r="Q206" s="259"/>
      <c r="R206" s="241"/>
      <c r="S206" s="240"/>
      <c r="T206" s="113"/>
      <c r="U206" s="240"/>
      <c r="V206" s="240"/>
      <c r="W206" s="241"/>
      <c r="X206" s="240"/>
      <c r="Y206" s="113"/>
      <c r="Z206" s="241"/>
      <c r="AA206" s="240"/>
      <c r="AB206" s="241"/>
      <c r="AC206" s="240"/>
      <c r="AD206" s="113"/>
      <c r="AE206" s="241"/>
      <c r="AF206" s="240"/>
      <c r="AG206" s="114"/>
      <c r="AH206" s="60"/>
      <c r="AI206" s="139"/>
    </row>
    <row r="207" spans="1:35" s="25" customFormat="1" x14ac:dyDescent="0.25">
      <c r="A207" s="261"/>
      <c r="B207" s="260"/>
      <c r="C207" s="259"/>
      <c r="D207" s="240"/>
      <c r="E207" s="240"/>
      <c r="F207" s="113"/>
      <c r="G207" s="260"/>
      <c r="H207" s="259"/>
      <c r="I207" s="240"/>
      <c r="J207" s="113"/>
      <c r="K207" s="260"/>
      <c r="L207" s="259"/>
      <c r="M207" s="24"/>
      <c r="N207" s="24"/>
      <c r="O207" s="113"/>
      <c r="P207" s="260"/>
      <c r="Q207" s="259"/>
      <c r="R207" s="241"/>
      <c r="S207" s="240"/>
      <c r="T207" s="113"/>
      <c r="U207" s="240"/>
      <c r="V207" s="240"/>
      <c r="W207" s="241"/>
      <c r="X207" s="240"/>
      <c r="Y207" s="113"/>
      <c r="Z207" s="241"/>
      <c r="AA207" s="240"/>
      <c r="AB207" s="241"/>
      <c r="AC207" s="240"/>
      <c r="AD207" s="113"/>
      <c r="AE207" s="241"/>
      <c r="AF207" s="240"/>
      <c r="AG207" s="114"/>
      <c r="AH207" s="60"/>
      <c r="AI207" s="139"/>
    </row>
    <row r="208" spans="1:35" s="25" customFormat="1" x14ac:dyDescent="0.25">
      <c r="A208" s="261"/>
      <c r="B208" s="260"/>
      <c r="C208" s="259"/>
      <c r="D208" s="240"/>
      <c r="E208" s="240"/>
      <c r="F208" s="113"/>
      <c r="G208" s="260"/>
      <c r="H208" s="259"/>
      <c r="I208" s="240"/>
      <c r="J208" s="113"/>
      <c r="K208" s="241">
        <v>0.17</v>
      </c>
      <c r="L208" s="240">
        <v>10.95</v>
      </c>
      <c r="M208" s="241"/>
      <c r="N208" s="240"/>
      <c r="O208" s="113"/>
      <c r="P208" s="260"/>
      <c r="Q208" s="259"/>
      <c r="R208" s="241"/>
      <c r="S208" s="240"/>
      <c r="T208" s="113"/>
      <c r="U208" s="240"/>
      <c r="V208" s="240"/>
      <c r="W208" s="241"/>
      <c r="X208" s="240"/>
      <c r="Y208" s="113"/>
      <c r="Z208" s="241"/>
      <c r="AA208" s="240"/>
      <c r="AB208" s="241"/>
      <c r="AC208" s="240"/>
      <c r="AD208" s="113"/>
      <c r="AE208" s="241"/>
      <c r="AF208" s="240"/>
      <c r="AG208" s="114"/>
      <c r="AH208" s="60"/>
      <c r="AI208" s="139"/>
    </row>
    <row r="209" spans="1:35" s="25" customFormat="1" x14ac:dyDescent="0.25">
      <c r="A209" s="261"/>
      <c r="B209" s="260"/>
      <c r="C209" s="259"/>
      <c r="D209" s="240"/>
      <c r="E209" s="240"/>
      <c r="F209" s="113"/>
      <c r="G209" s="260"/>
      <c r="H209" s="259"/>
      <c r="I209" s="240"/>
      <c r="J209" s="113"/>
      <c r="K209" s="241">
        <v>0.03</v>
      </c>
      <c r="L209" s="240">
        <v>11</v>
      </c>
      <c r="M209" s="241"/>
      <c r="N209" s="240"/>
      <c r="O209" s="113"/>
      <c r="P209" s="260"/>
      <c r="Q209" s="259"/>
      <c r="R209" s="241"/>
      <c r="S209" s="240"/>
      <c r="T209" s="113"/>
      <c r="U209" s="240"/>
      <c r="V209" s="240"/>
      <c r="W209" s="241"/>
      <c r="X209" s="240"/>
      <c r="Y209" s="113"/>
      <c r="Z209" s="241"/>
      <c r="AA209" s="240"/>
      <c r="AB209" s="241"/>
      <c r="AC209" s="240"/>
      <c r="AD209" s="113"/>
      <c r="AE209" s="241"/>
      <c r="AF209" s="240"/>
      <c r="AG209" s="114"/>
      <c r="AH209" s="60"/>
      <c r="AI209" s="139"/>
    </row>
    <row r="210" spans="1:35" s="25" customFormat="1" x14ac:dyDescent="0.25">
      <c r="A210" s="261">
        <v>53</v>
      </c>
      <c r="B210" s="260">
        <v>0.31</v>
      </c>
      <c r="C210" s="259">
        <v>10.94</v>
      </c>
      <c r="D210" s="240"/>
      <c r="E210" s="240"/>
      <c r="F210" s="113"/>
      <c r="G210" s="260">
        <v>0.36</v>
      </c>
      <c r="H210" s="259">
        <v>11.07</v>
      </c>
      <c r="I210" s="240"/>
      <c r="J210" s="113"/>
      <c r="K210" s="241">
        <v>0.03</v>
      </c>
      <c r="L210" s="240">
        <v>11.1</v>
      </c>
      <c r="M210" s="241"/>
      <c r="N210" s="240"/>
      <c r="O210" s="113"/>
      <c r="P210" s="260">
        <v>0.17</v>
      </c>
      <c r="Q210" s="259">
        <v>10.99</v>
      </c>
      <c r="R210" s="241"/>
      <c r="S210" s="240"/>
      <c r="T210" s="113"/>
      <c r="U210" s="240"/>
      <c r="V210" s="240"/>
      <c r="W210" s="241"/>
      <c r="X210" s="240"/>
      <c r="Y210" s="113"/>
      <c r="Z210" s="241"/>
      <c r="AA210" s="240"/>
      <c r="AB210" s="241"/>
      <c r="AC210" s="240"/>
      <c r="AD210" s="113"/>
      <c r="AE210" s="241"/>
      <c r="AF210" s="241"/>
      <c r="AG210" s="114"/>
      <c r="AH210" s="60"/>
      <c r="AI210" s="139"/>
    </row>
    <row r="211" spans="1:35" s="25" customFormat="1" x14ac:dyDescent="0.25">
      <c r="A211" s="261"/>
      <c r="B211" s="260"/>
      <c r="C211" s="259"/>
      <c r="D211" s="241">
        <v>0.06</v>
      </c>
      <c r="E211" s="249" t="s">
        <v>250</v>
      </c>
      <c r="F211" s="113"/>
      <c r="G211" s="260"/>
      <c r="H211" s="259"/>
      <c r="I211" s="240"/>
      <c r="J211" s="113"/>
      <c r="K211" s="241">
        <v>0.06</v>
      </c>
      <c r="L211" s="240">
        <v>11.14</v>
      </c>
      <c r="M211" s="241">
        <f>D211</f>
        <v>0.06</v>
      </c>
      <c r="N211" s="249" t="s">
        <v>250</v>
      </c>
      <c r="O211" s="113"/>
      <c r="P211" s="260"/>
      <c r="Q211" s="259"/>
      <c r="R211" s="241"/>
      <c r="S211" s="240"/>
      <c r="T211" s="113"/>
      <c r="U211" s="240"/>
      <c r="V211" s="240"/>
      <c r="W211" s="241"/>
      <c r="X211" s="240"/>
      <c r="Y211" s="113"/>
      <c r="Z211" s="241"/>
      <c r="AA211" s="240"/>
      <c r="AB211" s="241"/>
      <c r="AC211" s="240"/>
      <c r="AD211" s="113"/>
      <c r="AE211" s="241"/>
      <c r="AF211" s="241"/>
      <c r="AG211" s="114"/>
      <c r="AH211" s="60"/>
      <c r="AI211" s="139"/>
    </row>
    <row r="212" spans="1:35" s="25" customFormat="1" x14ac:dyDescent="0.25">
      <c r="A212" s="261"/>
      <c r="B212" s="260"/>
      <c r="C212" s="259"/>
      <c r="D212" s="240">
        <f>B210-D211</f>
        <v>0.25</v>
      </c>
      <c r="E212" s="75" t="s">
        <v>466</v>
      </c>
      <c r="F212" s="113"/>
      <c r="G212" s="260"/>
      <c r="H212" s="259"/>
      <c r="I212" s="240"/>
      <c r="J212" s="113"/>
      <c r="K212" s="241">
        <v>0.15</v>
      </c>
      <c r="L212" s="240">
        <v>11.19</v>
      </c>
      <c r="M212" s="241">
        <f>K212</f>
        <v>0.15</v>
      </c>
      <c r="N212" s="75" t="s">
        <v>195</v>
      </c>
      <c r="O212" s="113"/>
      <c r="P212" s="260"/>
      <c r="Q212" s="259"/>
      <c r="R212" s="241"/>
      <c r="S212" s="240"/>
      <c r="T212" s="113"/>
      <c r="U212" s="240"/>
      <c r="V212" s="240"/>
      <c r="W212" s="241"/>
      <c r="X212" s="240"/>
      <c r="Y212" s="113"/>
      <c r="Z212" s="241"/>
      <c r="AA212" s="240"/>
      <c r="AB212" s="241"/>
      <c r="AC212" s="240"/>
      <c r="AD212" s="113"/>
      <c r="AE212" s="241"/>
      <c r="AF212" s="241"/>
      <c r="AG212" s="114"/>
      <c r="AH212" s="60"/>
      <c r="AI212" s="139"/>
    </row>
    <row r="213" spans="1:35" s="25" customFormat="1" x14ac:dyDescent="0.25">
      <c r="A213" s="261">
        <v>54</v>
      </c>
      <c r="B213" s="260">
        <v>0.69</v>
      </c>
      <c r="C213" s="259">
        <v>11.04</v>
      </c>
      <c r="D213" s="240">
        <f>B213/5</f>
        <v>0.13799999999999998</v>
      </c>
      <c r="E213" s="249" t="s">
        <v>464</v>
      </c>
      <c r="F213" s="113"/>
      <c r="G213" s="260">
        <v>0.34</v>
      </c>
      <c r="H213" s="259">
        <v>11.22</v>
      </c>
      <c r="I213" s="240"/>
      <c r="J213" s="113"/>
      <c r="K213" s="260">
        <v>0.51</v>
      </c>
      <c r="L213" s="259">
        <v>11.29</v>
      </c>
      <c r="M213" s="241">
        <f>K213/5</f>
        <v>0.10200000000000001</v>
      </c>
      <c r="N213" s="249" t="s">
        <v>251</v>
      </c>
      <c r="O213" s="113"/>
      <c r="P213" s="260">
        <v>0.24</v>
      </c>
      <c r="Q213" s="259">
        <v>11.17</v>
      </c>
      <c r="R213" s="24"/>
      <c r="S213" s="24"/>
      <c r="T213" s="113"/>
      <c r="U213" s="240"/>
      <c r="V213" s="240"/>
      <c r="W213" s="241"/>
      <c r="X213" s="240"/>
      <c r="Y213" s="113"/>
      <c r="Z213" s="241"/>
      <c r="AA213" s="240"/>
      <c r="AB213" s="241"/>
      <c r="AC213" s="240"/>
      <c r="AD213" s="113"/>
      <c r="AE213" s="241"/>
      <c r="AF213" s="241"/>
      <c r="AG213" s="114"/>
      <c r="AH213" s="60"/>
      <c r="AI213" s="139"/>
    </row>
    <row r="214" spans="1:35" s="25" customFormat="1" x14ac:dyDescent="0.25">
      <c r="A214" s="261"/>
      <c r="B214" s="260"/>
      <c r="C214" s="259"/>
      <c r="D214" s="240">
        <v>0.14000000000000001</v>
      </c>
      <c r="E214" s="249" t="s">
        <v>465</v>
      </c>
      <c r="F214" s="113"/>
      <c r="G214" s="260"/>
      <c r="H214" s="259"/>
      <c r="I214" s="240"/>
      <c r="J214" s="113"/>
      <c r="K214" s="260"/>
      <c r="L214" s="259"/>
      <c r="M214" s="241">
        <v>0.1</v>
      </c>
      <c r="N214" s="249" t="s">
        <v>252</v>
      </c>
      <c r="O214" s="113"/>
      <c r="P214" s="260"/>
      <c r="Q214" s="259"/>
      <c r="R214" s="24"/>
      <c r="S214" s="24"/>
      <c r="T214" s="113"/>
      <c r="U214" s="240"/>
      <c r="V214" s="240"/>
      <c r="W214" s="241"/>
      <c r="X214" s="240"/>
      <c r="Y214" s="113"/>
      <c r="Z214" s="241"/>
      <c r="AA214" s="240"/>
      <c r="AB214" s="241"/>
      <c r="AC214" s="240"/>
      <c r="AD214" s="113"/>
      <c r="AE214" s="241"/>
      <c r="AF214" s="241"/>
      <c r="AG214" s="114"/>
      <c r="AH214" s="114"/>
      <c r="AI214" s="139"/>
    </row>
    <row r="215" spans="1:35" s="25" customFormat="1" x14ac:dyDescent="0.25">
      <c r="A215" s="261"/>
      <c r="B215" s="260"/>
      <c r="C215" s="259"/>
      <c r="D215" s="240">
        <v>0.14000000000000001</v>
      </c>
      <c r="E215" s="22" t="s">
        <v>463</v>
      </c>
      <c r="F215" s="113"/>
      <c r="G215" s="260"/>
      <c r="H215" s="259"/>
      <c r="I215" s="240"/>
      <c r="J215" s="113"/>
      <c r="K215" s="260"/>
      <c r="L215" s="259"/>
      <c r="M215" s="241">
        <v>0.1</v>
      </c>
      <c r="N215" s="22" t="s">
        <v>162</v>
      </c>
      <c r="O215" s="113"/>
      <c r="P215" s="260"/>
      <c r="Q215" s="259"/>
      <c r="R215" s="24"/>
      <c r="S215" s="24"/>
      <c r="T215" s="113"/>
      <c r="U215" s="240"/>
      <c r="V215" s="240"/>
      <c r="W215" s="241"/>
      <c r="X215" s="240"/>
      <c r="Y215" s="113"/>
      <c r="Z215" s="241"/>
      <c r="AA215" s="240"/>
      <c r="AB215" s="241"/>
      <c r="AC215" s="240"/>
      <c r="AD215" s="113"/>
      <c r="AE215" s="241"/>
      <c r="AF215" s="241"/>
      <c r="AG215" s="114"/>
      <c r="AH215" s="114"/>
      <c r="AI215" s="139"/>
    </row>
    <row r="216" spans="1:35" s="25" customFormat="1" x14ac:dyDescent="0.25">
      <c r="A216" s="261"/>
      <c r="B216" s="260"/>
      <c r="C216" s="259"/>
      <c r="D216" s="240">
        <v>0.14000000000000001</v>
      </c>
      <c r="E216" s="63" t="s">
        <v>462</v>
      </c>
      <c r="F216" s="113"/>
      <c r="G216" s="260"/>
      <c r="H216" s="259"/>
      <c r="I216" s="240"/>
      <c r="J216" s="113"/>
      <c r="K216" s="260"/>
      <c r="L216" s="259"/>
      <c r="M216" s="241">
        <v>0.1</v>
      </c>
      <c r="N216" s="63" t="s">
        <v>90</v>
      </c>
      <c r="O216" s="113"/>
      <c r="P216" s="260"/>
      <c r="Q216" s="259"/>
      <c r="R216" s="24"/>
      <c r="S216" s="24"/>
      <c r="T216" s="113"/>
      <c r="U216" s="240"/>
      <c r="V216" s="240"/>
      <c r="W216" s="241"/>
      <c r="X216" s="240"/>
      <c r="Y216" s="113"/>
      <c r="Z216" s="241"/>
      <c r="AA216" s="240"/>
      <c r="AB216" s="241"/>
      <c r="AC216" s="240"/>
      <c r="AD216" s="113"/>
      <c r="AE216" s="241"/>
      <c r="AF216" s="240"/>
      <c r="AG216" s="114"/>
      <c r="AH216" s="114"/>
      <c r="AI216" s="139"/>
    </row>
    <row r="217" spans="1:35" s="25" customFormat="1" x14ac:dyDescent="0.25">
      <c r="A217" s="261"/>
      <c r="B217" s="260"/>
      <c r="C217" s="259"/>
      <c r="D217" s="240">
        <v>0.14000000000000001</v>
      </c>
      <c r="E217" s="249" t="s">
        <v>461</v>
      </c>
      <c r="F217" s="113"/>
      <c r="G217" s="260"/>
      <c r="H217" s="259"/>
      <c r="I217" s="240"/>
      <c r="J217" s="113"/>
      <c r="K217" s="260"/>
      <c r="L217" s="259"/>
      <c r="M217" s="241">
        <v>0.1</v>
      </c>
      <c r="N217" s="249" t="s">
        <v>161</v>
      </c>
      <c r="O217" s="113"/>
      <c r="P217" s="260"/>
      <c r="Q217" s="259"/>
      <c r="R217" s="241"/>
      <c r="S217" s="240"/>
      <c r="T217" s="113"/>
      <c r="U217" s="240"/>
      <c r="V217" s="240"/>
      <c r="W217" s="241"/>
      <c r="X217" s="240"/>
      <c r="Y217" s="113"/>
      <c r="Z217" s="241"/>
      <c r="AA217" s="240"/>
      <c r="AB217" s="241"/>
      <c r="AC217" s="240"/>
      <c r="AD217" s="113"/>
      <c r="AE217" s="241"/>
      <c r="AF217" s="240"/>
      <c r="AG217" s="114"/>
      <c r="AH217" s="114"/>
      <c r="AI217" s="139"/>
    </row>
    <row r="218" spans="1:35" s="25" customFormat="1" x14ac:dyDescent="0.25">
      <c r="A218" s="261">
        <v>55</v>
      </c>
      <c r="B218" s="260">
        <v>1.1499999999999999</v>
      </c>
      <c r="C218" s="259">
        <v>11.32</v>
      </c>
      <c r="D218" s="241"/>
      <c r="E218" s="240"/>
      <c r="F218" s="113"/>
      <c r="G218" s="260">
        <v>0.62</v>
      </c>
      <c r="H218" s="259">
        <v>11.46</v>
      </c>
      <c r="I218" s="240"/>
      <c r="J218" s="113"/>
      <c r="K218" s="241">
        <v>0.49</v>
      </c>
      <c r="L218" s="240">
        <v>11.45</v>
      </c>
      <c r="M218" s="241"/>
      <c r="N218" s="240"/>
      <c r="O218" s="113"/>
      <c r="P218" s="260">
        <v>1.25</v>
      </c>
      <c r="Q218" s="259">
        <v>11.4</v>
      </c>
      <c r="R218" s="241"/>
      <c r="S218" s="240"/>
      <c r="T218" s="113"/>
      <c r="U218" s="240"/>
      <c r="V218" s="240"/>
      <c r="W218" s="241"/>
      <c r="X218" s="240"/>
      <c r="Y218" s="113"/>
      <c r="Z218" s="241"/>
      <c r="AA218" s="240"/>
      <c r="AB218" s="241"/>
      <c r="AC218" s="240"/>
      <c r="AD218" s="113"/>
      <c r="AE218" s="241"/>
      <c r="AF218" s="240"/>
      <c r="AG218" s="114"/>
      <c r="AH218" s="114"/>
      <c r="AI218" s="139"/>
    </row>
    <row r="219" spans="1:35" s="25" customFormat="1" x14ac:dyDescent="0.25">
      <c r="A219" s="261"/>
      <c r="B219" s="260"/>
      <c r="C219" s="259"/>
      <c r="D219" s="240">
        <f>B218</f>
        <v>1.1499999999999999</v>
      </c>
      <c r="E219" s="75" t="s">
        <v>35</v>
      </c>
      <c r="F219" s="113"/>
      <c r="G219" s="260"/>
      <c r="H219" s="259"/>
      <c r="I219" s="240"/>
      <c r="J219" s="113"/>
      <c r="K219" s="241">
        <v>0.6</v>
      </c>
      <c r="L219" s="240">
        <v>11.52</v>
      </c>
      <c r="M219" s="241">
        <f>K219+K218</f>
        <v>1.0899999999999999</v>
      </c>
      <c r="N219" s="75" t="s">
        <v>35</v>
      </c>
      <c r="O219" s="113"/>
      <c r="P219" s="260"/>
      <c r="Q219" s="259"/>
      <c r="R219" s="241">
        <f>P218</f>
        <v>1.25</v>
      </c>
      <c r="S219" s="75" t="s">
        <v>348</v>
      </c>
      <c r="T219" s="113"/>
      <c r="U219" s="240"/>
      <c r="V219" s="240"/>
      <c r="W219" s="241"/>
      <c r="X219" s="240"/>
      <c r="Y219" s="113"/>
      <c r="Z219" s="241"/>
      <c r="AA219" s="240"/>
      <c r="AB219" s="241"/>
      <c r="AC219" s="240"/>
      <c r="AD219" s="113"/>
      <c r="AE219" s="241"/>
      <c r="AF219" s="240"/>
      <c r="AG219" s="114"/>
      <c r="AH219" s="114"/>
      <c r="AI219" s="139"/>
    </row>
    <row r="220" spans="1:35" s="25" customFormat="1" x14ac:dyDescent="0.25">
      <c r="A220" s="261">
        <v>56</v>
      </c>
      <c r="B220" s="260">
        <v>0.81</v>
      </c>
      <c r="C220" s="259">
        <v>11.45</v>
      </c>
      <c r="D220" s="240">
        <f>D222</f>
        <v>0.27</v>
      </c>
      <c r="E220" s="249" t="s">
        <v>161</v>
      </c>
      <c r="F220" s="113"/>
      <c r="G220" s="263">
        <v>0.56999999999999995</v>
      </c>
      <c r="H220" s="266">
        <v>11.56</v>
      </c>
      <c r="I220" s="240"/>
      <c r="J220" s="113"/>
      <c r="K220" s="260">
        <v>0.99</v>
      </c>
      <c r="L220" s="259">
        <v>11.62</v>
      </c>
      <c r="M220" s="241">
        <f>K220/3</f>
        <v>0.33</v>
      </c>
      <c r="N220" s="249" t="s">
        <v>161</v>
      </c>
      <c r="O220" s="113"/>
      <c r="P220" s="260">
        <v>1.03</v>
      </c>
      <c r="Q220" s="259">
        <v>11.49</v>
      </c>
      <c r="R220" s="241"/>
      <c r="S220" s="240"/>
      <c r="T220" s="113"/>
      <c r="U220" s="240"/>
      <c r="V220" s="240"/>
      <c r="W220" s="241"/>
      <c r="X220" s="240"/>
      <c r="Y220" s="113"/>
      <c r="Z220" s="241"/>
      <c r="AA220" s="240"/>
      <c r="AB220" s="241"/>
      <c r="AC220" s="240"/>
      <c r="AD220" s="113"/>
      <c r="AE220" s="241"/>
      <c r="AF220" s="240"/>
      <c r="AG220" s="114"/>
      <c r="AH220" s="114"/>
      <c r="AI220" s="139"/>
    </row>
    <row r="221" spans="1:35" s="25" customFormat="1" x14ac:dyDescent="0.25">
      <c r="A221" s="261"/>
      <c r="B221" s="260"/>
      <c r="C221" s="259"/>
      <c r="D221" s="240">
        <f>D222</f>
        <v>0.27</v>
      </c>
      <c r="E221" s="249" t="s">
        <v>253</v>
      </c>
      <c r="F221" s="113"/>
      <c r="G221" s="264"/>
      <c r="H221" s="267"/>
      <c r="I221" s="240"/>
      <c r="J221" s="113"/>
      <c r="K221" s="260"/>
      <c r="L221" s="259"/>
      <c r="M221" s="241">
        <v>0.33</v>
      </c>
      <c r="N221" s="249" t="s">
        <v>253</v>
      </c>
      <c r="O221" s="113"/>
      <c r="P221" s="260"/>
      <c r="Q221" s="259"/>
      <c r="R221" s="24"/>
      <c r="S221" s="24"/>
      <c r="T221" s="113"/>
      <c r="U221" s="240"/>
      <c r="V221" s="240"/>
      <c r="W221" s="241"/>
      <c r="X221" s="240"/>
      <c r="Y221" s="113"/>
      <c r="Z221" s="241"/>
      <c r="AA221" s="240"/>
      <c r="AB221" s="241"/>
      <c r="AC221" s="240"/>
      <c r="AD221" s="113"/>
      <c r="AE221" s="241"/>
      <c r="AF221" s="240"/>
      <c r="AG221" s="114"/>
      <c r="AH221" s="114"/>
      <c r="AI221" s="139"/>
    </row>
    <row r="222" spans="1:35" s="25" customFormat="1" x14ac:dyDescent="0.25">
      <c r="A222" s="261"/>
      <c r="B222" s="260"/>
      <c r="C222" s="259"/>
      <c r="D222" s="240">
        <f>B220/3</f>
        <v>0.27</v>
      </c>
      <c r="E222" s="15" t="s">
        <v>120</v>
      </c>
      <c r="F222" s="113"/>
      <c r="G222" s="264"/>
      <c r="H222" s="267"/>
      <c r="I222" s="240"/>
      <c r="J222" s="113"/>
      <c r="K222" s="260"/>
      <c r="L222" s="259"/>
      <c r="M222" s="241">
        <v>0.33</v>
      </c>
      <c r="N222" s="15" t="s">
        <v>120</v>
      </c>
      <c r="O222" s="113"/>
      <c r="P222" s="260"/>
      <c r="Q222" s="259"/>
      <c r="R222" s="241">
        <f>P220</f>
        <v>1.03</v>
      </c>
      <c r="S222" s="15" t="s">
        <v>120</v>
      </c>
      <c r="T222" s="113"/>
      <c r="U222" s="240"/>
      <c r="V222" s="240"/>
      <c r="W222" s="241"/>
      <c r="X222" s="240"/>
      <c r="Y222" s="113"/>
      <c r="Z222" s="241"/>
      <c r="AA222" s="240"/>
      <c r="AB222" s="241"/>
      <c r="AC222" s="240"/>
      <c r="AD222" s="113"/>
      <c r="AE222" s="241"/>
      <c r="AF222" s="240"/>
      <c r="AG222" s="114"/>
      <c r="AH222" s="114"/>
      <c r="AI222" s="139"/>
    </row>
    <row r="223" spans="1:35" s="25" customFormat="1" x14ac:dyDescent="0.25">
      <c r="A223" s="261"/>
      <c r="B223" s="260"/>
      <c r="C223" s="259"/>
      <c r="F223" s="113"/>
      <c r="G223" s="265"/>
      <c r="H223" s="268"/>
      <c r="I223" s="240"/>
      <c r="J223" s="113"/>
      <c r="K223" s="260"/>
      <c r="L223" s="259"/>
      <c r="M223" s="24"/>
      <c r="N223" s="24"/>
      <c r="O223" s="113"/>
      <c r="P223" s="260"/>
      <c r="Q223" s="259"/>
      <c r="R223" s="241"/>
      <c r="S223" s="240"/>
      <c r="T223" s="113"/>
      <c r="U223" s="240"/>
      <c r="V223" s="240"/>
      <c r="W223" s="241"/>
      <c r="X223" s="240"/>
      <c r="Y223" s="113"/>
      <c r="Z223" s="241"/>
      <c r="AA223" s="240"/>
      <c r="AB223" s="241"/>
      <c r="AC223" s="240"/>
      <c r="AD223" s="113"/>
      <c r="AE223" s="241"/>
      <c r="AF223" s="240"/>
      <c r="AG223" s="114"/>
      <c r="AH223" s="114"/>
      <c r="AI223" s="139"/>
    </row>
    <row r="224" spans="1:35" s="25" customFormat="1" x14ac:dyDescent="0.25">
      <c r="A224" s="261">
        <v>57</v>
      </c>
      <c r="B224" s="260">
        <v>0.54</v>
      </c>
      <c r="C224" s="259">
        <v>11.78</v>
      </c>
      <c r="D224" s="240"/>
      <c r="E224" s="16"/>
      <c r="F224" s="113"/>
      <c r="G224" s="263">
        <v>0.38</v>
      </c>
      <c r="H224" s="266">
        <v>11.9</v>
      </c>
      <c r="I224" s="240"/>
      <c r="J224" s="113"/>
      <c r="K224" s="241"/>
      <c r="L224" s="240"/>
      <c r="M224" s="241"/>
      <c r="N224" s="16"/>
      <c r="O224" s="113"/>
      <c r="P224" s="260">
        <v>0.25</v>
      </c>
      <c r="Q224" s="259">
        <v>11.84</v>
      </c>
      <c r="R224" s="241"/>
      <c r="S224" s="240"/>
      <c r="T224" s="113"/>
      <c r="U224" s="240"/>
      <c r="V224" s="240"/>
      <c r="W224" s="241"/>
      <c r="X224" s="240"/>
      <c r="Y224" s="113"/>
      <c r="Z224" s="241"/>
      <c r="AA224" s="240"/>
      <c r="AB224" s="241"/>
      <c r="AC224" s="240"/>
      <c r="AD224" s="113"/>
      <c r="AE224" s="241"/>
      <c r="AF224" s="240"/>
      <c r="AG224" s="114"/>
      <c r="AH224" s="114"/>
      <c r="AI224" s="139"/>
    </row>
    <row r="225" spans="1:35" s="25" customFormat="1" x14ac:dyDescent="0.25">
      <c r="A225" s="261"/>
      <c r="B225" s="260"/>
      <c r="C225" s="259"/>
      <c r="D225" s="240"/>
      <c r="E225" s="240"/>
      <c r="F225" s="113"/>
      <c r="G225" s="264"/>
      <c r="H225" s="267"/>
      <c r="I225" s="240"/>
      <c r="J225" s="113"/>
      <c r="K225" s="241"/>
      <c r="L225" s="240"/>
      <c r="M225" s="241"/>
      <c r="N225" s="246"/>
      <c r="O225" s="113"/>
      <c r="P225" s="260"/>
      <c r="Q225" s="259"/>
      <c r="R225" s="241"/>
      <c r="S225" s="240"/>
      <c r="T225" s="113"/>
      <c r="U225" s="240"/>
      <c r="V225" s="240"/>
      <c r="W225" s="241"/>
      <c r="X225" s="240"/>
      <c r="Y225" s="113"/>
      <c r="Z225" s="241"/>
      <c r="AA225" s="240"/>
      <c r="AB225" s="241"/>
      <c r="AC225" s="240"/>
      <c r="AD225" s="113"/>
      <c r="AE225" s="241"/>
      <c r="AF225" s="240"/>
      <c r="AG225" s="114"/>
      <c r="AH225" s="114"/>
      <c r="AI225" s="139"/>
    </row>
    <row r="226" spans="1:35" s="25" customFormat="1" x14ac:dyDescent="0.25">
      <c r="A226" s="261"/>
      <c r="B226" s="260"/>
      <c r="C226" s="259"/>
      <c r="D226" s="240">
        <f>B224-D224</f>
        <v>0.54</v>
      </c>
      <c r="E226" s="249" t="s">
        <v>256</v>
      </c>
      <c r="F226" s="113"/>
      <c r="G226" s="265"/>
      <c r="H226" s="268"/>
      <c r="I226" s="240"/>
      <c r="J226" s="113"/>
      <c r="K226" s="241"/>
      <c r="L226" s="240"/>
      <c r="M226" s="241"/>
      <c r="N226" s="246"/>
      <c r="O226" s="113"/>
      <c r="P226" s="260"/>
      <c r="Q226" s="259"/>
      <c r="R226" s="241"/>
      <c r="S226" s="240"/>
      <c r="T226" s="113"/>
      <c r="U226" s="240"/>
      <c r="V226" s="240"/>
      <c r="W226" s="241"/>
      <c r="X226" s="240"/>
      <c r="Y226" s="113"/>
      <c r="Z226" s="241"/>
      <c r="AA226" s="240"/>
      <c r="AB226" s="241"/>
      <c r="AC226" s="240"/>
      <c r="AD226" s="113"/>
      <c r="AE226" s="241"/>
      <c r="AF226" s="240"/>
      <c r="AG226" s="114"/>
      <c r="AH226" s="114"/>
      <c r="AI226" s="139"/>
    </row>
    <row r="227" spans="1:35" s="25" customFormat="1" x14ac:dyDescent="0.25">
      <c r="A227" s="261">
        <v>58</v>
      </c>
      <c r="B227" s="260">
        <v>1.19</v>
      </c>
      <c r="C227" s="259">
        <v>11.97</v>
      </c>
      <c r="D227" s="241">
        <v>0.26</v>
      </c>
      <c r="E227" s="249" t="s">
        <v>246</v>
      </c>
      <c r="F227" s="113"/>
      <c r="G227" s="263">
        <v>0.75</v>
      </c>
      <c r="H227" s="266">
        <v>12.05</v>
      </c>
      <c r="I227" s="240"/>
      <c r="J227" s="113"/>
      <c r="K227" s="241"/>
      <c r="L227" s="240"/>
      <c r="M227" s="241"/>
      <c r="N227" s="246"/>
      <c r="O227" s="113"/>
      <c r="P227" s="260">
        <v>0.19</v>
      </c>
      <c r="Q227" s="259">
        <v>11.89</v>
      </c>
      <c r="R227" s="241"/>
      <c r="S227" s="240"/>
      <c r="T227" s="113"/>
      <c r="U227" s="240"/>
      <c r="V227" s="240"/>
      <c r="W227" s="241"/>
      <c r="X227" s="240"/>
      <c r="Y227" s="113"/>
      <c r="Z227" s="241"/>
      <c r="AA227" s="240"/>
      <c r="AB227" s="241"/>
      <c r="AC227" s="240"/>
      <c r="AD227" s="113"/>
      <c r="AE227" s="241"/>
      <c r="AF227" s="240"/>
      <c r="AG227" s="114"/>
      <c r="AH227" s="114"/>
      <c r="AI227" s="139"/>
    </row>
    <row r="228" spans="1:35" s="25" customFormat="1" x14ac:dyDescent="0.25">
      <c r="A228" s="261"/>
      <c r="B228" s="260"/>
      <c r="C228" s="259"/>
      <c r="D228" s="241">
        <v>0.37</v>
      </c>
      <c r="E228" s="61" t="s">
        <v>257</v>
      </c>
      <c r="F228" s="113"/>
      <c r="G228" s="264"/>
      <c r="H228" s="267"/>
      <c r="I228" s="240"/>
      <c r="J228" s="113"/>
      <c r="K228" s="241"/>
      <c r="L228" s="240"/>
      <c r="M228" s="241"/>
      <c r="N228" s="146"/>
      <c r="O228" s="113"/>
      <c r="P228" s="260"/>
      <c r="Q228" s="259"/>
      <c r="R228" s="241"/>
      <c r="S228" s="240"/>
      <c r="T228" s="113"/>
      <c r="U228" s="240"/>
      <c r="V228" s="240"/>
      <c r="W228" s="241"/>
      <c r="X228" s="240"/>
      <c r="Y228" s="113"/>
      <c r="Z228" s="241"/>
      <c r="AA228" s="240"/>
      <c r="AB228" s="241"/>
      <c r="AC228" s="240"/>
      <c r="AD228" s="113"/>
      <c r="AE228" s="241"/>
      <c r="AF228" s="240"/>
      <c r="AG228" s="114"/>
      <c r="AH228" s="114"/>
      <c r="AI228" s="139"/>
    </row>
    <row r="229" spans="1:35" s="25" customFormat="1" x14ac:dyDescent="0.25">
      <c r="A229" s="261"/>
      <c r="B229" s="260"/>
      <c r="C229" s="259"/>
      <c r="D229" s="240">
        <v>0.41</v>
      </c>
      <c r="E229" s="249" t="s">
        <v>258</v>
      </c>
      <c r="F229" s="113"/>
      <c r="G229" s="264"/>
      <c r="H229" s="267"/>
      <c r="I229" s="240"/>
      <c r="J229" s="113"/>
      <c r="K229" s="241"/>
      <c r="L229" s="240"/>
      <c r="M229" s="241"/>
      <c r="N229" s="246"/>
      <c r="O229" s="113"/>
      <c r="P229" s="260"/>
      <c r="Q229" s="259"/>
      <c r="R229" s="241"/>
      <c r="S229" s="240"/>
      <c r="T229" s="113"/>
      <c r="U229" s="240"/>
      <c r="V229" s="240"/>
      <c r="W229" s="241"/>
      <c r="X229" s="240"/>
      <c r="Y229" s="113"/>
      <c r="Z229" s="241"/>
      <c r="AA229" s="240"/>
      <c r="AB229" s="241"/>
      <c r="AC229" s="240"/>
      <c r="AD229" s="113"/>
      <c r="AE229" s="241"/>
      <c r="AF229" s="240"/>
      <c r="AG229" s="114"/>
      <c r="AH229" s="114"/>
      <c r="AI229" s="139"/>
    </row>
    <row r="230" spans="1:35" s="25" customFormat="1" x14ac:dyDescent="0.25">
      <c r="A230" s="261"/>
      <c r="B230" s="260"/>
      <c r="C230" s="259"/>
      <c r="D230" s="240"/>
      <c r="E230" s="240"/>
      <c r="F230" s="113"/>
      <c r="G230" s="265"/>
      <c r="H230" s="268"/>
      <c r="I230" s="240"/>
      <c r="J230" s="113"/>
      <c r="K230" s="241"/>
      <c r="L230" s="240"/>
      <c r="M230" s="241"/>
      <c r="N230" s="246"/>
      <c r="O230" s="113"/>
      <c r="P230" s="260"/>
      <c r="Q230" s="259"/>
      <c r="R230" s="241"/>
      <c r="S230" s="240"/>
      <c r="T230" s="113"/>
      <c r="U230" s="240"/>
      <c r="V230" s="240"/>
      <c r="W230" s="241"/>
      <c r="X230" s="240"/>
      <c r="Y230" s="113"/>
      <c r="Z230" s="241"/>
      <c r="AA230" s="240"/>
      <c r="AB230" s="241"/>
      <c r="AC230" s="240"/>
      <c r="AD230" s="113"/>
      <c r="AE230" s="241"/>
      <c r="AF230" s="240"/>
      <c r="AG230" s="114"/>
      <c r="AH230" s="114"/>
      <c r="AI230" s="139"/>
    </row>
    <row r="231" spans="1:35" s="25" customFormat="1" x14ac:dyDescent="0.25">
      <c r="A231" s="242">
        <v>59</v>
      </c>
      <c r="B231" s="241">
        <v>0.36</v>
      </c>
      <c r="C231" s="240">
        <v>12.25</v>
      </c>
      <c r="D231" s="240">
        <f>B231+B232+B233</f>
        <v>1.71</v>
      </c>
      <c r="E231" s="249" t="s">
        <v>259</v>
      </c>
      <c r="F231" s="113"/>
      <c r="G231" s="241">
        <v>0.21</v>
      </c>
      <c r="H231" s="240">
        <v>12.37</v>
      </c>
      <c r="I231" s="240"/>
      <c r="J231" s="113"/>
      <c r="K231" s="241"/>
      <c r="L231" s="240"/>
      <c r="M231" s="241"/>
      <c r="N231" s="246"/>
      <c r="O231" s="113"/>
      <c r="P231" s="241">
        <v>0.28999999999999998</v>
      </c>
      <c r="Q231" s="240">
        <v>12.35</v>
      </c>
      <c r="R231" s="241"/>
      <c r="S231" s="240"/>
      <c r="T231" s="113"/>
      <c r="U231" s="240"/>
      <c r="V231" s="240"/>
      <c r="W231" s="241"/>
      <c r="X231" s="240"/>
      <c r="Y231" s="113"/>
      <c r="Z231" s="241"/>
      <c r="AA231" s="240"/>
      <c r="AB231" s="241"/>
      <c r="AC231" s="240"/>
      <c r="AD231" s="113"/>
      <c r="AE231" s="241"/>
      <c r="AF231" s="240"/>
      <c r="AG231" s="114"/>
      <c r="AH231" s="114"/>
      <c r="AI231" s="139"/>
    </row>
    <row r="232" spans="1:35" s="25" customFormat="1" x14ac:dyDescent="0.25">
      <c r="A232" s="242">
        <v>60</v>
      </c>
      <c r="B232" s="241">
        <v>0.87</v>
      </c>
      <c r="C232" s="240">
        <v>12.47</v>
      </c>
      <c r="D232" s="240"/>
      <c r="E232" s="240"/>
      <c r="F232" s="113"/>
      <c r="G232" s="241">
        <v>0.43</v>
      </c>
      <c r="H232" s="240">
        <v>12.6</v>
      </c>
      <c r="I232" s="240"/>
      <c r="J232" s="113"/>
      <c r="K232" s="241"/>
      <c r="L232" s="240"/>
      <c r="M232" s="241"/>
      <c r="N232" s="240"/>
      <c r="O232" s="113"/>
      <c r="P232" s="241">
        <v>1.3</v>
      </c>
      <c r="Q232" s="240">
        <v>12.6</v>
      </c>
      <c r="R232" s="241"/>
      <c r="S232" s="240"/>
      <c r="T232" s="113"/>
      <c r="U232" s="240"/>
      <c r="V232" s="240"/>
      <c r="W232" s="241"/>
      <c r="X232" s="240"/>
      <c r="Y232" s="113"/>
      <c r="Z232" s="241"/>
      <c r="AA232" s="240"/>
      <c r="AB232" s="241"/>
      <c r="AC232" s="240"/>
      <c r="AD232" s="113"/>
      <c r="AE232" s="241"/>
      <c r="AF232" s="240"/>
      <c r="AG232" s="114"/>
      <c r="AH232" s="114"/>
      <c r="AI232" s="139"/>
    </row>
    <row r="233" spans="1:35" s="25" customFormat="1" x14ac:dyDescent="0.25">
      <c r="A233" s="242">
        <v>61</v>
      </c>
      <c r="B233" s="241">
        <v>0.48</v>
      </c>
      <c r="C233" s="240">
        <v>12.7</v>
      </c>
      <c r="D233" s="240"/>
      <c r="E233" s="240"/>
      <c r="F233" s="113"/>
      <c r="G233" s="241">
        <v>0.36</v>
      </c>
      <c r="H233" s="240">
        <v>12.86</v>
      </c>
      <c r="I233" s="240"/>
      <c r="J233" s="113"/>
      <c r="K233" s="241"/>
      <c r="L233" s="240"/>
      <c r="M233" s="241"/>
      <c r="N233" s="240"/>
      <c r="O233" s="113"/>
      <c r="P233" s="241">
        <v>0.28999999999999998</v>
      </c>
      <c r="Q233" s="240">
        <v>12.86</v>
      </c>
      <c r="R233" s="241"/>
      <c r="S233" s="240"/>
      <c r="T233" s="113"/>
      <c r="U233" s="240"/>
      <c r="V233" s="240"/>
      <c r="W233" s="241"/>
      <c r="X233" s="240"/>
      <c r="Y233" s="113"/>
      <c r="Z233" s="241"/>
      <c r="AA233" s="240"/>
      <c r="AB233" s="241"/>
      <c r="AC233" s="240"/>
      <c r="AD233" s="113"/>
      <c r="AE233" s="241"/>
      <c r="AF233" s="240"/>
      <c r="AG233" s="114"/>
      <c r="AH233" s="114"/>
      <c r="AI233" s="139"/>
    </row>
    <row r="234" spans="1:35" s="25" customFormat="1" x14ac:dyDescent="0.25">
      <c r="A234" s="242">
        <v>62</v>
      </c>
      <c r="B234" s="241">
        <v>0.83</v>
      </c>
      <c r="C234" s="240">
        <v>13.02</v>
      </c>
      <c r="D234" s="240"/>
      <c r="E234" s="240"/>
      <c r="F234" s="113"/>
      <c r="G234" s="241">
        <v>0.64</v>
      </c>
      <c r="H234" s="240">
        <v>13.14</v>
      </c>
      <c r="I234" s="240"/>
      <c r="J234" s="113"/>
      <c r="K234" s="241"/>
      <c r="L234" s="240"/>
      <c r="M234" s="241"/>
      <c r="N234" s="240"/>
      <c r="O234" s="113"/>
      <c r="P234" s="241">
        <v>0.22</v>
      </c>
      <c r="Q234" s="240">
        <v>13.13</v>
      </c>
      <c r="R234" s="241"/>
      <c r="S234" s="240"/>
      <c r="T234" s="113"/>
      <c r="U234" s="240"/>
      <c r="V234" s="240"/>
      <c r="W234" s="241"/>
      <c r="X234" s="240"/>
      <c r="Y234" s="113"/>
      <c r="Z234" s="241"/>
      <c r="AA234" s="240"/>
      <c r="AB234" s="241"/>
      <c r="AC234" s="240"/>
      <c r="AD234" s="113"/>
      <c r="AE234" s="241"/>
      <c r="AF234" s="240"/>
      <c r="AG234" s="114"/>
      <c r="AH234" s="114"/>
      <c r="AI234" s="139"/>
    </row>
    <row r="235" spans="1:35" s="25" customFormat="1" x14ac:dyDescent="0.25">
      <c r="A235" s="242">
        <v>63</v>
      </c>
      <c r="B235" s="241">
        <v>0.39</v>
      </c>
      <c r="C235" s="240">
        <v>13.49</v>
      </c>
      <c r="D235" s="240"/>
      <c r="E235" s="240"/>
      <c r="F235" s="113"/>
      <c r="G235" s="260">
        <v>0.68</v>
      </c>
      <c r="H235" s="259">
        <v>13.87</v>
      </c>
      <c r="I235" s="240"/>
      <c r="J235" s="113"/>
      <c r="K235" s="241"/>
      <c r="L235" s="240"/>
      <c r="M235" s="241"/>
      <c r="N235" s="240"/>
      <c r="O235" s="113"/>
      <c r="P235" s="241">
        <v>0.72</v>
      </c>
      <c r="Q235" s="240">
        <v>13.63</v>
      </c>
      <c r="R235" s="241"/>
      <c r="S235" s="240"/>
      <c r="T235" s="113"/>
      <c r="U235" s="240"/>
      <c r="V235" s="240"/>
      <c r="W235" s="241"/>
      <c r="X235" s="240"/>
      <c r="Y235" s="113"/>
      <c r="Z235" s="241"/>
      <c r="AA235" s="240"/>
      <c r="AB235" s="241"/>
      <c r="AC235" s="240"/>
      <c r="AD235" s="113"/>
      <c r="AE235" s="241"/>
      <c r="AF235" s="240"/>
      <c r="AG235" s="114"/>
      <c r="AH235" s="114"/>
      <c r="AI235" s="139"/>
    </row>
    <row r="236" spans="1:35" s="25" customFormat="1" x14ac:dyDescent="0.25">
      <c r="A236" s="242">
        <v>64</v>
      </c>
      <c r="B236" s="241">
        <v>0.72</v>
      </c>
      <c r="C236" s="240">
        <v>13.67</v>
      </c>
      <c r="D236" s="240"/>
      <c r="E236" s="240"/>
      <c r="F236" s="113"/>
      <c r="G236" s="260"/>
      <c r="H236" s="259"/>
      <c r="I236" s="240"/>
      <c r="J236" s="113"/>
      <c r="K236" s="241"/>
      <c r="L236" s="240"/>
      <c r="M236" s="241"/>
      <c r="N236" s="240"/>
      <c r="O236" s="113"/>
      <c r="P236" s="241">
        <v>0.76</v>
      </c>
      <c r="Q236" s="240">
        <v>13.67</v>
      </c>
      <c r="R236" s="241"/>
      <c r="S236" s="240"/>
      <c r="T236" s="113"/>
      <c r="U236" s="240"/>
      <c r="V236" s="240"/>
      <c r="W236" s="241"/>
      <c r="X236" s="240"/>
      <c r="Y236" s="113"/>
      <c r="Z236" s="241"/>
      <c r="AA236" s="240"/>
      <c r="AB236" s="241"/>
      <c r="AC236" s="240"/>
      <c r="AD236" s="113"/>
      <c r="AE236" s="241"/>
      <c r="AF236" s="240"/>
      <c r="AG236" s="114"/>
      <c r="AH236" s="114"/>
      <c r="AI236" s="139"/>
    </row>
    <row r="237" spans="1:35" x14ac:dyDescent="0.25">
      <c r="A237" s="85" t="s">
        <v>224</v>
      </c>
      <c r="B237" s="27">
        <f>SUM(B3:B236)</f>
        <v>99.980000000000032</v>
      </c>
      <c r="C237" s="27"/>
      <c r="D237" s="21">
        <f>SUM(D3:D236)</f>
        <v>94.463833333333412</v>
      </c>
      <c r="G237" s="27">
        <f>SUM(G3:G236)</f>
        <v>100.00999999999999</v>
      </c>
      <c r="K237" s="27">
        <f>SUM(K3:K236)</f>
        <v>99.99</v>
      </c>
      <c r="M237" s="21">
        <f>SUM(M3:M236)</f>
        <v>97.50366666666666</v>
      </c>
      <c r="P237" s="27">
        <f>SUM(P3:P236)</f>
        <v>99.990000000000052</v>
      </c>
      <c r="Q237" s="27"/>
      <c r="R237" s="21">
        <f>SUM(R3:R236)</f>
        <v>91.620000000000047</v>
      </c>
      <c r="U237" s="23">
        <f>SUM(U3:U236)</f>
        <v>99.970000000000056</v>
      </c>
      <c r="W237" s="21">
        <f>SUM(W3:W236)</f>
        <v>91.308333333333366</v>
      </c>
      <c r="Z237" s="23">
        <f>SUM(Z3:Z236)</f>
        <v>100.01</v>
      </c>
      <c r="AA237" s="23"/>
      <c r="AB237" s="1">
        <f>SUM(AB3:AB236)</f>
        <v>95.759166666666673</v>
      </c>
      <c r="AE237" s="27">
        <f>SUM(AE3:AE236)</f>
        <v>99.989999999999938</v>
      </c>
      <c r="AF237" s="27"/>
      <c r="AG237" s="27">
        <f>SUM(AG3:AG236)</f>
        <v>96.693333333333342</v>
      </c>
      <c r="AI237" s="139"/>
    </row>
    <row r="238" spans="1:35" x14ac:dyDescent="0.25">
      <c r="AG238" s="147"/>
      <c r="AI238" s="139"/>
    </row>
    <row r="239" spans="1:35" x14ac:dyDescent="0.25">
      <c r="A239" s="121" t="s">
        <v>399</v>
      </c>
      <c r="AG239" s="147"/>
      <c r="AI239" s="140"/>
    </row>
    <row r="240" spans="1:35" x14ac:dyDescent="0.25">
      <c r="AG240" s="147"/>
      <c r="AI240" s="140"/>
    </row>
    <row r="241" spans="33:33" x14ac:dyDescent="0.25">
      <c r="AG241" s="147"/>
    </row>
  </sheetData>
  <mergeCells count="686">
    <mergeCell ref="H87:H91"/>
    <mergeCell ref="H102:H103"/>
    <mergeCell ref="K89:K91"/>
    <mergeCell ref="L87:L88"/>
    <mergeCell ref="G31:G32"/>
    <mergeCell ref="L44:L46"/>
    <mergeCell ref="L38:L42"/>
    <mergeCell ref="L48:L50"/>
    <mergeCell ref="H48:H50"/>
    <mergeCell ref="K44:K46"/>
    <mergeCell ref="H43:H46"/>
    <mergeCell ref="G48:G50"/>
    <mergeCell ref="G43:G46"/>
    <mergeCell ref="H31:H32"/>
    <mergeCell ref="K31:K32"/>
    <mergeCell ref="L33:L37"/>
    <mergeCell ref="AE1:AH1"/>
    <mergeCell ref="H73:H75"/>
    <mergeCell ref="P73:P75"/>
    <mergeCell ref="L80:L84"/>
    <mergeCell ref="K80:K84"/>
    <mergeCell ref="H38:H42"/>
    <mergeCell ref="K38:K42"/>
    <mergeCell ref="K33:K37"/>
    <mergeCell ref="K48:K50"/>
    <mergeCell ref="K27:K30"/>
    <mergeCell ref="K18:K19"/>
    <mergeCell ref="H23:H25"/>
    <mergeCell ref="H26:H30"/>
    <mergeCell ref="L13:L14"/>
    <mergeCell ref="U48:U50"/>
    <mergeCell ref="V51:V52"/>
    <mergeCell ref="U51:U52"/>
    <mergeCell ref="P62:P63"/>
    <mergeCell ref="U18:U25"/>
    <mergeCell ref="Z15:Z17"/>
    <mergeCell ref="V48:V50"/>
    <mergeCell ref="Q27:Q30"/>
    <mergeCell ref="P27:P30"/>
    <mergeCell ref="P13:P14"/>
    <mergeCell ref="AF126:AF127"/>
    <mergeCell ref="AE126:AE127"/>
    <mergeCell ref="AA64:AA66"/>
    <mergeCell ref="Z64:Z66"/>
    <mergeCell ref="AA73:AA75"/>
    <mergeCell ref="AA3:AA4"/>
    <mergeCell ref="AA11:AA12"/>
    <mergeCell ref="Z3:Z4"/>
    <mergeCell ref="Z11:Z12"/>
    <mergeCell ref="AF53:AF61"/>
    <mergeCell ref="AE53:AE61"/>
    <mergeCell ref="AE48:AE49"/>
    <mergeCell ref="AF64:AF65"/>
    <mergeCell ref="AE64:AE65"/>
    <mergeCell ref="AF112:AF116"/>
    <mergeCell ref="AA31:AA32"/>
    <mergeCell ref="AA23:AA25"/>
    <mergeCell ref="AA27:AA30"/>
    <mergeCell ref="AA38:AA50"/>
    <mergeCell ref="AA7:AA9"/>
    <mergeCell ref="Z7:Z9"/>
    <mergeCell ref="AF18:AF22"/>
    <mergeCell ref="AA51:AA52"/>
    <mergeCell ref="Z51:Z52"/>
    <mergeCell ref="B117:B124"/>
    <mergeCell ref="B113:B116"/>
    <mergeCell ref="A1:B1"/>
    <mergeCell ref="C1:E1"/>
    <mergeCell ref="K1:N1"/>
    <mergeCell ref="P1:S1"/>
    <mergeCell ref="U1:X1"/>
    <mergeCell ref="Z1:AC1"/>
    <mergeCell ref="Q125:Q127"/>
    <mergeCell ref="L125:L127"/>
    <mergeCell ref="C65:C66"/>
    <mergeCell ref="B65:B66"/>
    <mergeCell ref="G111:G112"/>
    <mergeCell ref="B73:B75"/>
    <mergeCell ref="H106:H108"/>
    <mergeCell ref="H111:H112"/>
    <mergeCell ref="P43:P47"/>
    <mergeCell ref="Q43:Q47"/>
    <mergeCell ref="Q51:Q52"/>
    <mergeCell ref="H51:H52"/>
    <mergeCell ref="B43:B47"/>
    <mergeCell ref="H34:H37"/>
    <mergeCell ref="G34:G37"/>
    <mergeCell ref="B34:B37"/>
    <mergeCell ref="B111:B112"/>
    <mergeCell ref="C111:C112"/>
    <mergeCell ref="C104:C109"/>
    <mergeCell ref="C76:C79"/>
    <mergeCell ref="C87:C91"/>
    <mergeCell ref="C85:C86"/>
    <mergeCell ref="G106:G108"/>
    <mergeCell ref="B102:B103"/>
    <mergeCell ref="B80:B84"/>
    <mergeCell ref="C80:C84"/>
    <mergeCell ref="B92:B101"/>
    <mergeCell ref="C92:C101"/>
    <mergeCell ref="B76:B79"/>
    <mergeCell ref="B87:B91"/>
    <mergeCell ref="B85:B86"/>
    <mergeCell ref="B104:B109"/>
    <mergeCell ref="B149:B152"/>
    <mergeCell ref="C149:C152"/>
    <mergeCell ref="B125:B127"/>
    <mergeCell ref="C125:C127"/>
    <mergeCell ref="B128:B130"/>
    <mergeCell ref="C128:C130"/>
    <mergeCell ref="B153:B157"/>
    <mergeCell ref="C153:C157"/>
    <mergeCell ref="H131:H134"/>
    <mergeCell ref="B131:B134"/>
    <mergeCell ref="B135:B148"/>
    <mergeCell ref="C135:C148"/>
    <mergeCell ref="C131:C134"/>
    <mergeCell ref="G135:G148"/>
    <mergeCell ref="G125:G127"/>
    <mergeCell ref="G128:G130"/>
    <mergeCell ref="C73:C75"/>
    <mergeCell ref="G87:G91"/>
    <mergeCell ref="G73:G75"/>
    <mergeCell ref="G92:G101"/>
    <mergeCell ref="G53:G56"/>
    <mergeCell ref="C102:C103"/>
    <mergeCell ref="K102:K103"/>
    <mergeCell ref="K73:K75"/>
    <mergeCell ref="P80:P84"/>
    <mergeCell ref="P85:P86"/>
    <mergeCell ref="L92:L101"/>
    <mergeCell ref="H92:H101"/>
    <mergeCell ref="C67:C72"/>
    <mergeCell ref="H62:H64"/>
    <mergeCell ref="G62:G64"/>
    <mergeCell ref="K57:K61"/>
    <mergeCell ref="G67:G72"/>
    <mergeCell ref="L68:L72"/>
    <mergeCell ref="K68:K72"/>
    <mergeCell ref="P65:P66"/>
    <mergeCell ref="L65:L66"/>
    <mergeCell ref="L73:L75"/>
    <mergeCell ref="K87:K88"/>
    <mergeCell ref="K92:K101"/>
    <mergeCell ref="B57:B61"/>
    <mergeCell ref="C57:C61"/>
    <mergeCell ref="G65:G66"/>
    <mergeCell ref="B62:B63"/>
    <mergeCell ref="B31:B32"/>
    <mergeCell ref="C31:C32"/>
    <mergeCell ref="G38:G42"/>
    <mergeCell ref="C53:C56"/>
    <mergeCell ref="C62:C63"/>
    <mergeCell ref="B48:B50"/>
    <mergeCell ref="C48:C50"/>
    <mergeCell ref="C43:C47"/>
    <mergeCell ref="C34:C37"/>
    <mergeCell ref="B67:B72"/>
    <mergeCell ref="B38:B42"/>
    <mergeCell ref="C38:C42"/>
    <mergeCell ref="B53:B56"/>
    <mergeCell ref="B51:B52"/>
    <mergeCell ref="C51:C52"/>
    <mergeCell ref="G51:G52"/>
    <mergeCell ref="B18:B25"/>
    <mergeCell ref="V31:V32"/>
    <mergeCell ref="Q18:Q22"/>
    <mergeCell ref="P18:P22"/>
    <mergeCell ref="K23:K25"/>
    <mergeCell ref="L18:L19"/>
    <mergeCell ref="L20:L21"/>
    <mergeCell ref="L31:L32"/>
    <mergeCell ref="L23:L25"/>
    <mergeCell ref="P23:P25"/>
    <mergeCell ref="Q23:Q25"/>
    <mergeCell ref="K20:K21"/>
    <mergeCell ref="U27:U30"/>
    <mergeCell ref="V27:V30"/>
    <mergeCell ref="U31:U32"/>
    <mergeCell ref="G18:G19"/>
    <mergeCell ref="H18:H19"/>
    <mergeCell ref="G20:G21"/>
    <mergeCell ref="H20:H21"/>
    <mergeCell ref="B10:B12"/>
    <mergeCell ref="C10:C12"/>
    <mergeCell ref="B7:B9"/>
    <mergeCell ref="C7:C9"/>
    <mergeCell ref="C15:C17"/>
    <mergeCell ref="B13:B14"/>
    <mergeCell ref="C13:C14"/>
    <mergeCell ref="C18:C25"/>
    <mergeCell ref="K11:K12"/>
    <mergeCell ref="L11:L12"/>
    <mergeCell ref="K7:K9"/>
    <mergeCell ref="U15:U17"/>
    <mergeCell ref="V15:V17"/>
    <mergeCell ref="V10:V12"/>
    <mergeCell ref="U10:U12"/>
    <mergeCell ref="V3:V5"/>
    <mergeCell ref="P11:P12"/>
    <mergeCell ref="L16:L17"/>
    <mergeCell ref="K16:K17"/>
    <mergeCell ref="U3:U5"/>
    <mergeCell ref="V6:V9"/>
    <mergeCell ref="U6:U9"/>
    <mergeCell ref="K13:K14"/>
    <mergeCell ref="Q11:Q12"/>
    <mergeCell ref="P3:P4"/>
    <mergeCell ref="Q3:Q4"/>
    <mergeCell ref="Q7:Q9"/>
    <mergeCell ref="P7:P9"/>
    <mergeCell ref="L7:L9"/>
    <mergeCell ref="B227:B230"/>
    <mergeCell ref="C224:C226"/>
    <mergeCell ref="B224:B226"/>
    <mergeCell ref="C220:C223"/>
    <mergeCell ref="B220:B223"/>
    <mergeCell ref="B205:B209"/>
    <mergeCell ref="B218:B219"/>
    <mergeCell ref="C218:C219"/>
    <mergeCell ref="C158:C160"/>
    <mergeCell ref="B183:B185"/>
    <mergeCell ref="C201:C202"/>
    <mergeCell ref="B201:B202"/>
    <mergeCell ref="C205:C209"/>
    <mergeCell ref="B203:B204"/>
    <mergeCell ref="C203:C204"/>
    <mergeCell ref="B186:B193"/>
    <mergeCell ref="C186:C193"/>
    <mergeCell ref="B194:B198"/>
    <mergeCell ref="B213:B217"/>
    <mergeCell ref="B210:B212"/>
    <mergeCell ref="C210:C212"/>
    <mergeCell ref="C183:C185"/>
    <mergeCell ref="B161:B163"/>
    <mergeCell ref="C161:C163"/>
    <mergeCell ref="G235:G236"/>
    <mergeCell ref="C113:C116"/>
    <mergeCell ref="C117:C124"/>
    <mergeCell ref="K152:K157"/>
    <mergeCell ref="K181:K182"/>
    <mergeCell ref="G203:G204"/>
    <mergeCell ref="H205:H209"/>
    <mergeCell ref="G205:G209"/>
    <mergeCell ref="H183:H185"/>
    <mergeCell ref="H135:H148"/>
    <mergeCell ref="H181:H182"/>
    <mergeCell ref="G183:G185"/>
    <mergeCell ref="K164:K167"/>
    <mergeCell ref="K161:K163"/>
    <mergeCell ref="G174:G180"/>
    <mergeCell ref="K205:K207"/>
    <mergeCell ref="H210:H212"/>
    <mergeCell ref="C227:C230"/>
    <mergeCell ref="H186:H197"/>
    <mergeCell ref="G186:G197"/>
    <mergeCell ref="G220:G223"/>
    <mergeCell ref="C199:C200"/>
    <mergeCell ref="G131:G134"/>
    <mergeCell ref="G218:G219"/>
    <mergeCell ref="H235:H236"/>
    <mergeCell ref="L187:L193"/>
    <mergeCell ref="H218:H219"/>
    <mergeCell ref="P218:P219"/>
    <mergeCell ref="Q218:Q219"/>
    <mergeCell ref="H213:H217"/>
    <mergeCell ref="L213:L217"/>
    <mergeCell ref="K213:K217"/>
    <mergeCell ref="K187:K193"/>
    <mergeCell ref="L205:L207"/>
    <mergeCell ref="Q194:Q200"/>
    <mergeCell ref="P194:P200"/>
    <mergeCell ref="P210:P212"/>
    <mergeCell ref="Q210:Q212"/>
    <mergeCell ref="K201:K202"/>
    <mergeCell ref="Q227:Q230"/>
    <mergeCell ref="P227:P230"/>
    <mergeCell ref="P224:P226"/>
    <mergeCell ref="Q224:Q226"/>
    <mergeCell ref="Q220:Q223"/>
    <mergeCell ref="P220:P223"/>
    <mergeCell ref="Q203:Q204"/>
    <mergeCell ref="P203:P204"/>
    <mergeCell ref="Q213:Q217"/>
    <mergeCell ref="Z53:Z56"/>
    <mergeCell ref="Z57:Z63"/>
    <mergeCell ref="V73:V75"/>
    <mergeCell ref="Q13:Q14"/>
    <mergeCell ref="Q62:Q63"/>
    <mergeCell ref="Z38:Z50"/>
    <mergeCell ref="V110:V116"/>
    <mergeCell ref="U102:U103"/>
    <mergeCell ref="V92:V101"/>
    <mergeCell ref="U92:U101"/>
    <mergeCell ref="V87:V91"/>
    <mergeCell ref="U87:U91"/>
    <mergeCell ref="V76:V79"/>
    <mergeCell ref="U76:U79"/>
    <mergeCell ref="U110:U116"/>
    <mergeCell ref="Q113:Q116"/>
    <mergeCell ref="Q111:Q112"/>
    <mergeCell ref="V38:V47"/>
    <mergeCell ref="U38:U47"/>
    <mergeCell ref="Z23:Z25"/>
    <mergeCell ref="U33:U37"/>
    <mergeCell ref="V33:V37"/>
    <mergeCell ref="Z31:Z32"/>
    <mergeCell ref="Z27:Z30"/>
    <mergeCell ref="P31:P32"/>
    <mergeCell ref="Q48:Q50"/>
    <mergeCell ref="P38:P39"/>
    <mergeCell ref="P40:P42"/>
    <mergeCell ref="Q40:Q42"/>
    <mergeCell ref="Q102:Q103"/>
    <mergeCell ref="Q80:Q84"/>
    <mergeCell ref="Q87:Q91"/>
    <mergeCell ref="Q65:Q66"/>
    <mergeCell ref="Q31:Q32"/>
    <mergeCell ref="P33:P37"/>
    <mergeCell ref="Q33:Q37"/>
    <mergeCell ref="P51:P52"/>
    <mergeCell ref="P53:P56"/>
    <mergeCell ref="Q53:Q56"/>
    <mergeCell ref="P48:P50"/>
    <mergeCell ref="Q38:Q39"/>
    <mergeCell ref="Z18:Z22"/>
    <mergeCell ref="AE18:AE22"/>
    <mergeCell ref="AF27:AF30"/>
    <mergeCell ref="AE27:AE30"/>
    <mergeCell ref="V18:V25"/>
    <mergeCell ref="Z33:Z37"/>
    <mergeCell ref="AF11:AF12"/>
    <mergeCell ref="AE11:AE12"/>
    <mergeCell ref="AF7:AF9"/>
    <mergeCell ref="AE7:AE9"/>
    <mergeCell ref="AF48:AF49"/>
    <mergeCell ref="AA33:AA37"/>
    <mergeCell ref="AE34:AE37"/>
    <mergeCell ref="AE38:AE42"/>
    <mergeCell ref="AA15:AA17"/>
    <mergeCell ref="AF38:AF42"/>
    <mergeCell ref="AF34:AF37"/>
    <mergeCell ref="AF31:AF32"/>
    <mergeCell ref="AE31:AE32"/>
    <mergeCell ref="AF14:AF17"/>
    <mergeCell ref="AE14:AE17"/>
    <mergeCell ref="AA18:AA22"/>
    <mergeCell ref="AF51:AF52"/>
    <mergeCell ref="AF85:AF86"/>
    <mergeCell ref="AE85:AE86"/>
    <mergeCell ref="AF67:AF72"/>
    <mergeCell ref="AE67:AE72"/>
    <mergeCell ref="AF81:AF84"/>
    <mergeCell ref="AE81:AE84"/>
    <mergeCell ref="AF73:AF79"/>
    <mergeCell ref="AE73:AE79"/>
    <mergeCell ref="AE51:AE52"/>
    <mergeCell ref="AA53:AA56"/>
    <mergeCell ref="AA57:AA63"/>
    <mergeCell ref="V128:V130"/>
    <mergeCell ref="U104:U109"/>
    <mergeCell ref="AA67:AA72"/>
    <mergeCell ref="Z67:Z72"/>
    <mergeCell ref="L62:L63"/>
    <mergeCell ref="K62:K63"/>
    <mergeCell ref="H67:H72"/>
    <mergeCell ref="K65:K66"/>
    <mergeCell ref="V64:V66"/>
    <mergeCell ref="K53:K56"/>
    <mergeCell ref="L53:L56"/>
    <mergeCell ref="P57:P61"/>
    <mergeCell ref="Q57:Q61"/>
    <mergeCell ref="U53:U56"/>
    <mergeCell ref="V53:V56"/>
    <mergeCell ref="H65:H66"/>
    <mergeCell ref="L57:L61"/>
    <mergeCell ref="U64:U66"/>
    <mergeCell ref="U57:U63"/>
    <mergeCell ref="V57:V63"/>
    <mergeCell ref="V81:V86"/>
    <mergeCell ref="U81:U86"/>
    <mergeCell ref="P136:P148"/>
    <mergeCell ref="P128:P130"/>
    <mergeCell ref="L131:L134"/>
    <mergeCell ref="L152:L157"/>
    <mergeCell ref="L129:L130"/>
    <mergeCell ref="U158:U159"/>
    <mergeCell ref="U154:U157"/>
    <mergeCell ref="U135:U148"/>
    <mergeCell ref="U131:U134"/>
    <mergeCell ref="Q158:Q160"/>
    <mergeCell ref="Q149:Q157"/>
    <mergeCell ref="Q136:Q148"/>
    <mergeCell ref="Q131:Q134"/>
    <mergeCell ref="P149:P157"/>
    <mergeCell ref="U149:U153"/>
    <mergeCell ref="Q128:Q130"/>
    <mergeCell ref="C213:C217"/>
    <mergeCell ref="AF93:AF101"/>
    <mergeCell ref="AE93:AE101"/>
    <mergeCell ref="C194:C198"/>
    <mergeCell ref="L89:L91"/>
    <mergeCell ref="Q118:Q124"/>
    <mergeCell ref="P118:P124"/>
    <mergeCell ref="AF168:AF180"/>
    <mergeCell ref="AE168:AE180"/>
    <mergeCell ref="AA168:AA180"/>
    <mergeCell ref="Z168:Z180"/>
    <mergeCell ref="Z149:Z153"/>
    <mergeCell ref="AA149:AA153"/>
    <mergeCell ref="AA161:AA163"/>
    <mergeCell ref="P131:P134"/>
    <mergeCell ref="P125:P127"/>
    <mergeCell ref="L158:L160"/>
    <mergeCell ref="V102:V103"/>
    <mergeCell ref="V104:V109"/>
    <mergeCell ref="V118:V127"/>
    <mergeCell ref="U118:U127"/>
    <mergeCell ref="L104:L109"/>
    <mergeCell ref="K184:K185"/>
    <mergeCell ref="K131:K134"/>
    <mergeCell ref="AF161:AF163"/>
    <mergeCell ref="AE161:AE163"/>
    <mergeCell ref="P168:P180"/>
    <mergeCell ref="L181:L182"/>
    <mergeCell ref="L161:L163"/>
    <mergeCell ref="L164:L167"/>
    <mergeCell ref="L184:L185"/>
    <mergeCell ref="AE90:AE91"/>
    <mergeCell ref="AE87:AE89"/>
    <mergeCell ref="L113:L116"/>
    <mergeCell ref="L102:L103"/>
    <mergeCell ref="V158:V159"/>
    <mergeCell ref="V154:V157"/>
    <mergeCell ref="V135:V148"/>
    <mergeCell ref="AF149:AF157"/>
    <mergeCell ref="AE131:AE134"/>
    <mergeCell ref="AF128:AF130"/>
    <mergeCell ref="AE128:AE130"/>
    <mergeCell ref="U128:U130"/>
    <mergeCell ref="V131:V134"/>
    <mergeCell ref="Z131:Z134"/>
    <mergeCell ref="AA131:AA134"/>
    <mergeCell ref="Z104:Z109"/>
    <mergeCell ref="Z85:Z90"/>
    <mergeCell ref="AA91:AA101"/>
    <mergeCell ref="AA102:AA103"/>
    <mergeCell ref="Z80:Z84"/>
    <mergeCell ref="AA80:AA84"/>
    <mergeCell ref="AA85:AA90"/>
    <mergeCell ref="Z73:Z75"/>
    <mergeCell ref="AA76:AA79"/>
    <mergeCell ref="P104:P109"/>
    <mergeCell ref="Q67:Q72"/>
    <mergeCell ref="P76:P79"/>
    <mergeCell ref="AA104:AA109"/>
    <mergeCell ref="Z102:Z103"/>
    <mergeCell ref="P87:P91"/>
    <mergeCell ref="Z76:Z79"/>
    <mergeCell ref="Z91:Z101"/>
    <mergeCell ref="U73:U75"/>
    <mergeCell ref="U67:U72"/>
    <mergeCell ref="V67:V72"/>
    <mergeCell ref="P67:P72"/>
    <mergeCell ref="Q104:Q109"/>
    <mergeCell ref="Q76:Q79"/>
    <mergeCell ref="Q73:Q75"/>
    <mergeCell ref="Q92:Q101"/>
    <mergeCell ref="Q85:Q86"/>
    <mergeCell ref="AF199:AF202"/>
    <mergeCell ref="AF187:AF188"/>
    <mergeCell ref="AE187:AE188"/>
    <mergeCell ref="P201:P202"/>
    <mergeCell ref="Q201:Q202"/>
    <mergeCell ref="Q187:Q193"/>
    <mergeCell ref="P187:P193"/>
    <mergeCell ref="U194:U200"/>
    <mergeCell ref="V194:V200"/>
    <mergeCell ref="AF191:AF193"/>
    <mergeCell ref="AE191:AE193"/>
    <mergeCell ref="V186:V193"/>
    <mergeCell ref="U186:U193"/>
    <mergeCell ref="AF194:AF198"/>
    <mergeCell ref="AA118:AA124"/>
    <mergeCell ref="Z118:Z124"/>
    <mergeCell ref="AE194:AE198"/>
    <mergeCell ref="AA194:AA200"/>
    <mergeCell ref="Z194:Z200"/>
    <mergeCell ref="AA181:AA182"/>
    <mergeCell ref="Z183:Z185"/>
    <mergeCell ref="AA183:AA185"/>
    <mergeCell ref="AA164:AA167"/>
    <mergeCell ref="Z164:Z167"/>
    <mergeCell ref="Z161:Z163"/>
    <mergeCell ref="AA125:AA127"/>
    <mergeCell ref="Z125:Z127"/>
    <mergeCell ref="Z154:Z160"/>
    <mergeCell ref="Z135:Z148"/>
    <mergeCell ref="AE199:AE202"/>
    <mergeCell ref="AA135:AA148"/>
    <mergeCell ref="AA154:AA160"/>
    <mergeCell ref="AA128:AA130"/>
    <mergeCell ref="V149:V153"/>
    <mergeCell ref="Z181:Z182"/>
    <mergeCell ref="V183:V185"/>
    <mergeCell ref="Z186:Z193"/>
    <mergeCell ref="U160:U163"/>
    <mergeCell ref="V160:V163"/>
    <mergeCell ref="Q161:Q167"/>
    <mergeCell ref="Q205:Q209"/>
    <mergeCell ref="P205:P209"/>
    <mergeCell ref="U183:U185"/>
    <mergeCell ref="Q168:Q180"/>
    <mergeCell ref="U164:U182"/>
    <mergeCell ref="Q184:Q185"/>
    <mergeCell ref="Q181:Q182"/>
    <mergeCell ref="P181:P182"/>
    <mergeCell ref="P213:P217"/>
    <mergeCell ref="P184:P185"/>
    <mergeCell ref="V164:V182"/>
    <mergeCell ref="AF87:AF89"/>
    <mergeCell ref="AF90:AF91"/>
    <mergeCell ref="AA186:AA193"/>
    <mergeCell ref="P158:P160"/>
    <mergeCell ref="P161:P167"/>
    <mergeCell ref="P92:P101"/>
    <mergeCell ref="P113:P116"/>
    <mergeCell ref="P111:P112"/>
    <mergeCell ref="P102:P103"/>
    <mergeCell ref="AF158:AF160"/>
    <mergeCell ref="AE158:AE160"/>
    <mergeCell ref="AF104:AF109"/>
    <mergeCell ref="AE104:AE109"/>
    <mergeCell ref="Z110:Z116"/>
    <mergeCell ref="AF135:AF148"/>
    <mergeCell ref="AE135:AE148"/>
    <mergeCell ref="AE112:AE116"/>
    <mergeCell ref="Z128:Z130"/>
    <mergeCell ref="AE149:AE157"/>
    <mergeCell ref="AF131:AF134"/>
    <mergeCell ref="AA110:AA116"/>
    <mergeCell ref="AF118:AF124"/>
    <mergeCell ref="AE118:AE124"/>
    <mergeCell ref="K220:K223"/>
    <mergeCell ref="L220:L223"/>
    <mergeCell ref="L76:L78"/>
    <mergeCell ref="K76:K78"/>
    <mergeCell ref="L136:L148"/>
    <mergeCell ref="K136:K148"/>
    <mergeCell ref="L149:L151"/>
    <mergeCell ref="K149:K151"/>
    <mergeCell ref="L175:L180"/>
    <mergeCell ref="K175:K180"/>
    <mergeCell ref="K168:K174"/>
    <mergeCell ref="L168:L174"/>
    <mergeCell ref="L194:L198"/>
    <mergeCell ref="K194:K198"/>
    <mergeCell ref="L201:L202"/>
    <mergeCell ref="K158:K160"/>
    <mergeCell ref="K113:K116"/>
    <mergeCell ref="L117:L124"/>
    <mergeCell ref="K117:K124"/>
    <mergeCell ref="K111:K112"/>
    <mergeCell ref="K129:K130"/>
    <mergeCell ref="K125:K127"/>
    <mergeCell ref="K104:K109"/>
    <mergeCell ref="L111:L112"/>
    <mergeCell ref="A3:A5"/>
    <mergeCell ref="A7:A9"/>
    <mergeCell ref="A10:A12"/>
    <mergeCell ref="A13:A14"/>
    <mergeCell ref="A15:A17"/>
    <mergeCell ref="A18:A25"/>
    <mergeCell ref="A26:A30"/>
    <mergeCell ref="A31:A32"/>
    <mergeCell ref="A34:A37"/>
    <mergeCell ref="A38:A42"/>
    <mergeCell ref="A43:A47"/>
    <mergeCell ref="A48:A50"/>
    <mergeCell ref="A51:A52"/>
    <mergeCell ref="A53:A56"/>
    <mergeCell ref="A57:A61"/>
    <mergeCell ref="A62:A63"/>
    <mergeCell ref="A65:A66"/>
    <mergeCell ref="A67:A72"/>
    <mergeCell ref="L27:L30"/>
    <mergeCell ref="C26:C30"/>
    <mergeCell ref="C3:C5"/>
    <mergeCell ref="B3:B5"/>
    <mergeCell ref="A131:A134"/>
    <mergeCell ref="A135:A148"/>
    <mergeCell ref="A149:A152"/>
    <mergeCell ref="A153:A157"/>
    <mergeCell ref="A158:A160"/>
    <mergeCell ref="A73:A75"/>
    <mergeCell ref="A76:A79"/>
    <mergeCell ref="A80:A84"/>
    <mergeCell ref="A85:A86"/>
    <mergeCell ref="A87:A91"/>
    <mergeCell ref="A92:A101"/>
    <mergeCell ref="A102:A103"/>
    <mergeCell ref="A104:A109"/>
    <mergeCell ref="A111:A112"/>
    <mergeCell ref="A161:A163"/>
    <mergeCell ref="A164:A167"/>
    <mergeCell ref="G1:I1"/>
    <mergeCell ref="H57:H61"/>
    <mergeCell ref="G57:G61"/>
    <mergeCell ref="H76:H78"/>
    <mergeCell ref="G76:G78"/>
    <mergeCell ref="H80:H83"/>
    <mergeCell ref="G80:G83"/>
    <mergeCell ref="H104:H105"/>
    <mergeCell ref="G104:G105"/>
    <mergeCell ref="H16:H17"/>
    <mergeCell ref="G16:G17"/>
    <mergeCell ref="H3:H4"/>
    <mergeCell ref="G3:G4"/>
    <mergeCell ref="G26:G30"/>
    <mergeCell ref="H7:H9"/>
    <mergeCell ref="G7:G9"/>
    <mergeCell ref="G23:G25"/>
    <mergeCell ref="G102:G103"/>
    <mergeCell ref="A113:A116"/>
    <mergeCell ref="A117:A124"/>
    <mergeCell ref="A125:A127"/>
    <mergeCell ref="A128:A130"/>
    <mergeCell ref="A205:A209"/>
    <mergeCell ref="A210:A212"/>
    <mergeCell ref="A213:A217"/>
    <mergeCell ref="A218:A219"/>
    <mergeCell ref="A220:A223"/>
    <mergeCell ref="A224:A226"/>
    <mergeCell ref="A227:A230"/>
    <mergeCell ref="A168:A174"/>
    <mergeCell ref="A175:A180"/>
    <mergeCell ref="A181:A182"/>
    <mergeCell ref="A183:A185"/>
    <mergeCell ref="A186:A193"/>
    <mergeCell ref="A194:A198"/>
    <mergeCell ref="A199:A200"/>
    <mergeCell ref="A201:A202"/>
    <mergeCell ref="A203:A204"/>
    <mergeCell ref="B199:B200"/>
    <mergeCell ref="B181:B182"/>
    <mergeCell ref="H113:H115"/>
    <mergeCell ref="H128:H130"/>
    <mergeCell ref="H13:H14"/>
    <mergeCell ref="G13:G14"/>
    <mergeCell ref="H53:H56"/>
    <mergeCell ref="H224:H226"/>
    <mergeCell ref="G224:G226"/>
    <mergeCell ref="B158:B160"/>
    <mergeCell ref="B164:B167"/>
    <mergeCell ref="B175:B180"/>
    <mergeCell ref="C175:C180"/>
    <mergeCell ref="C181:C182"/>
    <mergeCell ref="C164:C167"/>
    <mergeCell ref="C168:C174"/>
    <mergeCell ref="B168:B174"/>
    <mergeCell ref="H203:H204"/>
    <mergeCell ref="G158:G160"/>
    <mergeCell ref="G181:G182"/>
    <mergeCell ref="H158:H160"/>
    <mergeCell ref="H174:H180"/>
    <mergeCell ref="B15:B17"/>
    <mergeCell ref="B26:B30"/>
    <mergeCell ref="H227:H230"/>
    <mergeCell ref="G227:G230"/>
    <mergeCell ref="G113:G115"/>
    <mergeCell ref="H117:H123"/>
    <mergeCell ref="G117:G123"/>
    <mergeCell ref="H149:H151"/>
    <mergeCell ref="G149:G151"/>
    <mergeCell ref="H161:H162"/>
    <mergeCell ref="G161:G162"/>
    <mergeCell ref="H164:H173"/>
    <mergeCell ref="G164:G173"/>
    <mergeCell ref="H198:H202"/>
    <mergeCell ref="G198:G202"/>
    <mergeCell ref="G210:G212"/>
    <mergeCell ref="G153:G157"/>
    <mergeCell ref="H153:H157"/>
    <mergeCell ref="H125:H127"/>
    <mergeCell ref="H220:H223"/>
    <mergeCell ref="G213:G217"/>
  </mergeCells>
  <pageMargins left="0.7" right="0.7" top="0.75" bottom="0.75" header="0.3" footer="0.3"/>
  <pageSetup paperSize="8" scale="38" fitToHeight="0" orientation="portrait" r:id="rId1"/>
  <ignoredErrors>
    <ignoredError sqref="AO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K494"/>
  <sheetViews>
    <sheetView topLeftCell="Z1" zoomScale="73" zoomScaleNormal="73" workbookViewId="0">
      <pane ySplit="1" topLeftCell="A44" activePane="bottomLeft" state="frozen"/>
      <selection activeCell="S1" sqref="S1"/>
      <selection pane="bottomLeft" activeCell="AO75" sqref="AO74:AO75"/>
    </sheetView>
  </sheetViews>
  <sheetFormatPr defaultColWidth="9.140625" defaultRowHeight="15" x14ac:dyDescent="0.25"/>
  <cols>
    <col min="1" max="1" width="16.7109375" style="85" bestFit="1" customWidth="1"/>
    <col min="2" max="2" width="9.7109375" style="27" bestFit="1" customWidth="1"/>
    <col min="3" max="3" width="7.85546875" style="85" bestFit="1" customWidth="1"/>
    <col min="4" max="4" width="8.85546875" style="5" bestFit="1" customWidth="1"/>
    <col min="5" max="5" width="23.85546875" style="85" bestFit="1" customWidth="1"/>
    <col min="6" max="6" width="2.140625" style="113" customWidth="1"/>
    <col min="7" max="7" width="9.7109375" style="29" bestFit="1" customWidth="1"/>
    <col min="8" max="8" width="7.85546875" style="85" bestFit="1" customWidth="1"/>
    <col min="9" max="9" width="9.7109375" style="85" bestFit="1" customWidth="1"/>
    <col min="10" max="10" width="2.140625" style="113" customWidth="1"/>
    <col min="11" max="11" width="9.7109375" style="29" bestFit="1" customWidth="1"/>
    <col min="12" max="12" width="7.85546875" style="85" bestFit="1" customWidth="1"/>
    <col min="13" max="13" width="8.85546875" style="27" bestFit="1" customWidth="1"/>
    <col min="14" max="14" width="21" style="85" bestFit="1" customWidth="1"/>
    <col min="15" max="15" width="2.140625" style="113" customWidth="1"/>
    <col min="16" max="16" width="9.7109375" style="27" bestFit="1" customWidth="1"/>
    <col min="17" max="17" width="7.85546875" style="85" bestFit="1" customWidth="1"/>
    <col min="18" max="18" width="8.85546875" style="27" bestFit="1" customWidth="1"/>
    <col min="19" max="19" width="18.140625" style="85" bestFit="1" customWidth="1"/>
    <col min="20" max="20" width="2.140625" style="113" customWidth="1"/>
    <col min="21" max="21" width="9.7109375" style="88" bestFit="1" customWidth="1"/>
    <col min="22" max="22" width="7.85546875" style="89" bestFit="1" customWidth="1"/>
    <col min="23" max="23" width="8.85546875" style="23" bestFit="1" customWidth="1"/>
    <col min="24" max="24" width="22.42578125" style="89" bestFit="1" customWidth="1"/>
    <col min="25" max="25" width="2.140625" style="113" customWidth="1"/>
    <col min="26" max="26" width="9.7109375" style="27" bestFit="1" customWidth="1"/>
    <col min="27" max="27" width="7.85546875" style="85" bestFit="1" customWidth="1"/>
    <col min="28" max="28" width="8.85546875" style="27" bestFit="1" customWidth="1"/>
    <col min="29" max="29" width="22.42578125" style="85" bestFit="1" customWidth="1"/>
    <col min="30" max="30" width="2.140625" style="113" customWidth="1"/>
    <col min="31" max="31" width="9.7109375" style="99" bestFit="1" customWidth="1"/>
    <col min="32" max="32" width="6.85546875" style="101" bestFit="1" customWidth="1"/>
    <col min="33" max="33" width="8.85546875" style="102" bestFit="1" customWidth="1"/>
    <col min="34" max="34" width="20.7109375" style="100" bestFit="1" customWidth="1"/>
    <col min="35" max="35" width="2.140625" style="113" customWidth="1"/>
    <col min="36" max="36" width="9.7109375" style="102" bestFit="1" customWidth="1"/>
    <col min="37" max="37" width="7.85546875" style="100" bestFit="1" customWidth="1"/>
    <col min="38" max="38" width="8.85546875" style="102" bestFit="1" customWidth="1"/>
    <col min="39" max="39" width="22.42578125" style="100" bestFit="1" customWidth="1"/>
    <col min="40" max="40" width="2.140625" style="32" customWidth="1"/>
    <col min="41" max="41" width="21.5703125" style="35" customWidth="1"/>
    <col min="42" max="42" width="6.42578125" style="35" bestFit="1" customWidth="1"/>
    <col min="43" max="44" width="6.85546875" style="35" bestFit="1" customWidth="1"/>
    <col min="45" max="45" width="11.42578125" style="35" bestFit="1" customWidth="1"/>
    <col min="46" max="46" width="11.140625" style="35" bestFit="1" customWidth="1"/>
    <col min="47" max="47" width="16.7109375" style="35" bestFit="1" customWidth="1"/>
    <col min="48" max="48" width="17.140625" style="35" bestFit="1" customWidth="1"/>
    <col min="49" max="55" width="9.140625" style="28" customWidth="1"/>
    <col min="56" max="16384" width="9.140625" style="29"/>
  </cols>
  <sheetData>
    <row r="1" spans="1:55" x14ac:dyDescent="0.25">
      <c r="A1" s="288" t="s">
        <v>11</v>
      </c>
      <c r="B1" s="289"/>
      <c r="C1" s="284" t="s">
        <v>1</v>
      </c>
      <c r="D1" s="285"/>
      <c r="E1" s="286"/>
      <c r="G1" s="287" t="s">
        <v>3</v>
      </c>
      <c r="H1" s="277"/>
      <c r="I1" s="277"/>
      <c r="K1" s="277" t="s">
        <v>2</v>
      </c>
      <c r="L1" s="277"/>
      <c r="M1" s="277"/>
      <c r="N1" s="277"/>
      <c r="P1" s="287" t="s">
        <v>4</v>
      </c>
      <c r="Q1" s="277"/>
      <c r="R1" s="277"/>
      <c r="S1" s="277"/>
      <c r="U1" s="272" t="s">
        <v>16</v>
      </c>
      <c r="V1" s="272"/>
      <c r="W1" s="272"/>
      <c r="X1" s="272"/>
      <c r="Z1" s="277" t="s">
        <v>5</v>
      </c>
      <c r="AA1" s="277"/>
      <c r="AB1" s="277"/>
      <c r="AC1" s="277"/>
      <c r="AE1" s="277" t="s">
        <v>57</v>
      </c>
      <c r="AF1" s="277"/>
      <c r="AG1" s="277"/>
      <c r="AH1" s="277"/>
      <c r="AJ1" s="272" t="s">
        <v>6</v>
      </c>
      <c r="AK1" s="272"/>
      <c r="AL1" s="272"/>
      <c r="AM1" s="272"/>
      <c r="AO1" s="34"/>
      <c r="AP1" s="34"/>
      <c r="AQ1" s="34"/>
      <c r="AR1" s="34"/>
      <c r="AS1" s="34"/>
      <c r="AT1" s="34"/>
      <c r="AU1" s="34"/>
      <c r="AV1" s="34"/>
      <c r="AW1" s="33"/>
      <c r="AX1" s="47"/>
      <c r="AY1" s="46"/>
      <c r="BA1" s="48"/>
      <c r="BB1" s="48"/>
    </row>
    <row r="2" spans="1:55" x14ac:dyDescent="0.25">
      <c r="A2" s="207" t="s">
        <v>55</v>
      </c>
      <c r="B2" s="45" t="s">
        <v>7</v>
      </c>
      <c r="C2" s="45" t="s">
        <v>8</v>
      </c>
      <c r="D2" s="8" t="s">
        <v>213</v>
      </c>
      <c r="E2" s="8" t="s">
        <v>17</v>
      </c>
      <c r="G2" s="45" t="s">
        <v>7</v>
      </c>
      <c r="H2" s="45" t="s">
        <v>8</v>
      </c>
      <c r="I2" s="49" t="s">
        <v>17</v>
      </c>
      <c r="K2" s="45" t="s">
        <v>7</v>
      </c>
      <c r="L2" s="45" t="s">
        <v>8</v>
      </c>
      <c r="M2" s="8" t="s">
        <v>213</v>
      </c>
      <c r="N2" s="8" t="s">
        <v>17</v>
      </c>
      <c r="P2" s="45" t="s">
        <v>7</v>
      </c>
      <c r="Q2" s="45" t="s">
        <v>8</v>
      </c>
      <c r="R2" s="8" t="s">
        <v>213</v>
      </c>
      <c r="S2" s="8" t="s">
        <v>17</v>
      </c>
      <c r="U2" s="45" t="s">
        <v>7</v>
      </c>
      <c r="V2" s="45" t="s">
        <v>8</v>
      </c>
      <c r="W2" s="8" t="s">
        <v>213</v>
      </c>
      <c r="X2" s="8" t="s">
        <v>17</v>
      </c>
      <c r="Z2" s="45" t="s">
        <v>7</v>
      </c>
      <c r="AA2" s="45" t="s">
        <v>8</v>
      </c>
      <c r="AB2" s="8" t="s">
        <v>213</v>
      </c>
      <c r="AC2" s="8" t="s">
        <v>17</v>
      </c>
      <c r="AE2" s="93" t="s">
        <v>7</v>
      </c>
      <c r="AF2" s="93" t="s">
        <v>8</v>
      </c>
      <c r="AG2" s="18" t="s">
        <v>213</v>
      </c>
      <c r="AH2" s="8" t="s">
        <v>17</v>
      </c>
      <c r="AJ2" s="93" t="s">
        <v>7</v>
      </c>
      <c r="AK2" s="93" t="s">
        <v>8</v>
      </c>
      <c r="AL2" s="18" t="s">
        <v>213</v>
      </c>
      <c r="AM2" s="8" t="s">
        <v>17</v>
      </c>
      <c r="AU2" s="34"/>
      <c r="AV2" s="34"/>
      <c r="AW2" s="51"/>
      <c r="AX2" s="47"/>
      <c r="AY2" s="46"/>
      <c r="BA2" s="48"/>
      <c r="BB2" s="48"/>
    </row>
    <row r="3" spans="1:55" s="25" customFormat="1" x14ac:dyDescent="0.25">
      <c r="A3" s="261">
        <v>1</v>
      </c>
      <c r="B3" s="260">
        <v>14.28</v>
      </c>
      <c r="C3" s="259">
        <v>4.0999999999999996</v>
      </c>
      <c r="D3" s="240"/>
      <c r="E3" s="24"/>
      <c r="F3" s="113"/>
      <c r="G3" s="260">
        <v>16.53</v>
      </c>
      <c r="H3" s="259">
        <v>4.03</v>
      </c>
      <c r="I3" s="240"/>
      <c r="J3" s="113"/>
      <c r="K3" s="241">
        <v>0.12</v>
      </c>
      <c r="L3" s="240">
        <v>4.05</v>
      </c>
      <c r="M3" s="241"/>
      <c r="N3" s="240"/>
      <c r="O3" s="113"/>
      <c r="P3" s="260">
        <v>13.48</v>
      </c>
      <c r="Q3" s="259">
        <v>4.13</v>
      </c>
      <c r="R3" s="241"/>
      <c r="S3" s="240"/>
      <c r="T3" s="113"/>
      <c r="U3" s="260">
        <v>17.88</v>
      </c>
      <c r="V3" s="259">
        <v>4.13</v>
      </c>
      <c r="W3" s="241"/>
      <c r="X3" s="240"/>
      <c r="Y3" s="113"/>
      <c r="Z3" s="260">
        <v>13.24</v>
      </c>
      <c r="AA3" s="259">
        <v>4.13</v>
      </c>
      <c r="AB3" s="241"/>
      <c r="AC3" s="240"/>
      <c r="AD3" s="113"/>
      <c r="AE3" s="270">
        <v>11.99</v>
      </c>
      <c r="AF3" s="271"/>
      <c r="AG3" s="245"/>
      <c r="AH3" s="91"/>
      <c r="AI3" s="113"/>
      <c r="AJ3" s="245">
        <v>0.11</v>
      </c>
      <c r="AK3" s="246">
        <v>4.08</v>
      </c>
      <c r="AL3" s="245"/>
      <c r="AM3" s="91"/>
      <c r="AN3" s="32"/>
      <c r="AO3" s="12"/>
      <c r="AP3" s="12"/>
      <c r="AQ3" s="12"/>
      <c r="AR3" s="12"/>
      <c r="AS3" s="12"/>
      <c r="AT3" s="12"/>
      <c r="AU3" s="12"/>
      <c r="AV3" s="12"/>
      <c r="AW3" s="52"/>
      <c r="AX3" s="52"/>
      <c r="AY3" s="4"/>
      <c r="AZ3" s="1"/>
      <c r="BA3" s="1"/>
      <c r="BB3" s="4"/>
      <c r="BC3" s="53"/>
    </row>
    <row r="4" spans="1:55" s="25" customFormat="1" x14ac:dyDescent="0.25">
      <c r="A4" s="261"/>
      <c r="B4" s="260"/>
      <c r="C4" s="259"/>
      <c r="D4" s="240">
        <f>B3-D5</f>
        <v>14.01</v>
      </c>
      <c r="E4" s="54" t="s">
        <v>34</v>
      </c>
      <c r="F4" s="113"/>
      <c r="G4" s="260"/>
      <c r="H4" s="259"/>
      <c r="I4" s="240"/>
      <c r="J4" s="113"/>
      <c r="K4" s="241">
        <v>13.77</v>
      </c>
      <c r="L4" s="240">
        <v>4.1500000000000004</v>
      </c>
      <c r="M4" s="241">
        <f>K4</f>
        <v>13.77</v>
      </c>
      <c r="N4" s="54" t="s">
        <v>34</v>
      </c>
      <c r="O4" s="113"/>
      <c r="P4" s="260"/>
      <c r="Q4" s="259"/>
      <c r="R4" s="241">
        <f>P3</f>
        <v>13.48</v>
      </c>
      <c r="S4" s="54" t="s">
        <v>34</v>
      </c>
      <c r="T4" s="113"/>
      <c r="U4" s="260"/>
      <c r="V4" s="259"/>
      <c r="W4" s="241">
        <f>U3+U7-W5</f>
        <v>17.86</v>
      </c>
      <c r="X4" s="54" t="s">
        <v>34</v>
      </c>
      <c r="Y4" s="113"/>
      <c r="Z4" s="260"/>
      <c r="AA4" s="259"/>
      <c r="AB4" s="241">
        <f>Z3</f>
        <v>13.24</v>
      </c>
      <c r="AC4" s="54" t="s">
        <v>34</v>
      </c>
      <c r="AD4" s="113"/>
      <c r="AE4" s="270"/>
      <c r="AF4" s="271"/>
      <c r="AG4" s="245">
        <f>AE3</f>
        <v>11.99</v>
      </c>
      <c r="AH4" s="54" t="s">
        <v>34</v>
      </c>
      <c r="AI4" s="113"/>
      <c r="AJ4" s="245">
        <v>11.84</v>
      </c>
      <c r="AK4" s="246">
        <v>4.2</v>
      </c>
      <c r="AL4" s="245">
        <f>AJ4</f>
        <v>11.84</v>
      </c>
      <c r="AM4" s="54" t="s">
        <v>34</v>
      </c>
      <c r="AN4" s="32"/>
      <c r="AO4" s="36"/>
      <c r="AP4" s="36"/>
      <c r="AQ4" s="36"/>
      <c r="AR4" s="37"/>
      <c r="AS4" s="37"/>
      <c r="AT4" s="37"/>
      <c r="AU4" s="37"/>
      <c r="AV4" s="36"/>
      <c r="AY4" s="4"/>
      <c r="AZ4" s="1"/>
      <c r="BA4" s="1"/>
      <c r="BB4" s="4"/>
      <c r="BC4" s="53"/>
    </row>
    <row r="5" spans="1:55" s="25" customFormat="1" x14ac:dyDescent="0.25">
      <c r="A5" s="261"/>
      <c r="B5" s="260"/>
      <c r="C5" s="259"/>
      <c r="D5" s="241">
        <f>R5</f>
        <v>0.27</v>
      </c>
      <c r="E5" s="80" t="s">
        <v>28</v>
      </c>
      <c r="F5" s="113"/>
      <c r="G5" s="241">
        <v>0.28000000000000003</v>
      </c>
      <c r="H5" s="240">
        <v>4.18</v>
      </c>
      <c r="I5" s="80"/>
      <c r="J5" s="113"/>
      <c r="K5" s="241">
        <v>0.12</v>
      </c>
      <c r="L5" s="240">
        <v>4.33</v>
      </c>
      <c r="M5" s="241">
        <f>K5</f>
        <v>0.12</v>
      </c>
      <c r="N5" s="80" t="s">
        <v>28</v>
      </c>
      <c r="O5" s="113"/>
      <c r="P5" s="241">
        <v>0.27</v>
      </c>
      <c r="Q5" s="240">
        <v>4.26</v>
      </c>
      <c r="R5" s="241">
        <f>P5</f>
        <v>0.27</v>
      </c>
      <c r="S5" s="80" t="s">
        <v>28</v>
      </c>
      <c r="T5" s="113"/>
      <c r="U5" s="260"/>
      <c r="V5" s="259"/>
      <c r="W5" s="241">
        <f>AB5</f>
        <v>0.11</v>
      </c>
      <c r="X5" s="80" t="s">
        <v>28</v>
      </c>
      <c r="Y5" s="113"/>
      <c r="Z5" s="241">
        <v>0.11</v>
      </c>
      <c r="AA5" s="240">
        <v>4.26</v>
      </c>
      <c r="AB5" s="241">
        <f>Z5</f>
        <v>0.11</v>
      </c>
      <c r="AC5" s="80" t="s">
        <v>28</v>
      </c>
      <c r="AD5" s="113"/>
      <c r="AE5" s="245">
        <v>0.6</v>
      </c>
      <c r="AF5" s="246">
        <v>4.0199999999999996</v>
      </c>
      <c r="AG5" s="245">
        <f>AE5</f>
        <v>0.6</v>
      </c>
      <c r="AH5" s="80" t="s">
        <v>28</v>
      </c>
      <c r="AI5" s="113"/>
      <c r="AJ5" s="245">
        <v>13.95</v>
      </c>
      <c r="AK5" s="246">
        <v>4.34</v>
      </c>
      <c r="AL5" s="245">
        <f>AJ5</f>
        <v>13.95</v>
      </c>
      <c r="AM5" s="80" t="s">
        <v>28</v>
      </c>
      <c r="AN5" s="32"/>
      <c r="AO5" s="36"/>
      <c r="AP5" s="36"/>
      <c r="AQ5" s="36"/>
      <c r="AR5" s="37"/>
      <c r="AS5" s="37"/>
      <c r="AT5" s="37"/>
      <c r="AU5" s="37"/>
      <c r="AV5" s="36"/>
      <c r="AY5" s="4"/>
      <c r="AZ5" s="1"/>
      <c r="BA5" s="1"/>
      <c r="BB5" s="4"/>
      <c r="BC5" s="53"/>
    </row>
    <row r="6" spans="1:55" s="25" customFormat="1" x14ac:dyDescent="0.25">
      <c r="A6" s="242">
        <v>2</v>
      </c>
      <c r="B6" s="241">
        <v>0.02</v>
      </c>
      <c r="C6" s="240">
        <v>4.34</v>
      </c>
      <c r="D6" s="240"/>
      <c r="E6" s="49"/>
      <c r="F6" s="113"/>
      <c r="G6" s="241">
        <v>0.02</v>
      </c>
      <c r="H6" s="240">
        <v>4.29</v>
      </c>
      <c r="I6" s="240"/>
      <c r="J6" s="113"/>
      <c r="K6" s="241">
        <v>0.02</v>
      </c>
      <c r="L6" s="240">
        <v>4.38</v>
      </c>
      <c r="M6" s="241"/>
      <c r="N6" s="49"/>
      <c r="O6" s="113"/>
      <c r="P6" s="241">
        <v>0.02</v>
      </c>
      <c r="Q6" s="240">
        <v>4.32</v>
      </c>
      <c r="R6" s="241"/>
      <c r="S6" s="49"/>
      <c r="T6" s="113"/>
      <c r="U6" s="260"/>
      <c r="V6" s="259"/>
      <c r="W6" s="241"/>
      <c r="X6" s="8"/>
      <c r="Y6" s="113"/>
      <c r="Z6" s="260">
        <v>0.22</v>
      </c>
      <c r="AA6" s="259">
        <v>4.3899999999999997</v>
      </c>
      <c r="AB6" s="241"/>
      <c r="AC6" s="8"/>
      <c r="AD6" s="113"/>
      <c r="AE6" s="270">
        <v>0.11</v>
      </c>
      <c r="AF6" s="271">
        <v>4.18</v>
      </c>
      <c r="AG6" s="245"/>
      <c r="AH6" s="8"/>
      <c r="AI6" s="113"/>
      <c r="AJ6" s="245">
        <v>0.22</v>
      </c>
      <c r="AK6" s="246">
        <v>4.45</v>
      </c>
      <c r="AL6" s="245"/>
      <c r="AM6" s="8"/>
      <c r="AN6" s="32"/>
      <c r="AO6" s="36"/>
      <c r="AP6" s="36"/>
      <c r="AQ6" s="36"/>
      <c r="AR6" s="36"/>
      <c r="AS6" s="36"/>
      <c r="AT6" s="36"/>
      <c r="AU6" s="36"/>
      <c r="AV6" s="36"/>
      <c r="AY6" s="4"/>
      <c r="AZ6" s="1"/>
      <c r="BA6" s="1"/>
      <c r="BB6" s="4"/>
      <c r="BC6" s="53"/>
    </row>
    <row r="7" spans="1:55" s="25" customFormat="1" x14ac:dyDescent="0.25">
      <c r="A7" s="261">
        <v>3</v>
      </c>
      <c r="B7" s="260">
        <v>0.06</v>
      </c>
      <c r="C7" s="259">
        <v>4.4400000000000004</v>
      </c>
      <c r="D7" s="240"/>
      <c r="E7" s="240"/>
      <c r="F7" s="113"/>
      <c r="G7" s="260">
        <v>0.11</v>
      </c>
      <c r="H7" s="259">
        <v>4.3499999999999996</v>
      </c>
      <c r="I7" s="240"/>
      <c r="J7" s="113"/>
      <c r="K7" s="260">
        <v>0.14000000000000001</v>
      </c>
      <c r="L7" s="259">
        <v>4.45</v>
      </c>
      <c r="M7" s="241"/>
      <c r="N7" s="240"/>
      <c r="O7" s="113"/>
      <c r="P7" s="260">
        <v>0.65</v>
      </c>
      <c r="Q7" s="259">
        <v>4.5</v>
      </c>
      <c r="R7" s="241"/>
      <c r="S7" s="240"/>
      <c r="T7" s="113"/>
      <c r="U7" s="260">
        <v>0.09</v>
      </c>
      <c r="V7" s="259">
        <v>4.45</v>
      </c>
      <c r="W7" s="241"/>
      <c r="X7" s="240"/>
      <c r="Y7" s="113"/>
      <c r="Z7" s="260"/>
      <c r="AA7" s="259"/>
      <c r="AB7" s="241"/>
      <c r="AC7" s="240"/>
      <c r="AD7" s="113"/>
      <c r="AE7" s="270"/>
      <c r="AF7" s="271"/>
      <c r="AG7" s="245"/>
      <c r="AH7" s="240"/>
      <c r="AI7" s="113"/>
      <c r="AJ7" s="270">
        <v>0.36</v>
      </c>
      <c r="AK7" s="271">
        <v>4.54</v>
      </c>
      <c r="AL7" s="245"/>
      <c r="AM7" s="240"/>
      <c r="AN7" s="32"/>
      <c r="AO7" s="36"/>
      <c r="AP7" s="36"/>
      <c r="AQ7" s="36"/>
      <c r="AR7" s="36"/>
      <c r="AS7" s="36"/>
      <c r="AT7" s="36"/>
      <c r="AU7" s="36"/>
      <c r="AV7" s="36"/>
      <c r="AY7" s="3"/>
      <c r="AZ7" s="1"/>
      <c r="BA7" s="2"/>
      <c r="BB7" s="3"/>
      <c r="BC7" s="53"/>
    </row>
    <row r="8" spans="1:55" s="25" customFormat="1" x14ac:dyDescent="0.25">
      <c r="A8" s="261"/>
      <c r="B8" s="260"/>
      <c r="C8" s="259"/>
      <c r="D8" s="240"/>
      <c r="E8" s="240"/>
      <c r="F8" s="113"/>
      <c r="G8" s="260"/>
      <c r="H8" s="259"/>
      <c r="I8" s="240"/>
      <c r="J8" s="113"/>
      <c r="K8" s="260"/>
      <c r="L8" s="259"/>
      <c r="M8" s="241"/>
      <c r="N8" s="240"/>
      <c r="O8" s="113"/>
      <c r="P8" s="260"/>
      <c r="Q8" s="259"/>
      <c r="R8" s="241"/>
      <c r="S8" s="240"/>
      <c r="T8" s="113"/>
      <c r="U8" s="260"/>
      <c r="V8" s="259"/>
      <c r="W8" s="241"/>
      <c r="X8" s="240"/>
      <c r="Y8" s="113"/>
      <c r="Z8" s="241">
        <v>0.04</v>
      </c>
      <c r="AA8" s="240">
        <v>4.51</v>
      </c>
      <c r="AB8" s="241"/>
      <c r="AC8" s="240"/>
      <c r="AD8" s="113"/>
      <c r="AE8" s="270">
        <v>0.32</v>
      </c>
      <c r="AF8" s="271">
        <v>4.2699999999999996</v>
      </c>
      <c r="AG8" s="245"/>
      <c r="AH8" s="240"/>
      <c r="AI8" s="113"/>
      <c r="AJ8" s="270"/>
      <c r="AK8" s="271"/>
      <c r="AL8" s="245"/>
      <c r="AM8" s="240"/>
      <c r="AN8" s="32"/>
      <c r="AO8" s="36"/>
      <c r="AP8" s="36"/>
      <c r="AQ8" s="36"/>
      <c r="AR8" s="36"/>
      <c r="AS8" s="36"/>
      <c r="AT8" s="36"/>
      <c r="AU8" s="36"/>
      <c r="AV8" s="36"/>
      <c r="AY8" s="3"/>
      <c r="AZ8" s="1"/>
      <c r="BA8" s="2"/>
      <c r="BB8" s="3"/>
      <c r="BC8" s="53"/>
    </row>
    <row r="9" spans="1:55" s="25" customFormat="1" x14ac:dyDescent="0.25">
      <c r="A9" s="261">
        <v>4</v>
      </c>
      <c r="B9" s="260">
        <v>0.7</v>
      </c>
      <c r="C9" s="259">
        <v>4.68</v>
      </c>
      <c r="D9" s="240"/>
      <c r="E9" s="24"/>
      <c r="F9" s="113"/>
      <c r="G9" s="241">
        <v>0.01</v>
      </c>
      <c r="H9" s="240">
        <v>4.43</v>
      </c>
      <c r="I9" s="240"/>
      <c r="J9" s="113"/>
      <c r="K9" s="241">
        <v>7.0000000000000007E-2</v>
      </c>
      <c r="L9" s="240">
        <v>4.66</v>
      </c>
      <c r="M9" s="241"/>
      <c r="N9" s="24"/>
      <c r="O9" s="113"/>
      <c r="P9" s="241">
        <v>0.23</v>
      </c>
      <c r="Q9" s="240">
        <v>4.63</v>
      </c>
      <c r="R9" s="241"/>
      <c r="S9" s="24"/>
      <c r="T9" s="113"/>
      <c r="U9" s="260">
        <v>1</v>
      </c>
      <c r="V9" s="259">
        <v>4.6900000000000004</v>
      </c>
      <c r="W9" s="241"/>
      <c r="X9" s="240"/>
      <c r="Y9" s="113"/>
      <c r="Z9" s="241">
        <v>0.13</v>
      </c>
      <c r="AA9" s="240">
        <v>4.62</v>
      </c>
      <c r="AB9" s="241"/>
      <c r="AC9" s="24"/>
      <c r="AD9" s="113"/>
      <c r="AE9" s="270"/>
      <c r="AF9" s="271"/>
      <c r="AG9" s="245"/>
      <c r="AH9" s="24"/>
      <c r="AI9" s="113"/>
      <c r="AJ9" s="245">
        <v>0.08</v>
      </c>
      <c r="AK9" s="246">
        <v>4.7</v>
      </c>
      <c r="AL9" s="245"/>
      <c r="AM9" s="24"/>
      <c r="AN9" s="32"/>
      <c r="AO9" s="36"/>
      <c r="AP9" s="36"/>
      <c r="AQ9" s="36"/>
      <c r="AR9" s="36"/>
      <c r="AS9" s="36"/>
      <c r="AT9" s="36"/>
      <c r="AU9" s="36"/>
      <c r="AV9" s="36"/>
      <c r="AY9" s="4"/>
      <c r="AZ9" s="1"/>
      <c r="BA9" s="1"/>
      <c r="BB9" s="4"/>
      <c r="BC9" s="53"/>
    </row>
    <row r="10" spans="1:55" s="25" customFormat="1" x14ac:dyDescent="0.25">
      <c r="A10" s="261"/>
      <c r="B10" s="260"/>
      <c r="C10" s="259"/>
      <c r="D10" s="240"/>
      <c r="E10" s="16"/>
      <c r="F10" s="113"/>
      <c r="G10" s="263">
        <v>0.18</v>
      </c>
      <c r="H10" s="266">
        <v>4.49</v>
      </c>
      <c r="I10" s="240"/>
      <c r="J10" s="113"/>
      <c r="K10" s="260">
        <v>0.62</v>
      </c>
      <c r="L10" s="259">
        <v>4.75</v>
      </c>
      <c r="M10" s="241"/>
      <c r="N10" s="16"/>
      <c r="O10" s="113"/>
      <c r="P10" s="260">
        <v>0.75</v>
      </c>
      <c r="Q10" s="259">
        <v>4.72</v>
      </c>
      <c r="R10" s="241"/>
      <c r="S10" s="16"/>
      <c r="T10" s="113"/>
      <c r="U10" s="260"/>
      <c r="V10" s="259"/>
      <c r="W10" s="241"/>
      <c r="X10" s="19"/>
      <c r="Y10" s="113"/>
      <c r="Z10" s="260">
        <v>0.66</v>
      </c>
      <c r="AA10" s="259">
        <v>4.72</v>
      </c>
      <c r="AB10" s="241"/>
      <c r="AC10" s="19"/>
      <c r="AD10" s="113"/>
      <c r="AE10" s="270">
        <v>0.65</v>
      </c>
      <c r="AF10" s="271">
        <v>4.38</v>
      </c>
      <c r="AG10" s="245"/>
      <c r="AH10" s="19"/>
      <c r="AI10" s="113"/>
      <c r="AJ10" s="270">
        <v>24.93</v>
      </c>
      <c r="AK10" s="271">
        <v>4.83</v>
      </c>
      <c r="AL10" s="245">
        <f>AJ10-AL12</f>
        <v>14.93</v>
      </c>
      <c r="AM10" s="80" t="s">
        <v>225</v>
      </c>
      <c r="AN10" s="32"/>
      <c r="AY10" s="3"/>
      <c r="AZ10" s="1"/>
      <c r="BA10" s="2"/>
      <c r="BB10" s="3"/>
      <c r="BC10" s="53"/>
    </row>
    <row r="11" spans="1:55" s="25" customFormat="1" x14ac:dyDescent="0.25">
      <c r="A11" s="261"/>
      <c r="B11" s="260"/>
      <c r="C11" s="259"/>
      <c r="D11" s="240"/>
      <c r="E11" s="19"/>
      <c r="F11" s="113"/>
      <c r="G11" s="265"/>
      <c r="H11" s="268"/>
      <c r="I11" s="240"/>
      <c r="J11" s="113"/>
      <c r="K11" s="260"/>
      <c r="L11" s="259"/>
      <c r="M11" s="241"/>
      <c r="N11" s="19"/>
      <c r="O11" s="113"/>
      <c r="P11" s="260"/>
      <c r="Q11" s="259"/>
      <c r="R11" s="241"/>
      <c r="S11" s="16"/>
      <c r="T11" s="113"/>
      <c r="U11" s="260"/>
      <c r="V11" s="259"/>
      <c r="W11" s="241"/>
      <c r="X11" s="19"/>
      <c r="Y11" s="113"/>
      <c r="Z11" s="260"/>
      <c r="AA11" s="259"/>
      <c r="AB11" s="241"/>
      <c r="AC11" s="19"/>
      <c r="AD11" s="113"/>
      <c r="AE11" s="270"/>
      <c r="AF11" s="271"/>
      <c r="AG11" s="245"/>
      <c r="AH11" s="19"/>
      <c r="AI11" s="113"/>
      <c r="AJ11" s="270"/>
      <c r="AK11" s="271"/>
      <c r="AL11" s="245"/>
      <c r="AM11" s="19"/>
      <c r="AN11" s="32"/>
      <c r="AO11" s="241"/>
      <c r="AP11" s="222" t="s">
        <v>1</v>
      </c>
      <c r="AQ11" s="222" t="s">
        <v>2</v>
      </c>
      <c r="AR11" s="222" t="s">
        <v>4</v>
      </c>
      <c r="AS11" s="222" t="s">
        <v>16</v>
      </c>
      <c r="AT11" s="105" t="s">
        <v>5</v>
      </c>
      <c r="AU11" s="105" t="s">
        <v>57</v>
      </c>
      <c r="AV11" s="222" t="s">
        <v>6</v>
      </c>
      <c r="AY11" s="3"/>
      <c r="AZ11" s="1"/>
      <c r="BA11" s="2"/>
      <c r="BB11" s="3"/>
      <c r="BC11" s="53"/>
    </row>
    <row r="12" spans="1:55" s="25" customFormat="1" ht="15.75" thickBot="1" x14ac:dyDescent="0.3">
      <c r="A12" s="261"/>
      <c r="B12" s="260"/>
      <c r="C12" s="259"/>
      <c r="D12" s="240">
        <f>B9</f>
        <v>0.7</v>
      </c>
      <c r="E12" s="15" t="s">
        <v>19</v>
      </c>
      <c r="F12" s="113"/>
      <c r="G12" s="241">
        <v>0.01</v>
      </c>
      <c r="H12" s="240">
        <v>4.5999999999999996</v>
      </c>
      <c r="I12" s="240"/>
      <c r="J12" s="113"/>
      <c r="K12" s="260"/>
      <c r="L12" s="259"/>
      <c r="M12" s="241">
        <f>K10</f>
        <v>0.62</v>
      </c>
      <c r="N12" s="15" t="s">
        <v>19</v>
      </c>
      <c r="O12" s="113"/>
      <c r="P12" s="260"/>
      <c r="Q12" s="259"/>
      <c r="R12" s="241">
        <f>P10</f>
        <v>0.75</v>
      </c>
      <c r="S12" s="15" t="s">
        <v>19</v>
      </c>
      <c r="T12" s="113"/>
      <c r="U12" s="260"/>
      <c r="V12" s="259"/>
      <c r="W12" s="241">
        <f>U9</f>
        <v>1</v>
      </c>
      <c r="X12" s="15" t="s">
        <v>19</v>
      </c>
      <c r="Y12" s="113"/>
      <c r="Z12" s="260"/>
      <c r="AA12" s="259"/>
      <c r="AB12" s="241">
        <f>Z10</f>
        <v>0.66</v>
      </c>
      <c r="AC12" s="15" t="s">
        <v>19</v>
      </c>
      <c r="AD12" s="113"/>
      <c r="AE12" s="270"/>
      <c r="AF12" s="271"/>
      <c r="AG12" s="245"/>
      <c r="AH12" s="245"/>
      <c r="AI12" s="113"/>
      <c r="AJ12" s="270"/>
      <c r="AK12" s="271"/>
      <c r="AL12" s="245">
        <v>10</v>
      </c>
      <c r="AM12" s="15" t="s">
        <v>19</v>
      </c>
      <c r="AN12" s="32"/>
      <c r="AO12" s="160" t="s">
        <v>168</v>
      </c>
      <c r="AP12" s="19">
        <f>D5+D49+D86+D87+D110+D127+D139+D147+D278+D149+D217+D221</f>
        <v>15.729999999999999</v>
      </c>
      <c r="AQ12" s="19">
        <f>M5+M49+M86+M110+M127+M139+M149+M221+M278+M84+M217+M147</f>
        <v>15.9</v>
      </c>
      <c r="AR12" s="19">
        <f>R5+R49+R86+R110+R127+R139+R149+R221+R278+R47+R84</f>
        <v>15.63</v>
      </c>
      <c r="AS12" s="19">
        <f>W5+W49+W48+W80+W86+W110+W139+W149+W221+W278</f>
        <v>15.98</v>
      </c>
      <c r="AT12" s="19">
        <f>AB5+AB49+AB80+AB110+AB139+AB149+AB221+AB278+AB48+AB86+AB97</f>
        <v>16.41</v>
      </c>
      <c r="AU12" s="241">
        <f>AG5+AG48+AG49+AG80+AG86++AG97+AG110+AG139+AG149+AG156+AG221+AG278</f>
        <v>19.43</v>
      </c>
      <c r="AV12" s="241">
        <f>AL5+AL17+AL48+AL86+AL87+AL139+AL149+AL221+AL10+AL278</f>
        <v>42.1</v>
      </c>
      <c r="AW12" s="160">
        <f>AVERAGE(AQ12:AV12)</f>
        <v>20.908333333333331</v>
      </c>
      <c r="AX12" s="111"/>
    </row>
    <row r="13" spans="1:55" s="25" customFormat="1" x14ac:dyDescent="0.25">
      <c r="A13" s="261">
        <v>5</v>
      </c>
      <c r="B13" s="260">
        <v>6.8</v>
      </c>
      <c r="C13" s="259">
        <v>4.8099999999999996</v>
      </c>
      <c r="D13" s="240">
        <f>B13</f>
        <v>6.8</v>
      </c>
      <c r="E13" s="54" t="s">
        <v>34</v>
      </c>
      <c r="F13" s="113"/>
      <c r="G13" s="241">
        <v>8.2100000000000009</v>
      </c>
      <c r="H13" s="240">
        <v>4.7</v>
      </c>
      <c r="I13" s="240"/>
      <c r="J13" s="113"/>
      <c r="K13" s="260">
        <v>6.61</v>
      </c>
      <c r="L13" s="259">
        <v>4.88</v>
      </c>
      <c r="M13" s="241">
        <f>K13</f>
        <v>6.61</v>
      </c>
      <c r="N13" s="54" t="s">
        <v>34</v>
      </c>
      <c r="O13" s="113"/>
      <c r="P13" s="241">
        <v>6.59</v>
      </c>
      <c r="Q13" s="240">
        <v>4.84</v>
      </c>
      <c r="R13" s="241">
        <f>P13</f>
        <v>6.59</v>
      </c>
      <c r="S13" s="54" t="s">
        <v>34</v>
      </c>
      <c r="T13" s="113"/>
      <c r="U13" s="241">
        <v>8.0299999999999994</v>
      </c>
      <c r="V13" s="240">
        <v>4.82</v>
      </c>
      <c r="W13" s="241">
        <f>U13</f>
        <v>8.0299999999999994</v>
      </c>
      <c r="X13" s="54" t="s">
        <v>34</v>
      </c>
      <c r="Y13" s="113"/>
      <c r="Z13" s="241">
        <v>6.31</v>
      </c>
      <c r="AA13" s="240">
        <v>4.84</v>
      </c>
      <c r="AB13" s="241">
        <f>Z13+Z14</f>
        <v>6.4399999999999995</v>
      </c>
      <c r="AC13" s="54" t="s">
        <v>34</v>
      </c>
      <c r="AD13" s="113"/>
      <c r="AE13" s="245">
        <v>6.4</v>
      </c>
      <c r="AF13" s="246">
        <v>4.55</v>
      </c>
      <c r="AG13" s="245">
        <f>AE13</f>
        <v>6.4</v>
      </c>
      <c r="AH13" s="54" t="s">
        <v>34</v>
      </c>
      <c r="AI13" s="113"/>
      <c r="AJ13" s="245">
        <v>6.13</v>
      </c>
      <c r="AK13" s="246">
        <v>4.95</v>
      </c>
      <c r="AL13" s="245">
        <f>AJ13</f>
        <v>6.13</v>
      </c>
      <c r="AM13" s="54" t="s">
        <v>34</v>
      </c>
      <c r="AN13" s="32"/>
      <c r="AO13" s="161" t="s">
        <v>169</v>
      </c>
      <c r="AP13" s="19">
        <f>D12+D63+D112+D272+D154</f>
        <v>1.46</v>
      </c>
      <c r="AQ13" s="19">
        <f>M12+M112+M63+M154+M272</f>
        <v>1.6100000000000003</v>
      </c>
      <c r="AR13" s="19">
        <f>R12+R63+R112+R154</f>
        <v>1.73</v>
      </c>
      <c r="AS13" s="19">
        <f>W12+W112+W63</f>
        <v>1.63</v>
      </c>
      <c r="AT13" s="19">
        <f>AB12+AB63+AB112</f>
        <v>1.74</v>
      </c>
      <c r="AU13" s="241"/>
      <c r="AV13" s="241">
        <f>AL12+AL63+AL112+AL16</f>
        <v>11.4</v>
      </c>
      <c r="AW13" s="161">
        <f>AVERAGE(AQ13:AU13)</f>
        <v>1.6775000000000002</v>
      </c>
      <c r="AX13" s="168">
        <f>AW12+AW13</f>
        <v>22.585833333333333</v>
      </c>
      <c r="AY13" s="169" t="s">
        <v>292</v>
      </c>
      <c r="AZ13" s="111"/>
      <c r="BB13" s="174" t="s">
        <v>287</v>
      </c>
      <c r="BC13" s="175"/>
    </row>
    <row r="14" spans="1:55" s="25" customFormat="1" x14ac:dyDescent="0.25">
      <c r="A14" s="261"/>
      <c r="B14" s="260"/>
      <c r="C14" s="259"/>
      <c r="D14" s="240"/>
      <c r="E14" s="19"/>
      <c r="F14" s="113"/>
      <c r="G14" s="241">
        <v>0.14000000000000001</v>
      </c>
      <c r="H14" s="240">
        <v>4.8600000000000003</v>
      </c>
      <c r="I14" s="240"/>
      <c r="J14" s="113"/>
      <c r="K14" s="260"/>
      <c r="L14" s="259"/>
      <c r="M14" s="241"/>
      <c r="N14" s="19"/>
      <c r="O14" s="113"/>
      <c r="P14" s="241">
        <v>0.24</v>
      </c>
      <c r="Q14" s="240">
        <v>4.99</v>
      </c>
      <c r="R14" s="241"/>
      <c r="S14" s="240"/>
      <c r="T14" s="113"/>
      <c r="U14" s="260">
        <v>0.11</v>
      </c>
      <c r="V14" s="259">
        <v>5.0199999999999996</v>
      </c>
      <c r="W14" s="241"/>
      <c r="X14" s="240"/>
      <c r="Y14" s="113"/>
      <c r="Z14" s="241">
        <v>0.13</v>
      </c>
      <c r="AA14" s="240">
        <v>5.05</v>
      </c>
      <c r="AB14" s="241"/>
      <c r="AC14" s="8"/>
      <c r="AD14" s="113"/>
      <c r="AE14" s="245">
        <v>0.2</v>
      </c>
      <c r="AF14" s="246">
        <v>4.72</v>
      </c>
      <c r="AG14" s="245"/>
      <c r="AH14" s="8"/>
      <c r="AI14" s="113"/>
      <c r="AJ14" s="270">
        <v>0.7</v>
      </c>
      <c r="AK14" s="271">
        <v>5.21</v>
      </c>
      <c r="AL14" s="245"/>
      <c r="AM14" s="8"/>
      <c r="AN14" s="32"/>
      <c r="AO14" s="162" t="s">
        <v>122</v>
      </c>
      <c r="AP14" s="26"/>
      <c r="AQ14" s="19"/>
      <c r="AR14" s="26"/>
      <c r="AS14" s="19"/>
      <c r="AT14" s="26"/>
      <c r="AU14" s="26"/>
      <c r="AV14" s="24"/>
      <c r="AW14" s="162">
        <v>0</v>
      </c>
      <c r="AX14" s="111"/>
      <c r="AY14" s="111"/>
      <c r="AZ14" s="111"/>
      <c r="BB14" s="176" t="s">
        <v>288</v>
      </c>
      <c r="BC14" s="177"/>
    </row>
    <row r="15" spans="1:55" s="25" customFormat="1" x14ac:dyDescent="0.25">
      <c r="A15" s="261">
        <v>6</v>
      </c>
      <c r="B15" s="260">
        <v>0.09</v>
      </c>
      <c r="C15" s="259">
        <v>5.07</v>
      </c>
      <c r="D15" s="240"/>
      <c r="E15" s="240"/>
      <c r="F15" s="113"/>
      <c r="G15" s="260">
        <v>0.05</v>
      </c>
      <c r="H15" s="259">
        <v>4.96</v>
      </c>
      <c r="I15" s="240"/>
      <c r="J15" s="113"/>
      <c r="K15" s="241">
        <v>0.04</v>
      </c>
      <c r="L15" s="240">
        <v>5.04</v>
      </c>
      <c r="M15" s="241"/>
      <c r="N15" s="240"/>
      <c r="O15" s="113"/>
      <c r="P15" s="241">
        <v>0.27</v>
      </c>
      <c r="Q15" s="240">
        <v>5.05</v>
      </c>
      <c r="R15" s="241"/>
      <c r="S15" s="240"/>
      <c r="T15" s="113"/>
      <c r="U15" s="260"/>
      <c r="V15" s="259"/>
      <c r="W15" s="241"/>
      <c r="X15" s="241"/>
      <c r="Y15" s="113"/>
      <c r="Z15" s="260">
        <v>0.13</v>
      </c>
      <c r="AA15" s="259">
        <v>5.12</v>
      </c>
      <c r="AB15" s="241"/>
      <c r="AC15" s="241"/>
      <c r="AD15" s="113"/>
      <c r="AE15" s="270">
        <v>0.16</v>
      </c>
      <c r="AF15" s="271">
        <v>4.7699999999999996</v>
      </c>
      <c r="AG15" s="245"/>
      <c r="AH15" s="241"/>
      <c r="AI15" s="113"/>
      <c r="AJ15" s="270"/>
      <c r="AK15" s="271"/>
      <c r="AL15" s="245"/>
      <c r="AM15" s="241"/>
      <c r="AN15" s="32"/>
      <c r="AO15" s="162" t="s">
        <v>124</v>
      </c>
      <c r="AP15" s="19">
        <f>D113</f>
        <v>0.22</v>
      </c>
      <c r="AQ15" s="19">
        <f>M37+M113</f>
        <v>0.22</v>
      </c>
      <c r="AR15" s="19">
        <f>R50</f>
        <v>0.22</v>
      </c>
      <c r="AS15" s="19">
        <f>W20+W50</f>
        <v>0.22</v>
      </c>
      <c r="AT15" s="19">
        <f>AB20</f>
        <v>0.22</v>
      </c>
      <c r="AU15" s="19"/>
      <c r="AV15" s="26">
        <f>AL20</f>
        <v>0.39</v>
      </c>
      <c r="AW15" s="162">
        <f>AVERAGE(AQ15:AU15)</f>
        <v>0.22</v>
      </c>
      <c r="AX15" s="111"/>
      <c r="AY15" s="111"/>
      <c r="AZ15" s="111"/>
      <c r="BB15" s="178" t="s">
        <v>289</v>
      </c>
      <c r="BC15" s="179"/>
    </row>
    <row r="16" spans="1:55" s="25" customFormat="1" x14ac:dyDescent="0.25">
      <c r="A16" s="261"/>
      <c r="B16" s="260"/>
      <c r="C16" s="259"/>
      <c r="D16" s="240"/>
      <c r="E16" s="24"/>
      <c r="F16" s="113"/>
      <c r="G16" s="260"/>
      <c r="H16" s="259"/>
      <c r="I16" s="240"/>
      <c r="J16" s="113"/>
      <c r="K16" s="260">
        <v>0.08</v>
      </c>
      <c r="L16" s="259">
        <v>5.0999999999999996</v>
      </c>
      <c r="M16" s="241"/>
      <c r="N16" s="24"/>
      <c r="O16" s="113"/>
      <c r="P16" s="260">
        <v>0.22</v>
      </c>
      <c r="Q16" s="259">
        <v>5.13</v>
      </c>
      <c r="R16" s="241"/>
      <c r="S16" s="24"/>
      <c r="T16" s="113"/>
      <c r="U16" s="260"/>
      <c r="V16" s="259"/>
      <c r="W16" s="241"/>
      <c r="X16" s="24"/>
      <c r="Y16" s="113"/>
      <c r="Z16" s="260"/>
      <c r="AA16" s="259"/>
      <c r="AB16" s="241"/>
      <c r="AC16" s="24"/>
      <c r="AD16" s="113"/>
      <c r="AE16" s="270"/>
      <c r="AF16" s="271"/>
      <c r="AG16" s="245"/>
      <c r="AH16" s="24"/>
      <c r="AI16" s="113"/>
      <c r="AJ16" s="270"/>
      <c r="AK16" s="271"/>
      <c r="AL16" s="245">
        <v>0.2</v>
      </c>
      <c r="AM16" s="74" t="s">
        <v>332</v>
      </c>
      <c r="AN16" s="32"/>
      <c r="AO16" s="162" t="s">
        <v>31</v>
      </c>
      <c r="AP16" s="241">
        <f>D21+D51</f>
        <v>0.44</v>
      </c>
      <c r="AQ16" s="241">
        <f>M21+M51</f>
        <v>0.41</v>
      </c>
      <c r="AR16" s="241">
        <f>R51+R21</f>
        <v>0.52</v>
      </c>
      <c r="AS16" s="241">
        <f>W21+W51</f>
        <v>0.54</v>
      </c>
      <c r="AT16" s="241">
        <f>AB21</f>
        <v>0.54</v>
      </c>
      <c r="AU16" s="241">
        <f>AG21</f>
        <v>1.1099999999999999</v>
      </c>
      <c r="AV16" s="241"/>
      <c r="AW16" s="162">
        <f>AVERAGE(AQ16:AU16)</f>
        <v>0.62399999999999989</v>
      </c>
      <c r="AX16" s="111"/>
      <c r="AY16" s="169" t="s">
        <v>193</v>
      </c>
      <c r="AZ16" s="111"/>
      <c r="BB16" s="180" t="s">
        <v>290</v>
      </c>
      <c r="BC16" s="181"/>
    </row>
    <row r="17" spans="1:63" s="25" customFormat="1" ht="15.75" thickBot="1" x14ac:dyDescent="0.3">
      <c r="A17" s="261"/>
      <c r="B17" s="260"/>
      <c r="C17" s="259"/>
      <c r="D17" s="240"/>
      <c r="E17" s="245"/>
      <c r="F17" s="115"/>
      <c r="G17" s="241">
        <v>0.05</v>
      </c>
      <c r="H17" s="240">
        <v>5.03</v>
      </c>
      <c r="I17" s="240"/>
      <c r="J17" s="115"/>
      <c r="K17" s="260"/>
      <c r="L17" s="259"/>
      <c r="M17" s="241"/>
      <c r="N17" s="245"/>
      <c r="O17" s="115"/>
      <c r="P17" s="260"/>
      <c r="Q17" s="259"/>
      <c r="R17" s="241"/>
      <c r="S17" s="245"/>
      <c r="T17" s="115"/>
      <c r="U17" s="260"/>
      <c r="V17" s="259"/>
      <c r="W17" s="241"/>
      <c r="X17" s="245"/>
      <c r="Y17" s="115"/>
      <c r="Z17" s="260"/>
      <c r="AA17" s="259"/>
      <c r="AB17" s="241"/>
      <c r="AC17" s="245"/>
      <c r="AD17" s="115"/>
      <c r="AE17" s="270"/>
      <c r="AF17" s="271"/>
      <c r="AG17" s="245"/>
      <c r="AH17" s="245"/>
      <c r="AI17" s="115"/>
      <c r="AJ17" s="270"/>
      <c r="AK17" s="271"/>
      <c r="AL17" s="245">
        <v>0.5</v>
      </c>
      <c r="AM17" s="80" t="s">
        <v>30</v>
      </c>
      <c r="AN17" s="32"/>
      <c r="AO17" s="162" t="s">
        <v>59</v>
      </c>
      <c r="AP17" s="19">
        <f>D31+D57</f>
        <v>0.09</v>
      </c>
      <c r="AQ17" s="19">
        <f>M31+M57</f>
        <v>0.09</v>
      </c>
      <c r="AR17" s="241">
        <f>R31+R57</f>
        <v>0.09</v>
      </c>
      <c r="AS17" s="241">
        <f>W31+W57</f>
        <v>0.05</v>
      </c>
      <c r="AT17" s="241">
        <f>AB31</f>
        <v>0.08</v>
      </c>
      <c r="AU17" s="19"/>
      <c r="AV17" s="241">
        <f>AL31</f>
        <v>0.14000000000000001</v>
      </c>
      <c r="AW17" s="162">
        <f t="shared" ref="AW17:AW22" si="0">AVERAGE(AQ17:AU17)</f>
        <v>7.7499999999999999E-2</v>
      </c>
      <c r="AX17" s="170">
        <f>SUM(AW14:AW17)</f>
        <v>0.92149999999999987</v>
      </c>
      <c r="AY17" s="169" t="s">
        <v>293</v>
      </c>
      <c r="AZ17" s="111"/>
      <c r="BB17" s="182" t="s">
        <v>291</v>
      </c>
      <c r="BC17" s="183"/>
    </row>
    <row r="18" spans="1:63" s="25" customFormat="1" x14ac:dyDescent="0.25">
      <c r="A18" s="261">
        <v>7</v>
      </c>
      <c r="B18" s="260">
        <v>0.54</v>
      </c>
      <c r="C18" s="259">
        <v>5.24</v>
      </c>
      <c r="D18" s="49"/>
      <c r="E18" s="24"/>
      <c r="F18" s="113"/>
      <c r="G18" s="260">
        <v>0.23</v>
      </c>
      <c r="H18" s="259">
        <v>5.0999999999999996</v>
      </c>
      <c r="I18" s="240"/>
      <c r="J18" s="113"/>
      <c r="K18" s="260">
        <v>0.03</v>
      </c>
      <c r="L18" s="259">
        <v>5.19</v>
      </c>
      <c r="M18" s="56"/>
      <c r="N18" s="24"/>
      <c r="O18" s="113"/>
      <c r="P18" s="260"/>
      <c r="Q18" s="259"/>
      <c r="R18" s="56"/>
      <c r="S18" s="24"/>
      <c r="T18" s="113"/>
      <c r="U18" s="260"/>
      <c r="V18" s="259"/>
      <c r="W18" s="56"/>
      <c r="X18" s="24"/>
      <c r="Y18" s="113"/>
      <c r="Z18" s="260"/>
      <c r="AA18" s="259"/>
      <c r="AB18" s="56"/>
      <c r="AC18" s="24"/>
      <c r="AD18" s="113"/>
      <c r="AE18" s="270"/>
      <c r="AF18" s="271"/>
      <c r="AG18" s="245"/>
      <c r="AH18" s="24"/>
      <c r="AI18" s="113"/>
      <c r="AJ18" s="270">
        <v>0.39</v>
      </c>
      <c r="AK18" s="271">
        <v>5.32</v>
      </c>
      <c r="AL18" s="245"/>
      <c r="AM18" s="24"/>
      <c r="AN18" s="32"/>
      <c r="AO18" s="163" t="s">
        <v>29</v>
      </c>
      <c r="AP18" s="241">
        <f>D24+D52+D54+D90+D163+D191+D253+D289+D295</f>
        <v>6.21</v>
      </c>
      <c r="AQ18" s="241">
        <f>M24+M52+M54+M90+M163+M191+M289+M295+M330</f>
        <v>6.6400000000000006</v>
      </c>
      <c r="AR18" s="241">
        <f>R24+R52+R54+R90</f>
        <v>6.22</v>
      </c>
      <c r="AS18" s="241">
        <f>W24+W54+W90</f>
        <v>5.9699999999999989</v>
      </c>
      <c r="AT18" s="241">
        <f>AB24</f>
        <v>6.65</v>
      </c>
      <c r="AU18" s="241">
        <f>AG24</f>
        <v>10</v>
      </c>
      <c r="AV18" s="241"/>
      <c r="AW18" s="163">
        <f t="shared" si="0"/>
        <v>7.0959999999999992</v>
      </c>
      <c r="AX18" s="111"/>
      <c r="AY18" s="111"/>
      <c r="AZ18" s="111"/>
    </row>
    <row r="19" spans="1:63" s="25" customFormat="1" x14ac:dyDescent="0.25">
      <c r="A19" s="261"/>
      <c r="B19" s="260"/>
      <c r="C19" s="259"/>
      <c r="D19" s="240"/>
      <c r="E19" s="24"/>
      <c r="F19" s="113"/>
      <c r="G19" s="260"/>
      <c r="H19" s="259"/>
      <c r="I19" s="240"/>
      <c r="J19" s="113"/>
      <c r="K19" s="260"/>
      <c r="L19" s="259"/>
      <c r="M19" s="241"/>
      <c r="N19" s="24"/>
      <c r="O19" s="113"/>
      <c r="P19" s="260"/>
      <c r="Q19" s="259"/>
      <c r="R19" s="241"/>
      <c r="S19" s="24"/>
      <c r="T19" s="113"/>
      <c r="U19" s="260"/>
      <c r="V19" s="259"/>
      <c r="W19" s="241"/>
      <c r="X19" s="24"/>
      <c r="Y19" s="113"/>
      <c r="Z19" s="260"/>
      <c r="AA19" s="259"/>
      <c r="AB19" s="241"/>
      <c r="AC19" s="24"/>
      <c r="AD19" s="113"/>
      <c r="AE19" s="270"/>
      <c r="AF19" s="271"/>
      <c r="AG19" s="245"/>
      <c r="AH19" s="24"/>
      <c r="AI19" s="113"/>
      <c r="AJ19" s="270"/>
      <c r="AK19" s="271"/>
      <c r="AL19" s="245"/>
      <c r="AM19" s="24"/>
      <c r="AN19" s="32"/>
      <c r="AO19" s="163" t="s">
        <v>58</v>
      </c>
      <c r="AP19" s="19">
        <f>D35+D72+D108+D168+D206+D316+D366+D58+D259</f>
        <v>4.4100000000000019</v>
      </c>
      <c r="AQ19" s="19">
        <f>M35+M72+M108+M160+M168+M206+M58</f>
        <v>3.3900000000000006</v>
      </c>
      <c r="AR19" s="241">
        <f>R35+R72+R108+R58</f>
        <v>4.24</v>
      </c>
      <c r="AS19" s="241">
        <f>W35+W72</f>
        <v>2.98</v>
      </c>
      <c r="AT19" s="241">
        <f>AB35</f>
        <v>3.3499999999999996</v>
      </c>
      <c r="AU19" s="19"/>
      <c r="AV19" s="241">
        <f>AL35</f>
        <v>0.02</v>
      </c>
      <c r="AW19" s="163">
        <f t="shared" si="0"/>
        <v>3.49</v>
      </c>
      <c r="AX19" s="111"/>
      <c r="AY19" s="111"/>
      <c r="AZ19" s="111"/>
    </row>
    <row r="20" spans="1:63" s="25" customFormat="1" x14ac:dyDescent="0.25">
      <c r="A20" s="261"/>
      <c r="B20" s="260"/>
      <c r="C20" s="259"/>
      <c r="D20" s="240"/>
      <c r="E20" s="16"/>
      <c r="F20" s="113"/>
      <c r="G20" s="260">
        <v>0.16</v>
      </c>
      <c r="H20" s="259">
        <v>5.17</v>
      </c>
      <c r="I20" s="240"/>
      <c r="J20" s="113"/>
      <c r="K20" s="260">
        <v>0.35</v>
      </c>
      <c r="L20" s="259">
        <v>5.34</v>
      </c>
      <c r="M20" s="56"/>
      <c r="N20" s="24"/>
      <c r="O20" s="113"/>
      <c r="P20" s="260">
        <v>0.46</v>
      </c>
      <c r="Q20" s="259">
        <v>5.3</v>
      </c>
      <c r="R20" s="241"/>
      <c r="S20" s="19"/>
      <c r="T20" s="113"/>
      <c r="U20" s="260">
        <v>0.18</v>
      </c>
      <c r="V20" s="259">
        <v>5.25</v>
      </c>
      <c r="W20" s="241">
        <f>U25</f>
        <v>0.02</v>
      </c>
      <c r="X20" s="61" t="s">
        <v>124</v>
      </c>
      <c r="Y20" s="113"/>
      <c r="Z20" s="260">
        <v>0.41</v>
      </c>
      <c r="AA20" s="259">
        <v>5.29</v>
      </c>
      <c r="AB20" s="241">
        <f>Z25</f>
        <v>0.22</v>
      </c>
      <c r="AC20" s="61" t="s">
        <v>124</v>
      </c>
      <c r="AD20" s="113"/>
      <c r="AE20" s="270">
        <v>0.35</v>
      </c>
      <c r="AF20" s="271">
        <v>4.91</v>
      </c>
      <c r="AG20" s="245"/>
      <c r="AH20" s="24"/>
      <c r="AI20" s="113"/>
      <c r="AJ20" s="270"/>
      <c r="AK20" s="271"/>
      <c r="AL20" s="245">
        <f>AJ18</f>
        <v>0.39</v>
      </c>
      <c r="AM20" s="61" t="s">
        <v>124</v>
      </c>
      <c r="AN20" s="39"/>
      <c r="AO20" s="163" t="s">
        <v>18</v>
      </c>
      <c r="AP20" s="19">
        <f>D64+D296+D103</f>
        <v>0.82</v>
      </c>
      <c r="AQ20" s="19">
        <f>M64+M103+M198+M296</f>
        <v>1.2500000000000002</v>
      </c>
      <c r="AR20" s="19">
        <f>R64+R103</f>
        <v>0.65</v>
      </c>
      <c r="AS20" s="19">
        <f>W33+W64+W103</f>
        <v>1.3599999999999999</v>
      </c>
      <c r="AT20" s="19">
        <f>AB33</f>
        <v>0.96</v>
      </c>
      <c r="AU20" s="241">
        <f>AG33</f>
        <v>4</v>
      </c>
      <c r="AV20" s="241">
        <f>AL33</f>
        <v>0.05</v>
      </c>
      <c r="AW20" s="163">
        <f t="shared" si="0"/>
        <v>1.6440000000000001</v>
      </c>
      <c r="AX20" s="111"/>
      <c r="AY20" s="111"/>
      <c r="AZ20" s="111"/>
    </row>
    <row r="21" spans="1:63" s="25" customFormat="1" x14ac:dyDescent="0.25">
      <c r="A21" s="261"/>
      <c r="B21" s="260"/>
      <c r="C21" s="259"/>
      <c r="D21" s="240">
        <v>0.4</v>
      </c>
      <c r="E21" s="10" t="s">
        <v>31</v>
      </c>
      <c r="F21" s="113"/>
      <c r="G21" s="260"/>
      <c r="H21" s="259"/>
      <c r="I21" s="240"/>
      <c r="J21" s="113"/>
      <c r="K21" s="260"/>
      <c r="L21" s="259"/>
      <c r="M21" s="241">
        <f>K20</f>
        <v>0.35</v>
      </c>
      <c r="N21" s="10" t="s">
        <v>31</v>
      </c>
      <c r="O21" s="113"/>
      <c r="P21" s="260"/>
      <c r="Q21" s="259"/>
      <c r="R21" s="241">
        <f>P20</f>
        <v>0.46</v>
      </c>
      <c r="S21" s="10" t="s">
        <v>31</v>
      </c>
      <c r="T21" s="113"/>
      <c r="U21" s="260"/>
      <c r="V21" s="259"/>
      <c r="W21" s="241">
        <f>U20</f>
        <v>0.18</v>
      </c>
      <c r="X21" s="10" t="s">
        <v>31</v>
      </c>
      <c r="Y21" s="113"/>
      <c r="Z21" s="260"/>
      <c r="AA21" s="259"/>
      <c r="AB21" s="241">
        <f>Z20+Z15</f>
        <v>0.54</v>
      </c>
      <c r="AC21" s="10" t="s">
        <v>31</v>
      </c>
      <c r="AD21" s="113"/>
      <c r="AE21" s="270"/>
      <c r="AF21" s="271"/>
      <c r="AG21" s="245">
        <f>AE20+0.76</f>
        <v>1.1099999999999999</v>
      </c>
      <c r="AH21" s="10" t="s">
        <v>31</v>
      </c>
      <c r="AI21" s="113"/>
      <c r="AJ21" s="245">
        <v>0.05</v>
      </c>
      <c r="AK21" s="246">
        <v>5.4</v>
      </c>
      <c r="AL21" s="245"/>
      <c r="AN21" s="32"/>
      <c r="AO21" s="163" t="s">
        <v>60</v>
      </c>
      <c r="AP21" s="19">
        <f>D73+D115+D116+D185+D209+D280</f>
        <v>2.46</v>
      </c>
      <c r="AQ21" s="19">
        <f>M42+M73+M115+M116+M209+M280+M185</f>
        <v>2.5300000000000002</v>
      </c>
      <c r="AR21" s="19">
        <f>R73+R115+R116</f>
        <v>2.5</v>
      </c>
      <c r="AS21" s="19">
        <f>W46+W73+W115</f>
        <v>2.52</v>
      </c>
      <c r="AT21" s="19">
        <f>AB46</f>
        <v>2.7</v>
      </c>
      <c r="AU21" s="19"/>
      <c r="AV21" s="241">
        <f>AL46</f>
        <v>0.27999999999999997</v>
      </c>
      <c r="AW21" s="163">
        <f>AVERAGE(AQ21:AU21)</f>
        <v>2.5625</v>
      </c>
      <c r="AX21" s="171">
        <f>SUM(AW18:AW21)</f>
        <v>14.792499999999999</v>
      </c>
      <c r="AY21" s="169" t="s">
        <v>296</v>
      </c>
      <c r="AZ21" s="111"/>
    </row>
    <row r="22" spans="1:63" s="25" customFormat="1" x14ac:dyDescent="0.25">
      <c r="A22" s="261"/>
      <c r="B22" s="260"/>
      <c r="C22" s="259"/>
      <c r="D22" s="49"/>
      <c r="E22" s="24"/>
      <c r="F22" s="113"/>
      <c r="G22" s="260"/>
      <c r="H22" s="259"/>
      <c r="I22" s="240"/>
      <c r="J22" s="113"/>
      <c r="K22" s="260">
        <v>0.1</v>
      </c>
      <c r="L22" s="259">
        <v>5.39</v>
      </c>
      <c r="M22" s="56"/>
      <c r="N22" s="24"/>
      <c r="O22" s="113"/>
      <c r="P22" s="260">
        <v>0.22</v>
      </c>
      <c r="Q22" s="259">
        <v>5.39</v>
      </c>
      <c r="R22" s="56"/>
      <c r="S22" s="24"/>
      <c r="T22" s="113"/>
      <c r="U22" s="260">
        <v>0.38</v>
      </c>
      <c r="V22" s="259">
        <v>5.31</v>
      </c>
      <c r="W22" s="56"/>
      <c r="X22" s="24"/>
      <c r="Y22" s="113"/>
      <c r="Z22" s="260">
        <v>7.65</v>
      </c>
      <c r="AA22" s="259">
        <v>5.36</v>
      </c>
      <c r="AB22" s="241"/>
      <c r="AC22" s="24"/>
      <c r="AD22" s="113"/>
      <c r="AE22" s="270">
        <v>10.76</v>
      </c>
      <c r="AF22" s="271">
        <v>4.9800000000000004</v>
      </c>
      <c r="AG22" s="245"/>
      <c r="AH22" s="24"/>
      <c r="AI22" s="113"/>
      <c r="AJ22" s="245">
        <v>0.08</v>
      </c>
      <c r="AK22" s="246">
        <v>5.44</v>
      </c>
      <c r="AL22" s="245"/>
      <c r="AM22" s="24"/>
      <c r="AN22" s="32"/>
      <c r="AO22" s="164" t="s">
        <v>27</v>
      </c>
      <c r="AP22" s="19">
        <f>D65+D136+D171+D172+D173+D226+D232+D269+D282+D344+D350+D370+D383+D392+D393+D158</f>
        <v>7.1599999999999993</v>
      </c>
      <c r="AQ22" s="19">
        <f>M65+M172+M173+M171+M136+M158+M232+M269+M282+M344+M370+M383</f>
        <v>6.1100000000000012</v>
      </c>
      <c r="AR22" s="19">
        <f>R65+R171+R172+R173+R136</f>
        <v>5.7799999999999994</v>
      </c>
      <c r="AS22" s="19">
        <f>W34+W65+W172</f>
        <v>5.79</v>
      </c>
      <c r="AT22" s="19">
        <f>AB34</f>
        <v>6.0400000000000009</v>
      </c>
      <c r="AU22" s="241">
        <f>AG34</f>
        <v>9.2200000000000024</v>
      </c>
      <c r="AV22" s="241">
        <f>AL34</f>
        <v>0.04</v>
      </c>
      <c r="AW22" s="164">
        <f t="shared" si="0"/>
        <v>6.5879999999999992</v>
      </c>
      <c r="AX22" s="111"/>
      <c r="AY22" s="111"/>
      <c r="AZ22" s="111"/>
    </row>
    <row r="23" spans="1:63" s="25" customFormat="1" x14ac:dyDescent="0.25">
      <c r="A23" s="261"/>
      <c r="B23" s="260"/>
      <c r="C23" s="259"/>
      <c r="D23" s="240"/>
      <c r="E23" s="241"/>
      <c r="F23" s="113"/>
      <c r="G23" s="260"/>
      <c r="H23" s="259"/>
      <c r="I23" s="240"/>
      <c r="J23" s="113"/>
      <c r="K23" s="260"/>
      <c r="L23" s="259"/>
      <c r="M23" s="241"/>
      <c r="N23" s="241"/>
      <c r="O23" s="113"/>
      <c r="P23" s="260"/>
      <c r="Q23" s="259"/>
      <c r="R23" s="241"/>
      <c r="S23" s="241"/>
      <c r="T23" s="113"/>
      <c r="U23" s="260"/>
      <c r="V23" s="259"/>
      <c r="W23" s="241"/>
      <c r="X23" s="241"/>
      <c r="Y23" s="113"/>
      <c r="Z23" s="260"/>
      <c r="AA23" s="259"/>
      <c r="AB23" s="241"/>
      <c r="AC23" s="241"/>
      <c r="AD23" s="113"/>
      <c r="AE23" s="270"/>
      <c r="AF23" s="271"/>
      <c r="AG23" s="245"/>
      <c r="AH23" s="241"/>
      <c r="AI23" s="113"/>
      <c r="AJ23" s="245"/>
      <c r="AK23" s="246"/>
      <c r="AL23" s="245"/>
      <c r="AM23" s="241"/>
      <c r="AN23" s="32"/>
      <c r="AO23" s="164" t="s">
        <v>61</v>
      </c>
      <c r="AP23" s="19">
        <f>D118+D213+D283+D339+D345+D395+D338</f>
        <v>3.9499999999999997</v>
      </c>
      <c r="AQ23" s="19">
        <f>M118+M200+M213+M283+M339+M345</f>
        <v>4.1199999999999992</v>
      </c>
      <c r="AR23" s="19">
        <f>R118+R200</f>
        <v>2.4900000000000002</v>
      </c>
      <c r="AS23" s="19">
        <f>W47+W118+W200</f>
        <v>3.12</v>
      </c>
      <c r="AT23" s="19">
        <f>AB47</f>
        <v>1.8600000000000012</v>
      </c>
      <c r="AU23" s="19"/>
      <c r="AV23" s="241">
        <f>AL47</f>
        <v>0.27999999999999997</v>
      </c>
      <c r="AW23" s="164">
        <f t="shared" ref="AW23:AW28" si="1">AVERAGE(AQ23:AU23)</f>
        <v>2.8975000000000004</v>
      </c>
      <c r="AX23" s="111"/>
      <c r="AY23" s="111"/>
      <c r="AZ23" s="111"/>
    </row>
    <row r="24" spans="1:63" s="25" customFormat="1" x14ac:dyDescent="0.25">
      <c r="A24" s="261"/>
      <c r="B24" s="260"/>
      <c r="C24" s="259"/>
      <c r="D24" s="241">
        <f>B18-D21</f>
        <v>0.14000000000000001</v>
      </c>
      <c r="E24" s="7" t="s">
        <v>29</v>
      </c>
      <c r="F24" s="113"/>
      <c r="G24" s="260"/>
      <c r="H24" s="259"/>
      <c r="I24" s="240"/>
      <c r="J24" s="113"/>
      <c r="K24" s="260"/>
      <c r="L24" s="259"/>
      <c r="M24" s="241">
        <f>K22+K25</f>
        <v>0.21000000000000002</v>
      </c>
      <c r="N24" s="7" t="s">
        <v>29</v>
      </c>
      <c r="O24" s="113"/>
      <c r="P24" s="260"/>
      <c r="Q24" s="259"/>
      <c r="R24" s="241">
        <f>P22</f>
        <v>0.22</v>
      </c>
      <c r="S24" s="7" t="s">
        <v>29</v>
      </c>
      <c r="T24" s="113"/>
      <c r="U24" s="260"/>
      <c r="V24" s="259"/>
      <c r="W24" s="241">
        <f>U22</f>
        <v>0.38</v>
      </c>
      <c r="X24" s="7" t="s">
        <v>29</v>
      </c>
      <c r="Y24" s="113"/>
      <c r="Z24" s="260"/>
      <c r="AA24" s="259"/>
      <c r="AB24" s="241">
        <v>6.65</v>
      </c>
      <c r="AC24" s="7" t="s">
        <v>29</v>
      </c>
      <c r="AD24" s="113"/>
      <c r="AE24" s="270"/>
      <c r="AF24" s="271"/>
      <c r="AG24" s="245">
        <v>10</v>
      </c>
      <c r="AH24" s="7" t="s">
        <v>29</v>
      </c>
      <c r="AI24" s="113"/>
      <c r="AJ24" s="245">
        <v>0.03</v>
      </c>
      <c r="AK24" s="246">
        <v>5.5</v>
      </c>
      <c r="AL24" s="245"/>
      <c r="AM24" s="18"/>
      <c r="AN24" s="32"/>
      <c r="AO24" s="164" t="s">
        <v>21</v>
      </c>
      <c r="AP24" s="19">
        <f>D193+D256</f>
        <v>0.16</v>
      </c>
      <c r="AQ24" s="19">
        <f>M93+M193+M256</f>
        <v>0.47000000000000003</v>
      </c>
      <c r="AR24" s="19">
        <f>R53+R93+R193</f>
        <v>1.9</v>
      </c>
      <c r="AS24" s="19">
        <f>W44</f>
        <v>1.9</v>
      </c>
      <c r="AT24" s="19">
        <f>AB44</f>
        <v>1.9</v>
      </c>
      <c r="AU24" s="241">
        <f>AG44</f>
        <v>1.3</v>
      </c>
      <c r="AV24" s="241"/>
      <c r="AW24" s="164">
        <f t="shared" si="1"/>
        <v>1.494</v>
      </c>
      <c r="AX24" s="111"/>
      <c r="AY24" s="111"/>
      <c r="AZ24" s="111"/>
    </row>
    <row r="25" spans="1:63" s="25" customFormat="1" x14ac:dyDescent="0.25">
      <c r="A25" s="261"/>
      <c r="B25" s="260"/>
      <c r="C25" s="259"/>
      <c r="D25" s="240"/>
      <c r="E25" s="49"/>
      <c r="F25" s="113"/>
      <c r="G25" s="260"/>
      <c r="H25" s="259"/>
      <c r="I25" s="240"/>
      <c r="J25" s="113"/>
      <c r="K25" s="241">
        <v>0.11</v>
      </c>
      <c r="L25" s="240">
        <v>5.43</v>
      </c>
      <c r="M25" s="241"/>
      <c r="N25" s="49"/>
      <c r="O25" s="113"/>
      <c r="P25" s="241">
        <v>0.16</v>
      </c>
      <c r="Q25" s="240">
        <v>5.43</v>
      </c>
      <c r="R25" s="241"/>
      <c r="S25" s="49"/>
      <c r="T25" s="113"/>
      <c r="U25" s="241">
        <v>0.02</v>
      </c>
      <c r="V25" s="240">
        <v>5.45</v>
      </c>
      <c r="W25" s="56"/>
      <c r="X25" s="24"/>
      <c r="Y25" s="113"/>
      <c r="Z25" s="241">
        <v>0.22</v>
      </c>
      <c r="AA25" s="240">
        <v>5.5</v>
      </c>
      <c r="AB25" s="56"/>
      <c r="AC25" s="24"/>
      <c r="AD25" s="113"/>
      <c r="AE25" s="245">
        <v>0.38</v>
      </c>
      <c r="AF25" s="246">
        <v>5.09</v>
      </c>
      <c r="AG25" s="245"/>
      <c r="AH25" s="92"/>
      <c r="AI25" s="113"/>
      <c r="AJ25" s="245">
        <v>0.11</v>
      </c>
      <c r="AK25" s="246">
        <v>5.59</v>
      </c>
      <c r="AL25" s="245"/>
      <c r="AM25" s="92"/>
      <c r="AN25" s="32"/>
      <c r="AO25" s="164" t="s">
        <v>101</v>
      </c>
      <c r="AP25" s="19">
        <f>D66+D351+D218</f>
        <v>1.31</v>
      </c>
      <c r="AQ25" s="19">
        <f>M66+M218+M351</f>
        <v>1.36</v>
      </c>
      <c r="AR25" s="19">
        <f>R66+R218</f>
        <v>1.4499999999999995</v>
      </c>
      <c r="AS25" s="19">
        <f>W66+W218</f>
        <v>1.42</v>
      </c>
      <c r="AT25" s="19">
        <f>AB66</f>
        <v>0.64</v>
      </c>
      <c r="AU25" s="26"/>
      <c r="AV25" s="241">
        <f>AL66</f>
        <v>0.22</v>
      </c>
      <c r="AW25" s="164">
        <f>AVERAGE(AQ25:AU25)</f>
        <v>1.2174999999999998</v>
      </c>
      <c r="AX25" s="172">
        <f>SUM(AW22:AW25)</f>
        <v>12.196999999999999</v>
      </c>
      <c r="AY25" s="169" t="s">
        <v>295</v>
      </c>
      <c r="AZ25" s="111"/>
    </row>
    <row r="26" spans="1:63" s="25" customFormat="1" x14ac:dyDescent="0.25">
      <c r="A26" s="261">
        <v>8</v>
      </c>
      <c r="B26" s="260">
        <v>8.23</v>
      </c>
      <c r="C26" s="259">
        <v>5.57</v>
      </c>
      <c r="D26" s="240"/>
      <c r="E26" s="240"/>
      <c r="F26" s="113"/>
      <c r="G26" s="241">
        <v>0.11</v>
      </c>
      <c r="H26" s="240">
        <v>5.31</v>
      </c>
      <c r="I26" s="240"/>
      <c r="J26" s="113"/>
      <c r="K26" s="241">
        <v>0.13</v>
      </c>
      <c r="L26" s="240">
        <v>5.52</v>
      </c>
      <c r="M26" s="241"/>
      <c r="N26" s="240"/>
      <c r="O26" s="113"/>
      <c r="P26" s="260">
        <v>8.0299999999999994</v>
      </c>
      <c r="Q26" s="259">
        <v>5.6</v>
      </c>
      <c r="R26" s="241"/>
      <c r="S26" s="240"/>
      <c r="T26" s="113"/>
      <c r="U26" s="270">
        <v>10.26</v>
      </c>
      <c r="V26" s="259">
        <v>5.58</v>
      </c>
      <c r="W26" s="241"/>
      <c r="X26" s="8"/>
      <c r="Y26" s="113"/>
      <c r="Z26" s="260">
        <v>7.55</v>
      </c>
      <c r="AA26" s="259">
        <v>5.6</v>
      </c>
      <c r="AB26" s="241"/>
      <c r="AC26" s="240"/>
      <c r="AD26" s="113"/>
      <c r="AE26" s="270">
        <v>6.58</v>
      </c>
      <c r="AF26" s="271">
        <v>5.25</v>
      </c>
      <c r="AG26" s="245"/>
      <c r="AH26" s="240"/>
      <c r="AI26" s="113"/>
      <c r="AJ26" s="270">
        <v>7.7</v>
      </c>
      <c r="AK26" s="271">
        <v>5.73</v>
      </c>
      <c r="AL26" s="245"/>
      <c r="AM26" s="240"/>
      <c r="AN26" s="32"/>
      <c r="AO26" s="165" t="s">
        <v>22</v>
      </c>
      <c r="AP26" s="19">
        <f>D151+D249+D318+D324</f>
        <v>0.76999999999999991</v>
      </c>
      <c r="AQ26" s="19">
        <f>M67+M106+M263+M314+M151+M249</f>
        <v>1.25</v>
      </c>
      <c r="AR26" s="19">
        <f>R67+R106+R314+R263+R249</f>
        <v>0.88</v>
      </c>
      <c r="AS26" s="19">
        <f>W67+W314+W263+W106+W249</f>
        <v>1.27</v>
      </c>
      <c r="AT26" s="19">
        <f>AB67</f>
        <v>0.68</v>
      </c>
      <c r="AU26" s="241">
        <f>AG67</f>
        <v>1.23</v>
      </c>
      <c r="AV26" s="241"/>
      <c r="AW26" s="165">
        <f t="shared" si="1"/>
        <v>1.0620000000000001</v>
      </c>
      <c r="AX26" s="111"/>
      <c r="AY26" s="111"/>
      <c r="AZ26" s="111"/>
    </row>
    <row r="27" spans="1:63" s="25" customFormat="1" x14ac:dyDescent="0.25">
      <c r="A27" s="261"/>
      <c r="B27" s="260"/>
      <c r="C27" s="259"/>
      <c r="D27" s="240"/>
      <c r="E27" s="19"/>
      <c r="F27" s="113"/>
      <c r="G27" s="260">
        <v>9.65</v>
      </c>
      <c r="H27" s="259">
        <v>5.42</v>
      </c>
      <c r="I27" s="240"/>
      <c r="J27" s="113"/>
      <c r="K27" s="260">
        <v>8</v>
      </c>
      <c r="L27" s="259">
        <v>5.65</v>
      </c>
      <c r="M27" s="241"/>
      <c r="N27" s="19"/>
      <c r="O27" s="113"/>
      <c r="P27" s="260"/>
      <c r="Q27" s="259"/>
      <c r="R27" s="241"/>
      <c r="S27" s="19"/>
      <c r="T27" s="113"/>
      <c r="U27" s="270"/>
      <c r="V27" s="259"/>
      <c r="W27" s="241"/>
      <c r="X27" s="19"/>
      <c r="Y27" s="113"/>
      <c r="Z27" s="260"/>
      <c r="AA27" s="259"/>
      <c r="AB27" s="56"/>
      <c r="AC27" s="24"/>
      <c r="AD27" s="113"/>
      <c r="AE27" s="270"/>
      <c r="AF27" s="271"/>
      <c r="AG27" s="245"/>
      <c r="AH27" s="24"/>
      <c r="AI27" s="113"/>
      <c r="AJ27" s="270"/>
      <c r="AK27" s="271"/>
      <c r="AL27" s="245"/>
      <c r="AM27" s="24"/>
      <c r="AN27" s="32"/>
      <c r="AO27" s="165" t="s">
        <v>63</v>
      </c>
      <c r="AP27" s="19">
        <f>D79+D319</f>
        <v>0.55999999999999994</v>
      </c>
      <c r="AQ27" s="19">
        <f>M79+M319</f>
        <v>0.56000000000000005</v>
      </c>
      <c r="AR27" s="19">
        <f>R79+R319</f>
        <v>0.5</v>
      </c>
      <c r="AS27" s="19">
        <f>W79+W319</f>
        <v>0.56999999999999984</v>
      </c>
      <c r="AT27" s="19">
        <f>AB79</f>
        <v>0.23</v>
      </c>
      <c r="AU27" s="26"/>
      <c r="AV27" s="26">
        <f>AL79</f>
        <v>0.23</v>
      </c>
      <c r="AW27" s="165">
        <f t="shared" si="1"/>
        <v>0.46499999999999997</v>
      </c>
      <c r="AX27" s="111"/>
      <c r="AY27" s="111"/>
      <c r="AZ27" s="111"/>
    </row>
    <row r="28" spans="1:63" s="25" customFormat="1" x14ac:dyDescent="0.25">
      <c r="A28" s="261"/>
      <c r="B28" s="260"/>
      <c r="C28" s="259"/>
      <c r="D28" s="240"/>
      <c r="E28" s="241"/>
      <c r="F28" s="113"/>
      <c r="G28" s="260"/>
      <c r="H28" s="259"/>
      <c r="I28" s="240"/>
      <c r="J28" s="113"/>
      <c r="K28" s="260"/>
      <c r="L28" s="259"/>
      <c r="M28" s="241"/>
      <c r="N28" s="241"/>
      <c r="O28" s="113"/>
      <c r="P28" s="260"/>
      <c r="Q28" s="259"/>
      <c r="R28" s="241"/>
      <c r="S28" s="241"/>
      <c r="T28" s="113"/>
      <c r="U28" s="270"/>
      <c r="V28" s="259"/>
      <c r="W28" s="241"/>
      <c r="X28" s="241"/>
      <c r="Y28" s="113"/>
      <c r="Z28" s="260"/>
      <c r="AA28" s="259"/>
      <c r="AB28" s="241"/>
      <c r="AC28" s="241"/>
      <c r="AD28" s="113"/>
      <c r="AE28" s="270"/>
      <c r="AF28" s="271"/>
      <c r="AG28" s="245"/>
      <c r="AH28" s="241"/>
      <c r="AI28" s="113"/>
      <c r="AJ28" s="270"/>
      <c r="AK28" s="271"/>
      <c r="AL28" s="245"/>
      <c r="AM28" s="241"/>
      <c r="AN28" s="32"/>
      <c r="AO28" s="165" t="s">
        <v>39</v>
      </c>
      <c r="AP28" s="19">
        <f>D120+D256+D320</f>
        <v>0.39</v>
      </c>
      <c r="AQ28" s="19">
        <f>M75+M120+M320</f>
        <v>0.38</v>
      </c>
      <c r="AR28" s="19">
        <f>R75+R120+R320</f>
        <v>0.38</v>
      </c>
      <c r="AS28" s="19">
        <f>W75+W120+W320</f>
        <v>0.39</v>
      </c>
      <c r="AT28" s="19">
        <f>AB75</f>
        <v>0.39</v>
      </c>
      <c r="AU28" s="241">
        <f>AG75</f>
        <v>1.49</v>
      </c>
      <c r="AV28" s="26"/>
      <c r="AW28" s="165">
        <f t="shared" si="1"/>
        <v>0.60600000000000009</v>
      </c>
      <c r="AX28" s="111"/>
      <c r="AY28" s="111"/>
      <c r="AZ28" s="111"/>
    </row>
    <row r="29" spans="1:63" s="25" customFormat="1" x14ac:dyDescent="0.25">
      <c r="A29" s="261"/>
      <c r="B29" s="260"/>
      <c r="C29" s="259"/>
      <c r="D29" s="240"/>
      <c r="E29" s="19"/>
      <c r="F29" s="113"/>
      <c r="G29" s="260"/>
      <c r="H29" s="259"/>
      <c r="I29" s="240"/>
      <c r="J29" s="113"/>
      <c r="K29" s="260"/>
      <c r="L29" s="259"/>
      <c r="M29" s="241"/>
      <c r="N29" s="19"/>
      <c r="O29" s="113"/>
      <c r="P29" s="260"/>
      <c r="Q29" s="259"/>
      <c r="R29" s="241"/>
      <c r="S29" s="24"/>
      <c r="T29" s="113"/>
      <c r="U29" s="270"/>
      <c r="V29" s="259"/>
      <c r="W29" s="241"/>
      <c r="X29" s="240"/>
      <c r="Y29" s="113"/>
      <c r="Z29" s="260"/>
      <c r="AA29" s="259"/>
      <c r="AB29" s="241"/>
      <c r="AC29" s="24"/>
      <c r="AD29" s="113"/>
      <c r="AE29" s="270"/>
      <c r="AF29" s="271"/>
      <c r="AG29" s="245"/>
      <c r="AH29" s="24"/>
      <c r="AI29" s="113"/>
      <c r="AJ29" s="270"/>
      <c r="AK29" s="271"/>
      <c r="AL29" s="245">
        <v>2</v>
      </c>
      <c r="AM29" s="74" t="s">
        <v>335</v>
      </c>
      <c r="AN29" s="32"/>
      <c r="AO29" s="165" t="s">
        <v>98</v>
      </c>
      <c r="AP29" s="19">
        <f>D96+D227</f>
        <v>1.01</v>
      </c>
      <c r="AQ29" s="19">
        <f>M96+M166</f>
        <v>1.01</v>
      </c>
      <c r="AR29" s="19">
        <f>R96+R166</f>
        <v>1.01</v>
      </c>
      <c r="AS29" s="19">
        <f>W96+W166</f>
        <v>1.01</v>
      </c>
      <c r="AT29" s="19">
        <f>AB96</f>
        <v>1.1000000000000001</v>
      </c>
      <c r="AU29" s="26"/>
      <c r="AV29" s="26">
        <f>AL96</f>
        <v>1.1000000000000001</v>
      </c>
      <c r="AW29" s="165">
        <f>AVERAGE(AQ29:AU29)</f>
        <v>1.0325000000000002</v>
      </c>
      <c r="AX29" s="173">
        <f>SUM(AW26:AW29)</f>
        <v>3.1655000000000002</v>
      </c>
      <c r="AY29" s="169" t="s">
        <v>294</v>
      </c>
      <c r="AZ29" s="111"/>
    </row>
    <row r="30" spans="1:63" s="25" customFormat="1" x14ac:dyDescent="0.25">
      <c r="A30" s="261"/>
      <c r="B30" s="260"/>
      <c r="C30" s="259"/>
      <c r="D30" s="240">
        <f>R30</f>
        <v>8.0299999999999994</v>
      </c>
      <c r="E30" s="54" t="s">
        <v>34</v>
      </c>
      <c r="F30" s="113"/>
      <c r="G30" s="260"/>
      <c r="H30" s="259"/>
      <c r="I30" s="240"/>
      <c r="J30" s="113"/>
      <c r="K30" s="260"/>
      <c r="L30" s="259"/>
      <c r="M30" s="241">
        <f>K27</f>
        <v>8</v>
      </c>
      <c r="N30" s="54" t="s">
        <v>34</v>
      </c>
      <c r="O30" s="113"/>
      <c r="P30" s="260"/>
      <c r="Q30" s="259"/>
      <c r="R30" s="241">
        <f>P26</f>
        <v>8.0299999999999994</v>
      </c>
      <c r="S30" s="54" t="s">
        <v>34</v>
      </c>
      <c r="T30" s="113"/>
      <c r="U30" s="270"/>
      <c r="V30" s="259"/>
      <c r="W30" s="241">
        <f>U26+U32-W34-W35-W31</f>
        <v>3.379999999999999</v>
      </c>
      <c r="X30" s="54" t="s">
        <v>34</v>
      </c>
      <c r="Y30" s="113"/>
      <c r="Z30" s="260"/>
      <c r="AA30" s="259"/>
      <c r="AB30" s="241">
        <f>Z26+1</f>
        <v>8.5500000000000007</v>
      </c>
      <c r="AC30" s="54" t="s">
        <v>34</v>
      </c>
      <c r="AD30" s="113"/>
      <c r="AE30" s="270"/>
      <c r="AF30" s="271"/>
      <c r="AG30" s="245">
        <f>6.5+AE25</f>
        <v>6.88</v>
      </c>
      <c r="AH30" s="54" t="s">
        <v>34</v>
      </c>
      <c r="AI30" s="113"/>
      <c r="AJ30" s="270"/>
      <c r="AK30" s="271"/>
      <c r="AL30" s="245">
        <f>AJ26-AL29</f>
        <v>5.7</v>
      </c>
      <c r="AM30" s="54" t="s">
        <v>34</v>
      </c>
      <c r="AN30" s="32"/>
      <c r="AO30" s="166" t="s">
        <v>182</v>
      </c>
      <c r="AP30" s="19">
        <f>D358+D365+D380+D390+D403+D141</f>
        <v>3.22</v>
      </c>
      <c r="AQ30" s="19">
        <f>M316+M343+M358+M390+M380+M141</f>
        <v>3.2699999999999996</v>
      </c>
      <c r="AR30" s="19">
        <f>R316+R343+R390+R380+R121</f>
        <v>3.1699999999999995</v>
      </c>
      <c r="AS30" s="19">
        <f>W203+W133+W212+W269+W88</f>
        <v>3.8500000000000005</v>
      </c>
      <c r="AT30" s="26">
        <f>AB203+AB133+AB212+AB269+AB64</f>
        <v>3.44</v>
      </c>
      <c r="AU30" s="19">
        <f>AG203+AG133+AG212+AG242+AG64</f>
        <v>3.59</v>
      </c>
      <c r="AV30" s="26"/>
      <c r="AW30" s="166">
        <f>AVERAGE(AQ30:AU30)</f>
        <v>3.464</v>
      </c>
      <c r="AX30" s="111"/>
      <c r="AY30" s="111"/>
      <c r="AZ30" s="111"/>
      <c r="BD30" s="3"/>
      <c r="BE30" s="3"/>
      <c r="BF30" s="225"/>
      <c r="BG30" s="52"/>
      <c r="BH30" s="226"/>
      <c r="BI30" s="226"/>
      <c r="BJ30" s="226"/>
      <c r="BK30" s="226"/>
    </row>
    <row r="31" spans="1:63" s="25" customFormat="1" x14ac:dyDescent="0.25">
      <c r="A31" s="261">
        <v>9</v>
      </c>
      <c r="B31" s="260">
        <v>0.75</v>
      </c>
      <c r="C31" s="259">
        <v>5.79</v>
      </c>
      <c r="D31" s="241">
        <v>0.08</v>
      </c>
      <c r="E31" s="10" t="s">
        <v>59</v>
      </c>
      <c r="F31" s="113"/>
      <c r="G31" s="241">
        <v>0.05</v>
      </c>
      <c r="H31" s="240">
        <v>5.54</v>
      </c>
      <c r="I31" s="240"/>
      <c r="J31" s="113"/>
      <c r="K31" s="260">
        <v>0.91</v>
      </c>
      <c r="L31" s="259">
        <v>5.88</v>
      </c>
      <c r="M31" s="241">
        <f>R31</f>
        <v>0.08</v>
      </c>
      <c r="N31" s="10" t="s">
        <v>59</v>
      </c>
      <c r="O31" s="113"/>
      <c r="P31" s="260">
        <v>1.1000000000000001</v>
      </c>
      <c r="Q31" s="259">
        <v>5.84</v>
      </c>
      <c r="R31" s="241">
        <f>P35</f>
        <v>0.08</v>
      </c>
      <c r="S31" s="10" t="s">
        <v>59</v>
      </c>
      <c r="T31" s="113"/>
      <c r="U31" s="241">
        <v>1.6</v>
      </c>
      <c r="V31" s="240">
        <v>5.78</v>
      </c>
      <c r="W31" s="241">
        <f>U32/3</f>
        <v>0.04</v>
      </c>
      <c r="X31" s="10" t="s">
        <v>59</v>
      </c>
      <c r="Y31" s="113"/>
      <c r="Z31" s="241">
        <v>0.96</v>
      </c>
      <c r="AA31" s="240">
        <v>5.77</v>
      </c>
      <c r="AB31" s="241">
        <v>0.08</v>
      </c>
      <c r="AC31" s="10" t="s">
        <v>59</v>
      </c>
      <c r="AD31" s="113"/>
      <c r="AE31" s="245">
        <v>6.86</v>
      </c>
      <c r="AF31" s="246">
        <v>5.35</v>
      </c>
      <c r="AG31" s="24"/>
      <c r="AH31" s="24"/>
      <c r="AI31" s="113"/>
      <c r="AJ31" s="245">
        <v>0.14000000000000001</v>
      </c>
      <c r="AK31" s="246">
        <v>5.84</v>
      </c>
      <c r="AL31" s="245">
        <f>AJ31</f>
        <v>0.14000000000000001</v>
      </c>
      <c r="AM31" s="10" t="s">
        <v>59</v>
      </c>
      <c r="AN31" s="32"/>
      <c r="AO31" s="159" t="s">
        <v>183</v>
      </c>
      <c r="AP31" s="19">
        <f>D41+D45+D59+D60+D76+D77+D104+D102+D101+D114+D119+D117+D157+D175+D176+D180+D194+D197+D199+D196+D211+D192+D207+D215+D210+D225+D230+D238+D231+D233+D245+D246+D255+D262+D261+D268+D274+D271+D279+D281+D290+D317+D315+D337+D356+D368+D364+D366+D388+D389+D398+D397+D142+D78</f>
        <v>12.099999999999998</v>
      </c>
      <c r="AQ31" s="19">
        <f>M41+M45+M59+M60+M76+M78+M77+M104+M102+M101+M114+M119+M117+M142+M143+M140+M157+M169+M180+M184+M194+M197+M199+M196+M211+M192+M207+M215+M210+M224+M230+M238+M231+M233+M247+M255+M268+M271+M274+M270+M279+M281+M290+M328+M337+M366+M389+M176+M175+M317+M368</f>
        <v>12.829999999999997</v>
      </c>
      <c r="AR31" s="19">
        <f>R41+R59+R60+R76+R78+R77+R104+R102+R101+R114+R119+R117+R143+R144+R140+R157+R175+R176+R180+R184+R194+R197+R199+R196+R211+R192+R224+R238+R231+R233+R247+R255+R271+R274+R270+R281+R290+R328+R337+R389+R45+R169+R113</f>
        <v>13.030000000000001</v>
      </c>
      <c r="AS31" s="19">
        <f>W41+W45+W59+W60+W76+W78+W77+W104+W102+W101+W113+W119+W117+W144+W140+W157+W175+W176+W180+W194+W199+W196+W211+W192+W224+W238+W231+W233+W247+W255+W271+W274+W270+W281+W290+W328+W345</f>
        <v>12.81</v>
      </c>
      <c r="AT31" s="19">
        <f>AB41+AB45+AB59+AB60+AB76+AB77+AB102+AB101+AB113+AB119+AB117+AB144+AB140+AB175+AB176+AB180+AB194+AB199+AB196+AB192+AB224+AB238+AB231+AB233+AB255+AB281+AB290+AB328+AB104+AB78+AB345</f>
        <v>11.920000000000002</v>
      </c>
      <c r="AU31" s="241">
        <f>AG45+AG41+AG59+AG60+AG96+AG104+AG113+AG144+AG147+AG175+AG180+AG199+AG192+AG229+AG238+AG290+AG328+AG327+AG256</f>
        <v>10.245000000000001</v>
      </c>
      <c r="AV31" s="241">
        <f>AL26+AL41+AL60+AL76+AL45+AL59+AL77+AL78+AL95+AL101+AL102+AL104+AL113+AL117+AL119+AL140+AL144+AL147+AL175+AL176+AL180+AL194+AL196+AL199+AL208+AL224+AL229+AL231+AL233+AL238+AL242+AL255+AL269+AL281+AL290+AL327+AL328+AL344+AL29+AL80</f>
        <v>12.259999999999998</v>
      </c>
      <c r="AW31" s="159">
        <f>AVERAGE(AQ31:AV31)</f>
        <v>12.182499999999999</v>
      </c>
      <c r="AX31" s="111"/>
      <c r="AY31" s="111"/>
      <c r="AZ31" s="111"/>
      <c r="BD31" s="3"/>
      <c r="BE31" s="3"/>
      <c r="BF31" s="225"/>
      <c r="BG31" s="52"/>
      <c r="BH31" s="226"/>
      <c r="BI31" s="226"/>
      <c r="BJ31" s="226"/>
      <c r="BK31" s="226"/>
    </row>
    <row r="32" spans="1:63" s="25" customFormat="1" x14ac:dyDescent="0.25">
      <c r="A32" s="261"/>
      <c r="B32" s="260"/>
      <c r="C32" s="259"/>
      <c r="D32" s="24"/>
      <c r="E32" s="24"/>
      <c r="F32" s="113"/>
      <c r="G32" s="260">
        <v>1.28</v>
      </c>
      <c r="H32" s="259">
        <v>5.6</v>
      </c>
      <c r="I32" s="240"/>
      <c r="J32" s="113"/>
      <c r="K32" s="260"/>
      <c r="L32" s="259"/>
      <c r="M32" s="56"/>
      <c r="N32" s="24"/>
      <c r="O32" s="113"/>
      <c r="P32" s="260"/>
      <c r="Q32" s="259"/>
      <c r="R32" s="24"/>
      <c r="S32" s="24"/>
      <c r="T32" s="113"/>
      <c r="U32" s="270">
        <v>0.12</v>
      </c>
      <c r="V32" s="259">
        <v>5.89</v>
      </c>
      <c r="W32" s="24"/>
      <c r="X32" s="24"/>
      <c r="Y32" s="113"/>
      <c r="Z32" s="260">
        <v>9.4700000000000006</v>
      </c>
      <c r="AA32" s="259">
        <v>5.83</v>
      </c>
      <c r="AB32" s="24"/>
      <c r="AC32" s="24"/>
      <c r="AD32" s="113"/>
      <c r="AE32" s="270">
        <v>5.86</v>
      </c>
      <c r="AF32" s="271">
        <v>5.39</v>
      </c>
      <c r="AG32" s="24"/>
      <c r="AH32" s="24"/>
      <c r="AI32" s="113"/>
      <c r="AJ32" s="245">
        <v>0.16</v>
      </c>
      <c r="AK32" s="246">
        <v>5.92</v>
      </c>
      <c r="AL32" s="245"/>
      <c r="AM32" s="91"/>
      <c r="AN32" s="32"/>
      <c r="AO32" s="19" t="s">
        <v>34</v>
      </c>
      <c r="AP32" s="19">
        <f>D4+D13+D30+D56+D89+D138+D190</f>
        <v>34.119999999999997</v>
      </c>
      <c r="AQ32" s="19">
        <f>M4+M13+M30+M56+M89+M138+M190</f>
        <v>34.97</v>
      </c>
      <c r="AR32" s="19">
        <f>R4+R13+R30+R56+R89+R138+R190</f>
        <v>33.690000000000005</v>
      </c>
      <c r="AS32" s="19">
        <f>W13+W30+W56+W89+W138+W4+W190</f>
        <v>37.54</v>
      </c>
      <c r="AT32" s="19">
        <f>AB4+AB13+AB30+AB56+AB89+AB138+AB190</f>
        <v>37.460000000000008</v>
      </c>
      <c r="AU32" s="241">
        <f>AG4+AG13+AG30+AG56+AG89+AG138+AG190</f>
        <v>30.799999999999997</v>
      </c>
      <c r="AV32" s="241">
        <f>AL4+AL13+AL30+AL56+AL89+AL138+AL190</f>
        <v>29.5</v>
      </c>
      <c r="BD32" s="3"/>
      <c r="BE32" s="3"/>
      <c r="BF32" s="225"/>
      <c r="BG32" s="52"/>
      <c r="BH32" s="226"/>
      <c r="BI32" s="226"/>
      <c r="BJ32" s="226"/>
      <c r="BK32" s="226"/>
    </row>
    <row r="33" spans="1:63" s="25" customFormat="1" x14ac:dyDescent="0.25">
      <c r="A33" s="261"/>
      <c r="B33" s="260"/>
      <c r="C33" s="259"/>
      <c r="D33" s="56"/>
      <c r="E33" s="24"/>
      <c r="F33" s="113"/>
      <c r="G33" s="260"/>
      <c r="H33" s="259"/>
      <c r="I33" s="240"/>
      <c r="J33" s="113"/>
      <c r="K33" s="260"/>
      <c r="L33" s="259"/>
      <c r="M33" s="56"/>
      <c r="N33" s="24"/>
      <c r="O33" s="113"/>
      <c r="P33" s="260"/>
      <c r="Q33" s="259"/>
      <c r="R33" s="56"/>
      <c r="S33" s="24"/>
      <c r="T33" s="113"/>
      <c r="U33" s="270"/>
      <c r="V33" s="259"/>
      <c r="W33" s="241">
        <v>0.26</v>
      </c>
      <c r="X33" s="58" t="s">
        <v>18</v>
      </c>
      <c r="Y33" s="113"/>
      <c r="Z33" s="260"/>
      <c r="AA33" s="259"/>
      <c r="AB33" s="241">
        <f>Z31</f>
        <v>0.96</v>
      </c>
      <c r="AC33" s="58" t="s">
        <v>18</v>
      </c>
      <c r="AD33" s="113"/>
      <c r="AE33" s="270"/>
      <c r="AF33" s="271"/>
      <c r="AG33" s="245">
        <v>4</v>
      </c>
      <c r="AH33" s="58" t="s">
        <v>18</v>
      </c>
      <c r="AI33" s="113"/>
      <c r="AJ33" s="245">
        <v>0.05</v>
      </c>
      <c r="AK33" s="246">
        <v>5.99</v>
      </c>
      <c r="AL33" s="245">
        <f>AJ33</f>
        <v>0.05</v>
      </c>
      <c r="AM33" s="58" t="s">
        <v>18</v>
      </c>
      <c r="AN33" s="40"/>
      <c r="AO33" s="19" t="s">
        <v>33</v>
      </c>
      <c r="AP33" s="241">
        <f t="shared" ref="AP33:AV33" si="2">SUM(AP12:AP32)</f>
        <v>96.59</v>
      </c>
      <c r="AQ33" s="241">
        <f>SUM(AQ12:AQ32)</f>
        <v>98.36999999999999</v>
      </c>
      <c r="AR33" s="241">
        <f>SUM(AR12:AR32)</f>
        <v>96.080000000000013</v>
      </c>
      <c r="AS33" s="245">
        <f t="shared" si="2"/>
        <v>100.92</v>
      </c>
      <c r="AT33" s="241">
        <f t="shared" si="2"/>
        <v>98.31</v>
      </c>
      <c r="AU33" s="241">
        <f t="shared" si="2"/>
        <v>92.415000000000006</v>
      </c>
      <c r="AV33" s="241">
        <f t="shared" si="2"/>
        <v>98.009999999999991</v>
      </c>
      <c r="BD33" s="3"/>
      <c r="BE33" s="3"/>
      <c r="BF33" s="225"/>
      <c r="BG33" s="52"/>
      <c r="BH33" s="226"/>
      <c r="BI33" s="226"/>
      <c r="BJ33" s="226"/>
      <c r="BK33" s="226"/>
    </row>
    <row r="34" spans="1:63" s="25" customFormat="1" x14ac:dyDescent="0.25">
      <c r="A34" s="261"/>
      <c r="B34" s="260"/>
      <c r="C34" s="259"/>
      <c r="D34" s="56"/>
      <c r="E34" s="24"/>
      <c r="F34" s="113"/>
      <c r="G34" s="260"/>
      <c r="H34" s="259"/>
      <c r="I34" s="240"/>
      <c r="J34" s="113"/>
      <c r="K34" s="260"/>
      <c r="L34" s="259"/>
      <c r="M34" s="56"/>
      <c r="N34" s="24"/>
      <c r="O34" s="113"/>
      <c r="P34" s="260"/>
      <c r="Q34" s="259"/>
      <c r="R34" s="56"/>
      <c r="S34" s="24"/>
      <c r="T34" s="113"/>
      <c r="U34" s="270"/>
      <c r="V34" s="259"/>
      <c r="W34" s="241">
        <v>4</v>
      </c>
      <c r="X34" s="249" t="s">
        <v>27</v>
      </c>
      <c r="Y34" s="113"/>
      <c r="Z34" s="260"/>
      <c r="AA34" s="259"/>
      <c r="AB34" s="241">
        <f>Z32-AB35-AB31</f>
        <v>6.0400000000000009</v>
      </c>
      <c r="AC34" s="249" t="s">
        <v>27</v>
      </c>
      <c r="AD34" s="113"/>
      <c r="AE34" s="270"/>
      <c r="AF34" s="271"/>
      <c r="AG34" s="245">
        <f>AE32+AE31-AG33+AE26-AG30+0.8</f>
        <v>9.2200000000000024</v>
      </c>
      <c r="AH34" s="249" t="s">
        <v>27</v>
      </c>
      <c r="AI34" s="113"/>
      <c r="AJ34" s="245">
        <v>0.04</v>
      </c>
      <c r="AK34" s="246">
        <v>6.02</v>
      </c>
      <c r="AL34" s="245">
        <f>AJ34</f>
        <v>0.04</v>
      </c>
      <c r="AM34" s="249" t="s">
        <v>27</v>
      </c>
      <c r="AN34" s="40"/>
      <c r="AP34" s="83">
        <f>D415</f>
        <v>96.590000000000117</v>
      </c>
      <c r="AQ34" s="83">
        <f>M415</f>
        <v>98.370000000000061</v>
      </c>
      <c r="AR34" s="108">
        <f>R415</f>
        <v>96.080000000000027</v>
      </c>
      <c r="AS34" s="108">
        <f>W415</f>
        <v>100.92000000000002</v>
      </c>
      <c r="AT34" s="108">
        <f>AB415</f>
        <v>98.310000000000031</v>
      </c>
      <c r="AU34" s="108">
        <f>AG415</f>
        <v>92.415000000000049</v>
      </c>
      <c r="AV34" s="108">
        <f>AL415</f>
        <v>98.009999999999991</v>
      </c>
      <c r="AW34" s="12"/>
      <c r="AX34" s="12"/>
      <c r="AY34" s="3"/>
      <c r="AZ34" s="1"/>
      <c r="BA34" s="2"/>
      <c r="BB34" s="3"/>
      <c r="BC34" s="53"/>
      <c r="BD34" s="3"/>
      <c r="BE34" s="3"/>
      <c r="BF34" s="225"/>
      <c r="BG34" s="52"/>
      <c r="BH34" s="226"/>
      <c r="BI34" s="226"/>
      <c r="BJ34" s="226"/>
      <c r="BK34" s="226"/>
    </row>
    <row r="35" spans="1:63" s="25" customFormat="1" x14ac:dyDescent="0.25">
      <c r="A35" s="261"/>
      <c r="B35" s="260"/>
      <c r="C35" s="259"/>
      <c r="D35" s="240">
        <f>B31-D31</f>
        <v>0.67</v>
      </c>
      <c r="E35" s="7" t="s">
        <v>58</v>
      </c>
      <c r="F35" s="113"/>
      <c r="G35" s="260"/>
      <c r="H35" s="259"/>
      <c r="I35" s="240"/>
      <c r="J35" s="113"/>
      <c r="K35" s="260"/>
      <c r="L35" s="259"/>
      <c r="M35" s="241">
        <f>K31-M31</f>
        <v>0.83000000000000007</v>
      </c>
      <c r="N35" s="7" t="s">
        <v>58</v>
      </c>
      <c r="O35" s="113"/>
      <c r="P35" s="241">
        <v>0.08</v>
      </c>
      <c r="Q35" s="240">
        <v>5.93</v>
      </c>
      <c r="R35" s="241">
        <f>P31</f>
        <v>1.1000000000000001</v>
      </c>
      <c r="S35" s="7" t="s">
        <v>58</v>
      </c>
      <c r="T35" s="113"/>
      <c r="U35" s="270"/>
      <c r="V35" s="259"/>
      <c r="W35" s="241">
        <v>2.96</v>
      </c>
      <c r="X35" s="7" t="s">
        <v>58</v>
      </c>
      <c r="Y35" s="113"/>
      <c r="Z35" s="260"/>
      <c r="AA35" s="259"/>
      <c r="AB35" s="241">
        <f>AG24-AB24</f>
        <v>3.3499999999999996</v>
      </c>
      <c r="AC35" s="7" t="s">
        <v>58</v>
      </c>
      <c r="AD35" s="113"/>
      <c r="AE35" s="270"/>
      <c r="AF35" s="271"/>
      <c r="AG35" s="245"/>
      <c r="AH35" s="18"/>
      <c r="AI35" s="113"/>
      <c r="AJ35" s="245">
        <v>0.02</v>
      </c>
      <c r="AK35" s="246">
        <v>6.08</v>
      </c>
      <c r="AL35" s="245">
        <f>AJ35</f>
        <v>0.02</v>
      </c>
      <c r="AM35" s="7" t="s">
        <v>58</v>
      </c>
      <c r="AN35" s="40"/>
      <c r="AW35" s="12"/>
      <c r="AX35" s="12"/>
      <c r="AY35" s="3"/>
      <c r="AZ35" s="1"/>
      <c r="BA35" s="2"/>
      <c r="BB35" s="3"/>
      <c r="BC35" s="53"/>
      <c r="BD35" s="3"/>
      <c r="BE35" s="3"/>
      <c r="BF35" s="225"/>
      <c r="BG35" s="52"/>
      <c r="BH35" s="226"/>
      <c r="BI35" s="226"/>
      <c r="BJ35" s="226"/>
      <c r="BK35" s="226"/>
    </row>
    <row r="36" spans="1:63" s="25" customFormat="1" x14ac:dyDescent="0.25">
      <c r="A36" s="242">
        <v>10</v>
      </c>
      <c r="B36" s="241">
        <v>0.01</v>
      </c>
      <c r="C36" s="240">
        <v>5.91</v>
      </c>
      <c r="D36" s="240"/>
      <c r="E36" s="24"/>
      <c r="F36" s="113"/>
      <c r="G36" s="241">
        <v>0.03</v>
      </c>
      <c r="H36" s="240">
        <v>5.69</v>
      </c>
      <c r="I36" s="240"/>
      <c r="J36" s="113"/>
      <c r="K36" s="260">
        <v>0.28000000000000003</v>
      </c>
      <c r="L36" s="259">
        <v>5.97</v>
      </c>
      <c r="M36" s="241"/>
      <c r="N36" s="24"/>
      <c r="O36" s="113"/>
      <c r="P36" s="260">
        <v>0.1</v>
      </c>
      <c r="Q36" s="259">
        <v>6</v>
      </c>
      <c r="R36" s="241"/>
      <c r="S36" s="24"/>
      <c r="T36" s="113"/>
      <c r="U36" s="270"/>
      <c r="V36" s="259"/>
      <c r="W36" s="56"/>
      <c r="X36" s="24"/>
      <c r="Y36" s="113"/>
      <c r="Z36" s="260">
        <v>10.09</v>
      </c>
      <c r="AA36" s="259">
        <v>6.21</v>
      </c>
      <c r="AB36" s="56"/>
      <c r="AC36" s="24"/>
      <c r="AD36" s="113"/>
      <c r="AE36" s="270">
        <v>5.17</v>
      </c>
      <c r="AF36" s="271">
        <v>5.66</v>
      </c>
      <c r="AG36" s="245"/>
      <c r="AH36" s="24"/>
      <c r="AI36" s="113"/>
      <c r="AJ36" s="245">
        <v>0.03</v>
      </c>
      <c r="AK36" s="246">
        <v>6.12</v>
      </c>
      <c r="AL36" s="245"/>
      <c r="AM36" s="24"/>
      <c r="AN36" s="40"/>
      <c r="AO36" s="21"/>
      <c r="AW36" s="44"/>
      <c r="AX36" s="13"/>
      <c r="AY36" s="3"/>
      <c r="AZ36" s="1"/>
      <c r="BA36" s="2"/>
      <c r="BB36" s="3"/>
      <c r="BC36" s="53"/>
      <c r="BD36" s="3"/>
      <c r="BE36" s="3"/>
      <c r="BF36" s="225"/>
      <c r="BG36" s="52"/>
      <c r="BH36" s="52"/>
      <c r="BI36" s="227"/>
      <c r="BJ36" s="228"/>
      <c r="BK36" s="3"/>
    </row>
    <row r="37" spans="1:63" s="25" customFormat="1" x14ac:dyDescent="0.25">
      <c r="A37" s="261">
        <v>11</v>
      </c>
      <c r="B37" s="260">
        <v>0.03</v>
      </c>
      <c r="C37" s="259">
        <v>5.96</v>
      </c>
      <c r="D37" s="240"/>
      <c r="E37" s="19"/>
      <c r="F37" s="113"/>
      <c r="G37" s="260">
        <v>0.15</v>
      </c>
      <c r="H37" s="259">
        <v>5.77</v>
      </c>
      <c r="I37" s="240"/>
      <c r="J37" s="113"/>
      <c r="K37" s="260"/>
      <c r="L37" s="259"/>
      <c r="M37" s="241"/>
      <c r="N37" s="19"/>
      <c r="O37" s="113"/>
      <c r="P37" s="260"/>
      <c r="Q37" s="259"/>
      <c r="R37" s="241"/>
      <c r="S37" s="19"/>
      <c r="T37" s="113"/>
      <c r="U37" s="270"/>
      <c r="V37" s="259"/>
      <c r="W37" s="241"/>
      <c r="X37" s="24"/>
      <c r="Y37" s="113"/>
      <c r="Z37" s="260"/>
      <c r="AA37" s="259"/>
      <c r="AB37" s="19"/>
      <c r="AC37" s="240"/>
      <c r="AD37" s="113"/>
      <c r="AE37" s="270"/>
      <c r="AF37" s="271"/>
      <c r="AG37" s="245"/>
      <c r="AH37" s="240"/>
      <c r="AI37" s="113"/>
      <c r="AJ37" s="270">
        <v>7.0000000000000007E-2</v>
      </c>
      <c r="AK37" s="271">
        <v>6.2</v>
      </c>
      <c r="AL37" s="245"/>
      <c r="AM37" s="240"/>
      <c r="AN37" s="40"/>
      <c r="AO37" s="185" t="s">
        <v>311</v>
      </c>
      <c r="AP37" s="19">
        <f>D12+D31+D35+D57+D58+D63+D66+D72+D73+D79+D96+D101+D102+D112+D113+D115+D116+D117+D118+D119+D154+D156+D157+D168+D176+D185+D197+D194+D196+D206+D209+D210+D213+D215+D218+D225+D227+D231+D233+D245+D246+D255+D259+D261+D268+D271+D272+D274+D279+D280+D281+D283+D316+D319+D338+D339+D345+D351+D365+D366+D389+D395+D397</f>
        <v>21.769999999999996</v>
      </c>
      <c r="AQ37" s="19">
        <f>M12+M31+M35+M57+M58+M63+M66+M72+M73+M79+M96+M101+M102+M112+M113+M115+M116+M117+M118+M119+M154+M156+M157+M168+M176+M197+M194+M196+M206+M209+M210+M213+M215+M218+M224+M227+M231+M233+M245+M247+M255+M259+M261+M268+M271+M272+M274+M279+M280+M281+M283+M316+M319+M338+M339+M345+M351+M365+M366+M389+M395+M397+M108+M140+M169+M200+M185</f>
        <v>22.290000000000006</v>
      </c>
      <c r="AR37" s="19">
        <f>R12+R31+R35+R57+R58+R63+R66+R72+R73+R79+R96+R101+R102+R112+R113+R115+R116+R117+R118+R119+R154+R156+R157+R168+R176+R185+R197+R194+R196+R206+R209+R210+R213+R215+R218+R224+R227+R231+R233+R245+R247+R255+R259+R261+R268+R271+R272+R274+R279+R280+R281+R283+R316+R319+R338+R339+R345+R351+R365+R366+R389+R395+R397+R108+R140+R169+R200+R50+R166</f>
        <v>22.240000000000002</v>
      </c>
      <c r="AS37" s="19">
        <f>W12+W31+W35+W57+W58+W63+W66+W72+W73+W79+W96+W101+W102+W112+W113+W115+W116+W117+W118+W119+W156+W157+W168+W176+W185+W194+W196+W206+W209+W210+W213+W215+W218+W224+W227+W231+W233+W245+W247+W255+W259+W261+W269+W271+W272+W274+W279+W280+W281+W283+W316+W319+W338+W339+W345+W351+W365+W366+W389+W395+W397+W108+W140+W169+W200+W50+W166+W20+W47+W46</f>
        <v>21.220000000000002</v>
      </c>
      <c r="AT37" s="19">
        <f>AB12+AB31+AB35+AB57+AB58+AB63+AB66+AB72+AB73+AB79+AB96+AB101+AB102+AB112+AB113+AB115+AB116+AB117+AB118+AB119+AB156+AB157+AB168+AB176+AB185+AB194+AB196+AB206+AB209+AB210+AB213+AB215+AB218+AB224+AB227+AB231+AB233+AB245+AB247+AB255+AB259+AB261+AB269+AB271+AB272+AB274+AB279+AB280+AB281+AB283+AB316+AB319+AB338+AB339+AB345+AB351+AB365+AB366+AB389+AB395+AB397+AB108+AB140+AB169+AB200+AB50+AB166+AB20+AB47+AB46</f>
        <v>18.22</v>
      </c>
      <c r="AU37" s="244"/>
      <c r="AV37" s="26">
        <f>AL12+AL63+AL20+AL31+AL35+AL46+AL47+AL66+AL79+AL96+AL101+AL102+AL112+AL113+AL117+AL119+AL140+AL176+AL194+AL196+AL224+AL231+AL233+AL269+AL281+AL344+AL16+AL80</f>
        <v>19.319999999999997</v>
      </c>
      <c r="AW37" s="185">
        <f>AVERAGE(AP37:AV37)</f>
        <v>20.843333333333334</v>
      </c>
      <c r="AX37" s="12"/>
      <c r="AY37" s="3"/>
      <c r="AZ37" s="1"/>
      <c r="BA37" s="2"/>
      <c r="BB37" s="3"/>
      <c r="BC37" s="53"/>
      <c r="BD37" s="3"/>
      <c r="BE37" s="3"/>
      <c r="BF37" s="225"/>
      <c r="BG37" s="52"/>
      <c r="BH37" s="226"/>
      <c r="BI37" s="2"/>
      <c r="BJ37" s="228"/>
      <c r="BK37" s="57"/>
    </row>
    <row r="38" spans="1:63" s="25" customFormat="1" x14ac:dyDescent="0.25">
      <c r="A38" s="261"/>
      <c r="B38" s="260"/>
      <c r="C38" s="259"/>
      <c r="D38" s="240"/>
      <c r="E38" s="24"/>
      <c r="F38" s="113"/>
      <c r="G38" s="260"/>
      <c r="H38" s="259"/>
      <c r="I38" s="240"/>
      <c r="J38" s="113"/>
      <c r="K38" s="260"/>
      <c r="L38" s="259"/>
      <c r="M38" s="241"/>
      <c r="N38" s="24"/>
      <c r="O38" s="113"/>
      <c r="P38" s="260"/>
      <c r="Q38" s="259"/>
      <c r="R38" s="241"/>
      <c r="S38" s="24"/>
      <c r="T38" s="113"/>
      <c r="U38" s="270"/>
      <c r="V38" s="259"/>
      <c r="W38" s="241"/>
      <c r="X38" s="24"/>
      <c r="Y38" s="113"/>
      <c r="Z38" s="260"/>
      <c r="AA38" s="259"/>
      <c r="AB38" s="241"/>
      <c r="AC38" s="24"/>
      <c r="AD38" s="113"/>
      <c r="AE38" s="270"/>
      <c r="AF38" s="271"/>
      <c r="AG38" s="245"/>
      <c r="AH38" s="24"/>
      <c r="AI38" s="113"/>
      <c r="AJ38" s="270"/>
      <c r="AK38" s="271"/>
      <c r="AL38" s="245"/>
      <c r="AM38" s="24"/>
      <c r="AN38" s="40"/>
      <c r="AO38" s="186" t="s">
        <v>312</v>
      </c>
      <c r="AP38" s="19">
        <f>D21+D31+D41+D51+D57+D59+D64+D66+D73+D76+D78+D96+D101+D103+D115+D116+D117+D120+D141+D175+D185+D197+D193+D194+D192+D209+D210+D218+D227+D231+D238+D255+D256+D274+D280+D281+D290+D296+D320+D351+D358+D389</f>
        <v>11.249999999999998</v>
      </c>
      <c r="AQ38" s="19">
        <f>M21+M31+M41+M51+M57+M59+M64+M66+M73+M76+M78+M96+M101+M103+M115+M116+M117+M120+M141+M175+M198+M197+M193+M194+M192+M209+M210+M218+M227+M231+M238+M255+M256+M274+M280+M281+M290+M296+M320+M351+M358+M389+M93+M166+M343</f>
        <v>12.169999999999996</v>
      </c>
      <c r="AR38" s="19">
        <f>R21+R31+R41+R51+R57+R59+R64+R66+R73+R76+R78+R96+R101+R103+R115+R116+R117+R120+R141+R175+R197+R193+R194+R192+R209+R210+R218+R227+R231+R238+R255+R256+R274+R280+R281+R290+R296+R320+R351+R358+R389+R93+R166+R343+R121</f>
        <v>14.379999999999999</v>
      </c>
      <c r="AS38" s="19">
        <f>W21+W31+W41+W51+W57+W59+W64+W66+W73+W76+W98+W96+W101+W103+W115+W116+W117+W120+W141+W175+W197+W193+W194+W192+W209+W210+W218+W227+W231+W238+W255+W256+W274+W280+W281+W290+W296+W320+W351+W358+W389+W93+W166+W343+W98+W33+W44+W46+W88+W78+W133+W345</f>
        <v>16.5</v>
      </c>
      <c r="AT38" s="19">
        <f>AB21+AB31+AB41+AB51+AB57+AB59+AB66+AB75+AB76+AB98+AB96+AB101+AB103+AB115+AB116+AB117+AB120+AB141+AB175+AB197+AB193+AB194+AB192+AB209+AB210+AB218+AB227+AB231+AB238+AB255+AB256+AB274+AB280+AB281+AB290+AB296+AB320+AB351+AB358+AB389+AB93+AB166+AB343+AB98+AB33+AB44+AB46+AB64+AB78+AB133+AB345</f>
        <v>15.180000000000003</v>
      </c>
      <c r="AU38" s="19">
        <f>AG21+AG31+AG41+AG51+AG57+AG59+AG66+AG75+AG76+AG98+AG96+AG101+AG103+AG115+AG116+AG117+AG120+AG141+AG175+AG197+AG193+AG194+AG192+AG209+AG210+AG218+AG227+AG231+AG238+AG255+AG274+AG280+AG281+AG290+AG296+AG320+AG351+AG358+AG389+AG93+AG166+AG343+AG98+AG33+AG44+AG46+AG64+AG78+AG133+AG345+AG229+AG327</f>
        <v>13.86</v>
      </c>
      <c r="AV38" s="24"/>
      <c r="AW38" s="186">
        <f>AVERAGE(AP38:AU38)</f>
        <v>13.89</v>
      </c>
      <c r="AX38" s="12"/>
      <c r="AY38" s="4"/>
      <c r="AZ38" s="1"/>
      <c r="BA38" s="1"/>
      <c r="BB38" s="4"/>
      <c r="BC38" s="53"/>
      <c r="BD38" s="3"/>
      <c r="BE38" s="3"/>
      <c r="BF38" s="225"/>
      <c r="BG38" s="52"/>
      <c r="BH38" s="52"/>
      <c r="BI38" s="227"/>
      <c r="BJ38" s="228"/>
      <c r="BK38" s="3"/>
    </row>
    <row r="39" spans="1:63" s="25" customFormat="1" x14ac:dyDescent="0.25">
      <c r="A39" s="261"/>
      <c r="B39" s="260"/>
      <c r="C39" s="259"/>
      <c r="D39" s="240"/>
      <c r="E39" s="24"/>
      <c r="F39" s="113"/>
      <c r="G39" s="260"/>
      <c r="H39" s="259"/>
      <c r="I39" s="240"/>
      <c r="J39" s="113"/>
      <c r="K39" s="260"/>
      <c r="L39" s="259"/>
      <c r="M39" s="241"/>
      <c r="N39" s="24"/>
      <c r="O39" s="113"/>
      <c r="P39" s="260"/>
      <c r="Q39" s="259"/>
      <c r="R39" s="241"/>
      <c r="S39" s="24"/>
      <c r="T39" s="113"/>
      <c r="U39" s="270"/>
      <c r="V39" s="259"/>
      <c r="W39" s="241"/>
      <c r="X39" s="24"/>
      <c r="Y39" s="113"/>
      <c r="Z39" s="260"/>
      <c r="AA39" s="259"/>
      <c r="AB39" s="241"/>
      <c r="AC39" s="24"/>
      <c r="AD39" s="113"/>
      <c r="AE39" s="270"/>
      <c r="AF39" s="271"/>
      <c r="AG39" s="245"/>
      <c r="AH39" s="24"/>
      <c r="AI39" s="113"/>
      <c r="AJ39" s="270"/>
      <c r="AK39" s="271"/>
      <c r="AL39" s="91"/>
      <c r="AM39" s="24"/>
      <c r="AN39" s="40"/>
      <c r="AV39" s="12"/>
      <c r="AW39" s="12"/>
      <c r="AX39" s="12"/>
      <c r="AY39" s="3"/>
      <c r="AZ39" s="1"/>
      <c r="BA39" s="2"/>
      <c r="BB39" s="3"/>
      <c r="BC39" s="53"/>
      <c r="BD39" s="3"/>
      <c r="BE39" s="3"/>
      <c r="BF39" s="225"/>
      <c r="BG39" s="52"/>
      <c r="BH39" s="226"/>
      <c r="BI39" s="2"/>
      <c r="BJ39" s="228"/>
      <c r="BK39" s="229"/>
    </row>
    <row r="40" spans="1:63" s="25" customFormat="1" x14ac:dyDescent="0.25">
      <c r="A40" s="261"/>
      <c r="B40" s="260"/>
      <c r="C40" s="259"/>
      <c r="D40" s="240"/>
      <c r="E40" s="24"/>
      <c r="F40" s="113"/>
      <c r="G40" s="260"/>
      <c r="H40" s="259"/>
      <c r="I40" s="240"/>
      <c r="J40" s="113"/>
      <c r="K40" s="260"/>
      <c r="L40" s="259"/>
      <c r="M40" s="241"/>
      <c r="N40" s="24"/>
      <c r="O40" s="113"/>
      <c r="P40" s="260"/>
      <c r="Q40" s="259"/>
      <c r="R40" s="241"/>
      <c r="S40" s="24"/>
      <c r="T40" s="113"/>
      <c r="U40" s="270"/>
      <c r="V40" s="259"/>
      <c r="W40" s="241"/>
      <c r="X40" s="24"/>
      <c r="Y40" s="113"/>
      <c r="Z40" s="260"/>
      <c r="AA40" s="259"/>
      <c r="AB40" s="56"/>
      <c r="AC40" s="24"/>
      <c r="AD40" s="113"/>
      <c r="AE40" s="270"/>
      <c r="AF40" s="271"/>
      <c r="AG40" s="245"/>
      <c r="AH40" s="24"/>
      <c r="AI40" s="113"/>
      <c r="AJ40" s="270"/>
      <c r="AK40" s="271"/>
      <c r="AL40" s="245"/>
      <c r="AM40" s="24"/>
      <c r="AN40" s="40"/>
      <c r="AV40" s="12"/>
      <c r="AW40" s="12"/>
      <c r="AX40" s="12"/>
      <c r="AY40" s="3"/>
      <c r="AZ40" s="1"/>
      <c r="BA40" s="2"/>
      <c r="BB40" s="3"/>
      <c r="BC40" s="53"/>
      <c r="BD40" s="3"/>
      <c r="BE40" s="3"/>
      <c r="BF40" s="225"/>
      <c r="BG40" s="52"/>
      <c r="BH40" s="226"/>
      <c r="BI40" s="226"/>
      <c r="BJ40" s="226"/>
      <c r="BK40" s="226"/>
    </row>
    <row r="41" spans="1:63" s="25" customFormat="1" ht="15.75" thickBot="1" x14ac:dyDescent="0.3">
      <c r="A41" s="261">
        <v>12</v>
      </c>
      <c r="B41" s="260">
        <v>0.04</v>
      </c>
      <c r="C41" s="259">
        <v>6.05</v>
      </c>
      <c r="D41" s="240">
        <f>B41</f>
        <v>0.04</v>
      </c>
      <c r="E41" s="10" t="s">
        <v>104</v>
      </c>
      <c r="F41" s="113"/>
      <c r="G41" s="260">
        <v>0.04</v>
      </c>
      <c r="H41" s="259">
        <v>5.88</v>
      </c>
      <c r="I41" s="240"/>
      <c r="J41" s="113"/>
      <c r="K41" s="260">
        <v>0.17</v>
      </c>
      <c r="L41" s="259">
        <v>6.11</v>
      </c>
      <c r="M41" s="241">
        <f>K41</f>
        <v>0.17</v>
      </c>
      <c r="N41" s="10" t="s">
        <v>104</v>
      </c>
      <c r="O41" s="113"/>
      <c r="P41" s="260">
        <v>0.2</v>
      </c>
      <c r="Q41" s="259">
        <v>6.06</v>
      </c>
      <c r="R41" s="241">
        <f>P41</f>
        <v>0.2</v>
      </c>
      <c r="S41" s="10" t="s">
        <v>104</v>
      </c>
      <c r="T41" s="113"/>
      <c r="U41" s="260">
        <v>3.18</v>
      </c>
      <c r="V41" s="259">
        <v>6.17</v>
      </c>
      <c r="W41" s="241">
        <v>0.1</v>
      </c>
      <c r="X41" s="10" t="s">
        <v>104</v>
      </c>
      <c r="Y41" s="113"/>
      <c r="Z41" s="260"/>
      <c r="AA41" s="259"/>
      <c r="AB41" s="241">
        <v>0.2</v>
      </c>
      <c r="AC41" s="10" t="s">
        <v>104</v>
      </c>
      <c r="AD41" s="113"/>
      <c r="AE41" s="270"/>
      <c r="AF41" s="271"/>
      <c r="AG41" s="245">
        <v>0.44</v>
      </c>
      <c r="AH41" s="10" t="s">
        <v>104</v>
      </c>
      <c r="AI41" s="113"/>
      <c r="AJ41" s="270"/>
      <c r="AK41" s="271"/>
      <c r="AL41" s="245">
        <f>AJ37+0.56</f>
        <v>0.63000000000000012</v>
      </c>
      <c r="AM41" s="10" t="s">
        <v>104</v>
      </c>
      <c r="AN41" s="40"/>
      <c r="AV41" s="12"/>
      <c r="AW41" s="12"/>
      <c r="AX41" s="12"/>
      <c r="AY41" s="3"/>
      <c r="AZ41" s="1"/>
      <c r="BA41" s="2"/>
      <c r="BB41" s="3"/>
      <c r="BC41" s="53"/>
      <c r="BD41" s="3"/>
      <c r="BE41" s="3"/>
      <c r="BF41" s="225"/>
      <c r="BG41" s="52"/>
      <c r="BH41" s="226"/>
      <c r="BI41" s="226"/>
      <c r="BJ41" s="226"/>
      <c r="BK41" s="226"/>
    </row>
    <row r="42" spans="1:63" s="25" customFormat="1" x14ac:dyDescent="0.25">
      <c r="A42" s="261"/>
      <c r="B42" s="260"/>
      <c r="C42" s="259"/>
      <c r="D42" s="240"/>
      <c r="E42" s="241"/>
      <c r="F42" s="113"/>
      <c r="G42" s="260"/>
      <c r="H42" s="259"/>
      <c r="I42" s="240"/>
      <c r="J42" s="113"/>
      <c r="K42" s="260"/>
      <c r="L42" s="259"/>
      <c r="M42" s="241"/>
      <c r="N42" s="241"/>
      <c r="O42" s="113"/>
      <c r="P42" s="260"/>
      <c r="Q42" s="259"/>
      <c r="R42" s="241"/>
      <c r="S42" s="241"/>
      <c r="T42" s="113"/>
      <c r="U42" s="260"/>
      <c r="V42" s="259"/>
      <c r="W42" s="56"/>
      <c r="X42" s="24"/>
      <c r="Y42" s="113"/>
      <c r="Z42" s="260"/>
      <c r="AA42" s="259"/>
      <c r="AB42" s="56"/>
      <c r="AC42" s="24"/>
      <c r="AD42" s="113"/>
      <c r="AE42" s="270"/>
      <c r="AF42" s="271"/>
      <c r="AG42" s="245"/>
      <c r="AH42" s="246"/>
      <c r="AI42" s="113"/>
      <c r="AJ42" s="270"/>
      <c r="AK42" s="271"/>
      <c r="AL42" s="245"/>
      <c r="AM42" s="246"/>
      <c r="AN42" s="40"/>
      <c r="AO42" s="30" t="s">
        <v>174</v>
      </c>
      <c r="AP42" s="41" t="s">
        <v>1</v>
      </c>
      <c r="AQ42" s="38" t="s">
        <v>2</v>
      </c>
      <c r="AR42" s="41" t="s">
        <v>4</v>
      </c>
      <c r="AS42" s="38" t="s">
        <v>16</v>
      </c>
      <c r="AT42" s="41" t="s">
        <v>5</v>
      </c>
      <c r="AU42" s="38" t="s">
        <v>57</v>
      </c>
      <c r="AV42" s="12"/>
      <c r="AW42" s="12"/>
      <c r="AX42" s="12"/>
      <c r="AY42" s="3"/>
      <c r="AZ42" s="1"/>
      <c r="BA42" s="2"/>
      <c r="BB42" s="3"/>
      <c r="BC42" s="53"/>
      <c r="BD42" s="3"/>
      <c r="BE42" s="3"/>
      <c r="BF42" s="225"/>
      <c r="BG42" s="31"/>
      <c r="BH42" s="12"/>
      <c r="BI42" s="42"/>
      <c r="BJ42" s="44"/>
      <c r="BK42" s="66"/>
    </row>
    <row r="43" spans="1:63" s="25" customFormat="1" x14ac:dyDescent="0.25">
      <c r="A43" s="261"/>
      <c r="B43" s="260"/>
      <c r="C43" s="259"/>
      <c r="D43" s="240"/>
      <c r="E43" s="241"/>
      <c r="F43" s="113"/>
      <c r="G43" s="260"/>
      <c r="H43" s="259"/>
      <c r="I43" s="240"/>
      <c r="J43" s="113"/>
      <c r="K43" s="260"/>
      <c r="L43" s="259"/>
      <c r="M43" s="241"/>
      <c r="N43" s="241"/>
      <c r="O43" s="113"/>
      <c r="P43" s="260"/>
      <c r="Q43" s="259"/>
      <c r="R43" s="241"/>
      <c r="S43" s="241"/>
      <c r="T43" s="113"/>
      <c r="U43" s="260"/>
      <c r="V43" s="259"/>
      <c r="W43" s="56"/>
      <c r="X43" s="24"/>
      <c r="Y43" s="113"/>
      <c r="Z43" s="260"/>
      <c r="AA43" s="259"/>
      <c r="AB43" s="56"/>
      <c r="AC43" s="24"/>
      <c r="AD43" s="113"/>
      <c r="AE43" s="270"/>
      <c r="AF43" s="271"/>
      <c r="AG43" s="245"/>
      <c r="AH43" s="246"/>
      <c r="AI43" s="113"/>
      <c r="AJ43" s="270">
        <v>2.02</v>
      </c>
      <c r="AK43" s="271">
        <v>6.29</v>
      </c>
      <c r="AL43" s="245"/>
      <c r="AM43" s="246"/>
      <c r="AN43" s="40"/>
      <c r="AO43" s="31" t="s">
        <v>175</v>
      </c>
      <c r="AP43" s="241"/>
      <c r="AQ43" s="241"/>
      <c r="AR43" s="241"/>
      <c r="AS43" s="241"/>
      <c r="AT43" s="19"/>
      <c r="AU43" s="19">
        <f>AG242</f>
        <v>1</v>
      </c>
      <c r="AV43" s="12"/>
      <c r="AW43" s="12"/>
      <c r="AX43" s="12"/>
      <c r="AY43" s="3"/>
      <c r="AZ43" s="1"/>
      <c r="BA43" s="2"/>
      <c r="BB43" s="3"/>
      <c r="BC43" s="53"/>
      <c r="BD43" s="3"/>
      <c r="BE43" s="3"/>
      <c r="BF43" s="225"/>
      <c r="BG43" s="31"/>
      <c r="BH43" s="12"/>
      <c r="BI43" s="12"/>
      <c r="BJ43" s="12"/>
      <c r="BK43" s="12"/>
    </row>
    <row r="44" spans="1:63" s="25" customFormat="1" x14ac:dyDescent="0.25">
      <c r="A44" s="261">
        <v>13</v>
      </c>
      <c r="B44" s="260">
        <v>1.38</v>
      </c>
      <c r="C44" s="259">
        <v>6.12</v>
      </c>
      <c r="D44" s="240"/>
      <c r="E44" s="240"/>
      <c r="F44" s="113"/>
      <c r="G44" s="241"/>
      <c r="H44" s="240"/>
      <c r="I44" s="240"/>
      <c r="J44" s="113"/>
      <c r="K44" s="260">
        <v>1.64</v>
      </c>
      <c r="L44" s="259">
        <v>6.2</v>
      </c>
      <c r="M44" s="241"/>
      <c r="N44" s="19"/>
      <c r="O44" s="113"/>
      <c r="P44" s="241"/>
      <c r="Q44" s="240"/>
      <c r="R44" s="241"/>
      <c r="S44" s="240"/>
      <c r="T44" s="113"/>
      <c r="U44" s="260"/>
      <c r="V44" s="259"/>
      <c r="W44" s="241">
        <f>AB44</f>
        <v>1.9</v>
      </c>
      <c r="X44" s="62" t="s">
        <v>21</v>
      </c>
      <c r="Y44" s="113"/>
      <c r="Z44" s="260"/>
      <c r="AA44" s="259"/>
      <c r="AB44" s="241">
        <f>R53+R93+R193</f>
        <v>1.9</v>
      </c>
      <c r="AC44" s="62" t="s">
        <v>21</v>
      </c>
      <c r="AD44" s="113"/>
      <c r="AE44" s="270"/>
      <c r="AF44" s="271"/>
      <c r="AG44" s="245">
        <v>1.3</v>
      </c>
      <c r="AH44" s="62" t="s">
        <v>21</v>
      </c>
      <c r="AI44" s="113"/>
      <c r="AJ44" s="270"/>
      <c r="AK44" s="271"/>
      <c r="AL44" s="245"/>
      <c r="AM44" s="240"/>
      <c r="AN44" s="40"/>
      <c r="AO44" s="36" t="s">
        <v>219</v>
      </c>
      <c r="AP44" s="26">
        <f>D141</f>
        <v>0.36</v>
      </c>
      <c r="AQ44" s="26">
        <f>M141</f>
        <v>0.36</v>
      </c>
      <c r="AR44" s="26">
        <f>R121</f>
        <v>0.36</v>
      </c>
      <c r="AS44" s="26">
        <f>W88</f>
        <v>0.36</v>
      </c>
      <c r="AT44" s="26">
        <f>AB64</f>
        <v>0.36</v>
      </c>
      <c r="AU44" s="26">
        <f>AG64</f>
        <v>0.36</v>
      </c>
      <c r="AV44" s="12"/>
      <c r="AW44" s="12"/>
      <c r="AX44" s="12"/>
      <c r="AY44" s="3"/>
      <c r="AZ44" s="1"/>
      <c r="BA44" s="2"/>
      <c r="BB44" s="3"/>
      <c r="BC44" s="53"/>
      <c r="BD44" s="3"/>
      <c r="BE44" s="3"/>
      <c r="BF44" s="225"/>
      <c r="BG44" s="31"/>
      <c r="BH44" s="12"/>
      <c r="BI44" s="12"/>
      <c r="BJ44" s="12"/>
      <c r="BK44" s="12"/>
    </row>
    <row r="45" spans="1:63" s="25" customFormat="1" x14ac:dyDescent="0.25">
      <c r="A45" s="261"/>
      <c r="B45" s="260"/>
      <c r="C45" s="259"/>
      <c r="D45" s="241">
        <v>0.4</v>
      </c>
      <c r="E45" s="7" t="s">
        <v>95</v>
      </c>
      <c r="F45" s="113"/>
      <c r="G45" s="260">
        <v>0.11</v>
      </c>
      <c r="H45" s="259">
        <v>5.94</v>
      </c>
      <c r="I45" s="240"/>
      <c r="J45" s="113"/>
      <c r="K45" s="260"/>
      <c r="L45" s="259"/>
      <c r="M45" s="241">
        <v>0.59</v>
      </c>
      <c r="N45" s="7" t="s">
        <v>95</v>
      </c>
      <c r="O45" s="113"/>
      <c r="P45" s="260">
        <v>1.57</v>
      </c>
      <c r="Q45" s="259">
        <v>6.15</v>
      </c>
      <c r="R45" s="241">
        <v>0.59</v>
      </c>
      <c r="S45" s="7" t="s">
        <v>95</v>
      </c>
      <c r="T45" s="113"/>
      <c r="U45" s="260"/>
      <c r="V45" s="259"/>
      <c r="W45" s="241">
        <v>0.4</v>
      </c>
      <c r="X45" s="7" t="s">
        <v>95</v>
      </c>
      <c r="Y45" s="113"/>
      <c r="Z45" s="260"/>
      <c r="AA45" s="259"/>
      <c r="AB45" s="241">
        <v>0.4</v>
      </c>
      <c r="AC45" s="7" t="s">
        <v>95</v>
      </c>
      <c r="AD45" s="113"/>
      <c r="AE45" s="270"/>
      <c r="AF45" s="271"/>
      <c r="AG45" s="245">
        <f>(AE36-AG48-AG49-AG44)/2</f>
        <v>0.93499999999999994</v>
      </c>
      <c r="AH45" s="7" t="s">
        <v>95</v>
      </c>
      <c r="AI45" s="113"/>
      <c r="AJ45" s="270"/>
      <c r="AK45" s="271"/>
      <c r="AL45" s="245">
        <v>0.56000000000000005</v>
      </c>
      <c r="AM45" s="7" t="s">
        <v>95</v>
      </c>
      <c r="AN45" s="40"/>
      <c r="AO45" s="31" t="s">
        <v>181</v>
      </c>
      <c r="AP45" s="241">
        <f>D365</f>
        <v>0.7</v>
      </c>
      <c r="AQ45" s="241">
        <f>M316</f>
        <v>0.96</v>
      </c>
      <c r="AR45" s="241">
        <f>R316</f>
        <v>0.93999999999999972</v>
      </c>
      <c r="AS45" s="241">
        <f>W269</f>
        <v>1</v>
      </c>
      <c r="AT45" s="19">
        <f>AB269</f>
        <v>0.9</v>
      </c>
      <c r="AU45" s="24"/>
      <c r="AV45" s="12"/>
      <c r="AW45" s="12"/>
      <c r="AX45" s="12"/>
      <c r="AY45" s="3"/>
      <c r="AZ45" s="1"/>
      <c r="BA45" s="2"/>
      <c r="BB45" s="3"/>
      <c r="BC45" s="53"/>
      <c r="BD45" s="3"/>
      <c r="BE45" s="3"/>
      <c r="BF45" s="225"/>
      <c r="BG45" s="31"/>
      <c r="BH45" s="12"/>
      <c r="BI45" s="12"/>
      <c r="BJ45" s="12"/>
      <c r="BK45" s="12"/>
    </row>
    <row r="46" spans="1:63" s="25" customFormat="1" x14ac:dyDescent="0.25">
      <c r="A46" s="261"/>
      <c r="B46" s="260"/>
      <c r="C46" s="259"/>
      <c r="D46" s="240"/>
      <c r="E46" s="24"/>
      <c r="F46" s="113"/>
      <c r="G46" s="260"/>
      <c r="H46" s="259"/>
      <c r="I46" s="240"/>
      <c r="J46" s="113"/>
      <c r="K46" s="260">
        <v>0.14000000000000001</v>
      </c>
      <c r="L46" s="259">
        <v>6.29</v>
      </c>
      <c r="M46" s="241"/>
      <c r="N46" s="8"/>
      <c r="O46" s="113"/>
      <c r="P46" s="260"/>
      <c r="Q46" s="259"/>
      <c r="R46" s="241"/>
      <c r="S46" s="8"/>
      <c r="T46" s="113"/>
      <c r="U46" s="260"/>
      <c r="V46" s="259"/>
      <c r="W46" s="241">
        <v>1.27</v>
      </c>
      <c r="X46" s="58" t="s">
        <v>60</v>
      </c>
      <c r="Y46" s="113"/>
      <c r="Z46" s="260"/>
      <c r="AA46" s="259"/>
      <c r="AB46" s="241">
        <v>2.7</v>
      </c>
      <c r="AC46" s="58" t="s">
        <v>60</v>
      </c>
      <c r="AD46" s="113"/>
      <c r="AE46" s="270"/>
      <c r="AF46" s="271"/>
      <c r="AG46" s="91"/>
      <c r="AH46" s="8"/>
      <c r="AI46" s="113"/>
      <c r="AJ46" s="270"/>
      <c r="AK46" s="271"/>
      <c r="AL46" s="245">
        <f>(AJ43-AL45-AL48)/2</f>
        <v>0.27999999999999997</v>
      </c>
      <c r="AM46" s="58" t="s">
        <v>60</v>
      </c>
      <c r="AN46" s="40"/>
      <c r="AO46" s="31" t="s">
        <v>176</v>
      </c>
      <c r="AP46" s="241">
        <f>D390</f>
        <v>0.28999999999999992</v>
      </c>
      <c r="AQ46" s="241">
        <f>M390</f>
        <v>0.39</v>
      </c>
      <c r="AR46" s="241">
        <f>R390</f>
        <v>0.3</v>
      </c>
      <c r="AS46" s="241">
        <f>W203</f>
        <v>0.4</v>
      </c>
      <c r="AT46" s="19">
        <f>AB203</f>
        <v>0.4</v>
      </c>
      <c r="AU46" s="19">
        <f>AG203</f>
        <v>0.4</v>
      </c>
      <c r="AV46" s="12"/>
      <c r="AW46" s="12"/>
      <c r="AX46" s="12"/>
      <c r="AY46" s="3"/>
      <c r="AZ46" s="1"/>
      <c r="BA46" s="2"/>
      <c r="BB46" s="3"/>
      <c r="BC46" s="53"/>
      <c r="BD46" s="3"/>
      <c r="BE46" s="3"/>
      <c r="BF46" s="225"/>
      <c r="BG46" s="31"/>
      <c r="BH46" s="12"/>
      <c r="BI46" s="12"/>
      <c r="BJ46" s="12"/>
      <c r="BK46" s="12"/>
    </row>
    <row r="47" spans="1:63" s="25" customFormat="1" x14ac:dyDescent="0.25">
      <c r="A47" s="261"/>
      <c r="B47" s="260"/>
      <c r="C47" s="259"/>
      <c r="D47" s="240"/>
      <c r="E47" s="19"/>
      <c r="F47" s="113"/>
      <c r="G47" s="260"/>
      <c r="H47" s="259"/>
      <c r="I47" s="240"/>
      <c r="J47" s="113"/>
      <c r="K47" s="260"/>
      <c r="L47" s="259"/>
      <c r="M47" s="241"/>
      <c r="N47" s="16"/>
      <c r="O47" s="113"/>
      <c r="P47" s="260"/>
      <c r="Q47" s="259"/>
      <c r="R47" s="241"/>
      <c r="S47" s="16"/>
      <c r="T47" s="113"/>
      <c r="U47" s="260"/>
      <c r="V47" s="259"/>
      <c r="W47" s="241">
        <v>1.51</v>
      </c>
      <c r="X47" s="249" t="s">
        <v>61</v>
      </c>
      <c r="Y47" s="113"/>
      <c r="Z47" s="260"/>
      <c r="AA47" s="259"/>
      <c r="AB47" s="241">
        <f>Z54+Z36-AB41-AB46-AB45-AB48-AB49-AB44-AB56</f>
        <v>1.8600000000000012</v>
      </c>
      <c r="AC47" s="249" t="s">
        <v>61</v>
      </c>
      <c r="AD47" s="113"/>
      <c r="AE47" s="270"/>
      <c r="AF47" s="271"/>
      <c r="AG47" s="24"/>
      <c r="AH47" s="24"/>
      <c r="AI47" s="113"/>
      <c r="AJ47" s="270"/>
      <c r="AK47" s="271"/>
      <c r="AL47" s="245">
        <f>AL46</f>
        <v>0.27999999999999997</v>
      </c>
      <c r="AM47" s="249" t="s">
        <v>61</v>
      </c>
      <c r="AN47" s="40"/>
      <c r="AO47" s="31" t="s">
        <v>177</v>
      </c>
      <c r="AP47" s="241">
        <f>D403+D380</f>
        <v>1.72</v>
      </c>
      <c r="AQ47" s="241">
        <f>M380</f>
        <v>0.92</v>
      </c>
      <c r="AR47" s="241">
        <f>R380</f>
        <v>0.88</v>
      </c>
      <c r="AS47" s="241">
        <f>W212</f>
        <v>0.89000000000000057</v>
      </c>
      <c r="AT47" s="19">
        <f>AB212</f>
        <v>0.9</v>
      </c>
      <c r="AU47" s="19">
        <f>AG212</f>
        <v>0.9</v>
      </c>
      <c r="AV47" s="12"/>
      <c r="AW47" s="12"/>
      <c r="AX47" s="12"/>
      <c r="AY47" s="3"/>
      <c r="AZ47" s="1"/>
      <c r="BA47" s="1"/>
      <c r="BB47" s="4"/>
      <c r="BC47" s="53"/>
      <c r="BD47" s="3"/>
      <c r="BE47" s="3"/>
      <c r="BF47" s="225"/>
      <c r="BG47" s="31"/>
      <c r="BH47" s="12"/>
      <c r="BI47" s="12"/>
      <c r="BJ47" s="12"/>
      <c r="BK47" s="12"/>
    </row>
    <row r="48" spans="1:63" s="25" customFormat="1" x14ac:dyDescent="0.25">
      <c r="A48" s="261"/>
      <c r="B48" s="260"/>
      <c r="C48" s="259"/>
      <c r="D48" s="56"/>
      <c r="E48" s="24"/>
      <c r="F48" s="113"/>
      <c r="G48" s="260"/>
      <c r="H48" s="259"/>
      <c r="I48" s="240"/>
      <c r="J48" s="113"/>
      <c r="K48" s="260"/>
      <c r="L48" s="259"/>
      <c r="M48" s="56"/>
      <c r="N48" s="24"/>
      <c r="O48" s="113"/>
      <c r="P48" s="260"/>
      <c r="Q48" s="259"/>
      <c r="R48" s="56"/>
      <c r="S48" s="24"/>
      <c r="T48" s="113"/>
      <c r="U48" s="260"/>
      <c r="V48" s="259"/>
      <c r="W48" s="240">
        <v>0.5</v>
      </c>
      <c r="X48" s="6" t="s">
        <v>170</v>
      </c>
      <c r="Y48" s="113"/>
      <c r="Z48" s="260"/>
      <c r="AA48" s="259"/>
      <c r="AB48" s="240">
        <v>0.5</v>
      </c>
      <c r="AC48" s="6" t="s">
        <v>170</v>
      </c>
      <c r="AD48" s="113"/>
      <c r="AE48" s="270"/>
      <c r="AF48" s="271"/>
      <c r="AG48" s="245">
        <v>0.5</v>
      </c>
      <c r="AH48" s="6" t="s">
        <v>170</v>
      </c>
      <c r="AI48" s="113"/>
      <c r="AJ48" s="270"/>
      <c r="AK48" s="271"/>
      <c r="AL48" s="245">
        <v>0.9</v>
      </c>
      <c r="AM48" s="6" t="s">
        <v>20</v>
      </c>
      <c r="AN48" s="40"/>
      <c r="AO48" s="31" t="s">
        <v>178</v>
      </c>
      <c r="AP48" s="241">
        <f>D358</f>
        <v>0.15</v>
      </c>
      <c r="AQ48" s="241">
        <f>M358+M343</f>
        <v>0.64</v>
      </c>
      <c r="AR48" s="241">
        <f>R343</f>
        <v>0.69</v>
      </c>
      <c r="AS48" s="241">
        <f>W133</f>
        <v>1.2</v>
      </c>
      <c r="AT48" s="19">
        <f>AB133</f>
        <v>0.88</v>
      </c>
      <c r="AU48" s="19">
        <f>AG133</f>
        <v>0.93</v>
      </c>
      <c r="AV48" s="12"/>
      <c r="AW48" s="12"/>
      <c r="AX48" s="12"/>
      <c r="AY48" s="3"/>
      <c r="AZ48" s="1"/>
      <c r="BA48" s="1"/>
      <c r="BB48" s="4"/>
      <c r="BC48" s="53"/>
      <c r="BD48" s="3"/>
      <c r="BE48" s="3"/>
      <c r="BF48" s="225"/>
      <c r="BG48" s="31"/>
      <c r="BH48" s="12"/>
      <c r="BI48" s="12"/>
      <c r="BJ48" s="12"/>
      <c r="BK48" s="12"/>
    </row>
    <row r="49" spans="1:63" s="25" customFormat="1" ht="15.75" thickBot="1" x14ac:dyDescent="0.3">
      <c r="A49" s="261"/>
      <c r="B49" s="260"/>
      <c r="C49" s="259"/>
      <c r="D49" s="240">
        <f>B44-G45-G49</f>
        <v>0.97999999999999976</v>
      </c>
      <c r="E49" s="6" t="s">
        <v>20</v>
      </c>
      <c r="F49" s="113"/>
      <c r="G49" s="241">
        <v>0.28999999999999998</v>
      </c>
      <c r="H49" s="240">
        <v>5.99</v>
      </c>
      <c r="I49" s="80"/>
      <c r="J49" s="113"/>
      <c r="K49" s="241">
        <v>0.11</v>
      </c>
      <c r="L49" s="240">
        <v>6.32</v>
      </c>
      <c r="M49" s="241">
        <f>K44+K46-M45-M46</f>
        <v>1.19</v>
      </c>
      <c r="N49" s="6" t="s">
        <v>20</v>
      </c>
      <c r="O49" s="113"/>
      <c r="P49" s="260"/>
      <c r="Q49" s="259"/>
      <c r="R49" s="241">
        <f>D49</f>
        <v>0.97999999999999976</v>
      </c>
      <c r="S49" s="6" t="s">
        <v>20</v>
      </c>
      <c r="T49" s="113"/>
      <c r="U49" s="260"/>
      <c r="V49" s="259"/>
      <c r="W49" s="241">
        <v>0.9</v>
      </c>
      <c r="X49" s="6" t="s">
        <v>20</v>
      </c>
      <c r="Y49" s="113"/>
      <c r="Z49" s="260"/>
      <c r="AA49" s="259"/>
      <c r="AB49" s="241">
        <v>0.9</v>
      </c>
      <c r="AC49" s="6" t="s">
        <v>20</v>
      </c>
      <c r="AD49" s="113"/>
      <c r="AE49" s="270"/>
      <c r="AF49" s="271"/>
      <c r="AG49" s="245">
        <v>1.5</v>
      </c>
      <c r="AH49" s="6" t="s">
        <v>20</v>
      </c>
      <c r="AI49" s="113"/>
      <c r="AJ49" s="270"/>
      <c r="AK49" s="271"/>
      <c r="AL49" s="245"/>
      <c r="AM49" s="240"/>
      <c r="AN49" s="40"/>
      <c r="AO49" s="36" t="s">
        <v>193</v>
      </c>
      <c r="AP49" s="1">
        <f>SUM(AP43:AP48)</f>
        <v>3.22</v>
      </c>
      <c r="AQ49" s="1">
        <f>SUM(AQ43:AQ48)</f>
        <v>3.27</v>
      </c>
      <c r="AR49" s="1">
        <f>SUM(AR45:AR48)</f>
        <v>2.8099999999999996</v>
      </c>
      <c r="AS49" s="1">
        <f>SUM(AS43:AS48)</f>
        <v>3.8500000000000005</v>
      </c>
      <c r="AT49" s="1">
        <f>SUM(AT43:AT48)</f>
        <v>3.44</v>
      </c>
      <c r="AU49" s="1">
        <f>SUM(AU43:AU48)</f>
        <v>3.59</v>
      </c>
      <c r="AV49" s="12"/>
      <c r="AW49" s="12"/>
      <c r="AX49" s="12"/>
      <c r="AY49" s="3"/>
      <c r="AZ49" s="1"/>
      <c r="BA49" s="1"/>
      <c r="BB49" s="4"/>
      <c r="BC49" s="53"/>
      <c r="BD49" s="3"/>
      <c r="BE49" s="3"/>
      <c r="BF49" s="225"/>
      <c r="BG49" s="31"/>
      <c r="BH49" s="12"/>
      <c r="BI49" s="12"/>
      <c r="BJ49" s="12"/>
      <c r="BK49" s="12"/>
    </row>
    <row r="50" spans="1:63" s="25" customFormat="1" x14ac:dyDescent="0.25">
      <c r="A50" s="261">
        <v>14</v>
      </c>
      <c r="B50" s="260">
        <v>0.08</v>
      </c>
      <c r="C50" s="259">
        <v>6.23</v>
      </c>
      <c r="D50" s="56"/>
      <c r="E50" s="24"/>
      <c r="F50" s="113"/>
      <c r="G50" s="260">
        <v>0.37</v>
      </c>
      <c r="H50" s="259">
        <v>6.05</v>
      </c>
      <c r="I50" s="240"/>
      <c r="J50" s="113"/>
      <c r="K50" s="260">
        <v>0.1</v>
      </c>
      <c r="L50" s="259">
        <v>6.36</v>
      </c>
      <c r="M50" s="56"/>
      <c r="N50" s="24"/>
      <c r="O50" s="113"/>
      <c r="P50" s="260">
        <v>0.45</v>
      </c>
      <c r="Q50" s="259">
        <v>6.28</v>
      </c>
      <c r="R50" s="241">
        <v>0.22</v>
      </c>
      <c r="S50" s="61" t="s">
        <v>514</v>
      </c>
      <c r="T50" s="113"/>
      <c r="U50" s="260">
        <v>4.0999999999999996</v>
      </c>
      <c r="V50" s="259">
        <v>6.36</v>
      </c>
      <c r="W50" s="241">
        <v>0.2</v>
      </c>
      <c r="X50" s="61" t="s">
        <v>320</v>
      </c>
      <c r="Y50" s="113"/>
      <c r="Z50" s="260"/>
      <c r="AA50" s="259"/>
      <c r="AB50" s="241"/>
      <c r="AC50" s="56"/>
      <c r="AD50" s="113"/>
      <c r="AE50" s="270"/>
      <c r="AF50" s="271"/>
      <c r="AG50" s="245"/>
      <c r="AH50" s="56"/>
      <c r="AI50" s="113"/>
      <c r="AJ50" s="270">
        <v>0.02</v>
      </c>
      <c r="AK50" s="271">
        <v>6.38</v>
      </c>
      <c r="AL50" s="245"/>
      <c r="AM50" s="56"/>
      <c r="AN50" s="40"/>
      <c r="AO50" s="30" t="s">
        <v>179</v>
      </c>
      <c r="AP50" s="41" t="s">
        <v>1</v>
      </c>
      <c r="AQ50" s="38" t="s">
        <v>2</v>
      </c>
      <c r="AR50" s="41" t="s">
        <v>4</v>
      </c>
      <c r="AS50" s="38" t="s">
        <v>16</v>
      </c>
      <c r="AT50" s="41" t="s">
        <v>5</v>
      </c>
      <c r="AU50" s="38" t="s">
        <v>57</v>
      </c>
      <c r="AV50" s="12"/>
      <c r="AW50" s="12"/>
      <c r="AX50" s="12"/>
      <c r="AY50" s="3"/>
      <c r="AZ50" s="1"/>
      <c r="BA50" s="1"/>
      <c r="BB50" s="4"/>
      <c r="BC50" s="53"/>
      <c r="BD50" s="3"/>
      <c r="BE50" s="3"/>
      <c r="BF50" s="225"/>
      <c r="BG50" s="12"/>
      <c r="BH50" s="31"/>
      <c r="BI50" s="31"/>
      <c r="BJ50" s="31"/>
      <c r="BK50" s="31"/>
    </row>
    <row r="51" spans="1:63" s="25" customFormat="1" x14ac:dyDescent="0.25">
      <c r="A51" s="261"/>
      <c r="B51" s="260"/>
      <c r="C51" s="259"/>
      <c r="D51" s="240">
        <v>0.04</v>
      </c>
      <c r="E51" s="10" t="s">
        <v>434</v>
      </c>
      <c r="F51" s="113"/>
      <c r="G51" s="260"/>
      <c r="H51" s="259"/>
      <c r="I51" s="240"/>
      <c r="J51" s="113"/>
      <c r="K51" s="260"/>
      <c r="L51" s="259"/>
      <c r="M51" s="241">
        <f>R51</f>
        <v>0.06</v>
      </c>
      <c r="N51" s="10" t="s">
        <v>434</v>
      </c>
      <c r="O51" s="113"/>
      <c r="P51" s="260"/>
      <c r="Q51" s="259"/>
      <c r="R51" s="241">
        <v>0.06</v>
      </c>
      <c r="S51" s="10" t="s">
        <v>515</v>
      </c>
      <c r="T51" s="113"/>
      <c r="U51" s="260"/>
      <c r="V51" s="259"/>
      <c r="W51" s="241">
        <f>AB21-W21</f>
        <v>0.36000000000000004</v>
      </c>
      <c r="X51" s="10" t="s">
        <v>125</v>
      </c>
      <c r="Y51" s="113"/>
      <c r="Z51" s="260"/>
      <c r="AA51" s="259"/>
      <c r="AB51" s="241"/>
      <c r="AC51" s="56"/>
      <c r="AD51" s="113"/>
      <c r="AE51" s="270"/>
      <c r="AF51" s="271"/>
      <c r="AG51" s="245"/>
      <c r="AH51" s="56"/>
      <c r="AI51" s="113"/>
      <c r="AJ51" s="270"/>
      <c r="AK51" s="271"/>
      <c r="AL51" s="245"/>
      <c r="AM51" s="56"/>
      <c r="AN51" s="40"/>
      <c r="AO51" s="31" t="s">
        <v>184</v>
      </c>
      <c r="AP51" s="241">
        <f>D41+D76</f>
        <v>0.06</v>
      </c>
      <c r="AQ51" s="241">
        <f>M41+M76</f>
        <v>0.18000000000000002</v>
      </c>
      <c r="AR51" s="241">
        <f>R41+R76</f>
        <v>0.21000000000000002</v>
      </c>
      <c r="AS51" s="241">
        <f>W41+W76</f>
        <v>0.11</v>
      </c>
      <c r="AT51" s="241">
        <f>AB41+AB76</f>
        <v>0.21000000000000002</v>
      </c>
      <c r="AU51" s="241">
        <f>AG41</f>
        <v>0.44</v>
      </c>
      <c r="AV51" s="12"/>
      <c r="AW51" s="12"/>
      <c r="AX51" s="12"/>
      <c r="AY51" s="3"/>
      <c r="AZ51" s="1"/>
      <c r="BA51" s="1"/>
      <c r="BB51" s="4"/>
      <c r="BC51" s="53"/>
      <c r="BD51" s="3"/>
      <c r="BE51" s="3"/>
      <c r="BF51" s="225"/>
      <c r="BG51" s="12"/>
      <c r="BH51" s="31"/>
      <c r="BI51" s="31"/>
      <c r="BJ51" s="31"/>
      <c r="BK51" s="31"/>
    </row>
    <row r="52" spans="1:63" s="25" customFormat="1" x14ac:dyDescent="0.25">
      <c r="A52" s="261"/>
      <c r="B52" s="260"/>
      <c r="C52" s="259"/>
      <c r="D52" s="246"/>
      <c r="E52" s="18"/>
      <c r="F52" s="113"/>
      <c r="G52" s="260"/>
      <c r="H52" s="259"/>
      <c r="I52" s="240"/>
      <c r="J52" s="113"/>
      <c r="K52" s="260"/>
      <c r="L52" s="259"/>
      <c r="M52" s="241"/>
      <c r="N52" s="18"/>
      <c r="O52" s="113"/>
      <c r="P52" s="260"/>
      <c r="Q52" s="259"/>
      <c r="R52" s="245"/>
      <c r="S52" s="18"/>
      <c r="T52" s="113"/>
      <c r="U52" s="260"/>
      <c r="V52" s="259"/>
      <c r="Y52" s="113"/>
      <c r="Z52" s="260"/>
      <c r="AA52" s="259"/>
      <c r="AB52" s="241"/>
      <c r="AC52" s="24"/>
      <c r="AD52" s="113"/>
      <c r="AE52" s="270"/>
      <c r="AF52" s="271"/>
      <c r="AG52" s="245"/>
      <c r="AH52" s="24"/>
      <c r="AI52" s="113"/>
      <c r="AJ52" s="270"/>
      <c r="AK52" s="271"/>
      <c r="AL52" s="245"/>
      <c r="AM52" s="24"/>
      <c r="AN52" s="40"/>
      <c r="AO52" s="31" t="s">
        <v>185</v>
      </c>
      <c r="AP52" s="241">
        <f>D101</f>
        <v>0.2</v>
      </c>
      <c r="AQ52" s="241">
        <f>M101</f>
        <v>0.21</v>
      </c>
      <c r="AR52" s="241">
        <f>R101</f>
        <v>0.21</v>
      </c>
      <c r="AS52" s="241">
        <f>W101</f>
        <v>0.21</v>
      </c>
      <c r="AT52" s="241">
        <f>AB101</f>
        <v>0.21</v>
      </c>
      <c r="AU52" s="241"/>
      <c r="AV52" s="1"/>
      <c r="AW52" s="44"/>
      <c r="AX52" s="13"/>
      <c r="AY52" s="3"/>
      <c r="AZ52" s="1"/>
      <c r="BA52" s="1"/>
      <c r="BB52" s="4"/>
      <c r="BC52" s="53"/>
      <c r="BD52" s="3"/>
      <c r="BE52" s="3"/>
      <c r="BF52" s="225"/>
      <c r="BG52" s="12"/>
      <c r="BH52" s="31"/>
      <c r="BI52" s="31"/>
      <c r="BJ52" s="31"/>
      <c r="BK52" s="31"/>
    </row>
    <row r="53" spans="1:63" s="25" customFormat="1" x14ac:dyDescent="0.25">
      <c r="A53" s="261"/>
      <c r="B53" s="260"/>
      <c r="C53" s="259"/>
      <c r="D53" s="240"/>
      <c r="E53" s="241"/>
      <c r="F53" s="113"/>
      <c r="G53" s="260"/>
      <c r="H53" s="259"/>
      <c r="I53" s="240"/>
      <c r="J53" s="113"/>
      <c r="K53" s="260"/>
      <c r="L53" s="259"/>
      <c r="M53" s="241"/>
      <c r="N53" s="241"/>
      <c r="O53" s="113"/>
      <c r="P53" s="260"/>
      <c r="Q53" s="259"/>
      <c r="R53" s="241"/>
      <c r="S53" s="241"/>
      <c r="T53" s="113"/>
      <c r="U53" s="260"/>
      <c r="V53" s="259"/>
      <c r="W53" s="24"/>
      <c r="X53" s="24"/>
      <c r="Y53" s="113"/>
      <c r="Z53" s="260"/>
      <c r="AA53" s="259"/>
      <c r="AB53" s="24"/>
      <c r="AC53" s="24"/>
      <c r="AD53" s="113"/>
      <c r="AE53" s="270"/>
      <c r="AF53" s="271"/>
      <c r="AI53" s="113"/>
      <c r="AJ53" s="245">
        <v>0.04</v>
      </c>
      <c r="AK53" s="246">
        <v>6.42</v>
      </c>
      <c r="AL53" s="245"/>
      <c r="AM53" s="246"/>
      <c r="AN53" s="40"/>
      <c r="AO53" s="31" t="s">
        <v>186</v>
      </c>
      <c r="AP53" s="241">
        <f>D77+D45+D114+D180+D207+D230+D315</f>
        <v>1.1100000000000001</v>
      </c>
      <c r="AQ53" s="241">
        <f>M45+M77+M114+M180+M207+M230</f>
        <v>0.97</v>
      </c>
      <c r="AR53" s="241">
        <f>R45+R77+R114+R180</f>
        <v>0.76</v>
      </c>
      <c r="AS53" s="241">
        <f>W45+W77+W180</f>
        <v>0.57000000000000006</v>
      </c>
      <c r="AT53" s="241">
        <f>AB45+AB77+AB180</f>
        <v>0.55000000000000004</v>
      </c>
      <c r="AU53" s="241">
        <f>AG45+AG113+AG180</f>
        <v>1.5449999999999999</v>
      </c>
      <c r="AV53" s="1"/>
      <c r="AW53" s="44"/>
      <c r="AX53" s="13"/>
      <c r="AY53" s="3"/>
      <c r="AZ53" s="1"/>
      <c r="BA53" s="2"/>
      <c r="BB53" s="3"/>
      <c r="BC53" s="53"/>
      <c r="BD53" s="3"/>
      <c r="BE53" s="3"/>
      <c r="BF53" s="225"/>
      <c r="BG53" s="31"/>
      <c r="BH53" s="12"/>
      <c r="BI53" s="42"/>
      <c r="BJ53" s="44"/>
      <c r="BK53" s="4"/>
    </row>
    <row r="54" spans="1:63" s="25" customFormat="1" x14ac:dyDescent="0.25">
      <c r="A54" s="261">
        <v>15</v>
      </c>
      <c r="B54" s="260">
        <v>3.12</v>
      </c>
      <c r="C54" s="259">
        <v>6.35</v>
      </c>
      <c r="D54" s="241">
        <v>0.5</v>
      </c>
      <c r="E54" s="63" t="s">
        <v>435</v>
      </c>
      <c r="F54" s="113"/>
      <c r="G54" s="260">
        <v>3.8</v>
      </c>
      <c r="H54" s="259">
        <v>6.17</v>
      </c>
      <c r="I54" s="240"/>
      <c r="J54" s="113"/>
      <c r="K54" s="260">
        <v>3.17</v>
      </c>
      <c r="L54" s="259">
        <v>6.43</v>
      </c>
      <c r="M54" s="241">
        <f>K54-M56</f>
        <v>0.46999999999999975</v>
      </c>
      <c r="N54" s="63" t="s">
        <v>435</v>
      </c>
      <c r="O54" s="113"/>
      <c r="P54" s="260">
        <v>3.2</v>
      </c>
      <c r="Q54" s="259">
        <v>6.38</v>
      </c>
      <c r="R54" s="241">
        <v>0.5</v>
      </c>
      <c r="S54" s="63" t="s">
        <v>502</v>
      </c>
      <c r="T54" s="113"/>
      <c r="U54" s="260"/>
      <c r="V54" s="259"/>
      <c r="W54" s="241">
        <v>0.36</v>
      </c>
      <c r="X54" s="63" t="s">
        <v>46</v>
      </c>
      <c r="Y54" s="113"/>
      <c r="Z54" s="260">
        <v>2.87</v>
      </c>
      <c r="AA54" s="259">
        <v>6.38</v>
      </c>
      <c r="AB54" s="241"/>
      <c r="AC54" s="240"/>
      <c r="AD54" s="113"/>
      <c r="AE54" s="270">
        <v>2.56</v>
      </c>
      <c r="AF54" s="271">
        <v>5.98</v>
      </c>
      <c r="AG54" s="91"/>
      <c r="AH54" s="240"/>
      <c r="AI54" s="113"/>
      <c r="AJ54" s="270">
        <v>2.58</v>
      </c>
      <c r="AK54" s="271">
        <v>6.52</v>
      </c>
      <c r="AL54" s="245"/>
      <c r="AM54" s="240"/>
      <c r="AN54" s="40"/>
      <c r="AO54" s="31" t="s">
        <v>187</v>
      </c>
      <c r="AP54" s="241">
        <f>D102+D157+D196+D225+D245+D261+D268+D279+D366</f>
        <v>2.3899999999999997</v>
      </c>
      <c r="AQ54" s="241">
        <f>M102+M140+M157+M196+M224+M268+M279+M366+M169</f>
        <v>3.84</v>
      </c>
      <c r="AR54" s="241">
        <f>R102+R140+R157+R196+R224+R113+R169</f>
        <v>3.75</v>
      </c>
      <c r="AS54" s="241">
        <f>W102+W140+W157+W196+W224+W113</f>
        <v>2.9400000000000004</v>
      </c>
      <c r="AT54" s="241">
        <f>AB102+AB140+AB196+AB224+AB113</f>
        <v>2.23</v>
      </c>
      <c r="AU54" s="241"/>
      <c r="AV54" s="42"/>
      <c r="AW54" s="44"/>
      <c r="AX54" s="11"/>
      <c r="AY54" s="3"/>
      <c r="AZ54" s="1"/>
      <c r="BA54" s="2"/>
      <c r="BB54" s="3"/>
      <c r="BC54" s="53"/>
      <c r="BD54" s="3"/>
      <c r="BE54" s="3"/>
      <c r="BF54" s="225"/>
      <c r="BG54" s="12"/>
      <c r="BH54" s="31"/>
      <c r="BI54" s="42"/>
      <c r="BJ54" s="44"/>
      <c r="BK54" s="11"/>
    </row>
    <row r="55" spans="1:63" s="25" customFormat="1" x14ac:dyDescent="0.25">
      <c r="A55" s="261"/>
      <c r="B55" s="260"/>
      <c r="C55" s="259"/>
      <c r="D55" s="240"/>
      <c r="E55" s="240"/>
      <c r="F55" s="113"/>
      <c r="G55" s="260"/>
      <c r="H55" s="259"/>
      <c r="I55" s="240"/>
      <c r="J55" s="113"/>
      <c r="K55" s="260"/>
      <c r="L55" s="259"/>
      <c r="M55" s="241"/>
      <c r="N55" s="24"/>
      <c r="O55" s="113"/>
      <c r="P55" s="260"/>
      <c r="Q55" s="259"/>
      <c r="R55" s="241"/>
      <c r="S55" s="24"/>
      <c r="T55" s="113"/>
      <c r="U55" s="260"/>
      <c r="V55" s="259"/>
      <c r="W55" s="241"/>
      <c r="X55" s="240"/>
      <c r="Y55" s="113"/>
      <c r="Z55" s="260"/>
      <c r="AA55" s="259"/>
      <c r="AB55" s="241"/>
      <c r="AC55" s="240"/>
      <c r="AD55" s="113"/>
      <c r="AE55" s="270"/>
      <c r="AF55" s="271"/>
      <c r="AG55" s="245"/>
      <c r="AH55" s="240"/>
      <c r="AI55" s="113"/>
      <c r="AJ55" s="270"/>
      <c r="AK55" s="271"/>
      <c r="AL55" s="245"/>
      <c r="AM55" s="240"/>
      <c r="AN55" s="40"/>
      <c r="AO55" s="31" t="s">
        <v>188</v>
      </c>
      <c r="AP55" s="241">
        <f>D59+D192</f>
        <v>0.4</v>
      </c>
      <c r="AQ55" s="241">
        <f>M59+M192</f>
        <v>0.4</v>
      </c>
      <c r="AR55" s="241">
        <f>R59+R192</f>
        <v>0.52</v>
      </c>
      <c r="AS55" s="241">
        <f>W59+W192</f>
        <v>0.51</v>
      </c>
      <c r="AT55" s="241">
        <f>AB59+AB192</f>
        <v>0.77</v>
      </c>
      <c r="AU55" s="241">
        <f>AG59+AG192+AG96+AG229+AG256</f>
        <v>1.2799999999999996</v>
      </c>
      <c r="AV55" s="42"/>
      <c r="AW55" s="44"/>
      <c r="AX55" s="11"/>
      <c r="AY55" s="3"/>
      <c r="AZ55" s="1"/>
      <c r="BA55" s="2"/>
      <c r="BB55" s="3"/>
      <c r="BC55" s="53"/>
      <c r="BD55" s="3"/>
      <c r="BE55" s="3"/>
      <c r="BF55" s="225"/>
      <c r="BG55" s="12"/>
      <c r="BH55" s="31"/>
      <c r="BI55" s="42"/>
      <c r="BJ55" s="44"/>
      <c r="BK55" s="11"/>
    </row>
    <row r="56" spans="1:63" s="25" customFormat="1" x14ac:dyDescent="0.25">
      <c r="A56" s="261"/>
      <c r="B56" s="260"/>
      <c r="C56" s="259"/>
      <c r="D56" s="240">
        <f>B54-D54</f>
        <v>2.62</v>
      </c>
      <c r="E56" s="54" t="s">
        <v>34</v>
      </c>
      <c r="F56" s="113"/>
      <c r="G56" s="260"/>
      <c r="H56" s="259"/>
      <c r="I56" s="240"/>
      <c r="J56" s="113"/>
      <c r="K56" s="260"/>
      <c r="L56" s="259"/>
      <c r="M56" s="241">
        <f>R56</f>
        <v>2.7</v>
      </c>
      <c r="N56" s="54" t="s">
        <v>34</v>
      </c>
      <c r="O56" s="113"/>
      <c r="P56" s="260"/>
      <c r="Q56" s="259"/>
      <c r="R56" s="241">
        <f>P54-R54</f>
        <v>2.7</v>
      </c>
      <c r="S56" s="54" t="s">
        <v>34</v>
      </c>
      <c r="T56" s="113"/>
      <c r="U56" s="260"/>
      <c r="V56" s="259"/>
      <c r="W56" s="241">
        <f>2.87-1.5</f>
        <v>1.37</v>
      </c>
      <c r="X56" s="54" t="s">
        <v>34</v>
      </c>
      <c r="Y56" s="113"/>
      <c r="Z56" s="260"/>
      <c r="AA56" s="259"/>
      <c r="AB56" s="241">
        <v>4.5</v>
      </c>
      <c r="AC56" s="54" t="s">
        <v>34</v>
      </c>
      <c r="AD56" s="113"/>
      <c r="AE56" s="270"/>
      <c r="AF56" s="271"/>
      <c r="AG56" s="245">
        <f>AE54</f>
        <v>2.56</v>
      </c>
      <c r="AH56" s="54" t="s">
        <v>34</v>
      </c>
      <c r="AI56" s="113"/>
      <c r="AJ56" s="270"/>
      <c r="AK56" s="271"/>
      <c r="AL56" s="245">
        <f>AJ54</f>
        <v>2.58</v>
      </c>
      <c r="AM56" s="54" t="s">
        <v>34</v>
      </c>
      <c r="AN56" s="40"/>
      <c r="AO56" s="31" t="s">
        <v>189</v>
      </c>
      <c r="AP56" s="241">
        <f>D117+D197+D210+D231+D255+D281</f>
        <v>0.39000000000000012</v>
      </c>
      <c r="AQ56" s="241">
        <f>M117+M197+M210+M231+M255+M281</f>
        <v>0.67</v>
      </c>
      <c r="AR56" s="241">
        <f>R117+R197+R231+R255+R281</f>
        <v>0.68</v>
      </c>
      <c r="AS56" s="241">
        <f>W117+W231+W281+W255</f>
        <v>1.1499999999999999</v>
      </c>
      <c r="AT56" s="241">
        <f>AB117+AB231+AB281+AB255</f>
        <v>1.33</v>
      </c>
      <c r="AU56" s="241"/>
      <c r="AV56" s="42"/>
      <c r="AW56" s="44"/>
      <c r="AX56" s="57"/>
      <c r="AY56" s="3"/>
      <c r="AZ56" s="1"/>
      <c r="BA56" s="1"/>
      <c r="BB56" s="4"/>
      <c r="BC56" s="53"/>
      <c r="BD56" s="3"/>
      <c r="BE56" s="3"/>
      <c r="BF56" s="225"/>
      <c r="BG56" s="12"/>
      <c r="BH56" s="31"/>
      <c r="BI56" s="42"/>
      <c r="BJ56" s="44"/>
      <c r="BK56" s="11"/>
    </row>
    <row r="57" spans="1:63" s="25" customFormat="1" x14ac:dyDescent="0.25">
      <c r="A57" s="261">
        <v>16</v>
      </c>
      <c r="B57" s="260">
        <v>0.34</v>
      </c>
      <c r="C57" s="259">
        <v>6.5</v>
      </c>
      <c r="D57" s="241">
        <v>0.01</v>
      </c>
      <c r="E57" s="10" t="s">
        <v>441</v>
      </c>
      <c r="F57" s="113"/>
      <c r="G57" s="260">
        <v>0.45</v>
      </c>
      <c r="H57" s="259">
        <v>6.3</v>
      </c>
      <c r="I57" s="240"/>
      <c r="J57" s="113"/>
      <c r="K57" s="241">
        <v>0.09</v>
      </c>
      <c r="L57" s="240">
        <v>6.53</v>
      </c>
      <c r="M57" s="241">
        <f>R57</f>
        <v>0.01</v>
      </c>
      <c r="N57" s="10" t="s">
        <v>441</v>
      </c>
      <c r="O57" s="113"/>
      <c r="P57" s="260">
        <v>0.63</v>
      </c>
      <c r="Q57" s="259">
        <v>6.52</v>
      </c>
      <c r="R57" s="241">
        <v>0.01</v>
      </c>
      <c r="S57" s="10" t="s">
        <v>323</v>
      </c>
      <c r="T57" s="113"/>
      <c r="U57" s="260">
        <v>0.89</v>
      </c>
      <c r="V57" s="259">
        <v>6.49</v>
      </c>
      <c r="W57" s="241">
        <f>R57</f>
        <v>0.01</v>
      </c>
      <c r="X57" s="10" t="s">
        <v>323</v>
      </c>
      <c r="Y57" s="113"/>
      <c r="Z57" s="260">
        <v>3.22</v>
      </c>
      <c r="AA57" s="259">
        <v>6.51</v>
      </c>
      <c r="AB57" s="56"/>
      <c r="AC57" s="24"/>
      <c r="AD57" s="113"/>
      <c r="AE57" s="270">
        <v>2.58</v>
      </c>
      <c r="AF57" s="271">
        <v>6.1</v>
      </c>
      <c r="AG57" s="24"/>
      <c r="AH57" s="24"/>
      <c r="AI57" s="113"/>
      <c r="AJ57" s="270">
        <v>1.66</v>
      </c>
      <c r="AK57" s="271">
        <v>6.69</v>
      </c>
      <c r="AL57" s="245"/>
      <c r="AM57" s="96"/>
      <c r="AN57" s="40"/>
      <c r="AO57" s="31" t="s">
        <v>190</v>
      </c>
      <c r="AP57" s="241">
        <f>D60+D104+D142+D199+D211+D262+D317+D337+D356+D368+D364+D388+D398</f>
        <v>3.03</v>
      </c>
      <c r="AQ57" s="241">
        <f>M60+M104+M142+M143+M199+M211+M270+M328+M337+M368+M317</f>
        <v>3.09</v>
      </c>
      <c r="AR57" s="241">
        <f>R60+R104+R143+R144+R199+R211+R270+R328+R337</f>
        <v>2.4500000000000002</v>
      </c>
      <c r="AS57" s="241">
        <f>W60+W104+W144+W199+W211+W270+W328</f>
        <v>2.4900000000000002</v>
      </c>
      <c r="AT57" s="241">
        <f>AB60+AB104+AB144+AB199+AB328</f>
        <v>2.8700000000000006</v>
      </c>
      <c r="AU57" s="241">
        <f>AG60+AG104+AG144+AG199+AG328</f>
        <v>3.4700000000000006</v>
      </c>
      <c r="AV57" s="1"/>
      <c r="AW57" s="44"/>
      <c r="AX57" s="57"/>
      <c r="AY57" s="3"/>
      <c r="AZ57" s="1"/>
      <c r="BA57" s="2"/>
      <c r="BB57" s="3"/>
      <c r="BC57" s="53"/>
      <c r="BD57" s="4"/>
      <c r="BE57" s="4"/>
      <c r="BF57" s="230"/>
      <c r="BG57" s="12"/>
      <c r="BH57" s="31"/>
      <c r="BI57" s="1"/>
      <c r="BJ57" s="44"/>
      <c r="BK57" s="65"/>
    </row>
    <row r="58" spans="1:63" s="25" customFormat="1" x14ac:dyDescent="0.25">
      <c r="A58" s="261"/>
      <c r="B58" s="260"/>
      <c r="C58" s="259"/>
      <c r="D58" s="241">
        <v>0.11</v>
      </c>
      <c r="E58" s="7" t="s">
        <v>436</v>
      </c>
      <c r="F58" s="113"/>
      <c r="G58" s="260"/>
      <c r="H58" s="259"/>
      <c r="I58" s="240"/>
      <c r="J58" s="113"/>
      <c r="K58" s="260">
        <v>0.42</v>
      </c>
      <c r="L58" s="259">
        <v>6.57</v>
      </c>
      <c r="M58" s="241">
        <v>0.12</v>
      </c>
      <c r="N58" s="7" t="s">
        <v>436</v>
      </c>
      <c r="O58" s="113"/>
      <c r="P58" s="260"/>
      <c r="Q58" s="259"/>
      <c r="R58" s="241">
        <v>0.11</v>
      </c>
      <c r="S58" s="7" t="s">
        <v>327</v>
      </c>
      <c r="T58" s="113"/>
      <c r="U58" s="260"/>
      <c r="V58" s="259"/>
      <c r="W58" s="56"/>
      <c r="X58" s="24"/>
      <c r="Y58" s="113"/>
      <c r="Z58" s="260"/>
      <c r="AA58" s="259"/>
      <c r="AB58" s="56"/>
      <c r="AC58" s="24"/>
      <c r="AD58" s="113"/>
      <c r="AE58" s="270"/>
      <c r="AF58" s="271"/>
      <c r="AG58" s="24"/>
      <c r="AH58" s="24"/>
      <c r="AI58" s="113"/>
      <c r="AJ58" s="270"/>
      <c r="AK58" s="271"/>
      <c r="AL58" s="245"/>
      <c r="AM58" s="246"/>
      <c r="AN58" s="40"/>
      <c r="AO58" s="31" t="s">
        <v>191</v>
      </c>
      <c r="AP58" s="241">
        <f>D119+D215+D233+D246+D271+D397</f>
        <v>1.1299999999999999</v>
      </c>
      <c r="AQ58" s="241">
        <f>M119+M215+M233+M247+M271</f>
        <v>0.69</v>
      </c>
      <c r="AR58" s="241">
        <f>R119+R233+R247+R271</f>
        <v>0.87</v>
      </c>
      <c r="AS58" s="241">
        <f>W119+W233+W247+W271</f>
        <v>0.68</v>
      </c>
      <c r="AT58" s="241">
        <f>AB119+AB233</f>
        <v>0.27</v>
      </c>
      <c r="AU58" s="241"/>
      <c r="AV58" s="42"/>
      <c r="AW58" s="44"/>
      <c r="AX58" s="3"/>
      <c r="AY58" s="3"/>
      <c r="AZ58" s="1"/>
      <c r="BA58" s="2"/>
      <c r="BB58" s="3"/>
      <c r="BC58" s="53"/>
      <c r="BD58" s="3"/>
      <c r="BE58" s="3"/>
      <c r="BF58" s="225"/>
      <c r="BG58" s="12"/>
      <c r="BH58" s="31"/>
      <c r="BI58" s="1"/>
      <c r="BJ58" s="44"/>
      <c r="BK58" s="65"/>
    </row>
    <row r="59" spans="1:63" s="25" customFormat="1" x14ac:dyDescent="0.25">
      <c r="A59" s="261"/>
      <c r="B59" s="260"/>
      <c r="C59" s="259"/>
      <c r="D59" s="240">
        <f>B57-D60-D57-D58-D63</f>
        <v>0.2</v>
      </c>
      <c r="E59" s="59" t="s">
        <v>103</v>
      </c>
      <c r="F59" s="113"/>
      <c r="G59" s="260"/>
      <c r="H59" s="259"/>
      <c r="I59" s="240"/>
      <c r="J59" s="113"/>
      <c r="K59" s="260"/>
      <c r="L59" s="259"/>
      <c r="M59" s="241">
        <f>K58+K57-M60-M57-M58-M63</f>
        <v>0.19999999999999998</v>
      </c>
      <c r="N59" s="59" t="s">
        <v>103</v>
      </c>
      <c r="O59" s="113"/>
      <c r="P59" s="260"/>
      <c r="Q59" s="259"/>
      <c r="R59" s="241">
        <v>0.32</v>
      </c>
      <c r="S59" s="59" t="s">
        <v>103</v>
      </c>
      <c r="T59" s="113"/>
      <c r="U59" s="260"/>
      <c r="V59" s="259"/>
      <c r="W59" s="241">
        <f>U57-W63-W88-W60-W57</f>
        <v>0.30999999999999994</v>
      </c>
      <c r="X59" s="59" t="s">
        <v>103</v>
      </c>
      <c r="Y59" s="113"/>
      <c r="Z59" s="260"/>
      <c r="AA59" s="259"/>
      <c r="AB59" s="241">
        <v>0.56999999999999995</v>
      </c>
      <c r="AC59" s="59" t="s">
        <v>103</v>
      </c>
      <c r="AD59" s="113"/>
      <c r="AE59" s="270"/>
      <c r="AF59" s="271"/>
      <c r="AG59" s="245">
        <v>0.57999999999999996</v>
      </c>
      <c r="AH59" s="59" t="s">
        <v>103</v>
      </c>
      <c r="AI59" s="113"/>
      <c r="AJ59" s="270"/>
      <c r="AK59" s="271"/>
      <c r="AL59" s="245">
        <f>(AJ57-AL63)/2</f>
        <v>0.50499999999999989</v>
      </c>
      <c r="AM59" s="59" t="s">
        <v>103</v>
      </c>
      <c r="AN59" s="40"/>
      <c r="AO59" s="36" t="s">
        <v>203</v>
      </c>
      <c r="AP59" s="26">
        <f>D175+D78</f>
        <v>0.8</v>
      </c>
      <c r="AQ59" s="26">
        <f>M175+M78+M184</f>
        <v>0.61</v>
      </c>
      <c r="AR59" s="26">
        <f>R175+R78+R184</f>
        <v>0.61</v>
      </c>
      <c r="AS59" s="26">
        <f>W175+W78</f>
        <v>1.1000000000000001</v>
      </c>
      <c r="AT59" s="26">
        <f>AB175+AB78</f>
        <v>1.1000000000000001</v>
      </c>
      <c r="AU59" s="26">
        <f>AG175</f>
        <v>1.2</v>
      </c>
      <c r="AV59" s="12"/>
      <c r="AW59" s="44"/>
      <c r="AX59" s="64"/>
      <c r="AY59" s="3"/>
      <c r="AZ59" s="1"/>
      <c r="BA59" s="2"/>
      <c r="BB59" s="3"/>
      <c r="BC59" s="53"/>
      <c r="BD59" s="3"/>
      <c r="BE59" s="3"/>
      <c r="BF59" s="225"/>
      <c r="BG59" s="12"/>
      <c r="BH59" s="12"/>
      <c r="BI59" s="42"/>
      <c r="BJ59" s="44"/>
      <c r="BK59" s="65"/>
    </row>
    <row r="60" spans="1:63" s="25" customFormat="1" x14ac:dyDescent="0.25">
      <c r="A60" s="261"/>
      <c r="B60" s="260"/>
      <c r="C60" s="259"/>
      <c r="D60" s="241">
        <v>0.01</v>
      </c>
      <c r="E60" s="249" t="s">
        <v>64</v>
      </c>
      <c r="F60" s="113"/>
      <c r="G60" s="260"/>
      <c r="H60" s="259"/>
      <c r="I60" s="240"/>
      <c r="J60" s="113"/>
      <c r="K60" s="260"/>
      <c r="L60" s="259"/>
      <c r="M60" s="241">
        <f>D60</f>
        <v>0.01</v>
      </c>
      <c r="N60" s="249" t="s">
        <v>64</v>
      </c>
      <c r="O60" s="113"/>
      <c r="P60" s="260"/>
      <c r="Q60" s="259"/>
      <c r="R60" s="241">
        <v>0.01</v>
      </c>
      <c r="S60" s="249" t="s">
        <v>64</v>
      </c>
      <c r="T60" s="113"/>
      <c r="U60" s="260"/>
      <c r="V60" s="259"/>
      <c r="W60" s="241">
        <v>0.01</v>
      </c>
      <c r="X60" s="249" t="s">
        <v>64</v>
      </c>
      <c r="Y60" s="113"/>
      <c r="Z60" s="260"/>
      <c r="AA60" s="259"/>
      <c r="AB60" s="241">
        <f>Z57-AB63-AB64-AB59</f>
        <v>1.6400000000000006</v>
      </c>
      <c r="AC60" s="249" t="s">
        <v>64</v>
      </c>
      <c r="AD60" s="113"/>
      <c r="AE60" s="270"/>
      <c r="AF60" s="271"/>
      <c r="AG60" s="245">
        <f>AE57-AG64-AG59</f>
        <v>1.6400000000000001</v>
      </c>
      <c r="AH60" s="249" t="s">
        <v>64</v>
      </c>
      <c r="AI60" s="113"/>
      <c r="AJ60" s="270"/>
      <c r="AK60" s="271"/>
      <c r="AL60" s="245">
        <f>AL59</f>
        <v>0.50499999999999989</v>
      </c>
      <c r="AM60" s="249" t="s">
        <v>64</v>
      </c>
      <c r="AN60" s="40"/>
      <c r="AO60" s="36" t="s">
        <v>204</v>
      </c>
      <c r="AP60" s="26">
        <f>D194+D274</f>
        <v>0.21</v>
      </c>
      <c r="AQ60" s="26">
        <f>M194+M274</f>
        <v>0.23</v>
      </c>
      <c r="AR60" s="26">
        <f>R194+R274</f>
        <v>0.57000000000000006</v>
      </c>
      <c r="AS60" s="26">
        <f>W194+W274</f>
        <v>0.90999999999999992</v>
      </c>
      <c r="AT60" s="26">
        <f>AB194</f>
        <v>0.66</v>
      </c>
      <c r="AU60" s="26"/>
      <c r="AV60" s="12"/>
      <c r="AW60" s="44"/>
      <c r="AX60" s="64"/>
      <c r="AY60" s="3"/>
      <c r="AZ60" s="1"/>
      <c r="BA60" s="2"/>
      <c r="BB60" s="3"/>
      <c r="BC60" s="53"/>
      <c r="BD60" s="3"/>
      <c r="BE60" s="3"/>
      <c r="BF60" s="225"/>
      <c r="BG60" s="12"/>
      <c r="BH60" s="12"/>
      <c r="BI60" s="42"/>
      <c r="BJ60" s="44"/>
      <c r="BK60" s="65"/>
    </row>
    <row r="61" spans="1:63" s="25" customFormat="1" x14ac:dyDescent="0.25">
      <c r="A61" s="261"/>
      <c r="B61" s="260"/>
      <c r="C61" s="259"/>
      <c r="D61" s="56"/>
      <c r="E61" s="24"/>
      <c r="F61" s="113"/>
      <c r="G61" s="260"/>
      <c r="H61" s="259"/>
      <c r="I61" s="240"/>
      <c r="J61" s="113"/>
      <c r="K61" s="260"/>
      <c r="L61" s="259"/>
      <c r="M61" s="56"/>
      <c r="N61" s="24"/>
      <c r="O61" s="113"/>
      <c r="P61" s="260"/>
      <c r="Q61" s="259"/>
      <c r="R61" s="56"/>
      <c r="S61" s="24"/>
      <c r="T61" s="113"/>
      <c r="U61" s="260"/>
      <c r="V61" s="259"/>
      <c r="W61" s="241"/>
      <c r="X61" s="19"/>
      <c r="Y61" s="113"/>
      <c r="Z61" s="260"/>
      <c r="AA61" s="259"/>
      <c r="AB61" s="241"/>
      <c r="AC61" s="24"/>
      <c r="AD61" s="113"/>
      <c r="AE61" s="270"/>
      <c r="AF61" s="271"/>
      <c r="AG61" s="245"/>
      <c r="AH61" s="24"/>
      <c r="AI61" s="113"/>
      <c r="AJ61" s="270"/>
      <c r="AK61" s="271"/>
      <c r="AL61" s="245"/>
      <c r="AM61" s="24"/>
      <c r="AN61" s="40"/>
      <c r="AO61" s="36" t="s">
        <v>198</v>
      </c>
      <c r="AP61" s="19"/>
      <c r="AQ61" s="19"/>
      <c r="AR61" s="19"/>
      <c r="AS61" s="19"/>
      <c r="AT61" s="19"/>
      <c r="AU61" s="26">
        <f>AG147</f>
        <v>0.4</v>
      </c>
      <c r="AV61" s="12"/>
      <c r="AW61" s="44"/>
      <c r="AX61" s="13"/>
      <c r="AY61" s="3"/>
      <c r="AZ61" s="1"/>
      <c r="BA61" s="2"/>
      <c r="BB61" s="3"/>
      <c r="BC61" s="53"/>
      <c r="BD61" s="3"/>
      <c r="BE61" s="3"/>
      <c r="BF61" s="225"/>
      <c r="BG61" s="12"/>
      <c r="BH61" s="12"/>
      <c r="BI61" s="42"/>
      <c r="BJ61" s="44"/>
      <c r="BK61" s="65"/>
    </row>
    <row r="62" spans="1:63" s="25" customFormat="1" x14ac:dyDescent="0.25">
      <c r="A62" s="261"/>
      <c r="B62" s="260"/>
      <c r="C62" s="259"/>
      <c r="D62" s="241"/>
      <c r="E62" s="19"/>
      <c r="F62" s="113"/>
      <c r="G62" s="241"/>
      <c r="H62" s="240"/>
      <c r="I62" s="240"/>
      <c r="J62" s="113"/>
      <c r="K62" s="260"/>
      <c r="L62" s="259"/>
      <c r="M62" s="241"/>
      <c r="N62" s="19"/>
      <c r="O62" s="113"/>
      <c r="P62" s="260"/>
      <c r="Q62" s="259"/>
      <c r="R62" s="56"/>
      <c r="S62" s="19"/>
      <c r="T62" s="113"/>
      <c r="U62" s="260"/>
      <c r="V62" s="259"/>
      <c r="Y62" s="113"/>
      <c r="Z62" s="260"/>
      <c r="AA62" s="259"/>
      <c r="AD62" s="113"/>
      <c r="AE62" s="270"/>
      <c r="AF62" s="271"/>
      <c r="AG62" s="24"/>
      <c r="AH62" s="24"/>
      <c r="AI62" s="113"/>
      <c r="AJ62" s="270"/>
      <c r="AK62" s="271"/>
      <c r="AL62" s="245"/>
      <c r="AM62" s="19"/>
      <c r="AN62" s="40"/>
      <c r="AO62" s="36" t="s">
        <v>199</v>
      </c>
      <c r="AP62" s="19">
        <f>D176</f>
        <v>0.37</v>
      </c>
      <c r="AQ62" s="19">
        <f>R176</f>
        <v>0.37</v>
      </c>
      <c r="AR62" s="19">
        <f>R176</f>
        <v>0.37</v>
      </c>
      <c r="AS62" s="19">
        <f>W176</f>
        <v>0.37</v>
      </c>
      <c r="AT62" s="19">
        <f>AB176</f>
        <v>0.37</v>
      </c>
      <c r="AU62" s="26"/>
      <c r="AV62" s="12"/>
      <c r="AW62" s="44"/>
      <c r="AX62" s="13"/>
      <c r="AY62" s="3"/>
      <c r="AZ62" s="1"/>
      <c r="BA62" s="2"/>
      <c r="BB62" s="3"/>
      <c r="BC62" s="53"/>
      <c r="BD62" s="3"/>
      <c r="BE62" s="3"/>
      <c r="BF62" s="225"/>
      <c r="BG62" s="12"/>
      <c r="BH62" s="12"/>
      <c r="BI62" s="42"/>
      <c r="BJ62" s="44"/>
      <c r="BK62" s="65"/>
    </row>
    <row r="63" spans="1:63" s="25" customFormat="1" x14ac:dyDescent="0.25">
      <c r="A63" s="261"/>
      <c r="B63" s="260"/>
      <c r="C63" s="259"/>
      <c r="D63" s="241">
        <v>0.01</v>
      </c>
      <c r="E63" s="15" t="s">
        <v>62</v>
      </c>
      <c r="F63" s="113"/>
      <c r="G63" s="241">
        <v>0.2</v>
      </c>
      <c r="H63" s="240">
        <v>6.34</v>
      </c>
      <c r="I63" s="240"/>
      <c r="J63" s="113"/>
      <c r="K63" s="260"/>
      <c r="L63" s="259"/>
      <c r="M63" s="241">
        <v>0.17</v>
      </c>
      <c r="N63" s="15" t="s">
        <v>62</v>
      </c>
      <c r="O63" s="113"/>
      <c r="P63" s="260"/>
      <c r="Q63" s="259"/>
      <c r="R63" s="241">
        <f>P57-R59-R60-R57</f>
        <v>0.28999999999999998</v>
      </c>
      <c r="S63" s="15" t="s">
        <v>62</v>
      </c>
      <c r="T63" s="113"/>
      <c r="U63" s="260"/>
      <c r="V63" s="259"/>
      <c r="W63" s="241">
        <v>0.2</v>
      </c>
      <c r="X63" s="15" t="s">
        <v>62</v>
      </c>
      <c r="Y63" s="113"/>
      <c r="Z63" s="260"/>
      <c r="AA63" s="259"/>
      <c r="AB63" s="241">
        <v>0.65</v>
      </c>
      <c r="AC63" s="15" t="s">
        <v>62</v>
      </c>
      <c r="AD63" s="113"/>
      <c r="AE63" s="270"/>
      <c r="AF63" s="271"/>
      <c r="AG63" s="91"/>
      <c r="AH63" s="246"/>
      <c r="AI63" s="113"/>
      <c r="AJ63" s="270"/>
      <c r="AK63" s="271"/>
      <c r="AL63" s="245">
        <f>AB63</f>
        <v>0.65</v>
      </c>
      <c r="AM63" s="15" t="s">
        <v>62</v>
      </c>
      <c r="AN63" s="40"/>
      <c r="AO63" s="31" t="s">
        <v>192</v>
      </c>
      <c r="AP63" s="241">
        <f>D290+D238</f>
        <v>1.1099999999999999</v>
      </c>
      <c r="AQ63" s="241">
        <f>M238+M290</f>
        <v>1.1299999999999999</v>
      </c>
      <c r="AR63" s="241">
        <f>R238+R290</f>
        <v>1.4100000000000001</v>
      </c>
      <c r="AS63" s="241">
        <f>W238+W290</f>
        <v>1.33</v>
      </c>
      <c r="AT63" s="241">
        <f>AB238+AB290</f>
        <v>1.02</v>
      </c>
      <c r="AU63" s="241">
        <f>AG238+AG290+AG327</f>
        <v>1.91</v>
      </c>
      <c r="AV63" s="12"/>
      <c r="AW63" s="44"/>
      <c r="AX63" s="65"/>
      <c r="AY63" s="3"/>
      <c r="AZ63" s="1"/>
      <c r="BD63" s="3"/>
      <c r="BE63" s="3"/>
      <c r="BF63" s="225"/>
      <c r="BG63" s="31"/>
      <c r="BH63" s="12"/>
      <c r="BI63" s="1"/>
      <c r="BJ63" s="44"/>
      <c r="BK63" s="65"/>
    </row>
    <row r="64" spans="1:63" s="25" customFormat="1" x14ac:dyDescent="0.25">
      <c r="A64" s="261">
        <v>17</v>
      </c>
      <c r="B64" s="260">
        <v>0.59</v>
      </c>
      <c r="C64" s="259">
        <v>6.61</v>
      </c>
      <c r="D64" s="241">
        <f>B64-D65-D66</f>
        <v>0.27999999999999997</v>
      </c>
      <c r="E64" s="59" t="s">
        <v>409</v>
      </c>
      <c r="F64" s="113"/>
      <c r="G64" s="260">
        <v>0.7</v>
      </c>
      <c r="H64" s="259">
        <v>6.41</v>
      </c>
      <c r="I64" s="240"/>
      <c r="J64" s="113"/>
      <c r="K64" s="260">
        <v>0.84</v>
      </c>
      <c r="L64" s="259">
        <v>6.69</v>
      </c>
      <c r="M64" s="241">
        <f>K64-M67-M65-M66</f>
        <v>0.36999999999999994</v>
      </c>
      <c r="N64" s="59" t="s">
        <v>409</v>
      </c>
      <c r="O64" s="113"/>
      <c r="P64" s="260">
        <v>0.9</v>
      </c>
      <c r="Q64" s="259">
        <v>6.64</v>
      </c>
      <c r="R64" s="241">
        <f>P64-R67-R65-R66</f>
        <v>0.38</v>
      </c>
      <c r="S64" s="59" t="s">
        <v>51</v>
      </c>
      <c r="T64" s="113"/>
      <c r="U64" s="260">
        <v>1.44</v>
      </c>
      <c r="V64" s="259">
        <v>6.61</v>
      </c>
      <c r="W64" s="241">
        <v>0.38</v>
      </c>
      <c r="X64" s="59" t="s">
        <v>51</v>
      </c>
      <c r="Y64" s="113"/>
      <c r="Z64" s="260">
        <v>1.32</v>
      </c>
      <c r="AA64" s="259">
        <v>6.62</v>
      </c>
      <c r="AB64" s="19">
        <v>0.36</v>
      </c>
      <c r="AC64" s="238" t="s">
        <v>552</v>
      </c>
      <c r="AD64" s="113"/>
      <c r="AE64" s="270">
        <v>1.23</v>
      </c>
      <c r="AF64" s="271">
        <v>6.2</v>
      </c>
      <c r="AG64" s="76">
        <v>0.36</v>
      </c>
      <c r="AH64" s="238" t="s">
        <v>552</v>
      </c>
      <c r="AI64" s="113"/>
      <c r="AJ64" s="270">
        <v>0.22</v>
      </c>
      <c r="AK64" s="271">
        <v>6.79</v>
      </c>
      <c r="AL64" s="91"/>
      <c r="AM64" s="246"/>
      <c r="AN64" s="40"/>
      <c r="AO64" s="36" t="s">
        <v>205</v>
      </c>
      <c r="AP64" s="241">
        <f>D389</f>
        <v>0.9</v>
      </c>
      <c r="AQ64" s="241">
        <f>M389</f>
        <v>0.44</v>
      </c>
      <c r="AR64" s="26">
        <f>R389</f>
        <v>0.62000000000000011</v>
      </c>
      <c r="AS64" s="26">
        <f>W345</f>
        <v>0.44</v>
      </c>
      <c r="AT64" s="26">
        <f>AB345</f>
        <v>0.32999999999999996</v>
      </c>
      <c r="AU64" s="24"/>
      <c r="AV64" s="12"/>
      <c r="AW64" s="44"/>
      <c r="AX64" s="65"/>
      <c r="AY64" s="3"/>
      <c r="AZ64" s="1"/>
    </row>
    <row r="65" spans="1:52" s="25" customFormat="1" x14ac:dyDescent="0.25">
      <c r="A65" s="261"/>
      <c r="B65" s="260"/>
      <c r="C65" s="259"/>
      <c r="D65" s="240">
        <v>0.3</v>
      </c>
      <c r="E65" s="249" t="s">
        <v>408</v>
      </c>
      <c r="F65" s="113"/>
      <c r="G65" s="260"/>
      <c r="H65" s="259"/>
      <c r="I65" s="240"/>
      <c r="J65" s="113"/>
      <c r="K65" s="260"/>
      <c r="L65" s="259"/>
      <c r="M65" s="241">
        <v>0.45</v>
      </c>
      <c r="N65" s="249" t="s">
        <v>408</v>
      </c>
      <c r="O65" s="113"/>
      <c r="P65" s="260"/>
      <c r="Q65" s="259"/>
      <c r="R65" s="241">
        <v>0.5</v>
      </c>
      <c r="S65" s="249" t="s">
        <v>423</v>
      </c>
      <c r="T65" s="113"/>
      <c r="U65" s="260"/>
      <c r="V65" s="259"/>
      <c r="W65" s="241">
        <f>U64+U68-W67-W64-W66-W73-W72-W75</f>
        <v>1.5799999999999998</v>
      </c>
      <c r="X65" s="249" t="s">
        <v>50</v>
      </c>
      <c r="Y65" s="113"/>
      <c r="Z65" s="260"/>
      <c r="AA65" s="259"/>
      <c r="AB65" s="56"/>
      <c r="AC65" s="24"/>
      <c r="AD65" s="113"/>
      <c r="AE65" s="270"/>
      <c r="AF65" s="271"/>
      <c r="AG65" s="245"/>
      <c r="AH65" s="241"/>
      <c r="AI65" s="113"/>
      <c r="AJ65" s="270"/>
      <c r="AK65" s="271"/>
      <c r="AL65" s="245"/>
      <c r="AM65" s="245"/>
      <c r="AN65" s="40"/>
      <c r="AO65" s="36" t="s">
        <v>193</v>
      </c>
      <c r="AP65" s="1">
        <f t="shared" ref="AP65:AU65" si="3">SUM(AP51:AP64)</f>
        <v>12.100000000000001</v>
      </c>
      <c r="AQ65" s="1">
        <f>SUM(AQ51:AQ64)</f>
        <v>12.829999999999997</v>
      </c>
      <c r="AR65" s="1">
        <f t="shared" si="3"/>
        <v>13.029999999999998</v>
      </c>
      <c r="AS65" s="1">
        <f t="shared" si="3"/>
        <v>12.809999999999999</v>
      </c>
      <c r="AT65" s="1">
        <f t="shared" si="3"/>
        <v>11.92</v>
      </c>
      <c r="AU65" s="1">
        <f t="shared" si="3"/>
        <v>10.245000000000001</v>
      </c>
      <c r="AV65" s="12"/>
      <c r="AW65" s="44"/>
      <c r="AX65" s="65"/>
      <c r="AY65" s="3"/>
      <c r="AZ65" s="1"/>
    </row>
    <row r="66" spans="1:52" s="25" customFormat="1" x14ac:dyDescent="0.25">
      <c r="A66" s="261"/>
      <c r="B66" s="260"/>
      <c r="C66" s="259"/>
      <c r="D66" s="241">
        <v>0.01</v>
      </c>
      <c r="E66" s="62" t="s">
        <v>101</v>
      </c>
      <c r="F66" s="113"/>
      <c r="G66" s="260"/>
      <c r="H66" s="259"/>
      <c r="I66" s="240"/>
      <c r="J66" s="113"/>
      <c r="K66" s="260"/>
      <c r="L66" s="259"/>
      <c r="M66" s="241">
        <f>R66</f>
        <v>0.01</v>
      </c>
      <c r="N66" s="62" t="s">
        <v>101</v>
      </c>
      <c r="O66" s="113"/>
      <c r="P66" s="260"/>
      <c r="Q66" s="259"/>
      <c r="R66" s="241">
        <v>0.01</v>
      </c>
      <c r="S66" s="62" t="s">
        <v>101</v>
      </c>
      <c r="T66" s="113"/>
      <c r="U66" s="260"/>
      <c r="V66" s="259"/>
      <c r="W66" s="241">
        <v>0.02</v>
      </c>
      <c r="X66" s="62" t="s">
        <v>101</v>
      </c>
      <c r="Y66" s="113"/>
      <c r="Z66" s="260"/>
      <c r="AA66" s="259"/>
      <c r="AB66" s="241">
        <v>0.64</v>
      </c>
      <c r="AC66" s="62" t="s">
        <v>101</v>
      </c>
      <c r="AD66" s="113"/>
      <c r="AE66" s="270"/>
      <c r="AF66" s="271"/>
      <c r="AG66" s="245"/>
      <c r="AH66" s="241"/>
      <c r="AI66" s="113"/>
      <c r="AJ66" s="270"/>
      <c r="AK66" s="271"/>
      <c r="AL66" s="245">
        <f>AJ64</f>
        <v>0.22</v>
      </c>
      <c r="AM66" s="62" t="s">
        <v>101</v>
      </c>
      <c r="AN66" s="40"/>
      <c r="AO66" s="12"/>
      <c r="AP66" s="12"/>
      <c r="AQ66" s="12"/>
      <c r="AR66" s="12"/>
      <c r="AS66" s="12"/>
      <c r="AT66" s="12"/>
      <c r="AU66" s="12"/>
      <c r="AV66" s="12"/>
      <c r="AW66" s="44"/>
      <c r="AX66" s="65"/>
      <c r="AY66" s="3"/>
      <c r="AZ66" s="1"/>
    </row>
    <row r="67" spans="1:52" s="25" customFormat="1" ht="15.75" thickBot="1" x14ac:dyDescent="0.3">
      <c r="A67" s="261"/>
      <c r="B67" s="260"/>
      <c r="C67" s="259"/>
      <c r="D67" s="56"/>
      <c r="E67" s="24"/>
      <c r="F67" s="113"/>
      <c r="G67" s="260"/>
      <c r="H67" s="259"/>
      <c r="I67" s="240"/>
      <c r="J67" s="113"/>
      <c r="K67" s="260"/>
      <c r="L67" s="259"/>
      <c r="M67" s="241">
        <f>R67</f>
        <v>0.01</v>
      </c>
      <c r="N67" s="63" t="s">
        <v>22</v>
      </c>
      <c r="O67" s="113"/>
      <c r="P67" s="260"/>
      <c r="Q67" s="259"/>
      <c r="R67" s="241">
        <v>0.01</v>
      </c>
      <c r="S67" s="63" t="s">
        <v>22</v>
      </c>
      <c r="T67" s="113"/>
      <c r="U67" s="260"/>
      <c r="V67" s="259"/>
      <c r="W67" s="241">
        <v>0.28999999999999998</v>
      </c>
      <c r="X67" s="63" t="s">
        <v>22</v>
      </c>
      <c r="Y67" s="113"/>
      <c r="Z67" s="260"/>
      <c r="AA67" s="259"/>
      <c r="AB67" s="241">
        <f>Z64-AB66</f>
        <v>0.68</v>
      </c>
      <c r="AC67" s="63" t="s">
        <v>22</v>
      </c>
      <c r="AD67" s="113"/>
      <c r="AE67" s="270"/>
      <c r="AF67" s="271"/>
      <c r="AG67" s="245">
        <f>AE64</f>
        <v>1.23</v>
      </c>
      <c r="AH67" s="63" t="s">
        <v>22</v>
      </c>
      <c r="AI67" s="113"/>
      <c r="AJ67" s="270"/>
      <c r="AK67" s="271"/>
      <c r="AL67" s="245"/>
      <c r="AM67" s="246"/>
      <c r="AN67" s="40"/>
      <c r="AO67" s="31"/>
      <c r="AP67" s="31"/>
      <c r="AQ67" s="31"/>
      <c r="AR67" s="31"/>
      <c r="AS67" s="31"/>
      <c r="AT67" s="31"/>
      <c r="AU67" s="12"/>
      <c r="AV67" s="42"/>
      <c r="AW67" s="44"/>
      <c r="AX67" s="66"/>
      <c r="AY67" s="3"/>
      <c r="AZ67" s="1"/>
    </row>
    <row r="68" spans="1:52" s="25" customFormat="1" x14ac:dyDescent="0.25">
      <c r="A68" s="261">
        <v>18</v>
      </c>
      <c r="B68" s="260">
        <v>0.05</v>
      </c>
      <c r="C68" s="259">
        <v>6.71</v>
      </c>
      <c r="D68" s="49"/>
      <c r="E68" s="24"/>
      <c r="F68" s="113"/>
      <c r="G68" s="260">
        <v>0.2</v>
      </c>
      <c r="H68" s="259">
        <v>6.53</v>
      </c>
      <c r="I68" s="240"/>
      <c r="J68" s="113"/>
      <c r="K68" s="260">
        <v>0.06</v>
      </c>
      <c r="L68" s="259">
        <v>6.78</v>
      </c>
      <c r="M68" s="56"/>
      <c r="N68" s="24"/>
      <c r="O68" s="113"/>
      <c r="P68" s="260"/>
      <c r="Q68" s="259"/>
      <c r="R68" s="56"/>
      <c r="S68" s="24"/>
      <c r="T68" s="113"/>
      <c r="U68" s="260">
        <v>0.88</v>
      </c>
      <c r="V68" s="259">
        <v>6.74</v>
      </c>
      <c r="W68" s="56"/>
      <c r="X68" s="24"/>
      <c r="Y68" s="113"/>
      <c r="Z68" s="260">
        <v>7.0000000000000007E-2</v>
      </c>
      <c r="AA68" s="259">
        <v>6.77</v>
      </c>
      <c r="AB68" s="241"/>
      <c r="AC68" s="8"/>
      <c r="AD68" s="113"/>
      <c r="AE68" s="270">
        <v>1.49</v>
      </c>
      <c r="AF68" s="271">
        <v>6.34</v>
      </c>
      <c r="AG68" s="245"/>
      <c r="AH68" s="8"/>
      <c r="AI68" s="113"/>
      <c r="AJ68" s="270"/>
      <c r="AK68" s="271"/>
      <c r="AL68" s="245"/>
      <c r="AM68" s="18"/>
      <c r="AN68" s="40"/>
      <c r="AO68" s="153" t="s">
        <v>277</v>
      </c>
      <c r="AP68" s="41" t="s">
        <v>1</v>
      </c>
      <c r="AQ68" s="38" t="s">
        <v>2</v>
      </c>
      <c r="AR68" s="41" t="s">
        <v>4</v>
      </c>
      <c r="AS68" s="21"/>
      <c r="AT68" s="21"/>
      <c r="AV68" s="12"/>
      <c r="AW68" s="44"/>
      <c r="AX68" s="65"/>
      <c r="AY68" s="3"/>
      <c r="AZ68" s="1"/>
    </row>
    <row r="69" spans="1:52" s="25" customFormat="1" x14ac:dyDescent="0.25">
      <c r="A69" s="261"/>
      <c r="B69" s="260"/>
      <c r="C69" s="259"/>
      <c r="D69" s="49"/>
      <c r="E69" s="24"/>
      <c r="F69" s="113"/>
      <c r="G69" s="260"/>
      <c r="H69" s="259"/>
      <c r="I69" s="240"/>
      <c r="J69" s="113"/>
      <c r="K69" s="260"/>
      <c r="L69" s="259"/>
      <c r="M69" s="56"/>
      <c r="N69" s="24"/>
      <c r="O69" s="113"/>
      <c r="P69" s="241">
        <v>0.13</v>
      </c>
      <c r="Q69" s="240">
        <v>6.74</v>
      </c>
      <c r="R69" s="56"/>
      <c r="S69" s="24"/>
      <c r="T69" s="113"/>
      <c r="U69" s="260"/>
      <c r="V69" s="259"/>
      <c r="W69" s="56"/>
      <c r="X69" s="24"/>
      <c r="Y69" s="113"/>
      <c r="Z69" s="260"/>
      <c r="AA69" s="259"/>
      <c r="AB69" s="241"/>
      <c r="AC69" s="8"/>
      <c r="AD69" s="113"/>
      <c r="AE69" s="270"/>
      <c r="AF69" s="271"/>
      <c r="AG69" s="245"/>
      <c r="AH69" s="8"/>
      <c r="AI69" s="113"/>
      <c r="AJ69" s="270">
        <v>0.06</v>
      </c>
      <c r="AK69" s="271">
        <v>6.87</v>
      </c>
      <c r="AL69" s="245"/>
      <c r="AM69" s="18"/>
      <c r="AN69" s="32"/>
      <c r="AO69" s="111" t="s">
        <v>272</v>
      </c>
      <c r="AP69" s="19">
        <f>D5+D12+D21+D24+D31+D35+D41+D45+D49+D59+D60+D63+D66+D78+D79+D86+D96+D110+D112+D139+D149+D175+D176+D194+D221+D278+D290</f>
        <v>20.789999999999996</v>
      </c>
      <c r="AQ69" s="19">
        <f>M5+M12+M21+M24+M31+M35+M41+M45+M49+M59+M60+M63+M66+M78+M79+M86+M96+M110+M112+M139+M149+M175+M176+M194+M221+M278+M67+M290</f>
        <v>21.289999999999996</v>
      </c>
      <c r="AR69" s="19">
        <f>R5+R12+R21+R24+R31+R35+R41+R45+R49+R59+R60+R63+R66+R78+R79+R86+R96+R110+R112+R139+R149+R175+R176+R194+R221+R278+R67+R290</f>
        <v>22.58</v>
      </c>
      <c r="AS69" s="19">
        <f>AVERAGE(AP69:AR69)</f>
        <v>21.553333333333331</v>
      </c>
      <c r="AT69" s="21" t="s">
        <v>297</v>
      </c>
      <c r="AV69" s="12"/>
      <c r="AW69" s="44"/>
      <c r="AX69" s="65"/>
      <c r="AY69" s="3"/>
      <c r="AZ69" s="1"/>
    </row>
    <row r="70" spans="1:52" s="25" customFormat="1" x14ac:dyDescent="0.25">
      <c r="A70" s="242">
        <v>19</v>
      </c>
      <c r="B70" s="241">
        <v>0.08</v>
      </c>
      <c r="C70" s="240">
        <v>6.74</v>
      </c>
      <c r="D70" s="240"/>
      <c r="E70" s="24"/>
      <c r="F70" s="113"/>
      <c r="G70" s="260"/>
      <c r="H70" s="259"/>
      <c r="I70" s="240"/>
      <c r="J70" s="113"/>
      <c r="K70" s="241">
        <v>0.16</v>
      </c>
      <c r="L70" s="240">
        <v>6.82</v>
      </c>
      <c r="M70" s="56"/>
      <c r="N70" s="24"/>
      <c r="O70" s="113"/>
      <c r="P70" s="241">
        <v>0.25</v>
      </c>
      <c r="Q70" s="240">
        <v>6.79</v>
      </c>
      <c r="R70" s="56"/>
      <c r="S70" s="24"/>
      <c r="T70" s="113"/>
      <c r="U70" s="260"/>
      <c r="V70" s="259"/>
      <c r="W70" s="56"/>
      <c r="X70" s="24"/>
      <c r="Y70" s="113"/>
      <c r="Z70" s="260"/>
      <c r="AA70" s="259"/>
      <c r="AB70" s="241"/>
      <c r="AC70" s="240"/>
      <c r="AD70" s="113"/>
      <c r="AE70" s="270"/>
      <c r="AF70" s="271"/>
      <c r="AG70" s="91"/>
      <c r="AH70" s="240"/>
      <c r="AI70" s="113"/>
      <c r="AJ70" s="270"/>
      <c r="AK70" s="271"/>
      <c r="AL70" s="245"/>
      <c r="AM70" s="246"/>
      <c r="AN70" s="32"/>
      <c r="AO70" s="111" t="s">
        <v>273</v>
      </c>
      <c r="AP70" s="19">
        <f>D51+D52+D54+D57+D58+D58+D64+D65+D72+D73+D76+D77+D101+D102+D104+D113+D117+D119+D120+D127+D142+D147+D151+D154+D210+D215+D217+D238+D272+D389</f>
        <v>5.4700000000000006</v>
      </c>
      <c r="AQ70" s="19">
        <f>M51+M52+M54+M57+M58+M58+M64+M65+M72+M73+M76+M77+M101+M102+M104+M113+M117+M119+M120+M127+M142+M147+M151+M154+M210+M215+M217+M238+M272+M389+M84+M93+M106+M140+M169</f>
        <v>7.11</v>
      </c>
      <c r="AR70" s="19">
        <f>R51+R52+R54+R57+R58+R58+R64+R65+R72+R73+R76+R77+R101+R102+R104+R113+R117+R119+R120+R127+R146+R144+R151+R154+R210+R215+R217+R238+R272+R389+R84+R93+R106+R140+R169+R50</f>
        <v>8.4700000000000006</v>
      </c>
      <c r="AS70" s="19">
        <f>AVERAGE(AP70:AR70)</f>
        <v>7.0166666666666684</v>
      </c>
      <c r="AT70" s="21" t="s">
        <v>300</v>
      </c>
      <c r="AV70" s="12"/>
      <c r="AW70" s="44"/>
      <c r="AX70" s="4"/>
      <c r="AY70" s="3"/>
      <c r="AZ70" s="1"/>
    </row>
    <row r="71" spans="1:52" s="25" customFormat="1" x14ac:dyDescent="0.25">
      <c r="A71" s="261">
        <v>20</v>
      </c>
      <c r="B71" s="260">
        <v>0.05</v>
      </c>
      <c r="C71" s="259">
        <v>6.78</v>
      </c>
      <c r="D71" s="49"/>
      <c r="E71" s="24"/>
      <c r="F71" s="113"/>
      <c r="G71" s="260"/>
      <c r="H71" s="259"/>
      <c r="I71" s="240"/>
      <c r="J71" s="113"/>
      <c r="K71" s="260">
        <v>0.13</v>
      </c>
      <c r="L71" s="259">
        <v>6.85</v>
      </c>
      <c r="M71" s="56"/>
      <c r="N71" s="24"/>
      <c r="O71" s="113"/>
      <c r="P71" s="260">
        <v>7.0000000000000007E-2</v>
      </c>
      <c r="Q71" s="259">
        <v>6.85</v>
      </c>
      <c r="R71" s="56"/>
      <c r="S71" s="24"/>
      <c r="T71" s="113"/>
      <c r="U71" s="260"/>
      <c r="V71" s="259"/>
      <c r="W71" s="56"/>
      <c r="X71" s="24"/>
      <c r="Y71" s="113"/>
      <c r="Z71" s="260"/>
      <c r="AA71" s="259"/>
      <c r="AB71" s="241"/>
      <c r="AC71" s="24"/>
      <c r="AD71" s="113"/>
      <c r="AE71" s="270"/>
      <c r="AF71" s="271"/>
      <c r="AG71" s="245"/>
      <c r="AH71" s="24"/>
      <c r="AI71" s="113"/>
      <c r="AJ71" s="270">
        <v>0.05</v>
      </c>
      <c r="AK71" s="271">
        <v>6.91</v>
      </c>
      <c r="AL71" s="245"/>
      <c r="AM71" s="91"/>
      <c r="AN71" s="32"/>
      <c r="AO71" s="111" t="s">
        <v>274</v>
      </c>
      <c r="AP71" s="19">
        <f>D90+D103+D114+D115+D116+D118+D136+D141+D156+D157+D158+D163+D168+D180+D185+D191+D197+D196+D199+D206+D207+D209+D192+D213+D225+D233+D245+D246+D253+D255+D259+D261+D262+D268+D279+D280+D281+D282+D289+D295+D296+D315+D316+D365+D366</f>
        <v>17.64</v>
      </c>
      <c r="AQ71" s="19">
        <f>M90+M103+M114+M115+M116+M118+M136+M141+M156+M157+M158+M163+M168+M180+M191+M197+M196+M199+M206+M207+M209+M192+M213+M224+M233+M245+M246+M253+M255+M259+M261+M262+M268+M279+M280+M281+M282+M289+M295+M296+M315+M316+M365+M366+M108+M143+M230+M231+M185</f>
        <v>18.540000000000006</v>
      </c>
      <c r="AR71" s="19">
        <f>R90+R103+R114+R115+R116+R118+R136+R143+R156+R157+R158+R163+R168+R180+R185+R191+R197+R196+R199+R206+R207+R209+R192+R213+R224+R233+R245+R246+R253+R255+R259+R261+R262+R270+R279+R280+R281+R282+R289+R295+R296+R315+R316+R365+R366+R108+R230+R231+R121</f>
        <v>18.239999999999998</v>
      </c>
      <c r="AS71" s="19">
        <f>AVERAGE(AP71:AR71)</f>
        <v>18.14</v>
      </c>
      <c r="AT71" s="21" t="s">
        <v>301</v>
      </c>
      <c r="AV71" s="12"/>
      <c r="AW71" s="44"/>
      <c r="AX71" s="65"/>
      <c r="AY71" s="4"/>
      <c r="AZ71" s="1"/>
    </row>
    <row r="72" spans="1:52" s="25" customFormat="1" x14ac:dyDescent="0.25">
      <c r="A72" s="261"/>
      <c r="B72" s="260"/>
      <c r="C72" s="259"/>
      <c r="D72" s="241">
        <v>0.01</v>
      </c>
      <c r="E72" s="63" t="s">
        <v>436</v>
      </c>
      <c r="F72" s="113"/>
      <c r="G72" s="260"/>
      <c r="H72" s="259"/>
      <c r="I72" s="240"/>
      <c r="J72" s="113"/>
      <c r="K72" s="260"/>
      <c r="L72" s="259"/>
      <c r="M72" s="241">
        <v>0.05</v>
      </c>
      <c r="N72" s="63" t="s">
        <v>436</v>
      </c>
      <c r="O72" s="113"/>
      <c r="P72" s="260"/>
      <c r="Q72" s="259"/>
      <c r="R72" s="241">
        <v>0.02</v>
      </c>
      <c r="S72" s="63" t="s">
        <v>127</v>
      </c>
      <c r="T72" s="113"/>
      <c r="U72" s="260"/>
      <c r="V72" s="259"/>
      <c r="W72" s="241">
        <v>0.02</v>
      </c>
      <c r="X72" s="63" t="s">
        <v>127</v>
      </c>
      <c r="Y72" s="113"/>
      <c r="Z72" s="260"/>
      <c r="AA72" s="259"/>
      <c r="AB72" s="241"/>
      <c r="AC72" s="245"/>
      <c r="AD72" s="113"/>
      <c r="AE72" s="270"/>
      <c r="AF72" s="271"/>
      <c r="AG72" s="245"/>
      <c r="AH72" s="245"/>
      <c r="AI72" s="113"/>
      <c r="AJ72" s="270"/>
      <c r="AK72" s="271"/>
      <c r="AL72" s="245"/>
      <c r="AM72" s="245"/>
      <c r="AN72" s="32"/>
      <c r="AO72" s="111" t="s">
        <v>275</v>
      </c>
      <c r="AP72" s="19">
        <f>D398+D397+D395+D393+D390+D388+D383+D370+D368+D356+D351+D350+D345+D344+D339+D338+D337+D318+D317+D283+D274+D271+D269+D256+D232+D227+D226+D218+D211+D193+D173+D172+D171</f>
        <v>15.829999999999995</v>
      </c>
      <c r="AQ72" s="19">
        <f>M398+M397+M395+M393+M390+M388+M383+M370+M368+M356+M351+M350+M345+M344+M339+M338+M337+M317+M283+M274+M271+M269+M256+M232+M227+M226+M218+M211+M193+M173+M172+M171+M328+M263+M247+M200+M166</f>
        <v>13.510000000000002</v>
      </c>
      <c r="AR72" s="19">
        <f>R398+R397+R395+R393+R390+R388+R383+R370+R368+R356+R351+R350+R345+R344+R339+R338+R337+R317+R283+R274+R271+R269+R256+R232+R227+R226+R218+R211+R193+R173+R172+R171+R328+R263+R247+R200+R166</f>
        <v>10.599999999999998</v>
      </c>
      <c r="AS72" s="19">
        <f>AVERAGE(AP72:AR72)</f>
        <v>13.313333333333333</v>
      </c>
      <c r="AT72" s="21" t="s">
        <v>298</v>
      </c>
      <c r="AV72" s="42"/>
      <c r="AW72" s="44"/>
      <c r="AX72" s="66"/>
      <c r="AY72" s="3"/>
      <c r="AZ72" s="1"/>
    </row>
    <row r="73" spans="1:52" s="25" customFormat="1" x14ac:dyDescent="0.25">
      <c r="A73" s="261"/>
      <c r="B73" s="260"/>
      <c r="C73" s="259"/>
      <c r="D73" s="240">
        <f>B71-D72</f>
        <v>0.04</v>
      </c>
      <c r="E73" s="59" t="s">
        <v>407</v>
      </c>
      <c r="F73" s="113"/>
      <c r="G73" s="260"/>
      <c r="H73" s="259"/>
      <c r="I73" s="240"/>
      <c r="J73" s="113"/>
      <c r="K73" s="260"/>
      <c r="L73" s="259"/>
      <c r="M73" s="241">
        <v>0.08</v>
      </c>
      <c r="N73" s="59" t="s">
        <v>407</v>
      </c>
      <c r="O73" s="113"/>
      <c r="P73" s="260"/>
      <c r="Q73" s="259"/>
      <c r="R73" s="241">
        <f>P71-R72-R75</f>
        <v>0.05</v>
      </c>
      <c r="S73" s="59" t="s">
        <v>516</v>
      </c>
      <c r="T73" s="113"/>
      <c r="U73" s="260"/>
      <c r="V73" s="259"/>
      <c r="W73" s="241">
        <v>0.02</v>
      </c>
      <c r="X73" s="59" t="s">
        <v>126</v>
      </c>
      <c r="Y73" s="113"/>
      <c r="Z73" s="260"/>
      <c r="AA73" s="259"/>
      <c r="AB73" s="241"/>
      <c r="AC73" s="24"/>
      <c r="AD73" s="113"/>
      <c r="AE73" s="270"/>
      <c r="AF73" s="271"/>
      <c r="AG73" s="245"/>
      <c r="AH73" s="24"/>
      <c r="AI73" s="113"/>
      <c r="AJ73" s="270"/>
      <c r="AK73" s="271"/>
      <c r="AL73" s="245"/>
      <c r="AM73" s="91"/>
      <c r="AN73" s="32"/>
      <c r="AO73" s="111" t="s">
        <v>276</v>
      </c>
      <c r="AP73" s="19">
        <f>D403+D380+D358+D319+D320+D249</f>
        <v>2.64</v>
      </c>
      <c r="AQ73" s="19">
        <f>M403+M380+M358+M319+M320+M343+M314+M249</f>
        <v>2.66</v>
      </c>
      <c r="AR73" s="19">
        <f>R403+R380+R358+R319+R320+R343+R314+R249</f>
        <v>2.61</v>
      </c>
      <c r="AS73" s="19">
        <f>AVERAGE(AP73:AR73)</f>
        <v>2.6366666666666667</v>
      </c>
      <c r="AT73" s="21" t="s">
        <v>299</v>
      </c>
      <c r="AV73" s="42"/>
      <c r="AW73" s="44"/>
      <c r="AX73" s="13"/>
      <c r="AY73" s="3"/>
      <c r="AZ73" s="1"/>
    </row>
    <row r="74" spans="1:52" s="25" customFormat="1" x14ac:dyDescent="0.25">
      <c r="A74" s="261"/>
      <c r="B74" s="260"/>
      <c r="C74" s="259"/>
      <c r="D74" s="240"/>
      <c r="E74" s="67"/>
      <c r="F74" s="113"/>
      <c r="G74" s="260"/>
      <c r="H74" s="259"/>
      <c r="I74" s="240"/>
      <c r="J74" s="113"/>
      <c r="K74" s="260"/>
      <c r="L74" s="259"/>
      <c r="M74" s="241"/>
      <c r="N74" s="24"/>
      <c r="O74" s="113"/>
      <c r="P74" s="260"/>
      <c r="Q74" s="259"/>
      <c r="R74" s="56"/>
      <c r="S74" s="24"/>
      <c r="T74" s="113"/>
      <c r="U74" s="260"/>
      <c r="V74" s="259"/>
      <c r="W74" s="241"/>
      <c r="X74" s="24"/>
      <c r="Y74" s="113"/>
      <c r="Z74" s="260"/>
      <c r="AA74" s="259"/>
      <c r="AB74" s="241"/>
      <c r="AC74" s="24"/>
      <c r="AD74" s="113"/>
      <c r="AE74" s="270"/>
      <c r="AF74" s="271"/>
      <c r="AG74" s="245"/>
      <c r="AH74" s="24"/>
      <c r="AI74" s="113"/>
      <c r="AJ74" s="270"/>
      <c r="AK74" s="271"/>
      <c r="AL74" s="245"/>
      <c r="AM74" s="91"/>
      <c r="AN74" s="32"/>
      <c r="AO74" s="111" t="s">
        <v>555</v>
      </c>
      <c r="AP74" s="21"/>
      <c r="AQ74" s="21"/>
      <c r="AR74" s="21"/>
      <c r="AS74" s="19">
        <f>R50+R51+R54+R57+R62+R64+R65+R72+R74+R90+R103+R107+R116+R120+R137+R155+R166+R172+R200+R212+R218+R249+R263+R314+R319+R320</f>
        <v>11.849999999999998</v>
      </c>
      <c r="AT74" s="21"/>
      <c r="AV74" s="12"/>
      <c r="AW74" s="44"/>
      <c r="AX74" s="13"/>
      <c r="AY74" s="4"/>
      <c r="AZ74" s="1"/>
    </row>
    <row r="75" spans="1:52" s="25" customFormat="1" x14ac:dyDescent="0.25">
      <c r="A75" s="261"/>
      <c r="B75" s="260"/>
      <c r="C75" s="259"/>
      <c r="D75" s="240"/>
      <c r="E75" s="19"/>
      <c r="F75" s="113"/>
      <c r="G75" s="260"/>
      <c r="H75" s="259"/>
      <c r="I75" s="240"/>
      <c r="J75" s="113"/>
      <c r="K75" s="260"/>
      <c r="L75" s="259"/>
      <c r="M75" s="241"/>
      <c r="N75" s="19"/>
      <c r="O75" s="113"/>
      <c r="P75" s="260"/>
      <c r="Q75" s="259"/>
      <c r="R75" s="241"/>
      <c r="S75" s="19"/>
      <c r="T75" s="113"/>
      <c r="U75" s="260"/>
      <c r="V75" s="259"/>
      <c r="W75" s="241">
        <v>0.01</v>
      </c>
      <c r="X75" s="68" t="s">
        <v>39</v>
      </c>
      <c r="Y75" s="113"/>
      <c r="Z75" s="260"/>
      <c r="AA75" s="259"/>
      <c r="AB75" s="241">
        <f>0.39</f>
        <v>0.39</v>
      </c>
      <c r="AC75" s="68" t="s">
        <v>39</v>
      </c>
      <c r="AD75" s="113"/>
      <c r="AE75" s="270"/>
      <c r="AF75" s="271"/>
      <c r="AG75" s="245">
        <f>AE68</f>
        <v>1.49</v>
      </c>
      <c r="AH75" s="68" t="s">
        <v>39</v>
      </c>
      <c r="AI75" s="113"/>
      <c r="AJ75" s="245">
        <v>0.05</v>
      </c>
      <c r="AK75" s="246">
        <v>6.99</v>
      </c>
      <c r="AL75" s="245"/>
      <c r="AM75" s="18"/>
      <c r="AN75" s="32"/>
      <c r="AO75" s="111" t="s">
        <v>556</v>
      </c>
      <c r="AS75" s="26">
        <f>R58+R73+R84+R93+R121+R106+R108+R115+R118+R127+R136+R154+R173+R193+R197+R343</f>
        <v>14.030000000000001</v>
      </c>
      <c r="AV75" s="12"/>
      <c r="AW75" s="44"/>
      <c r="AX75" s="69"/>
      <c r="AY75" s="3"/>
      <c r="AZ75" s="1"/>
    </row>
    <row r="76" spans="1:52" s="25" customFormat="1" x14ac:dyDescent="0.25">
      <c r="A76" s="261">
        <v>21</v>
      </c>
      <c r="B76" s="260">
        <v>0.5</v>
      </c>
      <c r="C76" s="259">
        <v>6.89</v>
      </c>
      <c r="D76" s="241">
        <v>0.02</v>
      </c>
      <c r="E76" s="10" t="s">
        <v>105</v>
      </c>
      <c r="F76" s="113"/>
      <c r="G76" s="260">
        <v>1.06</v>
      </c>
      <c r="H76" s="259">
        <v>6.69</v>
      </c>
      <c r="I76" s="240"/>
      <c r="J76" s="113"/>
      <c r="K76" s="241">
        <v>0.09</v>
      </c>
      <c r="L76" s="240">
        <v>6.9</v>
      </c>
      <c r="M76" s="241">
        <f>R76</f>
        <v>0.01</v>
      </c>
      <c r="N76" s="10" t="s">
        <v>105</v>
      </c>
      <c r="O76" s="113"/>
      <c r="P76" s="260">
        <v>0.73</v>
      </c>
      <c r="Q76" s="259">
        <v>6.93</v>
      </c>
      <c r="R76" s="241">
        <f>AB76</f>
        <v>0.01</v>
      </c>
      <c r="S76" s="10" t="s">
        <v>105</v>
      </c>
      <c r="T76" s="113"/>
      <c r="U76" s="260">
        <v>1.7</v>
      </c>
      <c r="V76" s="259">
        <v>6.89</v>
      </c>
      <c r="W76" s="241">
        <f>AB76</f>
        <v>0.01</v>
      </c>
      <c r="X76" s="10" t="s">
        <v>105</v>
      </c>
      <c r="Y76" s="113"/>
      <c r="Z76" s="260">
        <v>1.71</v>
      </c>
      <c r="AA76" s="259">
        <v>6.93</v>
      </c>
      <c r="AB76" s="241">
        <v>0.01</v>
      </c>
      <c r="AC76" s="10" t="s">
        <v>105</v>
      </c>
      <c r="AD76" s="113"/>
      <c r="AE76" s="270">
        <v>0.96</v>
      </c>
      <c r="AF76" s="271">
        <v>6.58</v>
      </c>
      <c r="AG76" s="24"/>
      <c r="AH76" s="24"/>
      <c r="AI76" s="113"/>
      <c r="AJ76" s="270">
        <v>1.46</v>
      </c>
      <c r="AK76" s="271">
        <v>7.14</v>
      </c>
      <c r="AL76" s="16">
        <f>AB76</f>
        <v>0.01</v>
      </c>
      <c r="AM76" s="10" t="s">
        <v>105</v>
      </c>
      <c r="AN76" s="32"/>
      <c r="AO76" s="111" t="s">
        <v>286</v>
      </c>
      <c r="AS76" s="26">
        <f>R171</f>
        <v>2.3199999999999998</v>
      </c>
      <c r="AV76" s="42"/>
      <c r="AW76" s="44"/>
      <c r="AX76" s="11"/>
      <c r="AY76" s="3"/>
      <c r="AZ76" s="1"/>
    </row>
    <row r="77" spans="1:52" s="25" customFormat="1" x14ac:dyDescent="0.25">
      <c r="A77" s="261"/>
      <c r="B77" s="260"/>
      <c r="C77" s="259"/>
      <c r="D77" s="241">
        <v>0.02</v>
      </c>
      <c r="E77" s="7" t="s">
        <v>106</v>
      </c>
      <c r="F77" s="113"/>
      <c r="G77" s="260"/>
      <c r="H77" s="259"/>
      <c r="I77" s="240"/>
      <c r="J77" s="113"/>
      <c r="K77" s="260">
        <v>0.64</v>
      </c>
      <c r="L77" s="259">
        <v>6.97</v>
      </c>
      <c r="M77" s="241">
        <f>R77</f>
        <v>0.01</v>
      </c>
      <c r="N77" s="7" t="s">
        <v>106</v>
      </c>
      <c r="O77" s="113"/>
      <c r="P77" s="260"/>
      <c r="Q77" s="259"/>
      <c r="R77" s="241">
        <f>AB77</f>
        <v>0.01</v>
      </c>
      <c r="S77" s="7" t="s">
        <v>106</v>
      </c>
      <c r="T77" s="113"/>
      <c r="U77" s="260"/>
      <c r="V77" s="259"/>
      <c r="W77" s="241">
        <v>0.03</v>
      </c>
      <c r="X77" s="7" t="s">
        <v>106</v>
      </c>
      <c r="Y77" s="113"/>
      <c r="Z77" s="260"/>
      <c r="AA77" s="259"/>
      <c r="AB77" s="241">
        <v>0.01</v>
      </c>
      <c r="AC77" s="7" t="s">
        <v>106</v>
      </c>
      <c r="AD77" s="113"/>
      <c r="AE77" s="270"/>
      <c r="AF77" s="271"/>
      <c r="AG77" s="245"/>
      <c r="AH77" s="24"/>
      <c r="AI77" s="113"/>
      <c r="AJ77" s="270"/>
      <c r="AK77" s="271"/>
      <c r="AL77" s="245">
        <f>AB77</f>
        <v>0.01</v>
      </c>
      <c r="AM77" s="7" t="s">
        <v>106</v>
      </c>
      <c r="AN77" s="32"/>
      <c r="AO77" s="111" t="s">
        <v>547</v>
      </c>
      <c r="AS77" s="26">
        <f>R50+R51+R54+R57+R62+R64+R65+R72+R74+R90+R103+R107+R117+R119+R120+R137+R155+R166+R172+R200+R211+R218+R249+R263+R314+R319+R320+R58+R73+R84+R93+R121+R106+R108+R115+R118+R127+R136+R154+R173+R193+R197+R343+R171+R76+R77+R101+R102+R104+R113+R114+R140+R157+R180+R192+R196+R199+R224+R231+R233+R238+R247+R255+R270+R274+R271+R281+R316+R328+R337+R380+R389+R390</f>
        <v>39.809999999999995</v>
      </c>
      <c r="AV77" s="42"/>
      <c r="AW77" s="44"/>
      <c r="AX77" s="13"/>
      <c r="AY77" s="3"/>
      <c r="AZ77" s="1"/>
    </row>
    <row r="78" spans="1:52" s="25" customFormat="1" ht="15.75" thickBot="1" x14ac:dyDescent="0.3">
      <c r="A78" s="261"/>
      <c r="B78" s="260"/>
      <c r="C78" s="259"/>
      <c r="D78" s="241">
        <v>0.2</v>
      </c>
      <c r="E78" s="62" t="s">
        <v>66</v>
      </c>
      <c r="F78" s="113"/>
      <c r="G78" s="260"/>
      <c r="H78" s="259"/>
      <c r="I78" s="240"/>
      <c r="J78" s="113"/>
      <c r="K78" s="260"/>
      <c r="L78" s="259"/>
      <c r="M78" s="241">
        <f>R78</f>
        <v>0.01</v>
      </c>
      <c r="N78" s="62" t="s">
        <v>66</v>
      </c>
      <c r="O78" s="113"/>
      <c r="P78" s="260"/>
      <c r="Q78" s="259"/>
      <c r="R78" s="241">
        <v>0.01</v>
      </c>
      <c r="S78" s="62" t="s">
        <v>66</v>
      </c>
      <c r="T78" s="113"/>
      <c r="U78" s="260"/>
      <c r="V78" s="259"/>
      <c r="W78" s="241">
        <f>AB78</f>
        <v>0.5</v>
      </c>
      <c r="X78" s="62" t="s">
        <v>66</v>
      </c>
      <c r="Y78" s="113"/>
      <c r="Z78" s="260"/>
      <c r="AA78" s="259"/>
      <c r="AB78" s="241">
        <f>Z76-AB80-AB79-AB76-AB77</f>
        <v>0.5</v>
      </c>
      <c r="AC78" s="62" t="s">
        <v>66</v>
      </c>
      <c r="AD78" s="113"/>
      <c r="AE78" s="270"/>
      <c r="AF78" s="271"/>
      <c r="AG78" s="245"/>
      <c r="AH78" s="246"/>
      <c r="AI78" s="113"/>
      <c r="AJ78" s="270"/>
      <c r="AK78" s="271"/>
      <c r="AL78" s="16">
        <f>AB78</f>
        <v>0.5</v>
      </c>
      <c r="AM78" s="62" t="s">
        <v>66</v>
      </c>
      <c r="AN78" s="32"/>
      <c r="AV78" s="42"/>
      <c r="AW78" s="44"/>
      <c r="AX78" s="11"/>
      <c r="AY78" s="3"/>
      <c r="AZ78" s="1"/>
    </row>
    <row r="79" spans="1:52" s="25" customFormat="1" x14ac:dyDescent="0.25">
      <c r="A79" s="261"/>
      <c r="B79" s="260"/>
      <c r="C79" s="259"/>
      <c r="D79" s="240">
        <f>B76-D76-D78-D77</f>
        <v>0.25999999999999995</v>
      </c>
      <c r="E79" s="70" t="s">
        <v>63</v>
      </c>
      <c r="F79" s="113"/>
      <c r="G79" s="260"/>
      <c r="H79" s="259"/>
      <c r="I79" s="240"/>
      <c r="J79" s="113"/>
      <c r="K79" s="260"/>
      <c r="L79" s="259"/>
      <c r="M79" s="241">
        <v>0.26</v>
      </c>
      <c r="N79" s="70" t="s">
        <v>63</v>
      </c>
      <c r="O79" s="113"/>
      <c r="P79" s="260"/>
      <c r="Q79" s="259"/>
      <c r="R79" s="241">
        <v>0.2</v>
      </c>
      <c r="S79" s="70" t="s">
        <v>63</v>
      </c>
      <c r="T79" s="113"/>
      <c r="U79" s="260"/>
      <c r="V79" s="259"/>
      <c r="W79" s="241">
        <f>U76-W80-W76-W78-W77</f>
        <v>0.35999999999999988</v>
      </c>
      <c r="X79" s="70" t="s">
        <v>63</v>
      </c>
      <c r="Y79" s="113"/>
      <c r="Z79" s="260"/>
      <c r="AA79" s="259"/>
      <c r="AB79" s="241">
        <v>0.23</v>
      </c>
      <c r="AC79" s="70" t="s">
        <v>63</v>
      </c>
      <c r="AD79" s="113"/>
      <c r="AE79" s="270"/>
      <c r="AF79" s="271"/>
      <c r="AG79" s="245"/>
      <c r="AH79" s="245"/>
      <c r="AI79" s="113"/>
      <c r="AJ79" s="270"/>
      <c r="AK79" s="271"/>
      <c r="AL79" s="245">
        <f>AB79</f>
        <v>0.23</v>
      </c>
      <c r="AM79" s="70" t="s">
        <v>63</v>
      </c>
      <c r="AN79" s="32"/>
      <c r="AO79" s="153" t="s">
        <v>278</v>
      </c>
      <c r="AP79" s="184" t="s">
        <v>1</v>
      </c>
      <c r="AQ79" s="21"/>
      <c r="AR79" s="21"/>
      <c r="AS79" s="21"/>
      <c r="AT79" s="21"/>
      <c r="AV79" s="12"/>
      <c r="AW79" s="44"/>
      <c r="AX79" s="11"/>
      <c r="AY79" s="3"/>
      <c r="AZ79" s="1"/>
    </row>
    <row r="80" spans="1:52" s="25" customFormat="1" x14ac:dyDescent="0.25">
      <c r="A80" s="261"/>
      <c r="B80" s="260"/>
      <c r="C80" s="259"/>
      <c r="D80" s="240"/>
      <c r="E80" s="71"/>
      <c r="F80" s="113"/>
      <c r="G80" s="260"/>
      <c r="H80" s="259"/>
      <c r="I80" s="240"/>
      <c r="J80" s="113"/>
      <c r="K80" s="260"/>
      <c r="L80" s="259"/>
      <c r="M80" s="241"/>
      <c r="N80" s="241"/>
      <c r="O80" s="113"/>
      <c r="P80" s="260"/>
      <c r="Q80" s="259"/>
      <c r="R80" s="241"/>
      <c r="S80" s="71"/>
      <c r="T80" s="113"/>
      <c r="U80" s="260"/>
      <c r="V80" s="259"/>
      <c r="W80" s="241">
        <v>0.8</v>
      </c>
      <c r="X80" s="6" t="s">
        <v>121</v>
      </c>
      <c r="Y80" s="113"/>
      <c r="Z80" s="260"/>
      <c r="AA80" s="259"/>
      <c r="AB80" s="241">
        <f>AG80</f>
        <v>0.96</v>
      </c>
      <c r="AC80" s="6" t="s">
        <v>121</v>
      </c>
      <c r="AD80" s="113"/>
      <c r="AE80" s="270"/>
      <c r="AF80" s="271"/>
      <c r="AG80" s="245">
        <f>AE76</f>
        <v>0.96</v>
      </c>
      <c r="AH80" s="6" t="s">
        <v>121</v>
      </c>
      <c r="AI80" s="113"/>
      <c r="AJ80" s="270"/>
      <c r="AK80" s="271"/>
      <c r="AL80" s="245">
        <f>AJ76-AL76-AL77-AL78-AL79</f>
        <v>0.71</v>
      </c>
      <c r="AM80" s="74" t="s">
        <v>333</v>
      </c>
      <c r="AN80" s="32"/>
      <c r="AO80" s="111" t="s">
        <v>279</v>
      </c>
      <c r="AP80" s="19">
        <f>D5+D12+D21+D24+D31+D35+D41+D45+D49+D59+D60+D63+D66+D78+D79+D86+D96+D110+D112+D139+D149+D175+D176+D194+D221+D278+D290+D51+D52+D54+D57+D58+D64+D65+D72+D73+D76+D77+D90+D101+D102+D103+D104+D114+D115+D116+D117+D118+D119+D120+D127+D136+D154+D157+D171+D172+D173+D180+D197+D193+D196+D199+D192+D211+D218+D231+D233+D238+D249+D255+D271+D274+D281+D319+D320+D380+D389+D390</f>
        <v>33.570000000000007</v>
      </c>
      <c r="AQ80" s="21"/>
      <c r="AR80" s="21"/>
      <c r="AS80" s="21"/>
      <c r="AT80" s="21" t="s">
        <v>302</v>
      </c>
      <c r="AV80" s="42"/>
      <c r="AW80" s="44"/>
      <c r="AX80" s="13"/>
      <c r="AY80" s="3"/>
      <c r="AZ80" s="1"/>
    </row>
    <row r="81" spans="1:52" s="25" customFormat="1" x14ac:dyDescent="0.25">
      <c r="A81" s="261"/>
      <c r="B81" s="260"/>
      <c r="C81" s="259"/>
      <c r="D81" s="56"/>
      <c r="E81" s="24"/>
      <c r="F81" s="113"/>
      <c r="G81" s="260"/>
      <c r="H81" s="259"/>
      <c r="I81" s="240"/>
      <c r="J81" s="113"/>
      <c r="K81" s="260"/>
      <c r="L81" s="259"/>
      <c r="M81" s="56"/>
      <c r="N81" s="24"/>
      <c r="O81" s="113"/>
      <c r="P81" s="260"/>
      <c r="Q81" s="259"/>
      <c r="R81" s="56"/>
      <c r="S81" s="24"/>
      <c r="T81" s="113"/>
      <c r="U81" s="260"/>
      <c r="V81" s="259"/>
      <c r="W81" s="56"/>
      <c r="X81" s="24"/>
      <c r="Y81" s="113"/>
      <c r="Z81" s="260"/>
      <c r="AA81" s="259"/>
      <c r="AB81" s="56"/>
      <c r="AC81" s="24"/>
      <c r="AD81" s="113"/>
      <c r="AE81" s="270"/>
      <c r="AF81" s="271"/>
      <c r="AG81" s="245"/>
      <c r="AH81" s="18"/>
      <c r="AI81" s="113"/>
      <c r="AJ81" s="270"/>
      <c r="AK81" s="271"/>
      <c r="AL81" s="24"/>
      <c r="AM81" s="24"/>
      <c r="AN81" s="32"/>
      <c r="AO81" s="111" t="s">
        <v>280</v>
      </c>
      <c r="AP81" s="19">
        <f>D113+D141+D142+D147+D151+D156+D158+D163+D168+D185+D191+D206+D207+D209+D210+D213+D215+D217+D225+D226+D227+D232+D245+D246+D256+D261+D262+D268+D269+D272+D279+D283+D317+D318+D337+D356+D358+D365+D403</f>
        <v>15.879999999999997</v>
      </c>
      <c r="AQ81" s="21"/>
      <c r="AR81" s="21"/>
      <c r="AS81" s="21"/>
      <c r="AT81" s="21" t="s">
        <v>303</v>
      </c>
      <c r="AV81" s="42"/>
      <c r="AW81" s="44"/>
      <c r="AX81" s="13"/>
      <c r="AY81" s="3"/>
      <c r="AZ81" s="1"/>
    </row>
    <row r="82" spans="1:52" s="25" customFormat="1" x14ac:dyDescent="0.25">
      <c r="A82" s="261"/>
      <c r="B82" s="260"/>
      <c r="C82" s="259"/>
      <c r="D82" s="56"/>
      <c r="E82" s="24"/>
      <c r="F82" s="113"/>
      <c r="G82" s="260"/>
      <c r="H82" s="259"/>
      <c r="I82" s="240"/>
      <c r="J82" s="113"/>
      <c r="K82" s="260"/>
      <c r="L82" s="259"/>
      <c r="M82" s="56"/>
      <c r="N82" s="24"/>
      <c r="O82" s="113"/>
      <c r="P82" s="260"/>
      <c r="Q82" s="259"/>
      <c r="R82" s="56"/>
      <c r="S82" s="24"/>
      <c r="T82" s="113"/>
      <c r="U82" s="260"/>
      <c r="V82" s="259"/>
      <c r="W82" s="56"/>
      <c r="X82" s="24"/>
      <c r="Y82" s="113"/>
      <c r="Z82" s="260"/>
      <c r="AA82" s="259"/>
      <c r="AB82" s="56"/>
      <c r="AC82" s="24"/>
      <c r="AD82" s="113"/>
      <c r="AE82" s="270"/>
      <c r="AF82" s="271"/>
      <c r="AG82" s="245"/>
      <c r="AH82" s="246"/>
      <c r="AI82" s="113"/>
      <c r="AJ82" s="270"/>
      <c r="AK82" s="271"/>
      <c r="AL82" s="245"/>
      <c r="AM82" s="246"/>
      <c r="AN82" s="32"/>
      <c r="AO82" s="111" t="s">
        <v>281</v>
      </c>
      <c r="AP82" s="19">
        <f>D230+D253+D259+D280+D282+D289+D295+D296+D315+D316+D338+D339+D344+D345+D350+D351+D366+D368+D388</f>
        <v>9.6</v>
      </c>
      <c r="AQ82" s="21"/>
      <c r="AR82" s="21"/>
      <c r="AS82" s="21"/>
      <c r="AT82" s="21" t="s">
        <v>304</v>
      </c>
      <c r="AV82" s="42"/>
      <c r="AW82" s="44"/>
      <c r="AX82" s="65"/>
      <c r="AY82" s="3"/>
      <c r="AZ82" s="1"/>
    </row>
    <row r="83" spans="1:52" s="25" customFormat="1" x14ac:dyDescent="0.25">
      <c r="A83" s="261"/>
      <c r="B83" s="260"/>
      <c r="C83" s="259"/>
      <c r="D83" s="56"/>
      <c r="E83" s="24"/>
      <c r="F83" s="113"/>
      <c r="G83" s="260"/>
      <c r="H83" s="259"/>
      <c r="I83" s="240"/>
      <c r="J83" s="113"/>
      <c r="K83" s="260"/>
      <c r="L83" s="259"/>
      <c r="M83" s="56"/>
      <c r="N83" s="24"/>
      <c r="O83" s="113"/>
      <c r="P83" s="260"/>
      <c r="Q83" s="259"/>
      <c r="R83" s="56"/>
      <c r="S83" s="24"/>
      <c r="T83" s="113"/>
      <c r="U83" s="260"/>
      <c r="V83" s="259"/>
      <c r="W83" s="56"/>
      <c r="X83" s="24"/>
      <c r="Y83" s="113"/>
      <c r="Z83" s="260"/>
      <c r="AA83" s="259"/>
      <c r="AB83" s="56"/>
      <c r="AC83" s="24"/>
      <c r="AD83" s="113"/>
      <c r="AE83" s="270"/>
      <c r="AF83" s="271"/>
      <c r="AG83" s="245"/>
      <c r="AH83" s="18"/>
      <c r="AI83" s="113"/>
      <c r="AJ83" s="270"/>
      <c r="AK83" s="271"/>
      <c r="AL83" s="245"/>
      <c r="AM83" s="18"/>
      <c r="AN83" s="32"/>
      <c r="AO83" s="111" t="s">
        <v>282</v>
      </c>
      <c r="AP83" s="19">
        <f>D398+D397+D395+D383+D370</f>
        <v>3.1399999999999997</v>
      </c>
      <c r="AQ83" s="21"/>
      <c r="AR83" s="21"/>
      <c r="AS83" s="21"/>
      <c r="AT83" s="21" t="s">
        <v>305</v>
      </c>
      <c r="AV83" s="42"/>
      <c r="AW83" s="44"/>
      <c r="AX83" s="72"/>
      <c r="AY83" s="3"/>
      <c r="AZ83" s="1"/>
    </row>
    <row r="84" spans="1:52" s="25" customFormat="1" x14ac:dyDescent="0.25">
      <c r="A84" s="261"/>
      <c r="B84" s="260"/>
      <c r="C84" s="259"/>
      <c r="D84" s="240"/>
      <c r="E84" s="16"/>
      <c r="F84" s="113"/>
      <c r="G84" s="260"/>
      <c r="H84" s="259"/>
      <c r="I84" s="240"/>
      <c r="J84" s="113"/>
      <c r="K84" s="260"/>
      <c r="L84" s="259"/>
      <c r="M84" s="240">
        <f>K77-M77-M78-M76-M79</f>
        <v>0.35</v>
      </c>
      <c r="N84" s="6" t="s">
        <v>447</v>
      </c>
      <c r="O84" s="113"/>
      <c r="P84" s="260"/>
      <c r="Q84" s="259"/>
      <c r="R84" s="240">
        <v>0.5</v>
      </c>
      <c r="S84" s="6" t="s">
        <v>329</v>
      </c>
      <c r="T84" s="113"/>
      <c r="U84" s="260"/>
      <c r="V84" s="259"/>
      <c r="W84" s="241"/>
      <c r="X84" s="240"/>
      <c r="Y84" s="113"/>
      <c r="Z84" s="260"/>
      <c r="AA84" s="259"/>
      <c r="AB84" s="241"/>
      <c r="AC84" s="24"/>
      <c r="AD84" s="113"/>
      <c r="AE84" s="270"/>
      <c r="AF84" s="271"/>
      <c r="AG84" s="245"/>
      <c r="AH84" s="24"/>
      <c r="AI84" s="113"/>
      <c r="AJ84" s="270"/>
      <c r="AK84" s="271"/>
      <c r="AL84" s="245"/>
      <c r="AM84" s="24"/>
      <c r="AN84" s="32"/>
      <c r="AO84" s="111" t="s">
        <v>283</v>
      </c>
      <c r="AP84" s="19">
        <f>D393</f>
        <v>0.28000000000000003</v>
      </c>
      <c r="AQ84" s="21"/>
      <c r="AR84" s="21"/>
      <c r="AS84" s="21"/>
      <c r="AT84" s="21" t="s">
        <v>306</v>
      </c>
      <c r="AV84" s="42"/>
      <c r="AW84" s="44"/>
      <c r="AX84" s="72"/>
      <c r="AY84" s="3"/>
      <c r="AZ84" s="1"/>
    </row>
    <row r="85" spans="1:52" s="25" customFormat="1" x14ac:dyDescent="0.25">
      <c r="A85" s="261"/>
      <c r="B85" s="260"/>
      <c r="C85" s="259"/>
      <c r="D85" s="240"/>
      <c r="E85" s="19"/>
      <c r="F85" s="113"/>
      <c r="G85" s="260"/>
      <c r="H85" s="259"/>
      <c r="I85" s="240"/>
      <c r="J85" s="113"/>
      <c r="K85" s="260"/>
      <c r="L85" s="259"/>
      <c r="M85" s="241"/>
      <c r="N85" s="19"/>
      <c r="O85" s="113"/>
      <c r="P85" s="260"/>
      <c r="Q85" s="259"/>
      <c r="R85" s="241"/>
      <c r="S85" s="19"/>
      <c r="T85" s="113"/>
      <c r="U85" s="260"/>
      <c r="V85" s="259"/>
      <c r="W85" s="241"/>
      <c r="X85" s="19"/>
      <c r="Y85" s="113"/>
      <c r="Z85" s="260"/>
      <c r="AA85" s="259"/>
      <c r="AB85" s="56"/>
      <c r="AC85" s="19"/>
      <c r="AD85" s="113"/>
      <c r="AE85" s="270"/>
      <c r="AF85" s="271"/>
      <c r="AG85" s="91"/>
      <c r="AH85" s="19"/>
      <c r="AI85" s="113"/>
      <c r="AJ85" s="270"/>
      <c r="AK85" s="271"/>
      <c r="AL85" s="91"/>
      <c r="AM85" s="19"/>
      <c r="AN85" s="32"/>
      <c r="AO85" s="111" t="s">
        <v>285</v>
      </c>
      <c r="AP85" s="19">
        <f>D156+D225+D226+D227+D245+D246+D253+D259+D261+D262+D315+D316+D314+D318+D338+D350+D356+D365+D370+D383+D388+D393+D403+D400+D400+D400+D217+D230+D283+D344+D395+D397+D398</f>
        <v>13.769999999999998</v>
      </c>
      <c r="AQ85" s="21"/>
      <c r="AR85" s="21"/>
      <c r="AS85" s="21"/>
      <c r="AT85" s="21" t="s">
        <v>307</v>
      </c>
      <c r="AV85" s="42"/>
      <c r="AW85" s="44"/>
      <c r="AX85" s="66"/>
      <c r="AY85" s="3"/>
      <c r="AZ85" s="1"/>
    </row>
    <row r="86" spans="1:52" s="25" customFormat="1" x14ac:dyDescent="0.25">
      <c r="A86" s="261">
        <v>22</v>
      </c>
      <c r="B86" s="260">
        <v>4.01</v>
      </c>
      <c r="C86" s="259">
        <v>7.03</v>
      </c>
      <c r="D86" s="259">
        <f>R86</f>
        <v>1.63</v>
      </c>
      <c r="E86" s="6" t="s">
        <v>48</v>
      </c>
      <c r="F86" s="113"/>
      <c r="G86" s="260">
        <v>0.36</v>
      </c>
      <c r="H86" s="259">
        <v>6.8</v>
      </c>
      <c r="I86" s="80"/>
      <c r="J86" s="113"/>
      <c r="K86" s="260">
        <v>4.42</v>
      </c>
      <c r="L86" s="259">
        <v>7.1</v>
      </c>
      <c r="M86" s="260">
        <f>R86</f>
        <v>1.63</v>
      </c>
      <c r="N86" s="6" t="s">
        <v>48</v>
      </c>
      <c r="O86" s="113"/>
      <c r="P86" s="260">
        <v>3.78</v>
      </c>
      <c r="Q86" s="259">
        <v>7.06</v>
      </c>
      <c r="R86" s="260">
        <f>AB86</f>
        <v>1.63</v>
      </c>
      <c r="S86" s="6" t="s">
        <v>48</v>
      </c>
      <c r="T86" s="113"/>
      <c r="U86" s="260">
        <v>6.39</v>
      </c>
      <c r="V86" s="259">
        <v>7.04</v>
      </c>
      <c r="W86" s="260">
        <f>AB86</f>
        <v>1.63</v>
      </c>
      <c r="X86" s="6" t="s">
        <v>48</v>
      </c>
      <c r="Y86" s="113"/>
      <c r="Z86" s="260">
        <v>4.01</v>
      </c>
      <c r="AA86" s="259">
        <v>7.06</v>
      </c>
      <c r="AB86" s="260">
        <f>AG86</f>
        <v>1.63</v>
      </c>
      <c r="AC86" s="6" t="s">
        <v>48</v>
      </c>
      <c r="AD86" s="113"/>
      <c r="AE86" s="270">
        <v>3.53</v>
      </c>
      <c r="AF86" s="271">
        <v>6.63</v>
      </c>
      <c r="AG86" s="270">
        <v>1.63</v>
      </c>
      <c r="AH86" s="6" t="s">
        <v>48</v>
      </c>
      <c r="AI86" s="113"/>
      <c r="AJ86" s="270">
        <v>5.19</v>
      </c>
      <c r="AK86" s="271">
        <v>7.21</v>
      </c>
      <c r="AL86" s="270">
        <v>2.0499999999999998</v>
      </c>
      <c r="AM86" s="6" t="s">
        <v>48</v>
      </c>
      <c r="AN86" s="32"/>
      <c r="AO86" s="111" t="s">
        <v>284</v>
      </c>
      <c r="AP86" s="19">
        <f>D113+D141+D142+D151+D158+D163+D168+D185+D191+D206+D207+D209+D210+D213+D215+D232+D256+D268+D272+D279+D280+D282+D295+D337+D339+D351+D358+D366+D405+D368+D345+D317+D296+D289+D269+D147</f>
        <v>15.129999999999997</v>
      </c>
      <c r="AQ86" s="21"/>
      <c r="AR86" s="21"/>
      <c r="AS86" s="21"/>
      <c r="AT86" s="21" t="s">
        <v>308</v>
      </c>
      <c r="AU86" s="31"/>
      <c r="AV86" s="42"/>
      <c r="AW86" s="44"/>
      <c r="AX86" s="69"/>
      <c r="AY86" s="3"/>
      <c r="AZ86" s="1"/>
    </row>
    <row r="87" spans="1:52" s="25" customFormat="1" x14ac:dyDescent="0.25">
      <c r="A87" s="261"/>
      <c r="B87" s="260"/>
      <c r="C87" s="259"/>
      <c r="D87" s="259"/>
      <c r="E87" s="6" t="s">
        <v>49</v>
      </c>
      <c r="F87" s="113"/>
      <c r="G87" s="260"/>
      <c r="H87" s="259"/>
      <c r="I87" s="80"/>
      <c r="J87" s="113"/>
      <c r="K87" s="260"/>
      <c r="L87" s="259"/>
      <c r="M87" s="260"/>
      <c r="N87" s="6" t="s">
        <v>49</v>
      </c>
      <c r="O87" s="113"/>
      <c r="P87" s="260"/>
      <c r="Q87" s="259"/>
      <c r="R87" s="260">
        <f>AB87</f>
        <v>0</v>
      </c>
      <c r="S87" s="6" t="s">
        <v>49</v>
      </c>
      <c r="T87" s="113"/>
      <c r="U87" s="260"/>
      <c r="V87" s="259"/>
      <c r="W87" s="260"/>
      <c r="X87" s="6" t="s">
        <v>49</v>
      </c>
      <c r="Y87" s="113"/>
      <c r="Z87" s="260"/>
      <c r="AA87" s="259"/>
      <c r="AB87" s="260">
        <f>AG87</f>
        <v>0</v>
      </c>
      <c r="AC87" s="6" t="s">
        <v>49</v>
      </c>
      <c r="AD87" s="113"/>
      <c r="AE87" s="270"/>
      <c r="AF87" s="271"/>
      <c r="AG87" s="270"/>
      <c r="AH87" s="6" t="s">
        <v>49</v>
      </c>
      <c r="AI87" s="113"/>
      <c r="AJ87" s="270"/>
      <c r="AK87" s="271"/>
      <c r="AL87" s="270"/>
      <c r="AM87" s="6" t="s">
        <v>49</v>
      </c>
      <c r="AN87" s="32"/>
      <c r="AO87" s="111" t="s">
        <v>286</v>
      </c>
      <c r="AP87" s="19">
        <f>D374+D347+D347+D299+D276+D292+D266+D235+D219+D145</f>
        <v>0</v>
      </c>
      <c r="AQ87" s="21"/>
      <c r="AR87" s="21"/>
      <c r="AS87" s="21"/>
      <c r="AT87" s="21"/>
      <c r="AU87" s="31"/>
      <c r="AV87" s="12"/>
      <c r="AW87" s="44"/>
      <c r="AX87" s="13"/>
      <c r="AY87" s="3"/>
      <c r="AZ87" s="1"/>
    </row>
    <row r="88" spans="1:52" s="25" customFormat="1" x14ac:dyDescent="0.25">
      <c r="A88" s="261"/>
      <c r="B88" s="260"/>
      <c r="C88" s="259"/>
      <c r="D88" s="240"/>
      <c r="E88" s="19"/>
      <c r="F88" s="113"/>
      <c r="G88" s="260"/>
      <c r="H88" s="259"/>
      <c r="I88" s="240"/>
      <c r="J88" s="113"/>
      <c r="K88" s="260"/>
      <c r="L88" s="259"/>
      <c r="M88" s="241"/>
      <c r="N88" s="19"/>
      <c r="O88" s="113"/>
      <c r="P88" s="260"/>
      <c r="Q88" s="259"/>
      <c r="R88" s="241"/>
      <c r="S88" s="56"/>
      <c r="T88" s="113"/>
      <c r="U88" s="260"/>
      <c r="V88" s="259"/>
      <c r="W88" s="19">
        <v>0.36</v>
      </c>
      <c r="X88" s="238" t="s">
        <v>328</v>
      </c>
      <c r="Y88" s="113"/>
      <c r="Z88" s="260"/>
      <c r="AA88" s="259"/>
      <c r="AD88" s="113"/>
      <c r="AE88" s="270"/>
      <c r="AF88" s="271"/>
      <c r="AG88" s="245"/>
      <c r="AH88" s="246"/>
      <c r="AI88" s="113"/>
      <c r="AJ88" s="270"/>
      <c r="AK88" s="271"/>
      <c r="AL88" s="245"/>
      <c r="AM88" s="246"/>
      <c r="AN88" s="32"/>
      <c r="AO88" s="111" t="s">
        <v>309</v>
      </c>
      <c r="AP88" s="19">
        <f>D156+D185+D225+D226+D227+D245+D246+D253+D259+D261+D262+D315+D316+D317+D318+D338+D350+D356+D365+D368+D383+D388+D393+D395+D397+D398+D403+D113+D141+D142+D147+D151+D158+D163+D168+D191+D206+D207+D209+D210+D213+D215+D217+D230+D232+D256+D268+D269+D272+D279+D280+D282+D283+D289+D295+D296+D337+D339+D344+D345+D351+D358+D366+D370</f>
        <v>28.900000000000009</v>
      </c>
      <c r="AQ88" s="21"/>
      <c r="AR88" s="21"/>
      <c r="AS88" s="21"/>
      <c r="AT88" s="21" t="s">
        <v>310</v>
      </c>
      <c r="AU88" s="12"/>
      <c r="AV88" s="42"/>
      <c r="AW88" s="44"/>
      <c r="AX88" s="11"/>
      <c r="AY88" s="3"/>
      <c r="AZ88" s="1"/>
    </row>
    <row r="89" spans="1:52" s="25" customFormat="1" x14ac:dyDescent="0.25">
      <c r="A89" s="261"/>
      <c r="B89" s="260"/>
      <c r="C89" s="259"/>
      <c r="D89" s="241">
        <v>1.9</v>
      </c>
      <c r="E89" s="54" t="s">
        <v>34</v>
      </c>
      <c r="F89" s="113"/>
      <c r="G89" s="241">
        <v>2.75</v>
      </c>
      <c r="H89" s="240">
        <v>6.89</v>
      </c>
      <c r="I89" s="240">
        <f>G86+G89</f>
        <v>3.11</v>
      </c>
      <c r="J89" s="113"/>
      <c r="K89" s="260"/>
      <c r="L89" s="259"/>
      <c r="M89" s="241">
        <f>K86-M86+K90-M90-M93-M96</f>
        <v>2.4900000000000002</v>
      </c>
      <c r="N89" s="54" t="s">
        <v>34</v>
      </c>
      <c r="O89" s="113"/>
      <c r="P89" s="260"/>
      <c r="Q89" s="259"/>
      <c r="R89" s="241">
        <f>P86-R86</f>
        <v>2.15</v>
      </c>
      <c r="S89" s="54" t="s">
        <v>34</v>
      </c>
      <c r="T89" s="113"/>
      <c r="U89" s="260"/>
      <c r="V89" s="259"/>
      <c r="W89" s="241">
        <v>2</v>
      </c>
      <c r="X89" s="54" t="s">
        <v>34</v>
      </c>
      <c r="Y89" s="113"/>
      <c r="Z89" s="260"/>
      <c r="AA89" s="259"/>
      <c r="AB89" s="241">
        <f>Z86+Z90-AB86-AB96-AB97</f>
        <v>3.3799999999999994</v>
      </c>
      <c r="AC89" s="54" t="s">
        <v>34</v>
      </c>
      <c r="AD89" s="113"/>
      <c r="AE89" s="270"/>
      <c r="AF89" s="271"/>
      <c r="AG89" s="245">
        <f>AE86-AG86</f>
        <v>1.9</v>
      </c>
      <c r="AH89" s="54" t="s">
        <v>34</v>
      </c>
      <c r="AI89" s="113"/>
      <c r="AJ89" s="270"/>
      <c r="AK89" s="271"/>
      <c r="AL89" s="245">
        <f>AJ86-AL86-AL95-AL96</f>
        <v>1.5400000000000005</v>
      </c>
      <c r="AM89" s="54" t="s">
        <v>34</v>
      </c>
      <c r="AN89" s="32"/>
      <c r="AU89" s="43"/>
      <c r="AV89" s="12"/>
      <c r="AW89" s="12"/>
      <c r="AX89" s="13"/>
      <c r="AY89" s="3"/>
      <c r="AZ89" s="1"/>
    </row>
    <row r="90" spans="1:52" s="25" customFormat="1" x14ac:dyDescent="0.25">
      <c r="A90" s="261">
        <v>23</v>
      </c>
      <c r="B90" s="260">
        <v>1.62</v>
      </c>
      <c r="C90" s="259">
        <v>7.08</v>
      </c>
      <c r="D90" s="240">
        <f>B86+B90-D96-D86-D89</f>
        <v>1.1000000000000001</v>
      </c>
      <c r="E90" s="63" t="s">
        <v>405</v>
      </c>
      <c r="F90" s="113"/>
      <c r="G90" s="260">
        <v>0.03</v>
      </c>
      <c r="H90" s="259">
        <v>6.97</v>
      </c>
      <c r="I90" s="240"/>
      <c r="J90" s="113"/>
      <c r="K90" s="260">
        <v>2.38</v>
      </c>
      <c r="L90" s="259">
        <v>7.18</v>
      </c>
      <c r="M90" s="241">
        <v>1.4</v>
      </c>
      <c r="N90" s="63" t="s">
        <v>405</v>
      </c>
      <c r="O90" s="113"/>
      <c r="P90" s="260">
        <v>8.25</v>
      </c>
      <c r="Q90" s="259">
        <v>7.14</v>
      </c>
      <c r="R90" s="241">
        <v>5.5</v>
      </c>
      <c r="S90" s="63" t="s">
        <v>507</v>
      </c>
      <c r="T90" s="113"/>
      <c r="U90" s="260">
        <v>3.01</v>
      </c>
      <c r="V90" s="259">
        <v>7.1</v>
      </c>
      <c r="W90" s="241">
        <f>U90+U86-W86-W89+U98-W96</f>
        <v>5.2299999999999986</v>
      </c>
      <c r="X90" s="63" t="s">
        <v>222</v>
      </c>
      <c r="Y90" s="113"/>
      <c r="Z90" s="260">
        <v>3</v>
      </c>
      <c r="AA90" s="259">
        <v>7.11</v>
      </c>
      <c r="AB90" s="56"/>
      <c r="AC90" s="24"/>
      <c r="AD90" s="113"/>
      <c r="AE90" s="270">
        <v>1.4</v>
      </c>
      <c r="AF90" s="271">
        <v>6.68</v>
      </c>
      <c r="AG90" s="245"/>
      <c r="AH90" s="24"/>
      <c r="AI90" s="113"/>
      <c r="AJ90" s="270"/>
      <c r="AK90" s="271"/>
      <c r="AL90" s="91"/>
      <c r="AM90" s="24"/>
      <c r="AN90" s="32"/>
      <c r="AO90" s="12"/>
      <c r="AP90" s="12"/>
      <c r="AQ90" s="12"/>
      <c r="AR90" s="12"/>
      <c r="AS90" s="12"/>
      <c r="AT90" s="12"/>
      <c r="AU90" s="12"/>
      <c r="AV90" s="12"/>
      <c r="AW90" s="44"/>
      <c r="AX90" s="4"/>
      <c r="AY90" s="4"/>
      <c r="AZ90" s="1"/>
    </row>
    <row r="91" spans="1:52" s="25" customFormat="1" x14ac:dyDescent="0.25">
      <c r="A91" s="261"/>
      <c r="B91" s="260"/>
      <c r="C91" s="259"/>
      <c r="D91" s="240"/>
      <c r="E91" s="71"/>
      <c r="F91" s="113"/>
      <c r="G91" s="260"/>
      <c r="H91" s="259"/>
      <c r="I91" s="240"/>
      <c r="J91" s="113"/>
      <c r="K91" s="260"/>
      <c r="L91" s="259"/>
      <c r="M91" s="241"/>
      <c r="N91" s="71"/>
      <c r="O91" s="113"/>
      <c r="P91" s="260"/>
      <c r="Q91" s="259"/>
      <c r="R91" s="241"/>
      <c r="S91" s="71"/>
      <c r="T91" s="113"/>
      <c r="U91" s="260"/>
      <c r="V91" s="259"/>
      <c r="W91" s="241"/>
      <c r="X91" s="71"/>
      <c r="Y91" s="113"/>
      <c r="Z91" s="260"/>
      <c r="AA91" s="259"/>
      <c r="AB91" s="241"/>
      <c r="AC91" s="71"/>
      <c r="AD91" s="113"/>
      <c r="AE91" s="270"/>
      <c r="AF91" s="271"/>
      <c r="AG91" s="245"/>
      <c r="AH91" s="71"/>
      <c r="AI91" s="113"/>
      <c r="AJ91" s="270"/>
      <c r="AK91" s="271"/>
      <c r="AL91" s="245"/>
      <c r="AM91" s="71"/>
      <c r="AN91" s="32"/>
      <c r="AO91" s="12"/>
      <c r="AP91" s="12"/>
      <c r="AQ91" s="12"/>
      <c r="AR91" s="12"/>
      <c r="AS91" s="12"/>
      <c r="AT91" s="12"/>
      <c r="AU91" s="12"/>
      <c r="AV91" s="12"/>
      <c r="AW91" s="12"/>
      <c r="AX91" s="65"/>
      <c r="AY91" s="4"/>
      <c r="AZ91" s="1"/>
    </row>
    <row r="92" spans="1:52" s="25" customFormat="1" x14ac:dyDescent="0.25">
      <c r="A92" s="261"/>
      <c r="B92" s="260"/>
      <c r="C92" s="259"/>
      <c r="D92" s="240"/>
      <c r="E92" s="241"/>
      <c r="F92" s="113"/>
      <c r="G92" s="260"/>
      <c r="H92" s="259"/>
      <c r="I92" s="240"/>
      <c r="J92" s="113"/>
      <c r="K92" s="260"/>
      <c r="L92" s="259"/>
      <c r="M92" s="241"/>
      <c r="N92" s="241"/>
      <c r="O92" s="113"/>
      <c r="P92" s="260"/>
      <c r="Q92" s="259"/>
      <c r="R92" s="241"/>
      <c r="S92" s="241"/>
      <c r="T92" s="113"/>
      <c r="U92" s="260"/>
      <c r="V92" s="259"/>
      <c r="W92" s="241"/>
      <c r="X92" s="241"/>
      <c r="Y92" s="113"/>
      <c r="Z92" s="260"/>
      <c r="AA92" s="259"/>
      <c r="AB92" s="241"/>
      <c r="AC92" s="241"/>
      <c r="AD92" s="113"/>
      <c r="AE92" s="270"/>
      <c r="AF92" s="271"/>
      <c r="AG92" s="245"/>
      <c r="AH92" s="241"/>
      <c r="AI92" s="113"/>
      <c r="AJ92" s="270"/>
      <c r="AK92" s="271"/>
      <c r="AL92" s="245"/>
      <c r="AM92" s="241"/>
      <c r="AN92" s="32"/>
      <c r="AO92" s="12"/>
      <c r="AP92" s="12"/>
      <c r="AQ92" s="12"/>
      <c r="AR92" s="12"/>
      <c r="AS92" s="12"/>
      <c r="AT92" s="12"/>
      <c r="AU92" s="12"/>
      <c r="AV92" s="12"/>
      <c r="AW92" s="44"/>
      <c r="AX92" s="4"/>
      <c r="AY92" s="4"/>
      <c r="AZ92" s="1"/>
    </row>
    <row r="93" spans="1:52" s="25" customFormat="1" x14ac:dyDescent="0.25">
      <c r="A93" s="261"/>
      <c r="B93" s="260"/>
      <c r="C93" s="259"/>
      <c r="D93" s="240"/>
      <c r="E93" s="19"/>
      <c r="F93" s="113"/>
      <c r="G93" s="260"/>
      <c r="H93" s="259"/>
      <c r="I93" s="240"/>
      <c r="J93" s="113"/>
      <c r="K93" s="260"/>
      <c r="L93" s="259"/>
      <c r="M93" s="241">
        <v>0.28000000000000003</v>
      </c>
      <c r="N93" s="62" t="s">
        <v>446</v>
      </c>
      <c r="O93" s="113"/>
      <c r="P93" s="260"/>
      <c r="Q93" s="259"/>
      <c r="R93" s="241">
        <f>P90-R90-R96</f>
        <v>1.75</v>
      </c>
      <c r="S93" s="62" t="s">
        <v>128</v>
      </c>
      <c r="T93" s="113"/>
      <c r="U93" s="260"/>
      <c r="V93" s="259"/>
      <c r="W93" s="241"/>
      <c r="X93" s="241"/>
      <c r="Y93" s="113"/>
      <c r="Z93" s="260"/>
      <c r="AA93" s="259"/>
      <c r="AB93" s="56"/>
      <c r="AC93" s="24"/>
      <c r="AD93" s="113"/>
      <c r="AE93" s="270"/>
      <c r="AF93" s="271"/>
      <c r="AG93" s="245"/>
      <c r="AH93" s="24"/>
      <c r="AI93" s="113"/>
      <c r="AJ93" s="270"/>
      <c r="AK93" s="271"/>
      <c r="AL93" s="245"/>
      <c r="AM93" s="24"/>
      <c r="AN93" s="32"/>
      <c r="AO93" s="12"/>
      <c r="AP93" s="12"/>
      <c r="AQ93" s="12"/>
      <c r="AR93" s="12"/>
      <c r="AS93" s="12"/>
      <c r="AT93" s="12"/>
      <c r="AU93" s="12"/>
      <c r="AV93" s="12"/>
      <c r="AW93" s="44"/>
      <c r="AX93" s="4"/>
      <c r="AY93" s="4"/>
      <c r="AZ93" s="1"/>
    </row>
    <row r="94" spans="1:52" s="25" customFormat="1" x14ac:dyDescent="0.25">
      <c r="A94" s="261"/>
      <c r="B94" s="260"/>
      <c r="C94" s="259"/>
      <c r="D94" s="240"/>
      <c r="E94" s="241"/>
      <c r="F94" s="113"/>
      <c r="G94" s="260"/>
      <c r="H94" s="259"/>
      <c r="I94" s="240"/>
      <c r="J94" s="113"/>
      <c r="K94" s="260"/>
      <c r="L94" s="259"/>
      <c r="M94" s="241"/>
      <c r="N94" s="19"/>
      <c r="O94" s="113"/>
      <c r="P94" s="260"/>
      <c r="Q94" s="259"/>
      <c r="R94" s="241"/>
      <c r="S94" s="19"/>
      <c r="T94" s="113"/>
      <c r="U94" s="260"/>
      <c r="V94" s="259"/>
      <c r="W94" s="241"/>
      <c r="X94" s="19"/>
      <c r="Y94" s="113"/>
      <c r="Z94" s="260"/>
      <c r="AA94" s="259"/>
      <c r="AB94" s="241"/>
      <c r="AC94" s="19"/>
      <c r="AD94" s="113"/>
      <c r="AE94" s="270"/>
      <c r="AF94" s="271"/>
      <c r="AG94" s="245"/>
      <c r="AH94" s="19"/>
      <c r="AI94" s="113"/>
      <c r="AJ94" s="270"/>
      <c r="AK94" s="271"/>
      <c r="AL94" s="245"/>
      <c r="AM94" s="19"/>
      <c r="AN94" s="32"/>
      <c r="AO94" s="12"/>
      <c r="AP94" s="12"/>
      <c r="AQ94" s="12"/>
      <c r="AR94" s="12"/>
      <c r="AS94" s="12"/>
      <c r="AT94" s="12"/>
      <c r="AU94" s="12"/>
      <c r="AV94" s="12"/>
      <c r="AW94" s="44"/>
      <c r="AX94" s="13"/>
      <c r="AY94" s="4"/>
      <c r="AZ94" s="1"/>
    </row>
    <row r="95" spans="1:52" s="25" customFormat="1" x14ac:dyDescent="0.25">
      <c r="A95" s="261"/>
      <c r="B95" s="260"/>
      <c r="C95" s="259"/>
      <c r="D95" s="240"/>
      <c r="E95" s="241"/>
      <c r="F95" s="113"/>
      <c r="G95" s="260"/>
      <c r="H95" s="259"/>
      <c r="I95" s="240"/>
      <c r="J95" s="113"/>
      <c r="K95" s="260"/>
      <c r="L95" s="259"/>
      <c r="M95" s="241"/>
      <c r="N95" s="241"/>
      <c r="O95" s="113"/>
      <c r="P95" s="260"/>
      <c r="Q95" s="259"/>
      <c r="R95" s="241"/>
      <c r="S95" s="241"/>
      <c r="T95" s="113"/>
      <c r="U95" s="260"/>
      <c r="V95" s="259"/>
      <c r="W95" s="241"/>
      <c r="X95" s="241"/>
      <c r="Y95" s="113"/>
      <c r="Z95" s="260"/>
      <c r="AA95" s="259"/>
      <c r="AB95" s="241"/>
      <c r="AC95" s="241"/>
      <c r="AD95" s="113"/>
      <c r="AE95" s="270"/>
      <c r="AF95" s="271"/>
      <c r="AG95" s="245"/>
      <c r="AH95" s="241"/>
      <c r="AI95" s="113"/>
      <c r="AJ95" s="270"/>
      <c r="AK95" s="271"/>
      <c r="AL95" s="245">
        <f>AG96</f>
        <v>0.5</v>
      </c>
      <c r="AM95" s="68" t="s">
        <v>108</v>
      </c>
      <c r="AN95" s="32"/>
      <c r="AO95" s="12"/>
      <c r="AP95" s="12"/>
      <c r="AQ95" s="12"/>
      <c r="AR95" s="12"/>
      <c r="AS95" s="12"/>
      <c r="AT95" s="12"/>
      <c r="AU95" s="12"/>
      <c r="AV95" s="42"/>
      <c r="AW95" s="44"/>
      <c r="AX95" s="11"/>
      <c r="AY95" s="4"/>
      <c r="AZ95" s="1"/>
    </row>
    <row r="96" spans="1:52" s="25" customFormat="1" x14ac:dyDescent="0.25">
      <c r="A96" s="261"/>
      <c r="B96" s="260"/>
      <c r="C96" s="259"/>
      <c r="D96" s="241">
        <v>1</v>
      </c>
      <c r="E96" s="68" t="s">
        <v>98</v>
      </c>
      <c r="F96" s="113"/>
      <c r="G96" s="260"/>
      <c r="H96" s="259"/>
      <c r="I96" s="240"/>
      <c r="J96" s="113"/>
      <c r="K96" s="260"/>
      <c r="L96" s="259"/>
      <c r="M96" s="241">
        <v>1</v>
      </c>
      <c r="N96" s="68" t="s">
        <v>98</v>
      </c>
      <c r="O96" s="113"/>
      <c r="P96" s="260"/>
      <c r="Q96" s="259"/>
      <c r="R96" s="241">
        <v>1</v>
      </c>
      <c r="S96" s="68" t="s">
        <v>98</v>
      </c>
      <c r="T96" s="113"/>
      <c r="U96" s="260"/>
      <c r="V96" s="259"/>
      <c r="W96" s="241">
        <v>1</v>
      </c>
      <c r="X96" s="68" t="s">
        <v>98</v>
      </c>
      <c r="Y96" s="113"/>
      <c r="Z96" s="260"/>
      <c r="AA96" s="259"/>
      <c r="AB96" s="241">
        <v>1.1000000000000001</v>
      </c>
      <c r="AC96" s="68" t="s">
        <v>98</v>
      </c>
      <c r="AD96" s="113"/>
      <c r="AE96" s="270"/>
      <c r="AF96" s="271"/>
      <c r="AG96" s="245">
        <v>0.5</v>
      </c>
      <c r="AH96" s="68" t="s">
        <v>108</v>
      </c>
      <c r="AI96" s="113"/>
      <c r="AJ96" s="270"/>
      <c r="AK96" s="271"/>
      <c r="AL96" s="245">
        <f>AB96</f>
        <v>1.1000000000000001</v>
      </c>
      <c r="AM96" s="68" t="s">
        <v>98</v>
      </c>
      <c r="AN96" s="32"/>
      <c r="AO96" s="12"/>
      <c r="AP96" s="12"/>
      <c r="AQ96" s="12"/>
      <c r="AR96" s="12"/>
      <c r="AS96" s="12"/>
      <c r="AT96" s="12"/>
      <c r="AU96" s="12"/>
      <c r="AV96" s="42"/>
      <c r="AW96" s="44"/>
      <c r="AX96" s="13"/>
      <c r="AY96" s="4"/>
      <c r="AZ96" s="1"/>
    </row>
    <row r="97" spans="1:52" s="25" customFormat="1" x14ac:dyDescent="0.25">
      <c r="A97" s="261"/>
      <c r="B97" s="260"/>
      <c r="C97" s="259"/>
      <c r="D97" s="49"/>
      <c r="E97" s="26"/>
      <c r="F97" s="113"/>
      <c r="G97" s="260"/>
      <c r="H97" s="259"/>
      <c r="I97" s="240"/>
      <c r="J97" s="113"/>
      <c r="K97" s="241">
        <v>7.0000000000000007E-2</v>
      </c>
      <c r="L97" s="240">
        <v>7.31</v>
      </c>
      <c r="M97" s="241"/>
      <c r="N97" s="245"/>
      <c r="O97" s="113"/>
      <c r="P97" s="260"/>
      <c r="Q97" s="259"/>
      <c r="R97" s="241"/>
      <c r="S97" s="245"/>
      <c r="T97" s="113"/>
      <c r="U97" s="260"/>
      <c r="V97" s="259"/>
      <c r="W97" s="241"/>
      <c r="X97" s="245"/>
      <c r="Y97" s="113"/>
      <c r="Z97" s="260"/>
      <c r="AA97" s="259"/>
      <c r="AB97" s="241">
        <v>0.9</v>
      </c>
      <c r="AC97" s="6" t="s">
        <v>47</v>
      </c>
      <c r="AD97" s="113"/>
      <c r="AE97" s="270"/>
      <c r="AF97" s="271"/>
      <c r="AG97" s="245">
        <f>AE90-AG95-AG96</f>
        <v>0.89999999999999991</v>
      </c>
      <c r="AH97" s="6" t="s">
        <v>47</v>
      </c>
      <c r="AI97" s="113"/>
      <c r="AJ97" s="270"/>
      <c r="AK97" s="271"/>
      <c r="AL97" s="245"/>
      <c r="AM97" s="246"/>
      <c r="AN97" s="32"/>
      <c r="AO97" s="12"/>
      <c r="AP97" s="12"/>
      <c r="AQ97" s="12"/>
      <c r="AR97" s="12"/>
      <c r="AS97" s="12"/>
      <c r="AT97" s="12"/>
      <c r="AU97" s="12"/>
      <c r="AV97" s="42"/>
      <c r="AW97" s="44"/>
      <c r="AX97" s="11"/>
      <c r="AY97" s="4"/>
      <c r="AZ97" s="1"/>
    </row>
    <row r="98" spans="1:52" s="25" customFormat="1" x14ac:dyDescent="0.25">
      <c r="A98" s="261">
        <v>24</v>
      </c>
      <c r="B98" s="260">
        <v>0.65</v>
      </c>
      <c r="C98" s="259">
        <v>7.32</v>
      </c>
      <c r="D98" s="240"/>
      <c r="E98" s="241"/>
      <c r="F98" s="113"/>
      <c r="G98" s="260">
        <v>0.06</v>
      </c>
      <c r="H98" s="259">
        <v>7.04</v>
      </c>
      <c r="I98" s="240"/>
      <c r="J98" s="113"/>
      <c r="K98" s="260">
        <v>0.83</v>
      </c>
      <c r="L98" s="259">
        <v>7.4</v>
      </c>
      <c r="M98" s="241"/>
      <c r="N98" s="241"/>
      <c r="O98" s="113"/>
      <c r="P98" s="260">
        <v>1.26</v>
      </c>
      <c r="Q98" s="259">
        <v>7.33</v>
      </c>
      <c r="T98" s="113"/>
      <c r="U98" s="241">
        <v>0.46</v>
      </c>
      <c r="V98" s="240">
        <v>7.26</v>
      </c>
      <c r="W98" s="241"/>
      <c r="X98" s="16"/>
      <c r="Y98" s="113"/>
      <c r="Z98" s="260">
        <v>0.63</v>
      </c>
      <c r="AA98" s="259">
        <v>7.38</v>
      </c>
      <c r="AB98" s="56"/>
      <c r="AC98" s="24"/>
      <c r="AD98" s="113"/>
      <c r="AE98" s="270">
        <v>0.79</v>
      </c>
      <c r="AF98" s="271">
        <v>6.79</v>
      </c>
      <c r="AG98" s="245"/>
      <c r="AH98" s="24"/>
      <c r="AI98" s="113"/>
      <c r="AJ98" s="270">
        <v>0.16</v>
      </c>
      <c r="AK98" s="271">
        <v>7.38</v>
      </c>
      <c r="AL98" s="245"/>
      <c r="AM98" s="91"/>
      <c r="AN98" s="32"/>
      <c r="AO98" s="12"/>
      <c r="AP98" s="12"/>
      <c r="AQ98" s="12"/>
      <c r="AR98" s="12"/>
      <c r="AS98" s="12"/>
      <c r="AT98" s="12"/>
      <c r="AU98" s="12"/>
      <c r="AV98" s="42"/>
      <c r="AW98" s="44"/>
      <c r="AX98" s="11"/>
      <c r="AY98" s="4"/>
      <c r="AZ98" s="1"/>
    </row>
    <row r="99" spans="1:52" s="25" customFormat="1" x14ac:dyDescent="0.25">
      <c r="A99" s="261"/>
      <c r="B99" s="260"/>
      <c r="C99" s="259"/>
      <c r="D99" s="240"/>
      <c r="E99" s="241"/>
      <c r="F99" s="113"/>
      <c r="G99" s="260"/>
      <c r="H99" s="259"/>
      <c r="I99" s="240"/>
      <c r="J99" s="113"/>
      <c r="K99" s="260"/>
      <c r="L99" s="259"/>
      <c r="M99" s="241"/>
      <c r="N99" s="241"/>
      <c r="O99" s="113"/>
      <c r="P99" s="260"/>
      <c r="Q99" s="259"/>
      <c r="R99" s="241"/>
      <c r="S99" s="241"/>
      <c r="T99" s="113"/>
      <c r="U99" s="260">
        <v>1.27</v>
      </c>
      <c r="V99" s="259">
        <v>7.34</v>
      </c>
      <c r="W99" s="241"/>
      <c r="X99" s="241"/>
      <c r="Y99" s="113"/>
      <c r="Z99" s="260"/>
      <c r="AA99" s="259"/>
      <c r="AB99" s="241"/>
      <c r="AC99" s="241"/>
      <c r="AD99" s="113"/>
      <c r="AE99" s="270"/>
      <c r="AF99" s="271"/>
      <c r="AG99" s="245"/>
      <c r="AH99" s="241"/>
      <c r="AI99" s="113"/>
      <c r="AJ99" s="270"/>
      <c r="AK99" s="271"/>
      <c r="AL99" s="245"/>
      <c r="AM99" s="245"/>
      <c r="AN99" s="32"/>
      <c r="AO99" s="12"/>
      <c r="AP99" s="12"/>
      <c r="AQ99" s="12"/>
      <c r="AR99" s="12"/>
      <c r="AS99" s="12"/>
      <c r="AT99" s="12"/>
      <c r="AU99" s="12"/>
      <c r="AV99" s="12"/>
      <c r="AW99" s="44"/>
      <c r="AX99" s="4"/>
      <c r="AY99" s="4"/>
      <c r="AZ99" s="1"/>
    </row>
    <row r="100" spans="1:52" s="25" customFormat="1" x14ac:dyDescent="0.25">
      <c r="A100" s="261"/>
      <c r="B100" s="260"/>
      <c r="C100" s="259"/>
      <c r="D100" s="56"/>
      <c r="E100" s="24"/>
      <c r="F100" s="113"/>
      <c r="G100" s="260"/>
      <c r="H100" s="259"/>
      <c r="I100" s="240"/>
      <c r="J100" s="113"/>
      <c r="K100" s="260"/>
      <c r="L100" s="259"/>
      <c r="M100" s="56"/>
      <c r="N100" s="24"/>
      <c r="O100" s="113"/>
      <c r="P100" s="260"/>
      <c r="Q100" s="259"/>
      <c r="R100" s="56"/>
      <c r="S100" s="24"/>
      <c r="T100" s="113"/>
      <c r="U100" s="260"/>
      <c r="V100" s="259"/>
      <c r="W100" s="56"/>
      <c r="X100" s="24"/>
      <c r="Y100" s="113"/>
      <c r="Z100" s="260"/>
      <c r="AA100" s="259"/>
      <c r="AB100" s="56"/>
      <c r="AC100" s="24"/>
      <c r="AD100" s="113"/>
      <c r="AE100" s="270"/>
      <c r="AF100" s="271"/>
      <c r="AG100" s="245"/>
      <c r="AH100" s="24"/>
      <c r="AI100" s="113"/>
      <c r="AJ100" s="270"/>
      <c r="AK100" s="271"/>
      <c r="AL100" s="245"/>
      <c r="AM100" s="91"/>
      <c r="AN100" s="32"/>
      <c r="AO100" s="12"/>
      <c r="AP100" s="12"/>
      <c r="AQ100" s="12"/>
      <c r="AR100" s="12"/>
      <c r="AS100" s="12"/>
      <c r="AT100" s="12"/>
      <c r="AU100" s="12"/>
      <c r="AV100" s="42"/>
      <c r="AW100" s="44"/>
      <c r="AX100" s="4"/>
      <c r="AY100" s="4"/>
      <c r="AZ100" s="1"/>
    </row>
    <row r="101" spans="1:52" s="25" customFormat="1" x14ac:dyDescent="0.25">
      <c r="A101" s="261"/>
      <c r="B101" s="260"/>
      <c r="C101" s="259"/>
      <c r="D101" s="241">
        <v>0.2</v>
      </c>
      <c r="E101" s="10" t="s">
        <v>338</v>
      </c>
      <c r="F101" s="113"/>
      <c r="G101" s="260"/>
      <c r="H101" s="259"/>
      <c r="I101" s="240"/>
      <c r="J101" s="113"/>
      <c r="K101" s="260"/>
      <c r="L101" s="259"/>
      <c r="M101" s="241">
        <f>R101</f>
        <v>0.21</v>
      </c>
      <c r="N101" s="10" t="s">
        <v>338</v>
      </c>
      <c r="O101" s="113"/>
      <c r="P101" s="260"/>
      <c r="Q101" s="259"/>
      <c r="R101" s="241">
        <v>0.21</v>
      </c>
      <c r="S101" s="10" t="s">
        <v>338</v>
      </c>
      <c r="T101" s="113"/>
      <c r="U101" s="260"/>
      <c r="V101" s="259"/>
      <c r="W101" s="241">
        <f>AB101</f>
        <v>0.21</v>
      </c>
      <c r="X101" s="10" t="s">
        <v>338</v>
      </c>
      <c r="Y101" s="113"/>
      <c r="Z101" s="260"/>
      <c r="AA101" s="259"/>
      <c r="AB101" s="241">
        <v>0.21</v>
      </c>
      <c r="AC101" s="10" t="s">
        <v>338</v>
      </c>
      <c r="AD101" s="113"/>
      <c r="AE101" s="270"/>
      <c r="AF101" s="271"/>
      <c r="AG101" s="91"/>
      <c r="AH101" s="18"/>
      <c r="AI101" s="113"/>
      <c r="AJ101" s="270"/>
      <c r="AK101" s="271"/>
      <c r="AL101" s="245">
        <f>AJ98/2</f>
        <v>0.08</v>
      </c>
      <c r="AM101" s="10" t="s">
        <v>338</v>
      </c>
      <c r="AN101" s="32"/>
      <c r="AO101" s="31"/>
      <c r="AP101" s="31"/>
      <c r="AQ101" s="31"/>
      <c r="AR101" s="31"/>
      <c r="AS101" s="31"/>
      <c r="AT101" s="31"/>
      <c r="AU101" s="12"/>
      <c r="AV101" s="42"/>
      <c r="AW101" s="44"/>
      <c r="AX101" s="65"/>
      <c r="AY101" s="4"/>
      <c r="AZ101" s="1"/>
    </row>
    <row r="102" spans="1:52" s="25" customFormat="1" x14ac:dyDescent="0.25">
      <c r="A102" s="261"/>
      <c r="B102" s="260"/>
      <c r="C102" s="259"/>
      <c r="D102" s="241">
        <f>R102</f>
        <v>0.1</v>
      </c>
      <c r="E102" s="7" t="s">
        <v>75</v>
      </c>
      <c r="F102" s="113"/>
      <c r="G102" s="260"/>
      <c r="H102" s="259"/>
      <c r="I102" s="240"/>
      <c r="J102" s="113"/>
      <c r="K102" s="260"/>
      <c r="L102" s="259"/>
      <c r="M102" s="241">
        <f>R102</f>
        <v>0.1</v>
      </c>
      <c r="N102" s="7" t="s">
        <v>75</v>
      </c>
      <c r="O102" s="113"/>
      <c r="P102" s="260"/>
      <c r="Q102" s="259"/>
      <c r="R102" s="241">
        <v>0.1</v>
      </c>
      <c r="S102" s="7" t="s">
        <v>75</v>
      </c>
      <c r="T102" s="113"/>
      <c r="U102" s="260"/>
      <c r="V102" s="259"/>
      <c r="W102" s="241">
        <v>0.01</v>
      </c>
      <c r="X102" s="7" t="s">
        <v>75</v>
      </c>
      <c r="Y102" s="113"/>
      <c r="Z102" s="260"/>
      <c r="AA102" s="259"/>
      <c r="AB102" s="241">
        <v>0.1</v>
      </c>
      <c r="AC102" s="7" t="s">
        <v>75</v>
      </c>
      <c r="AD102" s="113"/>
      <c r="AE102" s="270"/>
      <c r="AF102" s="271"/>
      <c r="AG102" s="24"/>
      <c r="AH102" s="24"/>
      <c r="AI102" s="113"/>
      <c r="AJ102" s="270"/>
      <c r="AK102" s="271"/>
      <c r="AL102" s="245">
        <f>AL101</f>
        <v>0.08</v>
      </c>
      <c r="AM102" s="7" t="s">
        <v>75</v>
      </c>
      <c r="AN102" s="32"/>
      <c r="AO102" s="31"/>
      <c r="AP102" s="31"/>
      <c r="AQ102" s="31"/>
      <c r="AR102" s="31"/>
      <c r="AS102" s="31"/>
      <c r="AT102" s="31"/>
      <c r="AU102" s="12"/>
      <c r="AV102" s="42"/>
      <c r="AW102" s="44"/>
      <c r="AX102" s="11"/>
      <c r="AY102" s="4"/>
      <c r="AZ102" s="1"/>
    </row>
    <row r="103" spans="1:52" s="25" customFormat="1" x14ac:dyDescent="0.25">
      <c r="A103" s="261"/>
      <c r="B103" s="260"/>
      <c r="C103" s="259"/>
      <c r="D103" s="240">
        <f>B98-D101-D102-D104</f>
        <v>0.33999999999999997</v>
      </c>
      <c r="E103" s="14" t="s">
        <v>420</v>
      </c>
      <c r="F103" s="113"/>
      <c r="G103" s="260"/>
      <c r="H103" s="259"/>
      <c r="I103" s="240"/>
      <c r="J103" s="113"/>
      <c r="K103" s="260"/>
      <c r="L103" s="259"/>
      <c r="M103" s="241">
        <f>K98+K105-M104-M102-M101</f>
        <v>0.37</v>
      </c>
      <c r="N103" s="14" t="s">
        <v>420</v>
      </c>
      <c r="O103" s="113"/>
      <c r="P103" s="260"/>
      <c r="Q103" s="259"/>
      <c r="R103" s="241">
        <f>P98-R104-R102-R101-R121</f>
        <v>0.27</v>
      </c>
      <c r="S103" s="14" t="s">
        <v>508</v>
      </c>
      <c r="T103" s="113"/>
      <c r="U103" s="260"/>
      <c r="V103" s="259"/>
      <c r="W103" s="241">
        <f>U99-W104-W102-W101-W106</f>
        <v>0.72</v>
      </c>
      <c r="X103" s="14" t="s">
        <v>129</v>
      </c>
      <c r="Y103" s="113"/>
      <c r="Z103" s="260"/>
      <c r="AA103" s="259"/>
      <c r="AB103" s="56"/>
      <c r="AC103" s="24"/>
      <c r="AD103" s="113"/>
      <c r="AE103" s="270"/>
      <c r="AF103" s="271"/>
      <c r="AG103" s="245"/>
      <c r="AH103" s="18"/>
      <c r="AI103" s="113"/>
      <c r="AJ103" s="270"/>
      <c r="AK103" s="271"/>
      <c r="AL103" s="245"/>
      <c r="AM103" s="24"/>
      <c r="AN103" s="32"/>
      <c r="AO103" s="31"/>
      <c r="AP103" s="31"/>
      <c r="AQ103" s="31"/>
      <c r="AR103" s="31"/>
      <c r="AS103" s="31"/>
      <c r="AT103" s="31"/>
      <c r="AU103" s="12"/>
      <c r="AV103" s="42"/>
      <c r="AW103" s="44"/>
      <c r="AX103" s="66"/>
      <c r="AY103" s="4"/>
      <c r="AZ103" s="1"/>
    </row>
    <row r="104" spans="1:52" s="25" customFormat="1" x14ac:dyDescent="0.25">
      <c r="A104" s="261"/>
      <c r="B104" s="260"/>
      <c r="C104" s="259"/>
      <c r="D104" s="241">
        <v>0.01</v>
      </c>
      <c r="E104" s="249" t="s">
        <v>211</v>
      </c>
      <c r="F104" s="113"/>
      <c r="G104" s="241"/>
      <c r="H104" s="240"/>
      <c r="I104" s="240"/>
      <c r="J104" s="113"/>
      <c r="K104" s="260"/>
      <c r="L104" s="259"/>
      <c r="M104" s="241">
        <f>R104</f>
        <v>0.32000000000000006</v>
      </c>
      <c r="N104" s="249" t="s">
        <v>211</v>
      </c>
      <c r="O104" s="113"/>
      <c r="P104" s="260"/>
      <c r="Q104" s="259"/>
      <c r="R104" s="241">
        <f>AB104</f>
        <v>0.32000000000000006</v>
      </c>
      <c r="S104" s="249" t="s">
        <v>211</v>
      </c>
      <c r="T104" s="113"/>
      <c r="U104" s="260"/>
      <c r="V104" s="259"/>
      <c r="W104" s="241">
        <f>R104</f>
        <v>0.32000000000000006</v>
      </c>
      <c r="X104" s="249" t="s">
        <v>211</v>
      </c>
      <c r="Y104" s="113"/>
      <c r="Z104" s="260"/>
      <c r="AA104" s="259"/>
      <c r="AB104" s="241">
        <f>Z98-AB102-AB101</f>
        <v>0.32000000000000006</v>
      </c>
      <c r="AC104" s="249" t="s">
        <v>211</v>
      </c>
      <c r="AD104" s="113"/>
      <c r="AE104" s="270"/>
      <c r="AF104" s="271"/>
      <c r="AG104" s="245">
        <f>AE98</f>
        <v>0.79</v>
      </c>
      <c r="AH104" s="249" t="s">
        <v>211</v>
      </c>
      <c r="AI104" s="113"/>
      <c r="AJ104" s="280">
        <v>0.17</v>
      </c>
      <c r="AK104" s="282">
        <v>7.49</v>
      </c>
      <c r="AL104" s="245">
        <f>AJ104</f>
        <v>0.17</v>
      </c>
      <c r="AM104" s="249" t="s">
        <v>211</v>
      </c>
      <c r="AN104" s="32"/>
      <c r="AO104" s="31"/>
      <c r="AP104" s="31"/>
      <c r="AQ104" s="31"/>
      <c r="AR104" s="31"/>
      <c r="AS104" s="31"/>
      <c r="AT104" s="31"/>
      <c r="AU104" s="12"/>
      <c r="AV104" s="42"/>
      <c r="AW104" s="44"/>
      <c r="AX104" s="66"/>
      <c r="AY104" s="4"/>
      <c r="AZ104" s="1"/>
    </row>
    <row r="105" spans="1:52" s="25" customFormat="1" x14ac:dyDescent="0.25">
      <c r="A105" s="261"/>
      <c r="B105" s="260"/>
      <c r="C105" s="259"/>
      <c r="D105" s="56"/>
      <c r="E105" s="24"/>
      <c r="F105" s="113"/>
      <c r="G105" s="241">
        <v>0.93</v>
      </c>
      <c r="H105" s="240">
        <v>7.09</v>
      </c>
      <c r="I105" s="240"/>
      <c r="J105" s="113"/>
      <c r="K105" s="241">
        <v>0.17</v>
      </c>
      <c r="L105" s="240">
        <v>7.44</v>
      </c>
      <c r="M105" s="56"/>
      <c r="N105" s="24"/>
      <c r="O105" s="113"/>
      <c r="P105" s="260"/>
      <c r="Q105" s="259"/>
      <c r="R105" s="56"/>
      <c r="S105" s="24"/>
      <c r="T105" s="113"/>
      <c r="U105" s="260"/>
      <c r="V105" s="259"/>
      <c r="W105" s="56"/>
      <c r="X105" s="24"/>
      <c r="Y105" s="113"/>
      <c r="Z105" s="260"/>
      <c r="AA105" s="259"/>
      <c r="AB105" s="241"/>
      <c r="AC105" s="16"/>
      <c r="AD105" s="113"/>
      <c r="AE105" s="270"/>
      <c r="AF105" s="271"/>
      <c r="AG105" s="245"/>
      <c r="AH105" s="16"/>
      <c r="AI105" s="113"/>
      <c r="AJ105" s="281"/>
      <c r="AK105" s="283"/>
      <c r="AL105" s="245"/>
      <c r="AN105" s="32"/>
      <c r="AO105" s="31"/>
      <c r="AP105" s="31"/>
      <c r="AQ105" s="31"/>
      <c r="AR105" s="31"/>
      <c r="AS105" s="31"/>
      <c r="AT105" s="31"/>
      <c r="AU105" s="12"/>
      <c r="AV105" s="12"/>
      <c r="AW105" s="12"/>
      <c r="AX105" s="65"/>
      <c r="AY105" s="3"/>
      <c r="AZ105" s="1"/>
    </row>
    <row r="106" spans="1:52" s="25" customFormat="1" x14ac:dyDescent="0.25">
      <c r="A106" s="261">
        <v>25</v>
      </c>
      <c r="B106" s="260">
        <v>0.09</v>
      </c>
      <c r="C106" s="259">
        <v>7.4</v>
      </c>
      <c r="D106" s="56"/>
      <c r="E106" s="24"/>
      <c r="F106" s="113"/>
      <c r="G106" s="241">
        <v>0.1</v>
      </c>
      <c r="H106" s="240">
        <v>7.18</v>
      </c>
      <c r="I106" s="240"/>
      <c r="J106" s="113"/>
      <c r="K106" s="260">
        <v>0.17</v>
      </c>
      <c r="L106" s="259">
        <v>7.48</v>
      </c>
      <c r="M106" s="19"/>
      <c r="N106" s="240"/>
      <c r="O106" s="113"/>
      <c r="P106" s="260">
        <v>0.3</v>
      </c>
      <c r="Q106" s="259">
        <v>7.44</v>
      </c>
      <c r="R106" s="19">
        <f>P106</f>
        <v>0.3</v>
      </c>
      <c r="S106" s="70" t="s">
        <v>517</v>
      </c>
      <c r="T106" s="113"/>
      <c r="U106" s="260"/>
      <c r="V106" s="259"/>
      <c r="W106" s="19">
        <v>0.01</v>
      </c>
      <c r="X106" s="70" t="s">
        <v>52</v>
      </c>
      <c r="Y106" s="113"/>
      <c r="Z106" s="260">
        <v>1.51</v>
      </c>
      <c r="AA106" s="259">
        <v>7.45</v>
      </c>
      <c r="AB106" s="241"/>
      <c r="AC106" s="8"/>
      <c r="AD106" s="113"/>
      <c r="AE106" s="270">
        <v>1.35</v>
      </c>
      <c r="AF106" s="271">
        <v>6.86</v>
      </c>
      <c r="AG106" s="245"/>
      <c r="AH106" s="8"/>
      <c r="AI106" s="113"/>
      <c r="AJ106" s="245">
        <v>0.22</v>
      </c>
      <c r="AK106" s="246">
        <v>7.52</v>
      </c>
      <c r="AL106" s="95"/>
      <c r="AM106" s="18"/>
      <c r="AN106" s="32"/>
      <c r="AO106" s="31"/>
      <c r="AP106" s="31"/>
      <c r="AQ106" s="31"/>
      <c r="AR106" s="31"/>
      <c r="AS106" s="31"/>
      <c r="AT106" s="31"/>
      <c r="AU106" s="12"/>
      <c r="AV106" s="42"/>
      <c r="AW106" s="44"/>
      <c r="AX106" s="72"/>
      <c r="AY106" s="3"/>
      <c r="AZ106" s="1"/>
    </row>
    <row r="107" spans="1:52" s="25" customFormat="1" x14ac:dyDescent="0.25">
      <c r="A107" s="261"/>
      <c r="B107" s="260"/>
      <c r="C107" s="259"/>
      <c r="D107" s="49"/>
      <c r="E107" s="24"/>
      <c r="F107" s="113"/>
      <c r="G107" s="241">
        <v>0.03</v>
      </c>
      <c r="H107" s="240">
        <v>7.23</v>
      </c>
      <c r="I107" s="240"/>
      <c r="J107" s="113"/>
      <c r="K107" s="260"/>
      <c r="L107" s="259"/>
      <c r="M107" s="241"/>
      <c r="N107" s="241"/>
      <c r="O107" s="113"/>
      <c r="P107" s="260"/>
      <c r="Q107" s="259"/>
      <c r="R107" s="241"/>
      <c r="S107" s="241"/>
      <c r="T107" s="113"/>
      <c r="U107" s="260"/>
      <c r="V107" s="259"/>
      <c r="W107" s="241"/>
      <c r="X107" s="24"/>
      <c r="Y107" s="113"/>
      <c r="Z107" s="260"/>
      <c r="AA107" s="259"/>
      <c r="AB107" s="241"/>
      <c r="AC107" s="24"/>
      <c r="AD107" s="113"/>
      <c r="AE107" s="270"/>
      <c r="AF107" s="271"/>
      <c r="AG107" s="245"/>
      <c r="AH107" s="24"/>
      <c r="AI107" s="113"/>
      <c r="AJ107" s="245">
        <v>0.17</v>
      </c>
      <c r="AK107" s="246">
        <v>7.56</v>
      </c>
      <c r="AL107" s="95"/>
      <c r="AM107" s="91"/>
      <c r="AN107" s="32"/>
      <c r="AO107" s="31"/>
      <c r="AP107" s="31"/>
      <c r="AQ107" s="31"/>
      <c r="AR107" s="31"/>
      <c r="AS107" s="31"/>
      <c r="AT107" s="31"/>
      <c r="AU107" s="12"/>
      <c r="AV107" s="12"/>
      <c r="AW107" s="44"/>
      <c r="AX107" s="4"/>
      <c r="AY107" s="3"/>
      <c r="AZ107" s="1"/>
    </row>
    <row r="108" spans="1:52" s="25" customFormat="1" x14ac:dyDescent="0.25">
      <c r="A108" s="261">
        <v>26</v>
      </c>
      <c r="B108" s="260">
        <v>1.24</v>
      </c>
      <c r="C108" s="259">
        <v>7.53</v>
      </c>
      <c r="D108" s="241"/>
      <c r="E108" s="18"/>
      <c r="F108" s="113"/>
      <c r="G108" s="260">
        <v>1.27</v>
      </c>
      <c r="H108" s="259">
        <v>7.31</v>
      </c>
      <c r="I108" s="240"/>
      <c r="J108" s="113"/>
      <c r="K108" s="260">
        <v>2.39</v>
      </c>
      <c r="L108" s="259">
        <v>7.6</v>
      </c>
      <c r="M108" s="241">
        <f>K108-M110</f>
        <v>1.3900000000000001</v>
      </c>
      <c r="N108" s="7" t="s">
        <v>422</v>
      </c>
      <c r="O108" s="113"/>
      <c r="P108" s="260">
        <v>4.21</v>
      </c>
      <c r="Q108" s="259">
        <v>7.54</v>
      </c>
      <c r="R108" s="241">
        <f>P108-R110-R112</f>
        <v>3.01</v>
      </c>
      <c r="S108" s="7" t="s">
        <v>518</v>
      </c>
      <c r="T108" s="113"/>
      <c r="U108" s="260">
        <v>1.43</v>
      </c>
      <c r="V108" s="259">
        <v>7.51</v>
      </c>
      <c r="W108" s="241"/>
      <c r="X108" s="24"/>
      <c r="Y108" s="113"/>
      <c r="Z108" s="260"/>
      <c r="AA108" s="259"/>
      <c r="AB108" s="241"/>
      <c r="AC108" s="24"/>
      <c r="AD108" s="113"/>
      <c r="AE108" s="270"/>
      <c r="AF108" s="271"/>
      <c r="AG108" s="245"/>
      <c r="AH108" s="24"/>
      <c r="AI108" s="113"/>
      <c r="AJ108" s="270">
        <v>0.16</v>
      </c>
      <c r="AK108" s="271">
        <v>7.61</v>
      </c>
      <c r="AL108" s="245"/>
      <c r="AM108" s="91"/>
      <c r="AN108" s="32"/>
      <c r="AO108" s="31"/>
      <c r="AP108" s="31"/>
      <c r="AQ108" s="31"/>
      <c r="AR108" s="31"/>
      <c r="AS108" s="31"/>
      <c r="AT108" s="31"/>
      <c r="AU108" s="12"/>
      <c r="AV108" s="42"/>
      <c r="AW108" s="44"/>
      <c r="AX108" s="11"/>
      <c r="AY108" s="3"/>
      <c r="AZ108" s="1"/>
    </row>
    <row r="109" spans="1:52" s="25" customFormat="1" x14ac:dyDescent="0.25">
      <c r="A109" s="261"/>
      <c r="B109" s="260"/>
      <c r="C109" s="259"/>
      <c r="D109" s="240"/>
      <c r="E109" s="246"/>
      <c r="F109" s="113"/>
      <c r="G109" s="260"/>
      <c r="H109" s="259"/>
      <c r="I109" s="240"/>
      <c r="J109" s="113"/>
      <c r="K109" s="260"/>
      <c r="L109" s="259"/>
      <c r="M109" s="241"/>
      <c r="N109" s="19"/>
      <c r="O109" s="113"/>
      <c r="P109" s="260"/>
      <c r="Q109" s="259"/>
      <c r="R109" s="241"/>
      <c r="S109" s="240"/>
      <c r="T109" s="113"/>
      <c r="U109" s="260"/>
      <c r="V109" s="259"/>
      <c r="W109" s="241"/>
      <c r="X109" s="24"/>
      <c r="Y109" s="113"/>
      <c r="Z109" s="260"/>
      <c r="AA109" s="259"/>
      <c r="AB109" s="56"/>
      <c r="AC109" s="24"/>
      <c r="AD109" s="113"/>
      <c r="AE109" s="270"/>
      <c r="AF109" s="271"/>
      <c r="AG109" s="91"/>
      <c r="AH109" s="24"/>
      <c r="AI109" s="113"/>
      <c r="AJ109" s="270"/>
      <c r="AK109" s="271"/>
      <c r="AL109" s="245"/>
      <c r="AM109" s="91"/>
      <c r="AN109" s="32"/>
      <c r="AO109" s="31"/>
      <c r="AP109" s="31"/>
      <c r="AQ109" s="31"/>
      <c r="AR109" s="31"/>
      <c r="AS109" s="31"/>
      <c r="AT109" s="31"/>
      <c r="AU109" s="12"/>
      <c r="AV109" s="42"/>
      <c r="AW109" s="44"/>
      <c r="AX109" s="72"/>
      <c r="AY109" s="3"/>
      <c r="AZ109" s="1"/>
    </row>
    <row r="110" spans="1:52" s="25" customFormat="1" x14ac:dyDescent="0.25">
      <c r="A110" s="261"/>
      <c r="B110" s="260"/>
      <c r="C110" s="259"/>
      <c r="D110" s="240">
        <v>1</v>
      </c>
      <c r="E110" s="6" t="s">
        <v>38</v>
      </c>
      <c r="F110" s="113"/>
      <c r="G110" s="260"/>
      <c r="H110" s="259"/>
      <c r="I110" s="80"/>
      <c r="J110" s="113"/>
      <c r="K110" s="260">
        <v>0.08</v>
      </c>
      <c r="L110" s="259">
        <v>7.7</v>
      </c>
      <c r="M110" s="241">
        <v>1</v>
      </c>
      <c r="N110" s="6" t="s">
        <v>38</v>
      </c>
      <c r="O110" s="113"/>
      <c r="P110" s="260"/>
      <c r="Q110" s="259"/>
      <c r="R110" s="241">
        <v>1</v>
      </c>
      <c r="S110" s="6" t="s">
        <v>38</v>
      </c>
      <c r="T110" s="113"/>
      <c r="U110" s="260"/>
      <c r="V110" s="259"/>
      <c r="W110" s="241">
        <v>1</v>
      </c>
      <c r="X110" s="6" t="s">
        <v>38</v>
      </c>
      <c r="Y110" s="113"/>
      <c r="Z110" s="260"/>
      <c r="AA110" s="259"/>
      <c r="AB110" s="241">
        <f>Z106-AB112</f>
        <v>1.08</v>
      </c>
      <c r="AC110" s="6" t="s">
        <v>38</v>
      </c>
      <c r="AD110" s="113"/>
      <c r="AE110" s="270"/>
      <c r="AF110" s="271"/>
      <c r="AG110" s="245">
        <f>AE106</f>
        <v>1.35</v>
      </c>
      <c r="AH110" s="6" t="s">
        <v>38</v>
      </c>
      <c r="AI110" s="113"/>
      <c r="AJ110" s="270"/>
      <c r="AK110" s="271"/>
      <c r="AL110" s="245"/>
      <c r="AM110" s="246"/>
      <c r="AN110" s="32"/>
      <c r="AO110" s="31"/>
      <c r="AP110" s="31"/>
      <c r="AQ110" s="31"/>
      <c r="AR110" s="31"/>
      <c r="AS110" s="31"/>
      <c r="AT110" s="31"/>
      <c r="AU110" s="12"/>
      <c r="AV110" s="42"/>
      <c r="AW110" s="44"/>
      <c r="AX110" s="13"/>
      <c r="AY110" s="3"/>
      <c r="AZ110" s="1"/>
    </row>
    <row r="111" spans="1:52" s="25" customFormat="1" x14ac:dyDescent="0.25">
      <c r="A111" s="261"/>
      <c r="B111" s="260"/>
      <c r="C111" s="259"/>
      <c r="D111" s="240"/>
      <c r="E111" s="19"/>
      <c r="F111" s="113"/>
      <c r="G111" s="260"/>
      <c r="H111" s="259"/>
      <c r="I111" s="240"/>
      <c r="J111" s="113"/>
      <c r="K111" s="260"/>
      <c r="L111" s="259"/>
      <c r="M111" s="241"/>
      <c r="N111" s="241"/>
      <c r="O111" s="113"/>
      <c r="P111" s="260"/>
      <c r="Q111" s="259"/>
      <c r="R111" s="241"/>
      <c r="S111" s="241"/>
      <c r="T111" s="113"/>
      <c r="U111" s="260"/>
      <c r="V111" s="259"/>
      <c r="W111" s="241"/>
      <c r="X111" s="241"/>
      <c r="Y111" s="113"/>
      <c r="Z111" s="260"/>
      <c r="AA111" s="259"/>
      <c r="AB111" s="241"/>
      <c r="AC111" s="241"/>
      <c r="AD111" s="113"/>
      <c r="AE111" s="270"/>
      <c r="AF111" s="271"/>
      <c r="AG111" s="245"/>
      <c r="AH111" s="241"/>
      <c r="AI111" s="113"/>
      <c r="AJ111" s="270"/>
      <c r="AK111" s="271"/>
      <c r="AL111" s="245"/>
      <c r="AM111" s="241"/>
      <c r="AN111" s="32"/>
      <c r="AO111" s="31"/>
      <c r="AP111" s="31"/>
      <c r="AQ111" s="31"/>
      <c r="AR111" s="31"/>
      <c r="AS111" s="31"/>
      <c r="AT111" s="31"/>
      <c r="AU111" s="12"/>
      <c r="AV111" s="42"/>
      <c r="AW111" s="44"/>
      <c r="AX111" s="13"/>
      <c r="AY111" s="3"/>
      <c r="AZ111" s="1"/>
    </row>
    <row r="112" spans="1:52" s="25" customFormat="1" x14ac:dyDescent="0.25">
      <c r="A112" s="261"/>
      <c r="B112" s="260"/>
      <c r="C112" s="259"/>
      <c r="D112" s="241">
        <f>R112</f>
        <v>0.2</v>
      </c>
      <c r="E112" s="15" t="s">
        <v>68</v>
      </c>
      <c r="F112" s="113"/>
      <c r="G112" s="260"/>
      <c r="H112" s="259"/>
      <c r="I112" s="240"/>
      <c r="J112" s="113"/>
      <c r="K112" s="260"/>
      <c r="L112" s="259"/>
      <c r="M112" s="241">
        <f>R112</f>
        <v>0.2</v>
      </c>
      <c r="N112" s="15" t="s">
        <v>68</v>
      </c>
      <c r="O112" s="113"/>
      <c r="P112" s="260"/>
      <c r="Q112" s="259"/>
      <c r="R112" s="241">
        <v>0.2</v>
      </c>
      <c r="S112" s="15" t="s">
        <v>68</v>
      </c>
      <c r="T112" s="113"/>
      <c r="U112" s="260"/>
      <c r="V112" s="259"/>
      <c r="W112" s="241">
        <f>U108-W110</f>
        <v>0.42999999999999994</v>
      </c>
      <c r="X112" s="15" t="s">
        <v>68</v>
      </c>
      <c r="Y112" s="113"/>
      <c r="Z112" s="260"/>
      <c r="AA112" s="259"/>
      <c r="AB112" s="241">
        <v>0.43</v>
      </c>
      <c r="AC112" s="15" t="s">
        <v>68</v>
      </c>
      <c r="AD112" s="113"/>
      <c r="AE112" s="270"/>
      <c r="AF112" s="271"/>
      <c r="AG112" s="245"/>
      <c r="AH112" s="245"/>
      <c r="AI112" s="113"/>
      <c r="AJ112" s="270"/>
      <c r="AK112" s="271"/>
      <c r="AL112" s="245">
        <f>AJ108+AJ107+AJ106</f>
        <v>0.55000000000000004</v>
      </c>
      <c r="AM112" s="15" t="s">
        <v>68</v>
      </c>
      <c r="AN112" s="32"/>
      <c r="AO112" s="31"/>
      <c r="AP112" s="31"/>
      <c r="AQ112" s="31"/>
      <c r="AR112" s="31"/>
      <c r="AS112" s="31"/>
      <c r="AT112" s="31"/>
      <c r="AU112" s="12"/>
      <c r="AV112" s="42"/>
      <c r="AW112" s="44"/>
      <c r="AX112" s="4"/>
      <c r="AY112" s="3"/>
      <c r="AZ112" s="1"/>
    </row>
    <row r="113" spans="1:55" s="25" customFormat="1" x14ac:dyDescent="0.25">
      <c r="A113" s="261">
        <v>27</v>
      </c>
      <c r="B113" s="260">
        <v>2.76</v>
      </c>
      <c r="C113" s="259">
        <v>7.69</v>
      </c>
      <c r="D113" s="241">
        <v>0.22</v>
      </c>
      <c r="E113" s="61" t="s">
        <v>145</v>
      </c>
      <c r="F113" s="113"/>
      <c r="G113" s="260">
        <v>3.37</v>
      </c>
      <c r="H113" s="259">
        <v>7.45</v>
      </c>
      <c r="I113" s="240"/>
      <c r="J113" s="113"/>
      <c r="K113" s="260">
        <v>3.82</v>
      </c>
      <c r="L113" s="259">
        <v>7.77</v>
      </c>
      <c r="M113" s="241">
        <v>0.22</v>
      </c>
      <c r="N113" s="61" t="s">
        <v>145</v>
      </c>
      <c r="O113" s="113"/>
      <c r="P113" s="260">
        <v>4.82</v>
      </c>
      <c r="Q113" s="259">
        <v>7.71</v>
      </c>
      <c r="R113" s="241">
        <v>1</v>
      </c>
      <c r="S113" s="7" t="s">
        <v>75</v>
      </c>
      <c r="T113" s="113"/>
      <c r="U113" s="260">
        <v>2.65</v>
      </c>
      <c r="V113" s="259">
        <v>7.68</v>
      </c>
      <c r="W113" s="241">
        <v>1</v>
      </c>
      <c r="X113" s="7" t="s">
        <v>75</v>
      </c>
      <c r="Y113" s="113"/>
      <c r="Z113" s="260">
        <v>1.24</v>
      </c>
      <c r="AA113" s="259">
        <v>7.65</v>
      </c>
      <c r="AB113" s="241">
        <v>1</v>
      </c>
      <c r="AC113" s="7" t="s">
        <v>75</v>
      </c>
      <c r="AD113" s="113"/>
      <c r="AE113" s="270">
        <v>1.54</v>
      </c>
      <c r="AF113" s="271">
        <v>7.32</v>
      </c>
      <c r="AG113" s="245"/>
      <c r="AH113" s="24"/>
      <c r="AI113" s="113"/>
      <c r="AJ113" s="270">
        <v>0.1</v>
      </c>
      <c r="AK113" s="271">
        <v>7.73</v>
      </c>
      <c r="AL113" s="245">
        <f>AJ113</f>
        <v>0.1</v>
      </c>
      <c r="AM113" s="7" t="s">
        <v>75</v>
      </c>
      <c r="AN113" s="32"/>
      <c r="AO113" s="12"/>
      <c r="AP113" s="12"/>
      <c r="AQ113" s="12"/>
      <c r="AR113" s="12"/>
      <c r="AS113" s="12"/>
      <c r="AT113" s="12"/>
      <c r="AU113" s="12"/>
      <c r="AV113" s="42"/>
      <c r="AW113" s="44"/>
      <c r="AX113" s="13"/>
      <c r="AY113" s="3"/>
      <c r="AZ113" s="1"/>
    </row>
    <row r="114" spans="1:55" s="25" customFormat="1" x14ac:dyDescent="0.25">
      <c r="A114" s="261"/>
      <c r="B114" s="260"/>
      <c r="C114" s="259"/>
      <c r="D114" s="241">
        <f>R114</f>
        <v>0.02</v>
      </c>
      <c r="E114" s="7" t="s">
        <v>354</v>
      </c>
      <c r="F114" s="113"/>
      <c r="G114" s="260"/>
      <c r="H114" s="259"/>
      <c r="I114" s="240"/>
      <c r="J114" s="113"/>
      <c r="K114" s="260"/>
      <c r="L114" s="259"/>
      <c r="M114" s="241">
        <v>0.21</v>
      </c>
      <c r="N114" s="7" t="s">
        <v>354</v>
      </c>
      <c r="O114" s="113"/>
      <c r="P114" s="260"/>
      <c r="Q114" s="259"/>
      <c r="R114" s="241">
        <v>0.02</v>
      </c>
      <c r="S114" s="7" t="s">
        <v>354</v>
      </c>
      <c r="T114" s="113"/>
      <c r="U114" s="260"/>
      <c r="V114" s="259"/>
      <c r="W114" s="241"/>
      <c r="X114" s="24"/>
      <c r="Y114" s="113"/>
      <c r="Z114" s="260"/>
      <c r="AA114" s="259"/>
      <c r="AB114" s="19"/>
      <c r="AC114" s="240"/>
      <c r="AD114" s="113"/>
      <c r="AE114" s="270"/>
      <c r="AF114" s="271"/>
      <c r="AG114" s="245"/>
      <c r="AH114" s="240"/>
      <c r="AI114" s="113"/>
      <c r="AJ114" s="270"/>
      <c r="AK114" s="271"/>
      <c r="AL114" s="245"/>
      <c r="AM114" s="240"/>
      <c r="AN114" s="32"/>
      <c r="AO114" s="12"/>
      <c r="AP114" s="12"/>
      <c r="AQ114" s="12"/>
      <c r="AR114" s="12"/>
      <c r="AS114" s="12"/>
      <c r="AT114" s="12"/>
      <c r="AU114" s="12"/>
      <c r="AV114" s="42"/>
      <c r="AW114" s="44"/>
      <c r="AX114" s="13"/>
      <c r="AY114" s="3"/>
      <c r="AZ114" s="1"/>
    </row>
    <row r="115" spans="1:55" s="25" customFormat="1" x14ac:dyDescent="0.25">
      <c r="A115" s="261"/>
      <c r="B115" s="260"/>
      <c r="C115" s="259"/>
      <c r="D115" s="240">
        <v>2.2000000000000002</v>
      </c>
      <c r="E115" s="58" t="s">
        <v>417</v>
      </c>
      <c r="F115" s="113"/>
      <c r="G115" s="260"/>
      <c r="H115" s="259"/>
      <c r="I115" s="240"/>
      <c r="J115" s="113"/>
      <c r="K115" s="260"/>
      <c r="L115" s="259"/>
      <c r="M115" s="241">
        <f>K113-M116-M127-M113-M117-M119-M120-M118-M114</f>
        <v>2.1900000000000004</v>
      </c>
      <c r="N115" s="58" t="s">
        <v>417</v>
      </c>
      <c r="O115" s="113"/>
      <c r="P115" s="260"/>
      <c r="Q115" s="259"/>
      <c r="R115" s="241">
        <v>2.4500000000000002</v>
      </c>
      <c r="S115" s="58" t="s">
        <v>510</v>
      </c>
      <c r="T115" s="113"/>
      <c r="U115" s="260"/>
      <c r="V115" s="259"/>
      <c r="W115" s="241">
        <f>U113-W118-W120-W119-W117-W113</f>
        <v>1.23</v>
      </c>
      <c r="X115" s="58" t="s">
        <v>130</v>
      </c>
      <c r="Y115" s="113"/>
      <c r="Z115" s="260"/>
      <c r="AA115" s="259"/>
      <c r="AB115" s="241"/>
      <c r="AC115" s="24"/>
      <c r="AD115" s="113"/>
      <c r="AE115" s="270"/>
      <c r="AF115" s="271"/>
      <c r="AG115" s="245"/>
      <c r="AH115" s="24"/>
      <c r="AI115" s="113"/>
      <c r="AJ115" s="270"/>
      <c r="AK115" s="271"/>
      <c r="AL115" s="245"/>
      <c r="AM115" s="24"/>
      <c r="AN115" s="32"/>
      <c r="AO115" s="12"/>
      <c r="AP115" s="12"/>
      <c r="AQ115" s="12"/>
      <c r="AR115" s="12"/>
      <c r="AS115" s="12"/>
      <c r="AT115" s="12"/>
      <c r="AU115" s="12"/>
      <c r="AV115" s="42"/>
      <c r="AW115" s="44"/>
      <c r="AX115" s="69"/>
      <c r="AY115" s="3"/>
      <c r="AZ115" s="1"/>
    </row>
    <row r="116" spans="1:55" s="25" customFormat="1" x14ac:dyDescent="0.25">
      <c r="A116" s="261"/>
      <c r="B116" s="260"/>
      <c r="C116" s="259"/>
      <c r="D116" s="241"/>
      <c r="E116" s="73"/>
      <c r="F116" s="113"/>
      <c r="G116" s="260"/>
      <c r="H116" s="259"/>
      <c r="I116" s="240"/>
      <c r="J116" s="113"/>
      <c r="K116" s="260"/>
      <c r="L116" s="259"/>
      <c r="M116" s="241"/>
      <c r="N116" s="73"/>
      <c r="O116" s="113"/>
      <c r="P116" s="260"/>
      <c r="Q116" s="259"/>
      <c r="R116" s="241"/>
      <c r="S116" s="73"/>
      <c r="T116" s="113"/>
      <c r="U116" s="260"/>
      <c r="V116" s="259"/>
      <c r="W116" s="56"/>
      <c r="X116" s="24"/>
      <c r="Y116" s="113"/>
      <c r="Z116" s="260"/>
      <c r="AA116" s="259"/>
      <c r="AB116" s="56"/>
      <c r="AC116" s="24"/>
      <c r="AD116" s="113"/>
      <c r="AE116" s="270"/>
      <c r="AF116" s="271"/>
      <c r="AG116" s="245"/>
      <c r="AH116" s="24"/>
      <c r="AI116" s="113"/>
      <c r="AJ116" s="270"/>
      <c r="AK116" s="271"/>
      <c r="AL116" s="245"/>
      <c r="AM116" s="24"/>
      <c r="AN116" s="32"/>
      <c r="AO116" s="12"/>
      <c r="AP116" s="12"/>
      <c r="AQ116" s="12"/>
      <c r="AR116" s="12"/>
      <c r="AS116" s="12"/>
      <c r="AT116" s="12"/>
      <c r="AU116" s="12"/>
      <c r="AV116" s="42"/>
      <c r="AW116" s="44"/>
      <c r="AX116" s="66"/>
      <c r="AY116" s="3"/>
      <c r="AZ116" s="1"/>
    </row>
    <row r="117" spans="1:55" s="25" customFormat="1" x14ac:dyDescent="0.25">
      <c r="A117" s="261"/>
      <c r="B117" s="260"/>
      <c r="C117" s="259"/>
      <c r="D117" s="241">
        <f>M117</f>
        <v>0.01</v>
      </c>
      <c r="E117" s="59" t="s">
        <v>74</v>
      </c>
      <c r="F117" s="113"/>
      <c r="G117" s="260"/>
      <c r="H117" s="259"/>
      <c r="I117" s="240"/>
      <c r="J117" s="113"/>
      <c r="K117" s="260"/>
      <c r="L117" s="259"/>
      <c r="M117" s="241">
        <f>R117</f>
        <v>0.01</v>
      </c>
      <c r="N117" s="59" t="s">
        <v>74</v>
      </c>
      <c r="O117" s="113"/>
      <c r="P117" s="260"/>
      <c r="Q117" s="259"/>
      <c r="R117" s="241">
        <v>0.01</v>
      </c>
      <c r="S117" s="59" t="s">
        <v>74</v>
      </c>
      <c r="T117" s="113"/>
      <c r="U117" s="260"/>
      <c r="V117" s="259"/>
      <c r="W117" s="241">
        <v>0.12</v>
      </c>
      <c r="X117" s="59" t="s">
        <v>74</v>
      </c>
      <c r="Y117" s="113"/>
      <c r="Z117" s="260"/>
      <c r="AA117" s="259"/>
      <c r="AB117" s="241">
        <v>0.12</v>
      </c>
      <c r="AC117" s="59" t="s">
        <v>74</v>
      </c>
      <c r="AD117" s="113"/>
      <c r="AE117" s="270"/>
      <c r="AF117" s="271"/>
      <c r="AG117" s="91"/>
      <c r="AH117" s="24"/>
      <c r="AI117" s="113"/>
      <c r="AJ117" s="270">
        <v>0.13</v>
      </c>
      <c r="AK117" s="271">
        <v>7.77</v>
      </c>
      <c r="AL117" s="245">
        <f>AJ117+AJ132/2</f>
        <v>0.29500000000000004</v>
      </c>
      <c r="AM117" s="59" t="s">
        <v>74</v>
      </c>
      <c r="AN117" s="32"/>
      <c r="AO117" s="31"/>
      <c r="AP117" s="31"/>
      <c r="AQ117" s="31"/>
      <c r="AR117" s="31"/>
      <c r="AS117" s="31"/>
      <c r="AT117" s="31"/>
      <c r="AU117" s="12"/>
      <c r="AV117" s="42"/>
      <c r="AW117" s="44"/>
      <c r="AX117" s="11"/>
      <c r="AY117" s="3"/>
      <c r="AZ117" s="1"/>
    </row>
    <row r="118" spans="1:55" s="25" customFormat="1" x14ac:dyDescent="0.25">
      <c r="A118" s="261"/>
      <c r="B118" s="260"/>
      <c r="C118" s="259"/>
      <c r="D118" s="241">
        <v>0.01</v>
      </c>
      <c r="E118" s="249" t="s">
        <v>403</v>
      </c>
      <c r="F118" s="113"/>
      <c r="G118" s="260"/>
      <c r="H118" s="259"/>
      <c r="I118" s="240"/>
      <c r="J118" s="113"/>
      <c r="K118" s="260"/>
      <c r="L118" s="259"/>
      <c r="M118" s="241">
        <f>0.96</f>
        <v>0.96</v>
      </c>
      <c r="N118" s="249" t="s">
        <v>403</v>
      </c>
      <c r="O118" s="113"/>
      <c r="P118" s="260"/>
      <c r="Q118" s="259"/>
      <c r="R118" s="241">
        <v>1.01</v>
      </c>
      <c r="S118" s="249" t="s">
        <v>520</v>
      </c>
      <c r="T118" s="113"/>
      <c r="U118" s="260"/>
      <c r="V118" s="259"/>
      <c r="W118" s="241">
        <v>0.01</v>
      </c>
      <c r="X118" s="249" t="s">
        <v>131</v>
      </c>
      <c r="Y118" s="113"/>
      <c r="Z118" s="260"/>
      <c r="AA118" s="259"/>
      <c r="AB118" s="241"/>
      <c r="AC118" s="241"/>
      <c r="AD118" s="113"/>
      <c r="AE118" s="270"/>
      <c r="AF118" s="271"/>
      <c r="AG118" s="245"/>
      <c r="AH118" s="241"/>
      <c r="AI118" s="113"/>
      <c r="AJ118" s="270"/>
      <c r="AK118" s="271"/>
      <c r="AL118" s="245"/>
      <c r="AM118" s="241"/>
      <c r="AN118" s="32"/>
      <c r="AO118" s="31"/>
      <c r="AP118" s="31"/>
      <c r="AQ118" s="31"/>
      <c r="AR118" s="31"/>
      <c r="AS118" s="31"/>
      <c r="AT118" s="31"/>
      <c r="AU118" s="12"/>
      <c r="AV118" s="12"/>
      <c r="AW118" s="44"/>
      <c r="AX118" s="13"/>
      <c r="AY118" s="3"/>
      <c r="AZ118" s="1"/>
    </row>
    <row r="119" spans="1:55" s="25" customFormat="1" x14ac:dyDescent="0.25">
      <c r="A119" s="261"/>
      <c r="B119" s="260"/>
      <c r="C119" s="259"/>
      <c r="D119" s="241">
        <f>R119</f>
        <v>0.01</v>
      </c>
      <c r="E119" s="249" t="s">
        <v>73</v>
      </c>
      <c r="F119" s="113"/>
      <c r="G119" s="260"/>
      <c r="H119" s="259"/>
      <c r="I119" s="240"/>
      <c r="J119" s="113"/>
      <c r="K119" s="260"/>
      <c r="L119" s="259"/>
      <c r="M119" s="241">
        <f>R119</f>
        <v>0.01</v>
      </c>
      <c r="N119" s="249" t="s">
        <v>73</v>
      </c>
      <c r="O119" s="113"/>
      <c r="P119" s="260"/>
      <c r="Q119" s="259"/>
      <c r="R119" s="241">
        <v>0.01</v>
      </c>
      <c r="S119" s="249" t="s">
        <v>73</v>
      </c>
      <c r="T119" s="113"/>
      <c r="U119" s="260"/>
      <c r="V119" s="259"/>
      <c r="W119" s="241">
        <v>0.12</v>
      </c>
      <c r="X119" s="249" t="s">
        <v>73</v>
      </c>
      <c r="Y119" s="113"/>
      <c r="Z119" s="260"/>
      <c r="AA119" s="259"/>
      <c r="AB119" s="241">
        <v>0.12</v>
      </c>
      <c r="AC119" s="249" t="s">
        <v>73</v>
      </c>
      <c r="AD119" s="113"/>
      <c r="AE119" s="270"/>
      <c r="AF119" s="271"/>
      <c r="AG119" s="245"/>
      <c r="AH119" s="245"/>
      <c r="AI119" s="113"/>
      <c r="AJ119" s="270"/>
      <c r="AK119" s="271"/>
      <c r="AL119" s="245">
        <f>AL117</f>
        <v>0.29500000000000004</v>
      </c>
      <c r="AM119" s="249" t="s">
        <v>73</v>
      </c>
      <c r="AN119" s="32"/>
      <c r="AO119" s="31"/>
      <c r="AP119" s="31"/>
      <c r="AQ119" s="31"/>
      <c r="AR119" s="31"/>
      <c r="AS119" s="31"/>
      <c r="AT119" s="31"/>
      <c r="AU119" s="12"/>
      <c r="AV119" s="42"/>
      <c r="AW119" s="44"/>
      <c r="AX119" s="13"/>
      <c r="AY119" s="3"/>
      <c r="AZ119" s="1"/>
    </row>
    <row r="120" spans="1:55" s="25" customFormat="1" x14ac:dyDescent="0.25">
      <c r="A120" s="261"/>
      <c r="B120" s="260"/>
      <c r="C120" s="259"/>
      <c r="D120" s="241">
        <v>0.01</v>
      </c>
      <c r="E120" s="68" t="s">
        <v>440</v>
      </c>
      <c r="F120" s="113"/>
      <c r="G120" s="260"/>
      <c r="H120" s="259"/>
      <c r="I120" s="240"/>
      <c r="J120" s="113"/>
      <c r="K120" s="260"/>
      <c r="L120" s="259"/>
      <c r="M120" s="241">
        <f>R120</f>
        <v>0.01</v>
      </c>
      <c r="N120" s="68" t="s">
        <v>440</v>
      </c>
      <c r="O120" s="113"/>
      <c r="P120" s="260"/>
      <c r="Q120" s="259"/>
      <c r="R120" s="241">
        <v>0.01</v>
      </c>
      <c r="S120" s="68" t="s">
        <v>521</v>
      </c>
      <c r="T120" s="113"/>
      <c r="U120" s="260"/>
      <c r="V120" s="259"/>
      <c r="W120" s="241">
        <f>AB75-W75-W320</f>
        <v>0.17</v>
      </c>
      <c r="X120" s="68" t="s">
        <v>132</v>
      </c>
      <c r="Y120" s="113"/>
      <c r="Z120" s="260"/>
      <c r="AA120" s="259"/>
      <c r="AB120" s="241"/>
      <c r="AC120" s="71"/>
      <c r="AD120" s="113"/>
      <c r="AE120" s="270"/>
      <c r="AF120" s="271"/>
      <c r="AG120" s="245"/>
      <c r="AH120" s="106"/>
      <c r="AI120" s="113"/>
      <c r="AJ120" s="270"/>
      <c r="AK120" s="271"/>
      <c r="AL120" s="245"/>
      <c r="AN120" s="32"/>
      <c r="AO120" s="31"/>
      <c r="AP120" s="31"/>
      <c r="AQ120" s="31"/>
      <c r="AR120" s="31"/>
      <c r="AS120" s="31"/>
      <c r="AT120" s="31"/>
      <c r="AU120" s="12"/>
      <c r="AV120" s="42"/>
      <c r="AW120" s="44"/>
      <c r="AX120" s="69"/>
      <c r="AY120" s="3"/>
      <c r="AZ120" s="1"/>
    </row>
    <row r="121" spans="1:55" s="25" customFormat="1" x14ac:dyDescent="0.25">
      <c r="A121" s="261"/>
      <c r="B121" s="260"/>
      <c r="C121" s="259"/>
      <c r="D121" s="240"/>
      <c r="E121" s="241"/>
      <c r="F121" s="113"/>
      <c r="G121" s="260"/>
      <c r="H121" s="259"/>
      <c r="I121" s="240"/>
      <c r="J121" s="113"/>
      <c r="K121" s="260"/>
      <c r="L121" s="259"/>
      <c r="M121" s="56"/>
      <c r="N121" s="24"/>
      <c r="O121" s="113"/>
      <c r="P121" s="260"/>
      <c r="Q121" s="259"/>
      <c r="R121" s="19">
        <v>0.36</v>
      </c>
      <c r="S121" s="238" t="s">
        <v>553</v>
      </c>
      <c r="T121" s="113"/>
      <c r="U121" s="260"/>
      <c r="V121" s="259"/>
      <c r="W121" s="56"/>
      <c r="X121" s="24"/>
      <c r="Y121" s="113"/>
      <c r="Z121" s="260"/>
      <c r="AA121" s="259"/>
      <c r="AB121" s="56"/>
      <c r="AC121" s="24"/>
      <c r="AD121" s="113"/>
      <c r="AE121" s="270"/>
      <c r="AF121" s="271"/>
      <c r="AG121" s="245"/>
      <c r="AH121" s="18"/>
      <c r="AI121" s="113"/>
      <c r="AJ121" s="270"/>
      <c r="AK121" s="271"/>
      <c r="AL121" s="245"/>
      <c r="AM121" s="18"/>
      <c r="AN121" s="32"/>
      <c r="AO121" s="31"/>
      <c r="AP121" s="31"/>
      <c r="AQ121" s="31"/>
      <c r="AR121" s="31"/>
      <c r="AS121" s="31"/>
      <c r="AT121" s="31"/>
      <c r="AU121" s="12"/>
      <c r="AV121" s="12"/>
      <c r="AW121" s="44"/>
      <c r="AX121" s="13"/>
      <c r="AY121" s="3"/>
      <c r="AZ121" s="1"/>
    </row>
    <row r="122" spans="1:55" s="25" customFormat="1" x14ac:dyDescent="0.25">
      <c r="A122" s="261"/>
      <c r="B122" s="260"/>
      <c r="C122" s="259"/>
      <c r="D122" s="240"/>
      <c r="E122" s="19"/>
      <c r="F122" s="113"/>
      <c r="G122" s="260"/>
      <c r="H122" s="259"/>
      <c r="I122" s="240"/>
      <c r="J122" s="113"/>
      <c r="K122" s="260"/>
      <c r="L122" s="259"/>
      <c r="M122" s="241"/>
      <c r="N122" s="19"/>
      <c r="O122" s="113"/>
      <c r="P122" s="260"/>
      <c r="Q122" s="259"/>
      <c r="R122" s="241"/>
      <c r="S122" s="19"/>
      <c r="T122" s="113"/>
      <c r="U122" s="260"/>
      <c r="V122" s="259"/>
      <c r="W122" s="241"/>
      <c r="X122" s="19"/>
      <c r="Y122" s="113"/>
      <c r="Z122" s="260"/>
      <c r="AA122" s="259"/>
      <c r="AB122" s="241"/>
      <c r="AC122" s="19"/>
      <c r="AD122" s="113"/>
      <c r="AE122" s="270"/>
      <c r="AF122" s="271"/>
      <c r="AG122" s="245"/>
      <c r="AH122" s="16"/>
      <c r="AI122" s="113"/>
      <c r="AJ122" s="270"/>
      <c r="AK122" s="271"/>
      <c r="AL122" s="245"/>
      <c r="AM122" s="16"/>
      <c r="AN122" s="32"/>
      <c r="AO122" s="31"/>
      <c r="AP122" s="31"/>
      <c r="AQ122" s="31"/>
      <c r="AR122" s="31"/>
      <c r="AS122" s="31"/>
      <c r="AT122" s="31"/>
      <c r="AU122" s="12"/>
      <c r="AV122" s="12"/>
      <c r="AW122" s="44"/>
      <c r="AX122" s="13"/>
      <c r="AY122" s="3"/>
      <c r="AZ122" s="1"/>
    </row>
    <row r="123" spans="1:55" s="25" customFormat="1" x14ac:dyDescent="0.25">
      <c r="A123" s="261"/>
      <c r="B123" s="260"/>
      <c r="C123" s="259"/>
      <c r="D123" s="240"/>
      <c r="E123" s="241"/>
      <c r="F123" s="113"/>
      <c r="G123" s="260"/>
      <c r="H123" s="259"/>
      <c r="I123" s="240"/>
      <c r="J123" s="113"/>
      <c r="K123" s="260"/>
      <c r="L123" s="259"/>
      <c r="M123" s="56"/>
      <c r="N123" s="24"/>
      <c r="O123" s="113"/>
      <c r="P123" s="260"/>
      <c r="Q123" s="259"/>
      <c r="R123" s="241"/>
      <c r="S123" s="241"/>
      <c r="T123" s="113"/>
      <c r="U123" s="260"/>
      <c r="V123" s="259"/>
      <c r="W123" s="56"/>
      <c r="X123" s="24"/>
      <c r="Y123" s="113"/>
      <c r="Z123" s="260"/>
      <c r="AA123" s="259"/>
      <c r="AB123" s="56"/>
      <c r="AC123" s="24"/>
      <c r="AD123" s="113"/>
      <c r="AE123" s="270"/>
      <c r="AF123" s="271"/>
      <c r="AG123" s="245"/>
      <c r="AH123" s="91" t="s">
        <v>202</v>
      </c>
      <c r="AI123" s="113"/>
      <c r="AJ123" s="270"/>
      <c r="AK123" s="271"/>
      <c r="AL123" s="245"/>
      <c r="AM123" s="91"/>
      <c r="AN123" s="32"/>
      <c r="AO123" s="12"/>
      <c r="AP123" s="12"/>
      <c r="AQ123" s="12"/>
      <c r="AR123" s="12"/>
      <c r="AS123" s="12"/>
      <c r="AT123" s="12"/>
      <c r="AU123" s="12"/>
      <c r="AV123" s="12"/>
      <c r="AW123" s="44"/>
      <c r="AX123" s="11"/>
      <c r="AY123" s="3"/>
      <c r="AZ123" s="1"/>
      <c r="BA123" s="1"/>
      <c r="BB123" s="4"/>
      <c r="BC123" s="53"/>
    </row>
    <row r="124" spans="1:55" s="25" customFormat="1" x14ac:dyDescent="0.25">
      <c r="A124" s="261"/>
      <c r="B124" s="260"/>
      <c r="C124" s="259"/>
      <c r="D124" s="56"/>
      <c r="E124" s="24"/>
      <c r="F124" s="113"/>
      <c r="G124" s="260"/>
      <c r="H124" s="259"/>
      <c r="I124" s="240"/>
      <c r="J124" s="113"/>
      <c r="K124" s="260"/>
      <c r="L124" s="259"/>
      <c r="M124" s="56"/>
      <c r="N124" s="24"/>
      <c r="O124" s="113"/>
      <c r="P124" s="260"/>
      <c r="Q124" s="259"/>
      <c r="R124" s="56"/>
      <c r="S124" s="24"/>
      <c r="T124" s="113"/>
      <c r="U124" s="260"/>
      <c r="V124" s="259"/>
      <c r="W124" s="56"/>
      <c r="X124" s="24"/>
      <c r="Y124" s="113"/>
      <c r="Z124" s="260"/>
      <c r="AA124" s="259"/>
      <c r="AB124" s="56"/>
      <c r="AC124" s="24"/>
      <c r="AD124" s="113"/>
      <c r="AE124" s="270"/>
      <c r="AF124" s="271"/>
      <c r="AG124" s="245"/>
      <c r="AH124" s="96"/>
      <c r="AI124" s="113"/>
      <c r="AJ124" s="270"/>
      <c r="AK124" s="271"/>
      <c r="AL124" s="245"/>
      <c r="AM124" s="96"/>
      <c r="AN124" s="32"/>
      <c r="AO124" s="12"/>
      <c r="AP124" s="12"/>
      <c r="AQ124" s="12"/>
      <c r="AR124" s="12"/>
      <c r="AS124" s="12"/>
      <c r="AT124" s="12"/>
      <c r="AU124" s="12"/>
      <c r="AV124" s="42"/>
      <c r="AW124" s="44"/>
      <c r="AX124" s="13"/>
      <c r="AY124" s="3"/>
      <c r="AZ124" s="1"/>
      <c r="BA124" s="1"/>
      <c r="BB124" s="4"/>
      <c r="BC124" s="53"/>
    </row>
    <row r="125" spans="1:55" s="25" customFormat="1" x14ac:dyDescent="0.25">
      <c r="A125" s="261"/>
      <c r="B125" s="260"/>
      <c r="C125" s="259"/>
      <c r="D125" s="56"/>
      <c r="E125" s="24"/>
      <c r="F125" s="113"/>
      <c r="G125" s="260"/>
      <c r="H125" s="259"/>
      <c r="I125" s="240"/>
      <c r="J125" s="113"/>
      <c r="K125" s="260"/>
      <c r="L125" s="259"/>
      <c r="M125" s="56"/>
      <c r="N125" s="24"/>
      <c r="O125" s="113"/>
      <c r="P125" s="260"/>
      <c r="Q125" s="259"/>
      <c r="R125" s="56"/>
      <c r="S125" s="24"/>
      <c r="T125" s="113"/>
      <c r="U125" s="260"/>
      <c r="V125" s="259"/>
      <c r="W125" s="56"/>
      <c r="X125" s="24"/>
      <c r="Y125" s="113"/>
      <c r="Z125" s="260"/>
      <c r="AA125" s="259"/>
      <c r="AB125" s="56"/>
      <c r="AC125" s="24"/>
      <c r="AD125" s="113"/>
      <c r="AE125" s="270"/>
      <c r="AF125" s="271"/>
      <c r="AG125" s="245"/>
      <c r="AH125" s="246"/>
      <c r="AI125" s="113"/>
      <c r="AJ125" s="270"/>
      <c r="AK125" s="271"/>
      <c r="AL125" s="245"/>
      <c r="AM125" s="246"/>
      <c r="AN125" s="32"/>
      <c r="AO125" s="12"/>
      <c r="AP125" s="12"/>
      <c r="AQ125" s="12"/>
      <c r="AR125" s="12"/>
      <c r="AS125" s="12"/>
      <c r="AT125" s="12"/>
      <c r="AU125" s="12"/>
      <c r="AV125" s="42"/>
      <c r="AW125" s="44"/>
      <c r="AX125" s="4"/>
      <c r="AY125" s="3"/>
      <c r="AZ125" s="1"/>
      <c r="BA125" s="1"/>
      <c r="BB125" s="4"/>
      <c r="BC125" s="53"/>
    </row>
    <row r="126" spans="1:55" s="25" customFormat="1" x14ac:dyDescent="0.25">
      <c r="A126" s="261"/>
      <c r="B126" s="260"/>
      <c r="C126" s="259"/>
      <c r="D126" s="56"/>
      <c r="E126" s="24"/>
      <c r="F126" s="113"/>
      <c r="G126" s="260"/>
      <c r="H126" s="259"/>
      <c r="I126" s="240"/>
      <c r="J126" s="113"/>
      <c r="K126" s="260"/>
      <c r="L126" s="259"/>
      <c r="M126" s="56"/>
      <c r="N126" s="24"/>
      <c r="O126" s="113"/>
      <c r="P126" s="260"/>
      <c r="Q126" s="259"/>
      <c r="R126" s="56"/>
      <c r="S126" s="24"/>
      <c r="T126" s="113"/>
      <c r="U126" s="260"/>
      <c r="V126" s="259"/>
      <c r="W126" s="241"/>
      <c r="X126" s="240"/>
      <c r="Y126" s="113"/>
      <c r="Z126" s="260"/>
      <c r="AA126" s="259"/>
      <c r="AB126" s="241"/>
      <c r="AC126" s="240"/>
      <c r="AD126" s="113"/>
      <c r="AE126" s="270"/>
      <c r="AF126" s="271"/>
      <c r="AG126" s="245"/>
      <c r="AH126" s="246"/>
      <c r="AI126" s="113"/>
      <c r="AJ126" s="270"/>
      <c r="AK126" s="271"/>
      <c r="AL126" s="245"/>
      <c r="AM126" s="246"/>
      <c r="AN126" s="32"/>
      <c r="AO126" s="12"/>
      <c r="AP126" s="12"/>
      <c r="AQ126" s="12"/>
      <c r="AR126" s="12"/>
      <c r="AS126" s="12"/>
      <c r="AT126" s="12"/>
      <c r="AU126" s="12"/>
      <c r="AV126" s="12"/>
      <c r="AW126" s="44"/>
      <c r="AX126" s="66"/>
      <c r="AY126" s="3"/>
      <c r="AZ126" s="1"/>
      <c r="BA126" s="1"/>
      <c r="BB126" s="4"/>
      <c r="BC126" s="53"/>
    </row>
    <row r="127" spans="1:55" s="25" customFormat="1" x14ac:dyDescent="0.25">
      <c r="A127" s="261"/>
      <c r="B127" s="260"/>
      <c r="C127" s="259"/>
      <c r="D127" s="241">
        <v>0.21</v>
      </c>
      <c r="E127" s="6" t="s">
        <v>343</v>
      </c>
      <c r="F127" s="113"/>
      <c r="G127" s="260"/>
      <c r="H127" s="259"/>
      <c r="I127" s="80"/>
      <c r="J127" s="113"/>
      <c r="K127" s="260"/>
      <c r="L127" s="259"/>
      <c r="M127" s="241">
        <v>0.21</v>
      </c>
      <c r="N127" s="6" t="s">
        <v>343</v>
      </c>
      <c r="O127" s="113"/>
      <c r="P127" s="260"/>
      <c r="Q127" s="259"/>
      <c r="R127" s="241">
        <v>0.31</v>
      </c>
      <c r="S127" s="6" t="s">
        <v>133</v>
      </c>
      <c r="T127" s="113"/>
      <c r="U127" s="260"/>
      <c r="V127" s="259"/>
      <c r="W127" s="241"/>
      <c r="X127" s="240"/>
      <c r="Y127" s="113"/>
      <c r="Z127" s="260"/>
      <c r="AA127" s="259"/>
      <c r="AB127" s="241"/>
      <c r="AC127" s="240"/>
      <c r="AD127" s="113"/>
      <c r="AE127" s="270"/>
      <c r="AF127" s="271"/>
      <c r="AG127" s="245"/>
      <c r="AH127" s="240"/>
      <c r="AI127" s="113"/>
      <c r="AJ127" s="270"/>
      <c r="AK127" s="271"/>
      <c r="AL127" s="245"/>
      <c r="AM127" s="240"/>
      <c r="AN127" s="32"/>
      <c r="AO127" s="12"/>
      <c r="AP127" s="12"/>
      <c r="AQ127" s="12"/>
      <c r="AR127" s="12"/>
      <c r="AS127" s="12"/>
      <c r="AT127" s="12"/>
      <c r="AU127" s="12"/>
      <c r="AV127" s="12"/>
      <c r="AW127" s="44"/>
      <c r="AX127" s="66"/>
      <c r="AY127" s="3"/>
      <c r="AZ127" s="1"/>
      <c r="BA127" s="1"/>
      <c r="BB127" s="4"/>
      <c r="BC127" s="53"/>
    </row>
    <row r="128" spans="1:55" s="25" customFormat="1" x14ac:dyDescent="0.25">
      <c r="A128" s="261"/>
      <c r="B128" s="260"/>
      <c r="C128" s="259"/>
      <c r="D128" s="241"/>
      <c r="E128" s="241"/>
      <c r="F128" s="113"/>
      <c r="G128" s="260"/>
      <c r="H128" s="259"/>
      <c r="I128" s="240"/>
      <c r="J128" s="113"/>
      <c r="K128" s="260"/>
      <c r="L128" s="259"/>
      <c r="M128" s="241"/>
      <c r="N128" s="241"/>
      <c r="O128" s="113"/>
      <c r="P128" s="260"/>
      <c r="Q128" s="259"/>
      <c r="R128" s="241"/>
      <c r="S128" s="241"/>
      <c r="T128" s="113"/>
      <c r="U128" s="260"/>
      <c r="V128" s="259"/>
      <c r="W128" s="241"/>
      <c r="X128" s="241"/>
      <c r="Y128" s="113"/>
      <c r="Z128" s="260"/>
      <c r="AA128" s="259"/>
      <c r="AB128" s="241"/>
      <c r="AC128" s="241"/>
      <c r="AD128" s="113"/>
      <c r="AE128" s="270"/>
      <c r="AF128" s="271"/>
      <c r="AG128" s="245"/>
      <c r="AH128" s="241"/>
      <c r="AI128" s="113"/>
      <c r="AJ128" s="270"/>
      <c r="AK128" s="271"/>
      <c r="AL128" s="245"/>
      <c r="AM128" s="241"/>
      <c r="AN128" s="32"/>
      <c r="AO128" s="12"/>
      <c r="AP128" s="12"/>
      <c r="AQ128" s="12"/>
      <c r="AR128" s="12"/>
      <c r="AS128" s="12"/>
      <c r="AT128" s="12"/>
      <c r="AU128" s="12"/>
      <c r="AV128" s="42"/>
      <c r="AW128" s="44"/>
      <c r="AX128" s="4"/>
      <c r="AY128" s="3"/>
      <c r="AZ128" s="1"/>
      <c r="BA128" s="1"/>
      <c r="BB128" s="4"/>
      <c r="BC128" s="53"/>
    </row>
    <row r="129" spans="1:55" s="25" customFormat="1" x14ac:dyDescent="0.25">
      <c r="A129" s="261"/>
      <c r="B129" s="260"/>
      <c r="C129" s="259"/>
      <c r="D129" s="241"/>
      <c r="E129" s="19"/>
      <c r="F129" s="113"/>
      <c r="G129" s="260"/>
      <c r="H129" s="259"/>
      <c r="I129" s="240"/>
      <c r="J129" s="113"/>
      <c r="K129" s="260"/>
      <c r="L129" s="259"/>
      <c r="M129" s="241"/>
      <c r="N129" s="19"/>
      <c r="O129" s="113"/>
      <c r="P129" s="260"/>
      <c r="Q129" s="259"/>
      <c r="R129" s="241"/>
      <c r="S129" s="19"/>
      <c r="T129" s="113"/>
      <c r="U129" s="260"/>
      <c r="V129" s="259"/>
      <c r="W129" s="241"/>
      <c r="X129" s="19"/>
      <c r="Y129" s="113"/>
      <c r="Z129" s="260"/>
      <c r="AA129" s="259"/>
      <c r="AB129" s="241"/>
      <c r="AC129" s="19"/>
      <c r="AD129" s="113"/>
      <c r="AE129" s="270"/>
      <c r="AF129" s="271"/>
      <c r="AG129" s="245"/>
      <c r="AH129" s="19"/>
      <c r="AI129" s="113"/>
      <c r="AJ129" s="270"/>
      <c r="AK129" s="271"/>
      <c r="AL129" s="245"/>
      <c r="AM129" s="19"/>
      <c r="AN129" s="32"/>
      <c r="AO129" s="31"/>
      <c r="AP129" s="31"/>
      <c r="AQ129" s="31"/>
      <c r="AR129" s="31"/>
      <c r="AS129" s="31"/>
      <c r="AT129" s="31"/>
      <c r="AU129" s="12"/>
      <c r="AV129" s="42"/>
      <c r="AW129" s="44"/>
      <c r="AX129" s="13"/>
      <c r="AY129" s="3"/>
      <c r="AZ129" s="1"/>
      <c r="BA129" s="1"/>
      <c r="BB129" s="4"/>
      <c r="BC129" s="53"/>
    </row>
    <row r="130" spans="1:55" s="25" customFormat="1" x14ac:dyDescent="0.25">
      <c r="A130" s="261"/>
      <c r="B130" s="260"/>
      <c r="C130" s="259"/>
      <c r="D130" s="241"/>
      <c r="E130" s="241"/>
      <c r="F130" s="113"/>
      <c r="G130" s="260"/>
      <c r="H130" s="259"/>
      <c r="I130" s="240"/>
      <c r="J130" s="113"/>
      <c r="K130" s="260"/>
      <c r="L130" s="259"/>
      <c r="M130" s="241"/>
      <c r="N130" s="241"/>
      <c r="O130" s="113"/>
      <c r="P130" s="260"/>
      <c r="Q130" s="259"/>
      <c r="R130" s="241"/>
      <c r="S130" s="241"/>
      <c r="T130" s="113"/>
      <c r="U130" s="260"/>
      <c r="V130" s="259"/>
      <c r="W130" s="241"/>
      <c r="X130" s="241"/>
      <c r="Y130" s="113"/>
      <c r="Z130" s="260"/>
      <c r="AA130" s="259"/>
      <c r="AB130" s="241"/>
      <c r="AC130" s="241"/>
      <c r="AD130" s="113"/>
      <c r="AE130" s="270"/>
      <c r="AF130" s="271"/>
      <c r="AG130" s="245"/>
      <c r="AH130" s="241"/>
      <c r="AI130" s="113"/>
      <c r="AJ130" s="270"/>
      <c r="AK130" s="271"/>
      <c r="AL130" s="245"/>
      <c r="AM130" s="241"/>
      <c r="AN130" s="32"/>
      <c r="AO130" s="12"/>
      <c r="AP130" s="12"/>
      <c r="AQ130" s="12"/>
      <c r="AR130" s="12"/>
      <c r="AS130" s="12"/>
      <c r="AT130" s="12"/>
      <c r="AU130" s="12"/>
      <c r="AV130" s="12"/>
      <c r="AW130" s="44"/>
      <c r="AX130" s="13"/>
      <c r="AY130" s="3"/>
      <c r="AZ130" s="1"/>
      <c r="BA130" s="1"/>
      <c r="BB130" s="4"/>
      <c r="BC130" s="53"/>
    </row>
    <row r="131" spans="1:55" s="25" customFormat="1" x14ac:dyDescent="0.25">
      <c r="A131" s="261"/>
      <c r="B131" s="260"/>
      <c r="C131" s="259"/>
      <c r="D131" s="56"/>
      <c r="E131" s="24"/>
      <c r="F131" s="113"/>
      <c r="G131" s="260"/>
      <c r="H131" s="259"/>
      <c r="I131" s="240"/>
      <c r="J131" s="113"/>
      <c r="K131" s="260"/>
      <c r="L131" s="259"/>
      <c r="M131" s="56"/>
      <c r="N131" s="24"/>
      <c r="O131" s="113"/>
      <c r="P131" s="260"/>
      <c r="Q131" s="259"/>
      <c r="R131" s="56"/>
      <c r="S131" s="24"/>
      <c r="T131" s="113"/>
      <c r="U131" s="260"/>
      <c r="V131" s="259"/>
      <c r="W131" s="241"/>
      <c r="X131" s="19"/>
      <c r="Y131" s="113"/>
      <c r="Z131" s="260"/>
      <c r="AA131" s="259"/>
      <c r="AB131" s="56"/>
      <c r="AC131" s="19"/>
      <c r="AD131" s="113"/>
      <c r="AE131" s="270"/>
      <c r="AF131" s="271"/>
      <c r="AG131" s="245"/>
      <c r="AH131" s="19"/>
      <c r="AI131" s="113"/>
      <c r="AJ131" s="270"/>
      <c r="AK131" s="271"/>
      <c r="AL131" s="245"/>
      <c r="AM131" s="19"/>
      <c r="AN131" s="32"/>
      <c r="AO131" s="31"/>
      <c r="AP131" s="31"/>
      <c r="AQ131" s="31"/>
      <c r="AR131" s="31"/>
      <c r="AS131" s="31"/>
      <c r="AT131" s="31"/>
      <c r="AU131" s="12"/>
      <c r="AV131" s="12"/>
      <c r="AW131" s="12"/>
      <c r="AX131" s="72"/>
      <c r="AY131" s="3"/>
      <c r="AZ131" s="1"/>
      <c r="BA131" s="1"/>
      <c r="BB131" s="4"/>
      <c r="BC131" s="53"/>
    </row>
    <row r="132" spans="1:55" s="25" customFormat="1" x14ac:dyDescent="0.25">
      <c r="A132" s="261"/>
      <c r="B132" s="260"/>
      <c r="C132" s="259"/>
      <c r="D132" s="241"/>
      <c r="E132" s="19"/>
      <c r="F132" s="113"/>
      <c r="G132" s="260"/>
      <c r="H132" s="259"/>
      <c r="I132" s="240"/>
      <c r="J132" s="113"/>
      <c r="K132" s="260"/>
      <c r="L132" s="259"/>
      <c r="M132" s="241"/>
      <c r="N132" s="19"/>
      <c r="O132" s="113"/>
      <c r="P132" s="260"/>
      <c r="Q132" s="259"/>
      <c r="R132" s="56"/>
      <c r="S132" s="24"/>
      <c r="T132" s="113"/>
      <c r="U132" s="260"/>
      <c r="V132" s="259"/>
      <c r="W132" s="241"/>
      <c r="X132" s="24"/>
      <c r="Y132" s="113"/>
      <c r="Z132" s="260"/>
      <c r="AA132" s="259"/>
      <c r="AB132" s="241"/>
      <c r="AC132" s="24"/>
      <c r="AD132" s="113"/>
      <c r="AE132" s="270"/>
      <c r="AF132" s="271"/>
      <c r="AG132" s="245"/>
      <c r="AH132" s="24"/>
      <c r="AI132" s="113"/>
      <c r="AJ132" s="245">
        <v>0.33</v>
      </c>
      <c r="AK132" s="246">
        <v>7.88</v>
      </c>
      <c r="AL132" s="245"/>
      <c r="AM132" s="24"/>
      <c r="AN132" s="32"/>
      <c r="AO132" s="12"/>
      <c r="AP132" s="12"/>
      <c r="AQ132" s="12"/>
      <c r="AR132" s="12"/>
      <c r="AS132" s="12"/>
      <c r="AT132" s="12"/>
      <c r="AU132" s="12"/>
      <c r="AV132" s="42"/>
      <c r="AW132" s="44"/>
      <c r="AX132" s="13"/>
      <c r="AY132" s="3"/>
      <c r="AZ132" s="1"/>
      <c r="BA132" s="1"/>
      <c r="BB132" s="4"/>
      <c r="BC132" s="53"/>
    </row>
    <row r="133" spans="1:55" s="25" customFormat="1" x14ac:dyDescent="0.25">
      <c r="A133" s="261">
        <v>28</v>
      </c>
      <c r="B133" s="260">
        <v>0.86</v>
      </c>
      <c r="C133" s="259">
        <v>7.81</v>
      </c>
      <c r="D133" s="240"/>
      <c r="E133" s="241"/>
      <c r="F133" s="113"/>
      <c r="G133" s="260">
        <v>1.1100000000000001</v>
      </c>
      <c r="H133" s="259">
        <v>7.58</v>
      </c>
      <c r="I133" s="240"/>
      <c r="J133" s="113"/>
      <c r="K133" s="260">
        <v>1.04</v>
      </c>
      <c r="L133" s="259">
        <v>7.89</v>
      </c>
      <c r="M133" s="241"/>
      <c r="N133" s="240"/>
      <c r="O133" s="113"/>
      <c r="P133" s="260">
        <v>0.89</v>
      </c>
      <c r="Q133" s="259">
        <v>7.82</v>
      </c>
      <c r="R133" s="241"/>
      <c r="S133" s="241"/>
      <c r="T133" s="113"/>
      <c r="U133" s="260">
        <v>1.33</v>
      </c>
      <c r="V133" s="259">
        <v>7.81</v>
      </c>
      <c r="W133" s="241">
        <f>U153</f>
        <v>1.2</v>
      </c>
      <c r="X133" s="75" t="s">
        <v>196</v>
      </c>
      <c r="Y133" s="113"/>
      <c r="Z133" s="260">
        <v>1.1000000000000001</v>
      </c>
      <c r="AA133" s="259">
        <v>7.84</v>
      </c>
      <c r="AB133" s="241">
        <f>Z150</f>
        <v>0.88</v>
      </c>
      <c r="AC133" s="75" t="s">
        <v>196</v>
      </c>
      <c r="AD133" s="113"/>
      <c r="AE133" s="270">
        <v>0.68</v>
      </c>
      <c r="AF133" s="271">
        <v>7.37</v>
      </c>
      <c r="AG133" s="245">
        <f>AE150</f>
        <v>0.93</v>
      </c>
      <c r="AH133" s="75" t="s">
        <v>196</v>
      </c>
      <c r="AI133" s="113"/>
      <c r="AJ133" s="270">
        <v>0.96</v>
      </c>
      <c r="AK133" s="271">
        <v>7.99</v>
      </c>
      <c r="AL133" s="245"/>
      <c r="AM133" s="24"/>
      <c r="AN133" s="32"/>
      <c r="AO133" s="12"/>
      <c r="AP133" s="12"/>
      <c r="AQ133" s="12"/>
      <c r="AR133" s="12"/>
      <c r="AS133" s="12"/>
      <c r="AT133" s="12"/>
      <c r="AU133" s="12"/>
      <c r="AV133" s="12"/>
      <c r="AW133" s="12"/>
      <c r="AX133" s="72"/>
      <c r="AY133" s="3"/>
      <c r="AZ133" s="1"/>
      <c r="BA133" s="1"/>
      <c r="BB133" s="4"/>
      <c r="BC133" s="53"/>
    </row>
    <row r="134" spans="1:55" s="25" customFormat="1" x14ac:dyDescent="0.25">
      <c r="A134" s="261"/>
      <c r="B134" s="260"/>
      <c r="C134" s="259"/>
      <c r="D134" s="240"/>
      <c r="E134" s="241"/>
      <c r="F134" s="113"/>
      <c r="G134" s="260"/>
      <c r="H134" s="259"/>
      <c r="I134" s="240"/>
      <c r="J134" s="113"/>
      <c r="K134" s="260"/>
      <c r="L134" s="259"/>
      <c r="M134" s="241"/>
      <c r="N134" s="241"/>
      <c r="O134" s="113"/>
      <c r="P134" s="260"/>
      <c r="Q134" s="259"/>
      <c r="R134" s="241"/>
      <c r="S134" s="241"/>
      <c r="T134" s="113"/>
      <c r="U134" s="260"/>
      <c r="V134" s="259"/>
      <c r="W134" s="241"/>
      <c r="X134" s="241"/>
      <c r="Y134" s="113"/>
      <c r="Z134" s="260"/>
      <c r="AA134" s="259"/>
      <c r="AB134" s="241"/>
      <c r="AC134" s="241"/>
      <c r="AD134" s="113"/>
      <c r="AE134" s="270"/>
      <c r="AF134" s="271"/>
      <c r="AG134" s="245"/>
      <c r="AH134" s="241"/>
      <c r="AI134" s="113"/>
      <c r="AJ134" s="270"/>
      <c r="AK134" s="271"/>
      <c r="AL134" s="245"/>
      <c r="AM134" s="241"/>
      <c r="AN134" s="32"/>
      <c r="AO134" s="12"/>
      <c r="AP134" s="12"/>
      <c r="AQ134" s="12"/>
      <c r="AR134" s="12"/>
      <c r="AS134" s="12"/>
      <c r="AT134" s="12"/>
      <c r="AU134" s="12"/>
      <c r="AV134" s="42"/>
      <c r="AW134" s="44"/>
      <c r="AX134" s="3"/>
      <c r="AY134" s="3"/>
      <c r="AZ134" s="1"/>
      <c r="BA134" s="1"/>
      <c r="BB134" s="4"/>
      <c r="BC134" s="53"/>
    </row>
    <row r="135" spans="1:55" s="25" customFormat="1" x14ac:dyDescent="0.25">
      <c r="A135" s="261"/>
      <c r="B135" s="260"/>
      <c r="C135" s="259"/>
      <c r="D135" s="240"/>
      <c r="E135" s="241"/>
      <c r="F135" s="113"/>
      <c r="G135" s="260"/>
      <c r="H135" s="259"/>
      <c r="I135" s="240"/>
      <c r="J135" s="113"/>
      <c r="K135" s="260"/>
      <c r="L135" s="259"/>
      <c r="M135" s="241"/>
      <c r="N135" s="241"/>
      <c r="O135" s="113"/>
      <c r="P135" s="260"/>
      <c r="Q135" s="259"/>
      <c r="R135" s="241"/>
      <c r="S135" s="241"/>
      <c r="T135" s="113"/>
      <c r="U135" s="260"/>
      <c r="V135" s="259"/>
      <c r="W135" s="241"/>
      <c r="X135" s="241"/>
      <c r="Y135" s="113"/>
      <c r="Z135" s="260"/>
      <c r="AA135" s="259"/>
      <c r="AB135" s="241"/>
      <c r="AC135" s="241"/>
      <c r="AD135" s="113"/>
      <c r="AE135" s="270"/>
      <c r="AF135" s="271"/>
      <c r="AG135" s="245"/>
      <c r="AH135" s="241"/>
      <c r="AI135" s="113"/>
      <c r="AJ135" s="270"/>
      <c r="AK135" s="271"/>
      <c r="AL135" s="245"/>
      <c r="AM135" s="241"/>
      <c r="AN135" s="32"/>
      <c r="AO135" s="12"/>
      <c r="AP135" s="12"/>
      <c r="AQ135" s="12"/>
      <c r="AR135" s="12"/>
      <c r="AS135" s="12"/>
      <c r="AT135" s="12"/>
      <c r="AU135" s="12"/>
      <c r="AV135" s="42"/>
      <c r="AW135" s="44"/>
      <c r="AX135" s="3"/>
      <c r="AY135" s="3"/>
      <c r="AZ135" s="1"/>
      <c r="BA135" s="1"/>
      <c r="BB135" s="4"/>
      <c r="BC135" s="53"/>
    </row>
    <row r="136" spans="1:55" s="25" customFormat="1" x14ac:dyDescent="0.25">
      <c r="A136" s="261"/>
      <c r="B136" s="260"/>
      <c r="C136" s="259"/>
      <c r="D136" s="240">
        <f>M136</f>
        <v>0.4</v>
      </c>
      <c r="E136" s="22" t="s">
        <v>406</v>
      </c>
      <c r="F136" s="113"/>
      <c r="G136" s="260"/>
      <c r="H136" s="259"/>
      <c r="I136" s="240"/>
      <c r="J136" s="113"/>
      <c r="K136" s="260"/>
      <c r="L136" s="259"/>
      <c r="M136" s="241">
        <v>0.4</v>
      </c>
      <c r="N136" s="22" t="s">
        <v>406</v>
      </c>
      <c r="O136" s="113"/>
      <c r="P136" s="260"/>
      <c r="Q136" s="259"/>
      <c r="R136" s="241">
        <v>0.8</v>
      </c>
      <c r="S136" s="22" t="s">
        <v>134</v>
      </c>
      <c r="T136" s="113"/>
      <c r="U136" s="260"/>
      <c r="V136" s="259"/>
      <c r="W136" s="241"/>
      <c r="X136" s="73"/>
      <c r="Y136" s="113"/>
      <c r="Z136" s="260"/>
      <c r="AA136" s="259"/>
      <c r="AB136" s="241"/>
      <c r="AC136" s="240"/>
      <c r="AD136" s="113"/>
      <c r="AE136" s="270"/>
      <c r="AF136" s="271"/>
      <c r="AG136" s="245"/>
      <c r="AH136" s="240"/>
      <c r="AI136" s="113"/>
      <c r="AJ136" s="270"/>
      <c r="AK136" s="271"/>
      <c r="AL136" s="245"/>
      <c r="AM136" s="240"/>
      <c r="AN136" s="32"/>
      <c r="AO136" s="31"/>
      <c r="AP136" s="31"/>
      <c r="AQ136" s="31"/>
      <c r="AR136" s="31"/>
      <c r="AS136" s="31"/>
      <c r="AT136" s="31"/>
      <c r="AU136" s="12"/>
      <c r="AV136" s="42"/>
      <c r="AW136" s="44"/>
      <c r="AX136" s="66"/>
      <c r="AY136" s="3"/>
      <c r="AZ136" s="1"/>
      <c r="BA136" s="1"/>
      <c r="BB136" s="4"/>
      <c r="BC136" s="53"/>
    </row>
    <row r="137" spans="1:55" s="25" customFormat="1" x14ac:dyDescent="0.25">
      <c r="A137" s="261"/>
      <c r="B137" s="260"/>
      <c r="C137" s="259"/>
      <c r="D137" s="49"/>
      <c r="E137" s="24"/>
      <c r="F137" s="113"/>
      <c r="G137" s="260"/>
      <c r="H137" s="259"/>
      <c r="I137" s="240"/>
      <c r="J137" s="113"/>
      <c r="K137" s="260"/>
      <c r="L137" s="259"/>
      <c r="M137" s="241"/>
      <c r="N137" s="19"/>
      <c r="O137" s="113"/>
      <c r="P137" s="260"/>
      <c r="Q137" s="259"/>
      <c r="R137" s="241"/>
      <c r="S137" s="24"/>
      <c r="T137" s="113"/>
      <c r="U137" s="260"/>
      <c r="V137" s="259"/>
      <c r="W137" s="24"/>
      <c r="X137" s="24"/>
      <c r="Y137" s="113"/>
      <c r="Z137" s="260"/>
      <c r="AA137" s="259"/>
      <c r="AB137" s="24"/>
      <c r="AC137" s="24"/>
      <c r="AD137" s="113"/>
      <c r="AE137" s="270"/>
      <c r="AF137" s="271"/>
      <c r="AG137" s="24"/>
      <c r="AH137" s="24"/>
      <c r="AI137" s="113"/>
      <c r="AJ137" s="270"/>
      <c r="AK137" s="271"/>
      <c r="AL137" s="245"/>
      <c r="AM137" s="19"/>
      <c r="AN137" s="32"/>
      <c r="AO137" s="12"/>
      <c r="AP137" s="12"/>
      <c r="AQ137" s="12"/>
      <c r="AR137" s="12"/>
      <c r="AS137" s="12"/>
      <c r="AT137" s="12"/>
      <c r="AU137" s="12"/>
      <c r="AV137" s="42"/>
      <c r="AW137" s="44"/>
      <c r="AX137" s="13"/>
      <c r="AY137" s="3"/>
      <c r="AZ137" s="1"/>
      <c r="BA137" s="1"/>
      <c r="BB137" s="4"/>
      <c r="BC137" s="53"/>
    </row>
    <row r="138" spans="1:55" s="25" customFormat="1" x14ac:dyDescent="0.25">
      <c r="A138" s="261"/>
      <c r="B138" s="260"/>
      <c r="C138" s="259"/>
      <c r="D138" s="241">
        <f>B133-D136</f>
        <v>0.45999999999999996</v>
      </c>
      <c r="E138" s="54" t="s">
        <v>34</v>
      </c>
      <c r="F138" s="113"/>
      <c r="G138" s="260"/>
      <c r="H138" s="259"/>
      <c r="I138" s="240"/>
      <c r="J138" s="113"/>
      <c r="K138" s="260"/>
      <c r="L138" s="259"/>
      <c r="M138" s="241">
        <f>K133-M136</f>
        <v>0.64</v>
      </c>
      <c r="N138" s="54" t="s">
        <v>34</v>
      </c>
      <c r="O138" s="113"/>
      <c r="P138" s="260"/>
      <c r="Q138" s="259"/>
      <c r="R138" s="241">
        <f>P133-R136</f>
        <v>8.9999999999999969E-2</v>
      </c>
      <c r="S138" s="54" t="s">
        <v>34</v>
      </c>
      <c r="T138" s="113"/>
      <c r="U138" s="260"/>
      <c r="V138" s="259"/>
      <c r="W138" s="241">
        <f>U133+U139-W149-W140-W144-W139-W203</f>
        <v>3.6899999999999991</v>
      </c>
      <c r="X138" s="54" t="s">
        <v>34</v>
      </c>
      <c r="Y138" s="113"/>
      <c r="Z138" s="260"/>
      <c r="AA138" s="259"/>
      <c r="AB138" s="241">
        <f>Z133-AB203</f>
        <v>0.70000000000000007</v>
      </c>
      <c r="AC138" s="54" t="s">
        <v>34</v>
      </c>
      <c r="AD138" s="113"/>
      <c r="AE138" s="270"/>
      <c r="AF138" s="271"/>
      <c r="AG138" s="245">
        <f>AE133-AG203</f>
        <v>0.28000000000000003</v>
      </c>
      <c r="AH138" s="54" t="s">
        <v>34</v>
      </c>
      <c r="AI138" s="113"/>
      <c r="AJ138" s="270"/>
      <c r="AK138" s="271"/>
      <c r="AL138" s="245">
        <f>AJ133</f>
        <v>0.96</v>
      </c>
      <c r="AM138" s="54" t="s">
        <v>34</v>
      </c>
      <c r="AN138" s="32"/>
      <c r="AO138" s="12"/>
      <c r="AP138" s="12"/>
      <c r="AQ138" s="12"/>
      <c r="AR138" s="12"/>
      <c r="AS138" s="12"/>
      <c r="AT138" s="12"/>
      <c r="AU138" s="12"/>
      <c r="AV138" s="12"/>
      <c r="AW138" s="44"/>
      <c r="AX138" s="11"/>
      <c r="AY138" s="3"/>
      <c r="AZ138" s="1"/>
      <c r="BA138" s="2"/>
      <c r="BB138" s="3"/>
      <c r="BC138" s="53"/>
    </row>
    <row r="139" spans="1:55" s="25" customFormat="1" x14ac:dyDescent="0.25">
      <c r="A139" s="261">
        <v>29</v>
      </c>
      <c r="B139" s="260">
        <v>4.12</v>
      </c>
      <c r="C139" s="259">
        <v>7.92</v>
      </c>
      <c r="D139" s="240">
        <f>R139</f>
        <v>1.575</v>
      </c>
      <c r="E139" s="6" t="s">
        <v>23</v>
      </c>
      <c r="F139" s="113"/>
      <c r="G139" s="260">
        <v>0.21</v>
      </c>
      <c r="H139" s="259">
        <v>7.63</v>
      </c>
      <c r="I139" s="80"/>
      <c r="J139" s="113"/>
      <c r="K139" s="260">
        <v>3.99</v>
      </c>
      <c r="L139" s="259">
        <v>8</v>
      </c>
      <c r="M139" s="241">
        <f>R139</f>
        <v>1.575</v>
      </c>
      <c r="N139" s="6" t="s">
        <v>23</v>
      </c>
      <c r="O139" s="113"/>
      <c r="P139" s="260">
        <v>3.61</v>
      </c>
      <c r="Q139" s="259">
        <v>7.94</v>
      </c>
      <c r="R139" s="241">
        <f>AB139</f>
        <v>1.575</v>
      </c>
      <c r="S139" s="6" t="s">
        <v>23</v>
      </c>
      <c r="T139" s="113"/>
      <c r="U139" s="260">
        <v>6.1</v>
      </c>
      <c r="V139" s="259">
        <v>7.92</v>
      </c>
      <c r="W139" s="241">
        <f>AB139</f>
        <v>1.575</v>
      </c>
      <c r="X139" s="6" t="s">
        <v>23</v>
      </c>
      <c r="Y139" s="113"/>
      <c r="Z139" s="260">
        <v>3.39</v>
      </c>
      <c r="AA139" s="259">
        <v>7.95</v>
      </c>
      <c r="AB139" s="241">
        <f>AL139</f>
        <v>1.575</v>
      </c>
      <c r="AC139" s="6" t="s">
        <v>23</v>
      </c>
      <c r="AD139" s="113"/>
      <c r="AE139" s="270">
        <v>4.01</v>
      </c>
      <c r="AF139" s="271">
        <v>7.48</v>
      </c>
      <c r="AG139" s="245">
        <f>3.6/2</f>
        <v>1.8</v>
      </c>
      <c r="AH139" s="6" t="s">
        <v>23</v>
      </c>
      <c r="AI139" s="113"/>
      <c r="AJ139" s="270">
        <v>3.15</v>
      </c>
      <c r="AK139" s="271">
        <v>8.11</v>
      </c>
      <c r="AL139" s="245">
        <f>AJ139/2</f>
        <v>1.575</v>
      </c>
      <c r="AM139" s="6" t="s">
        <v>23</v>
      </c>
      <c r="AN139" s="32"/>
      <c r="AO139" s="31"/>
      <c r="AP139" s="31"/>
      <c r="AQ139" s="31"/>
      <c r="AR139" s="31"/>
      <c r="AS139" s="31"/>
      <c r="AT139" s="31"/>
      <c r="AU139" s="12"/>
      <c r="AV139" s="12"/>
      <c r="AW139" s="44"/>
      <c r="AX139" s="11"/>
      <c r="AY139" s="3"/>
      <c r="AZ139" s="1"/>
      <c r="BA139" s="2"/>
      <c r="BB139" s="3"/>
      <c r="BC139" s="53"/>
    </row>
    <row r="140" spans="1:55" s="25" customFormat="1" x14ac:dyDescent="0.25">
      <c r="A140" s="261"/>
      <c r="B140" s="260"/>
      <c r="C140" s="259"/>
      <c r="D140" s="56"/>
      <c r="E140" s="24"/>
      <c r="F140" s="113"/>
      <c r="G140" s="260"/>
      <c r="H140" s="259"/>
      <c r="I140" s="240"/>
      <c r="J140" s="113"/>
      <c r="K140" s="260"/>
      <c r="L140" s="259"/>
      <c r="M140" s="241">
        <v>0.01</v>
      </c>
      <c r="N140" s="7" t="s">
        <v>118</v>
      </c>
      <c r="O140" s="113"/>
      <c r="P140" s="260"/>
      <c r="Q140" s="259"/>
      <c r="R140" s="241">
        <f>AB140</f>
        <v>0.25</v>
      </c>
      <c r="S140" s="7" t="s">
        <v>118</v>
      </c>
      <c r="T140" s="113"/>
      <c r="U140" s="260"/>
      <c r="V140" s="259"/>
      <c r="W140" s="241">
        <v>0.2</v>
      </c>
      <c r="X140" s="7" t="s">
        <v>118</v>
      </c>
      <c r="Y140" s="113"/>
      <c r="Z140" s="260"/>
      <c r="AA140" s="259"/>
      <c r="AB140" s="241">
        <f>Z139-AB144-AB139-AB149</f>
        <v>0.25</v>
      </c>
      <c r="AC140" s="7" t="s">
        <v>118</v>
      </c>
      <c r="AD140" s="113"/>
      <c r="AE140" s="270"/>
      <c r="AF140" s="271"/>
      <c r="AG140" s="91"/>
      <c r="AH140" s="24"/>
      <c r="AI140" s="113"/>
      <c r="AJ140" s="270"/>
      <c r="AK140" s="271"/>
      <c r="AL140" s="245">
        <v>0.01</v>
      </c>
      <c r="AM140" s="7" t="s">
        <v>118</v>
      </c>
      <c r="AN140" s="32"/>
      <c r="AO140" s="12"/>
      <c r="AP140" s="12"/>
      <c r="AQ140" s="12"/>
      <c r="AR140" s="12"/>
      <c r="AS140" s="12"/>
      <c r="AT140" s="12"/>
      <c r="AU140" s="12"/>
      <c r="AV140" s="42"/>
      <c r="AW140" s="44"/>
      <c r="AX140" s="13"/>
      <c r="AY140" s="3"/>
      <c r="AZ140" s="1"/>
      <c r="BA140" s="2"/>
      <c r="BB140" s="3"/>
      <c r="BC140" s="53"/>
    </row>
    <row r="141" spans="1:55" s="25" customFormat="1" x14ac:dyDescent="0.25">
      <c r="A141" s="261"/>
      <c r="B141" s="260"/>
      <c r="C141" s="259"/>
      <c r="D141" s="19">
        <v>0.36</v>
      </c>
      <c r="E141" s="238" t="s">
        <v>260</v>
      </c>
      <c r="F141" s="113"/>
      <c r="G141" s="260"/>
      <c r="H141" s="259"/>
      <c r="I141" s="240"/>
      <c r="J141" s="113"/>
      <c r="K141" s="260"/>
      <c r="L141" s="259"/>
      <c r="M141" s="19">
        <v>0.36</v>
      </c>
      <c r="N141" s="238" t="s">
        <v>260</v>
      </c>
      <c r="O141" s="113"/>
      <c r="P141" s="260"/>
      <c r="Q141" s="259"/>
      <c r="R141" s="56"/>
      <c r="S141" s="24"/>
      <c r="T141" s="113"/>
      <c r="U141" s="260"/>
      <c r="V141" s="259"/>
      <c r="W141" s="241"/>
      <c r="X141" s="240"/>
      <c r="Y141" s="113"/>
      <c r="Z141" s="260"/>
      <c r="AA141" s="259"/>
      <c r="AB141" s="241"/>
      <c r="AC141" s="240"/>
      <c r="AD141" s="113"/>
      <c r="AE141" s="270"/>
      <c r="AF141" s="271"/>
      <c r="AG141" s="245"/>
      <c r="AH141" s="240"/>
      <c r="AI141" s="113"/>
      <c r="AJ141" s="270"/>
      <c r="AK141" s="271"/>
      <c r="AL141" s="245"/>
      <c r="AM141" s="240"/>
      <c r="AN141" s="32"/>
      <c r="AO141" s="12"/>
      <c r="AP141" s="12"/>
      <c r="AQ141" s="12"/>
      <c r="AR141" s="12"/>
      <c r="AS141" s="12"/>
      <c r="AT141" s="12"/>
      <c r="AU141" s="12"/>
      <c r="AV141" s="12"/>
      <c r="AW141" s="44"/>
      <c r="AX141" s="13"/>
      <c r="AY141" s="3"/>
      <c r="AZ141" s="1"/>
      <c r="BA141" s="2"/>
      <c r="BB141" s="3"/>
      <c r="BC141" s="53"/>
    </row>
    <row r="142" spans="1:55" s="25" customFormat="1" x14ac:dyDescent="0.25">
      <c r="A142" s="261"/>
      <c r="B142" s="260"/>
      <c r="C142" s="259"/>
      <c r="D142" s="241">
        <v>0.01</v>
      </c>
      <c r="E142" s="249" t="s">
        <v>146</v>
      </c>
      <c r="F142" s="113"/>
      <c r="G142" s="260"/>
      <c r="H142" s="259"/>
      <c r="I142" s="240"/>
      <c r="J142" s="113"/>
      <c r="K142" s="260"/>
      <c r="L142" s="259"/>
      <c r="M142" s="241">
        <f>D142</f>
        <v>0.01</v>
      </c>
      <c r="N142" s="249" t="s">
        <v>146</v>
      </c>
      <c r="O142" s="113"/>
      <c r="P142" s="260"/>
      <c r="Q142" s="259"/>
      <c r="R142" s="24"/>
      <c r="S142" s="24"/>
      <c r="T142" s="113"/>
      <c r="U142" s="260"/>
      <c r="V142" s="259"/>
      <c r="W142" s="241"/>
      <c r="X142" s="240"/>
      <c r="Y142" s="113"/>
      <c r="Z142" s="260"/>
      <c r="AA142" s="259"/>
      <c r="AB142" s="241"/>
      <c r="AC142" s="240"/>
      <c r="AD142" s="113"/>
      <c r="AE142" s="270"/>
      <c r="AF142" s="271"/>
      <c r="AG142" s="245"/>
      <c r="AH142" s="240"/>
      <c r="AI142" s="113"/>
      <c r="AJ142" s="270"/>
      <c r="AK142" s="271"/>
      <c r="AL142" s="245"/>
      <c r="AM142" s="240"/>
      <c r="AN142" s="32"/>
      <c r="AO142" s="12"/>
      <c r="AP142" s="12"/>
      <c r="AQ142" s="12"/>
      <c r="AR142" s="12"/>
      <c r="AS142" s="12"/>
      <c r="AT142" s="12"/>
      <c r="AU142" s="12"/>
      <c r="AV142" s="42"/>
      <c r="AW142" s="44"/>
      <c r="AX142" s="11"/>
      <c r="AY142" s="3"/>
      <c r="AZ142" s="1"/>
      <c r="BA142" s="2"/>
      <c r="BB142" s="3"/>
      <c r="BC142" s="53"/>
    </row>
    <row r="143" spans="1:55" s="25" customFormat="1" x14ac:dyDescent="0.25">
      <c r="A143" s="261"/>
      <c r="B143" s="260"/>
      <c r="C143" s="259"/>
      <c r="D143" s="56"/>
      <c r="E143" s="24"/>
      <c r="F143" s="113"/>
      <c r="G143" s="260"/>
      <c r="H143" s="259"/>
      <c r="I143" s="240"/>
      <c r="J143" s="113"/>
      <c r="K143" s="260"/>
      <c r="L143" s="259"/>
      <c r="M143" s="241"/>
      <c r="N143" s="246"/>
      <c r="O143" s="113"/>
      <c r="P143" s="260"/>
      <c r="Q143" s="259"/>
      <c r="R143" s="245"/>
      <c r="S143" s="246"/>
      <c r="T143" s="113"/>
      <c r="U143" s="260"/>
      <c r="V143" s="259"/>
      <c r="W143" s="241"/>
      <c r="X143" s="240"/>
      <c r="Y143" s="113"/>
      <c r="Z143" s="260"/>
      <c r="AA143" s="259"/>
      <c r="AB143" s="241"/>
      <c r="AC143" s="240"/>
      <c r="AD143" s="113"/>
      <c r="AE143" s="270"/>
      <c r="AF143" s="271"/>
      <c r="AG143" s="245"/>
      <c r="AH143" s="240"/>
      <c r="AI143" s="113"/>
      <c r="AJ143" s="270"/>
      <c r="AK143" s="271"/>
      <c r="AL143" s="245"/>
      <c r="AM143" s="240"/>
      <c r="AN143" s="32"/>
      <c r="AO143" s="31"/>
      <c r="AP143" s="31"/>
      <c r="AQ143" s="31"/>
      <c r="AR143" s="31"/>
      <c r="AS143" s="31"/>
      <c r="AT143" s="31"/>
      <c r="AU143" s="12"/>
      <c r="AV143" s="12"/>
      <c r="AW143" s="12"/>
      <c r="AX143" s="13"/>
      <c r="AY143" s="3"/>
      <c r="AZ143" s="1"/>
      <c r="BA143" s="2"/>
      <c r="BB143" s="3"/>
      <c r="BC143" s="53"/>
    </row>
    <row r="144" spans="1:55" s="25" customFormat="1" x14ac:dyDescent="0.25">
      <c r="A144" s="261"/>
      <c r="B144" s="260"/>
      <c r="C144" s="259"/>
      <c r="D144" s="240"/>
      <c r="E144" s="241"/>
      <c r="F144" s="113"/>
      <c r="G144" s="260"/>
      <c r="H144" s="259"/>
      <c r="I144" s="240"/>
      <c r="J144" s="113"/>
      <c r="K144" s="260"/>
      <c r="L144" s="259"/>
      <c r="M144" s="241"/>
      <c r="N144" s="245"/>
      <c r="O144" s="113"/>
      <c r="P144" s="260"/>
      <c r="Q144" s="259"/>
      <c r="R144" s="245"/>
      <c r="S144" s="246"/>
      <c r="T144" s="113"/>
      <c r="U144" s="260"/>
      <c r="V144" s="259"/>
      <c r="W144" s="245"/>
      <c r="X144" s="246"/>
      <c r="Y144" s="113"/>
      <c r="Z144" s="260"/>
      <c r="AA144" s="259"/>
      <c r="AB144" s="245"/>
      <c r="AC144" s="246"/>
      <c r="AD144" s="113"/>
      <c r="AE144" s="270"/>
      <c r="AF144" s="271"/>
      <c r="AG144" s="245"/>
      <c r="AH144" s="246"/>
      <c r="AI144" s="113"/>
      <c r="AJ144" s="270"/>
      <c r="AK144" s="271"/>
      <c r="AL144" s="245"/>
      <c r="AM144" s="246"/>
      <c r="AN144" s="32"/>
      <c r="AO144" s="31"/>
      <c r="AP144" s="31"/>
      <c r="AQ144" s="31"/>
      <c r="AR144" s="31"/>
      <c r="AS144" s="31"/>
      <c r="AT144" s="31"/>
      <c r="AU144" s="12"/>
      <c r="AV144" s="12"/>
      <c r="AW144" s="44"/>
      <c r="AX144" s="11"/>
      <c r="AY144" s="3"/>
      <c r="AZ144" s="1"/>
      <c r="BA144" s="2"/>
      <c r="BB144" s="3"/>
      <c r="BC144" s="53"/>
    </row>
    <row r="145" spans="1:55" s="25" customFormat="1" x14ac:dyDescent="0.25">
      <c r="A145" s="261"/>
      <c r="B145" s="260"/>
      <c r="C145" s="259"/>
      <c r="D145" s="240"/>
      <c r="E145" s="19"/>
      <c r="F145" s="113"/>
      <c r="G145" s="260"/>
      <c r="H145" s="259"/>
      <c r="I145" s="240"/>
      <c r="J145" s="113"/>
      <c r="K145" s="260"/>
      <c r="L145" s="259"/>
      <c r="M145" s="241"/>
      <c r="N145" s="245"/>
      <c r="O145" s="113"/>
      <c r="P145" s="260"/>
      <c r="Q145" s="259"/>
      <c r="R145" s="241"/>
      <c r="S145" s="240"/>
      <c r="T145" s="113"/>
      <c r="U145" s="260"/>
      <c r="V145" s="259"/>
      <c r="W145" s="241"/>
      <c r="X145" s="240"/>
      <c r="Y145" s="113"/>
      <c r="Z145" s="260"/>
      <c r="AA145" s="259"/>
      <c r="AB145" s="241"/>
      <c r="AC145" s="240"/>
      <c r="AD145" s="113"/>
      <c r="AE145" s="270"/>
      <c r="AF145" s="271"/>
      <c r="AG145" s="245"/>
      <c r="AH145" s="240"/>
      <c r="AI145" s="113"/>
      <c r="AJ145" s="270"/>
      <c r="AK145" s="271"/>
      <c r="AL145" s="245"/>
      <c r="AM145" s="240"/>
      <c r="AN145" s="32"/>
      <c r="AO145" s="31"/>
      <c r="AP145" s="31"/>
      <c r="AQ145" s="31"/>
      <c r="AR145" s="31"/>
      <c r="AS145" s="31"/>
      <c r="AT145" s="31"/>
      <c r="AU145" s="12"/>
      <c r="AV145" s="12"/>
      <c r="AW145" s="44"/>
      <c r="AX145" s="11"/>
      <c r="AY145" s="3"/>
      <c r="AZ145" s="1"/>
      <c r="BA145" s="2"/>
      <c r="BB145" s="3"/>
      <c r="BC145" s="53"/>
    </row>
    <row r="146" spans="1:55" s="25" customFormat="1" x14ac:dyDescent="0.25">
      <c r="A146" s="261"/>
      <c r="B146" s="260"/>
      <c r="C146" s="259"/>
      <c r="D146" s="240"/>
      <c r="E146" s="241"/>
      <c r="F146" s="113"/>
      <c r="G146" s="260">
        <v>0.09</v>
      </c>
      <c r="H146" s="259">
        <v>7.65</v>
      </c>
      <c r="I146" s="240"/>
      <c r="J146" s="113"/>
      <c r="K146" s="260"/>
      <c r="L146" s="259"/>
      <c r="M146" s="241"/>
      <c r="N146" s="241"/>
      <c r="O146" s="113"/>
      <c r="P146" s="260"/>
      <c r="Q146" s="259"/>
      <c r="R146" s="241"/>
      <c r="S146" s="241"/>
      <c r="T146" s="113"/>
      <c r="U146" s="260"/>
      <c r="V146" s="259"/>
      <c r="W146" s="241"/>
      <c r="X146" s="241"/>
      <c r="Y146" s="113"/>
      <c r="Z146" s="260"/>
      <c r="AA146" s="259"/>
      <c r="AB146" s="241"/>
      <c r="AC146" s="241"/>
      <c r="AD146" s="113"/>
      <c r="AE146" s="270"/>
      <c r="AF146" s="271"/>
      <c r="AG146" s="245"/>
      <c r="AH146" s="241"/>
      <c r="AI146" s="113"/>
      <c r="AJ146" s="270"/>
      <c r="AK146" s="271"/>
      <c r="AL146" s="245"/>
      <c r="AM146" s="241"/>
      <c r="AN146" s="32"/>
      <c r="AO146" s="12"/>
      <c r="AP146" s="12"/>
      <c r="AQ146" s="12"/>
      <c r="AR146" s="12"/>
      <c r="AS146" s="12"/>
      <c r="AT146" s="12"/>
      <c r="AU146" s="12"/>
      <c r="AV146" s="42"/>
      <c r="AW146" s="44"/>
      <c r="AX146" s="4"/>
      <c r="AY146" s="3"/>
      <c r="AZ146" s="1"/>
      <c r="BA146" s="2"/>
      <c r="BB146" s="3"/>
      <c r="BC146" s="53"/>
    </row>
    <row r="147" spans="1:55" s="25" customFormat="1" x14ac:dyDescent="0.25">
      <c r="A147" s="261"/>
      <c r="B147" s="260"/>
      <c r="C147" s="259"/>
      <c r="D147" s="241">
        <v>0.6</v>
      </c>
      <c r="E147" s="74" t="s">
        <v>482</v>
      </c>
      <c r="F147" s="113"/>
      <c r="G147" s="260"/>
      <c r="H147" s="259"/>
      <c r="I147" s="240"/>
      <c r="J147" s="113"/>
      <c r="K147" s="260"/>
      <c r="L147" s="259"/>
      <c r="M147" s="241">
        <v>0.45</v>
      </c>
      <c r="N147" s="74" t="s">
        <v>147</v>
      </c>
      <c r="O147" s="113"/>
      <c r="P147" s="260"/>
      <c r="Q147" s="259"/>
      <c r="R147" s="241"/>
      <c r="S147" s="240"/>
      <c r="T147" s="113"/>
      <c r="U147" s="260"/>
      <c r="V147" s="259"/>
      <c r="W147" s="241"/>
      <c r="X147" s="240"/>
      <c r="Y147" s="113"/>
      <c r="Z147" s="260"/>
      <c r="AA147" s="259"/>
      <c r="AB147" s="241"/>
      <c r="AC147" s="240"/>
      <c r="AD147" s="113"/>
      <c r="AE147" s="270"/>
      <c r="AF147" s="271"/>
      <c r="AG147" s="245">
        <v>0.4</v>
      </c>
      <c r="AH147" s="70" t="s">
        <v>67</v>
      </c>
      <c r="AI147" s="113"/>
      <c r="AJ147" s="270"/>
      <c r="AK147" s="271"/>
      <c r="AL147" s="241"/>
      <c r="AM147" s="240"/>
      <c r="AN147" s="32"/>
      <c r="AO147" s="12"/>
      <c r="AP147" s="12"/>
      <c r="AQ147" s="12"/>
      <c r="AR147" s="12"/>
      <c r="AS147" s="12"/>
      <c r="AT147" s="12"/>
      <c r="AU147" s="12"/>
      <c r="AV147" s="42"/>
      <c r="AW147" s="44"/>
      <c r="AX147" s="4"/>
      <c r="AY147" s="3"/>
      <c r="AZ147" s="1"/>
      <c r="BA147" s="2"/>
      <c r="BB147" s="3"/>
      <c r="BC147" s="53"/>
    </row>
    <row r="148" spans="1:55" s="25" customFormat="1" x14ac:dyDescent="0.25">
      <c r="A148" s="261"/>
      <c r="B148" s="260"/>
      <c r="C148" s="259"/>
      <c r="D148" s="240"/>
      <c r="E148" s="19"/>
      <c r="F148" s="113"/>
      <c r="G148" s="260"/>
      <c r="H148" s="259"/>
      <c r="I148" s="240"/>
      <c r="J148" s="113"/>
      <c r="K148" s="260"/>
      <c r="L148" s="259"/>
      <c r="M148" s="56"/>
      <c r="N148" s="24"/>
      <c r="O148" s="113"/>
      <c r="P148" s="260"/>
      <c r="Q148" s="259"/>
      <c r="R148" s="56"/>
      <c r="S148" s="24"/>
      <c r="T148" s="113"/>
      <c r="U148" s="260"/>
      <c r="V148" s="259"/>
      <c r="W148" s="56"/>
      <c r="X148" s="24"/>
      <c r="Y148" s="113"/>
      <c r="Z148" s="260"/>
      <c r="AA148" s="259"/>
      <c r="AB148" s="56"/>
      <c r="AC148" s="24"/>
      <c r="AD148" s="113"/>
      <c r="AE148" s="270"/>
      <c r="AF148" s="271"/>
      <c r="AG148" s="245"/>
      <c r="AH148" s="18"/>
      <c r="AI148" s="113"/>
      <c r="AJ148" s="270"/>
      <c r="AK148" s="271"/>
      <c r="AL148" s="245"/>
      <c r="AM148" s="18"/>
      <c r="AN148" s="32"/>
      <c r="AO148" s="12"/>
      <c r="AP148" s="12"/>
      <c r="AQ148" s="12"/>
      <c r="AR148" s="12"/>
      <c r="AS148" s="12"/>
      <c r="AT148" s="12"/>
      <c r="AU148" s="12"/>
      <c r="AV148" s="12"/>
      <c r="AW148" s="44"/>
      <c r="AX148" s="13"/>
      <c r="AY148" s="3"/>
      <c r="AZ148" s="1"/>
      <c r="BA148" s="2"/>
      <c r="BB148" s="3"/>
      <c r="BC148" s="53"/>
    </row>
    <row r="149" spans="1:55" s="25" customFormat="1" x14ac:dyDescent="0.25">
      <c r="A149" s="261"/>
      <c r="B149" s="260"/>
      <c r="C149" s="259"/>
      <c r="D149" s="240">
        <f>R149</f>
        <v>1.5650000000000002</v>
      </c>
      <c r="E149" s="6" t="s">
        <v>24</v>
      </c>
      <c r="F149" s="113"/>
      <c r="G149" s="241">
        <v>0.16</v>
      </c>
      <c r="H149" s="240">
        <v>7.69</v>
      </c>
      <c r="I149" s="80"/>
      <c r="J149" s="113"/>
      <c r="K149" s="260"/>
      <c r="L149" s="259"/>
      <c r="M149" s="241">
        <f>R149</f>
        <v>1.5650000000000002</v>
      </c>
      <c r="N149" s="6" t="s">
        <v>24</v>
      </c>
      <c r="O149" s="113"/>
      <c r="P149" s="260"/>
      <c r="Q149" s="259"/>
      <c r="R149" s="241">
        <f>AB149</f>
        <v>1.5650000000000002</v>
      </c>
      <c r="S149" s="6" t="s">
        <v>24</v>
      </c>
      <c r="T149" s="113"/>
      <c r="U149" s="260"/>
      <c r="V149" s="259"/>
      <c r="W149" s="241">
        <f>AB149</f>
        <v>1.5650000000000002</v>
      </c>
      <c r="X149" s="6" t="s">
        <v>24</v>
      </c>
      <c r="Y149" s="113"/>
      <c r="Z149" s="260"/>
      <c r="AA149" s="259"/>
      <c r="AB149" s="241">
        <f>AL149</f>
        <v>1.5650000000000002</v>
      </c>
      <c r="AC149" s="6" t="s">
        <v>24</v>
      </c>
      <c r="AD149" s="113"/>
      <c r="AE149" s="270"/>
      <c r="AF149" s="271"/>
      <c r="AG149" s="245">
        <f>3.6/2</f>
        <v>1.8</v>
      </c>
      <c r="AH149" s="6" t="s">
        <v>24</v>
      </c>
      <c r="AI149" s="113"/>
      <c r="AJ149" s="270"/>
      <c r="AK149" s="271"/>
      <c r="AL149" s="245">
        <f>AJ139-AL147-AL144-AL140-AL139</f>
        <v>1.5650000000000002</v>
      </c>
      <c r="AM149" s="6" t="s">
        <v>24</v>
      </c>
      <c r="AN149" s="32"/>
      <c r="AO149" s="31"/>
      <c r="AP149" s="31"/>
      <c r="AQ149" s="31"/>
      <c r="AR149" s="31"/>
      <c r="AS149" s="31"/>
      <c r="AT149" s="31"/>
      <c r="AU149" s="12"/>
      <c r="AV149" s="12"/>
      <c r="AW149" s="44"/>
      <c r="AX149" s="4"/>
      <c r="AY149" s="4"/>
      <c r="AZ149" s="1"/>
      <c r="BA149" s="1"/>
      <c r="BB149" s="4"/>
      <c r="BC149" s="53"/>
    </row>
    <row r="150" spans="1:55" s="25" customFormat="1" x14ac:dyDescent="0.25">
      <c r="A150" s="261">
        <v>30</v>
      </c>
      <c r="B150" s="260">
        <v>0.47</v>
      </c>
      <c r="C150" s="259">
        <v>8.0299999999999994</v>
      </c>
      <c r="D150" s="240"/>
      <c r="E150" s="19"/>
      <c r="F150" s="113"/>
      <c r="G150" s="260">
        <v>0.1</v>
      </c>
      <c r="H150" s="259">
        <v>7.72</v>
      </c>
      <c r="I150" s="240"/>
      <c r="J150" s="113"/>
      <c r="K150" s="260">
        <v>0.47</v>
      </c>
      <c r="L150" s="259">
        <v>8.09</v>
      </c>
      <c r="M150" s="241"/>
      <c r="N150" s="19"/>
      <c r="O150" s="113"/>
      <c r="P150" s="260">
        <v>0.17</v>
      </c>
      <c r="Q150" s="259">
        <v>8.01</v>
      </c>
      <c r="R150" s="241"/>
      <c r="S150" s="19"/>
      <c r="T150" s="113"/>
      <c r="U150" s="260"/>
      <c r="V150" s="259"/>
      <c r="W150" s="241"/>
      <c r="X150" s="19"/>
      <c r="Y150" s="113"/>
      <c r="Z150" s="260">
        <v>0.88</v>
      </c>
      <c r="AA150" s="259">
        <v>8.09</v>
      </c>
      <c r="AB150" s="241"/>
      <c r="AC150" s="19"/>
      <c r="AD150" s="113"/>
      <c r="AE150" s="270">
        <v>0.93</v>
      </c>
      <c r="AF150" s="271">
        <v>7.55</v>
      </c>
      <c r="AG150" s="245"/>
      <c r="AH150" s="19"/>
      <c r="AI150" s="113"/>
      <c r="AJ150" s="270">
        <v>0.18</v>
      </c>
      <c r="AK150" s="271">
        <v>8.1999999999999993</v>
      </c>
      <c r="AL150" s="245"/>
      <c r="AM150" s="19"/>
      <c r="AN150" s="32"/>
      <c r="AO150" s="31"/>
      <c r="AP150" s="31"/>
      <c r="AQ150" s="31"/>
      <c r="AR150" s="31"/>
      <c r="AS150" s="31"/>
      <c r="AT150" s="31"/>
      <c r="AU150" s="12"/>
      <c r="AV150" s="42"/>
      <c r="AW150" s="44"/>
      <c r="AX150" s="69"/>
      <c r="AY150" s="4"/>
      <c r="AZ150" s="1"/>
      <c r="BA150" s="1"/>
      <c r="BB150" s="4"/>
      <c r="BC150" s="53"/>
    </row>
    <row r="151" spans="1:55" s="25" customFormat="1" x14ac:dyDescent="0.25">
      <c r="A151" s="261"/>
      <c r="B151" s="260"/>
      <c r="C151" s="259"/>
      <c r="D151" s="240">
        <f>B150</f>
        <v>0.47</v>
      </c>
      <c r="E151" s="70" t="s">
        <v>54</v>
      </c>
      <c r="F151" s="113"/>
      <c r="G151" s="260"/>
      <c r="H151" s="259"/>
      <c r="I151" s="240"/>
      <c r="J151" s="113"/>
      <c r="K151" s="260"/>
      <c r="L151" s="259"/>
      <c r="M151" s="241">
        <f>K150</f>
        <v>0.47</v>
      </c>
      <c r="N151" s="70" t="s">
        <v>54</v>
      </c>
      <c r="O151" s="113"/>
      <c r="P151" s="260"/>
      <c r="Q151" s="259"/>
      <c r="R151" s="241"/>
      <c r="S151" s="19"/>
      <c r="T151" s="113"/>
      <c r="U151" s="260"/>
      <c r="V151" s="259"/>
      <c r="W151" s="241"/>
      <c r="X151" s="19"/>
      <c r="Y151" s="113"/>
      <c r="Z151" s="260"/>
      <c r="AA151" s="259"/>
      <c r="AB151" s="241"/>
      <c r="AC151" s="19"/>
      <c r="AD151" s="113"/>
      <c r="AE151" s="270"/>
      <c r="AF151" s="271"/>
      <c r="AG151" s="245"/>
      <c r="AH151" s="19"/>
      <c r="AI151" s="113"/>
      <c r="AJ151" s="270"/>
      <c r="AK151" s="271"/>
      <c r="AL151" s="245"/>
      <c r="AM151" s="19"/>
      <c r="AN151" s="32"/>
      <c r="AO151" s="31"/>
      <c r="AP151" s="31"/>
      <c r="AQ151" s="31"/>
      <c r="AR151" s="31"/>
      <c r="AS151" s="31"/>
      <c r="AT151" s="31"/>
      <c r="AU151" s="12"/>
      <c r="AV151" s="12"/>
      <c r="AW151" s="44"/>
      <c r="AX151" s="13"/>
      <c r="AY151" s="4"/>
      <c r="AZ151" s="1"/>
      <c r="BA151" s="1"/>
      <c r="BB151" s="4"/>
      <c r="BC151" s="53"/>
    </row>
    <row r="152" spans="1:55" s="25" customFormat="1" x14ac:dyDescent="0.25">
      <c r="A152" s="261"/>
      <c r="B152" s="260"/>
      <c r="C152" s="259"/>
      <c r="D152" s="240"/>
      <c r="E152" s="241"/>
      <c r="F152" s="113"/>
      <c r="G152" s="260"/>
      <c r="H152" s="259"/>
      <c r="I152" s="240"/>
      <c r="J152" s="113"/>
      <c r="K152" s="260"/>
      <c r="L152" s="259"/>
      <c r="M152" s="241"/>
      <c r="N152" s="241"/>
      <c r="O152" s="113"/>
      <c r="P152" s="260"/>
      <c r="Q152" s="259"/>
      <c r="R152" s="241"/>
      <c r="S152" s="241"/>
      <c r="T152" s="113"/>
      <c r="U152" s="260"/>
      <c r="V152" s="259"/>
      <c r="W152" s="241"/>
      <c r="X152" s="241"/>
      <c r="Y152" s="113"/>
      <c r="Z152" s="260"/>
      <c r="AA152" s="259"/>
      <c r="AB152" s="241"/>
      <c r="AC152" s="241"/>
      <c r="AD152" s="113"/>
      <c r="AE152" s="270"/>
      <c r="AF152" s="271"/>
      <c r="AG152" s="245"/>
      <c r="AH152" s="241"/>
      <c r="AI152" s="113"/>
      <c r="AJ152" s="270"/>
      <c r="AK152" s="271"/>
      <c r="AL152" s="245"/>
      <c r="AM152" s="241"/>
      <c r="AN152" s="32"/>
      <c r="AO152" s="31"/>
      <c r="AP152" s="31"/>
      <c r="AQ152" s="31"/>
      <c r="AR152" s="31"/>
      <c r="AS152" s="31"/>
      <c r="AT152" s="31"/>
      <c r="AU152" s="12"/>
      <c r="AV152" s="42"/>
      <c r="AW152" s="44"/>
      <c r="AX152" s="4"/>
      <c r="AY152" s="3"/>
      <c r="AZ152" s="1"/>
      <c r="BA152" s="1"/>
      <c r="BB152" s="4"/>
      <c r="BC152" s="53"/>
    </row>
    <row r="153" spans="1:55" s="25" customFormat="1" x14ac:dyDescent="0.25">
      <c r="A153" s="261">
        <v>31</v>
      </c>
      <c r="B153" s="260">
        <v>0.15</v>
      </c>
      <c r="C153" s="259">
        <v>8.1</v>
      </c>
      <c r="D153" s="240"/>
      <c r="E153" s="241"/>
      <c r="F153" s="113"/>
      <c r="G153" s="260">
        <v>0.15</v>
      </c>
      <c r="H153" s="259">
        <v>7.76</v>
      </c>
      <c r="I153" s="240"/>
      <c r="J153" s="113"/>
      <c r="K153" s="260">
        <v>0.22</v>
      </c>
      <c r="L153" s="259">
        <v>8.17</v>
      </c>
      <c r="M153" s="241"/>
      <c r="N153" s="241"/>
      <c r="O153" s="113"/>
      <c r="P153" s="260">
        <v>0.49</v>
      </c>
      <c r="Q153" s="259">
        <v>8.06</v>
      </c>
      <c r="R153" s="241"/>
      <c r="S153" s="241"/>
      <c r="T153" s="113"/>
      <c r="U153" s="260">
        <v>1.2</v>
      </c>
      <c r="V153" s="259">
        <v>8.09</v>
      </c>
      <c r="W153" s="241"/>
      <c r="X153" s="241"/>
      <c r="Y153" s="113"/>
      <c r="Z153" s="260"/>
      <c r="AA153" s="259"/>
      <c r="AB153" s="56"/>
      <c r="AC153" s="24"/>
      <c r="AD153" s="113"/>
      <c r="AE153" s="270"/>
      <c r="AF153" s="271"/>
      <c r="AG153" s="245"/>
      <c r="AH153" s="24"/>
      <c r="AI153" s="113"/>
      <c r="AJ153" s="245">
        <v>0.06</v>
      </c>
      <c r="AK153" s="246">
        <v>8.25</v>
      </c>
      <c r="AL153" s="245"/>
      <c r="AM153" s="91"/>
      <c r="AN153" s="32"/>
      <c r="AO153" s="31"/>
      <c r="AP153" s="31"/>
      <c r="AQ153" s="31"/>
      <c r="AR153" s="31"/>
      <c r="AS153" s="31"/>
      <c r="AT153" s="31"/>
      <c r="AU153" s="12"/>
      <c r="AV153" s="12"/>
      <c r="AW153" s="12"/>
      <c r="AX153" s="13"/>
      <c r="AY153" s="3"/>
      <c r="AZ153" s="1"/>
      <c r="BA153" s="2"/>
      <c r="BB153" s="3"/>
      <c r="BC153" s="53"/>
    </row>
    <row r="154" spans="1:55" s="25" customFormat="1" x14ac:dyDescent="0.25">
      <c r="A154" s="261"/>
      <c r="B154" s="260"/>
      <c r="C154" s="259"/>
      <c r="D154" s="240">
        <f>B153</f>
        <v>0.15</v>
      </c>
      <c r="E154" s="15" t="s">
        <v>70</v>
      </c>
      <c r="F154" s="113"/>
      <c r="G154" s="260"/>
      <c r="H154" s="259"/>
      <c r="I154" s="240"/>
      <c r="J154" s="113"/>
      <c r="K154" s="260"/>
      <c r="L154" s="259"/>
      <c r="M154" s="241">
        <f>K153</f>
        <v>0.22</v>
      </c>
      <c r="N154" s="15" t="s">
        <v>70</v>
      </c>
      <c r="O154" s="113"/>
      <c r="P154" s="260"/>
      <c r="Q154" s="259"/>
      <c r="R154" s="241">
        <f>P153</f>
        <v>0.49</v>
      </c>
      <c r="S154" s="15" t="s">
        <v>136</v>
      </c>
      <c r="T154" s="113"/>
      <c r="U154" s="260"/>
      <c r="V154" s="259"/>
      <c r="Y154" s="113"/>
      <c r="Z154" s="260"/>
      <c r="AA154" s="259"/>
      <c r="AD154" s="113"/>
      <c r="AE154" s="270"/>
      <c r="AF154" s="271"/>
      <c r="AI154" s="113"/>
      <c r="AJ154" s="245"/>
      <c r="AK154" s="246"/>
      <c r="AL154" s="245"/>
      <c r="AM154" s="18"/>
      <c r="AN154" s="32"/>
      <c r="AO154" s="31"/>
      <c r="AP154" s="31"/>
      <c r="AQ154" s="31"/>
      <c r="AR154" s="31"/>
      <c r="AS154" s="31"/>
      <c r="AT154" s="31"/>
      <c r="AU154" s="12"/>
      <c r="AV154" s="12"/>
      <c r="AW154" s="12"/>
      <c r="AX154" s="13"/>
      <c r="AY154" s="3"/>
      <c r="AZ154" s="1"/>
      <c r="BA154" s="2"/>
      <c r="BB154" s="3"/>
      <c r="BC154" s="53"/>
    </row>
    <row r="155" spans="1:55" s="25" customFormat="1" x14ac:dyDescent="0.25">
      <c r="A155" s="261"/>
      <c r="B155" s="260"/>
      <c r="C155" s="259"/>
      <c r="D155" s="240"/>
      <c r="E155" s="240"/>
      <c r="F155" s="113"/>
      <c r="G155" s="260"/>
      <c r="H155" s="259"/>
      <c r="I155" s="240"/>
      <c r="J155" s="113"/>
      <c r="K155" s="260"/>
      <c r="L155" s="259"/>
      <c r="M155" s="241"/>
      <c r="N155" s="71"/>
      <c r="O155" s="113"/>
      <c r="P155" s="260"/>
      <c r="Q155" s="259"/>
      <c r="R155" s="241"/>
      <c r="S155" s="71"/>
      <c r="T155" s="113"/>
      <c r="U155" s="260"/>
      <c r="V155" s="259"/>
      <c r="W155" s="241"/>
      <c r="X155" s="71"/>
      <c r="Y155" s="113"/>
      <c r="Z155" s="260"/>
      <c r="AA155" s="259"/>
      <c r="AB155" s="241"/>
      <c r="AC155" s="71"/>
      <c r="AD155" s="113"/>
      <c r="AE155" s="270"/>
      <c r="AF155" s="271"/>
      <c r="AG155" s="245"/>
      <c r="AH155" s="71"/>
      <c r="AI155" s="113"/>
      <c r="AJ155" s="270">
        <v>0.22</v>
      </c>
      <c r="AK155" s="271">
        <v>8.3000000000000007</v>
      </c>
      <c r="AL155" s="245"/>
      <c r="AM155" s="106"/>
      <c r="AN155" s="32"/>
      <c r="AO155" s="31"/>
      <c r="AP155" s="31"/>
      <c r="AQ155" s="31"/>
      <c r="AR155" s="31"/>
      <c r="AS155" s="31"/>
      <c r="AT155" s="31"/>
      <c r="AU155" s="12"/>
      <c r="AV155" s="12"/>
      <c r="AW155" s="44"/>
      <c r="AX155" s="13"/>
      <c r="AY155" s="3"/>
      <c r="AZ155" s="1"/>
      <c r="BA155" s="2"/>
      <c r="BB155" s="3"/>
      <c r="BC155" s="53"/>
    </row>
    <row r="156" spans="1:55" s="25" customFormat="1" x14ac:dyDescent="0.25">
      <c r="A156" s="261">
        <v>32</v>
      </c>
      <c r="B156" s="260">
        <v>0.08</v>
      </c>
      <c r="C156" s="259">
        <v>8.15</v>
      </c>
      <c r="D156" s="240">
        <v>0.02</v>
      </c>
      <c r="E156" s="7" t="s">
        <v>76</v>
      </c>
      <c r="F156" s="113"/>
      <c r="G156" s="260">
        <v>0.37</v>
      </c>
      <c r="H156" s="259">
        <v>7.78</v>
      </c>
      <c r="I156" s="240"/>
      <c r="J156" s="113"/>
      <c r="K156" s="260">
        <v>0.1</v>
      </c>
      <c r="L156" s="259">
        <v>8.2200000000000006</v>
      </c>
      <c r="M156" s="56"/>
      <c r="N156" s="24"/>
      <c r="O156" s="113"/>
      <c r="P156" s="260">
        <v>0.24</v>
      </c>
      <c r="Q156" s="259">
        <v>8.1300000000000008</v>
      </c>
      <c r="R156" s="241"/>
      <c r="S156" s="241"/>
      <c r="T156" s="113"/>
      <c r="U156" s="260">
        <v>0.28999999999999998</v>
      </c>
      <c r="V156" s="259">
        <v>8.17</v>
      </c>
      <c r="W156" s="241"/>
      <c r="X156" s="241"/>
      <c r="Y156" s="113"/>
      <c r="Z156" s="260"/>
      <c r="AA156" s="259"/>
      <c r="AB156" s="241"/>
      <c r="AC156" s="241"/>
      <c r="AD156" s="113"/>
      <c r="AE156" s="270"/>
      <c r="AF156" s="271"/>
      <c r="AG156" s="245"/>
      <c r="AH156" s="241"/>
      <c r="AI156" s="113"/>
      <c r="AJ156" s="270"/>
      <c r="AK156" s="271"/>
      <c r="AL156" s="245"/>
      <c r="AM156" s="241"/>
      <c r="AN156" s="32"/>
      <c r="AO156" s="31"/>
      <c r="AP156" s="31"/>
      <c r="AQ156" s="31"/>
      <c r="AR156" s="31"/>
      <c r="AS156" s="31"/>
      <c r="AT156" s="31"/>
      <c r="AU156" s="12"/>
      <c r="AV156" s="12"/>
      <c r="AW156" s="44"/>
      <c r="AX156" s="4"/>
      <c r="AY156" s="3"/>
      <c r="AZ156" s="1"/>
      <c r="BA156" s="2"/>
      <c r="BB156" s="3"/>
      <c r="BC156" s="53"/>
    </row>
    <row r="157" spans="1:55" s="25" customFormat="1" x14ac:dyDescent="0.25">
      <c r="A157" s="261"/>
      <c r="B157" s="260"/>
      <c r="C157" s="259"/>
      <c r="D157" s="240">
        <v>0.02</v>
      </c>
      <c r="E157" s="7" t="s">
        <v>353</v>
      </c>
      <c r="F157" s="113"/>
      <c r="G157" s="260"/>
      <c r="H157" s="259"/>
      <c r="I157" s="240"/>
      <c r="J157" s="113"/>
      <c r="K157" s="260"/>
      <c r="L157" s="259"/>
      <c r="M157" s="241">
        <v>1</v>
      </c>
      <c r="N157" s="7" t="s">
        <v>353</v>
      </c>
      <c r="O157" s="113"/>
      <c r="P157" s="260"/>
      <c r="Q157" s="259"/>
      <c r="R157" s="241">
        <f>M157</f>
        <v>1</v>
      </c>
      <c r="S157" s="7" t="s">
        <v>353</v>
      </c>
      <c r="T157" s="113"/>
      <c r="U157" s="260"/>
      <c r="V157" s="259"/>
      <c r="W157" s="241">
        <f>R157</f>
        <v>1</v>
      </c>
      <c r="X157" s="7" t="s">
        <v>353</v>
      </c>
      <c r="Y157" s="113"/>
      <c r="Z157" s="260"/>
      <c r="AA157" s="259"/>
      <c r="AB157" s="241"/>
      <c r="AC157" s="241"/>
      <c r="AD157" s="113"/>
      <c r="AE157" s="270"/>
      <c r="AF157" s="271"/>
      <c r="AG157" s="245"/>
      <c r="AH157" s="241"/>
      <c r="AI157" s="113"/>
      <c r="AJ157" s="270"/>
      <c r="AK157" s="271"/>
      <c r="AL157" s="245"/>
      <c r="AM157" s="241"/>
      <c r="AN157" s="32"/>
      <c r="AO157" s="31"/>
      <c r="AP157" s="31"/>
      <c r="AQ157" s="31"/>
      <c r="AR157" s="31"/>
      <c r="AS157" s="31"/>
      <c r="AT157" s="31"/>
      <c r="AU157" s="12"/>
      <c r="AV157" s="42"/>
      <c r="AW157" s="44"/>
      <c r="AX157" s="66"/>
      <c r="AY157" s="3"/>
      <c r="AZ157" s="1"/>
      <c r="BA157" s="2"/>
      <c r="BB157" s="3"/>
      <c r="BC157" s="53"/>
    </row>
    <row r="158" spans="1:55" s="25" customFormat="1" x14ac:dyDescent="0.25">
      <c r="A158" s="261"/>
      <c r="B158" s="260"/>
      <c r="C158" s="259"/>
      <c r="D158" s="240">
        <v>0.02</v>
      </c>
      <c r="E158" s="249" t="s">
        <v>53</v>
      </c>
      <c r="F158" s="113"/>
      <c r="G158" s="260"/>
      <c r="H158" s="259"/>
      <c r="I158" s="240"/>
      <c r="J158" s="113"/>
      <c r="K158" s="260"/>
      <c r="L158" s="259"/>
      <c r="M158" s="241">
        <v>0.03</v>
      </c>
      <c r="N158" s="249" t="s">
        <v>53</v>
      </c>
      <c r="O158" s="113"/>
      <c r="P158" s="260"/>
      <c r="Q158" s="259"/>
      <c r="R158" s="56"/>
      <c r="S158" s="24"/>
      <c r="T158" s="113"/>
      <c r="U158" s="260"/>
      <c r="V158" s="259"/>
      <c r="W158" s="56"/>
      <c r="X158" s="24"/>
      <c r="Y158" s="113"/>
      <c r="Z158" s="260"/>
      <c r="AA158" s="259"/>
      <c r="AB158" s="241"/>
      <c r="AC158" s="240"/>
      <c r="AD158" s="113"/>
      <c r="AE158" s="270"/>
      <c r="AF158" s="271"/>
      <c r="AG158" s="245"/>
      <c r="AH158" s="240"/>
      <c r="AI158" s="113"/>
      <c r="AJ158" s="270"/>
      <c r="AK158" s="271"/>
      <c r="AL158" s="245"/>
      <c r="AM158" s="240"/>
      <c r="AN158" s="32"/>
      <c r="AO158" s="31"/>
      <c r="AP158" s="31"/>
      <c r="AQ158" s="31"/>
      <c r="AR158" s="31"/>
      <c r="AS158" s="31"/>
      <c r="AT158" s="31"/>
      <c r="AU158" s="12"/>
      <c r="AV158" s="42"/>
      <c r="AW158" s="44"/>
      <c r="AX158" s="66"/>
      <c r="AY158" s="3"/>
      <c r="AZ158" s="1"/>
      <c r="BA158" s="2"/>
      <c r="BB158" s="3"/>
      <c r="BC158" s="53"/>
    </row>
    <row r="159" spans="1:55" s="25" customFormat="1" x14ac:dyDescent="0.25">
      <c r="A159" s="261"/>
      <c r="B159" s="260"/>
      <c r="C159" s="259"/>
      <c r="D159" s="56"/>
      <c r="E159" s="24"/>
      <c r="F159" s="113"/>
      <c r="G159" s="260"/>
      <c r="H159" s="259"/>
      <c r="I159" s="240"/>
      <c r="J159" s="113"/>
      <c r="K159" s="260"/>
      <c r="L159" s="259"/>
      <c r="M159" s="56"/>
      <c r="N159" s="24"/>
      <c r="O159" s="113"/>
      <c r="P159" s="260"/>
      <c r="Q159" s="259"/>
      <c r="R159" s="241"/>
      <c r="S159" s="240"/>
      <c r="T159" s="113"/>
      <c r="U159" s="260"/>
      <c r="V159" s="259"/>
      <c r="W159" s="241"/>
      <c r="X159" s="240"/>
      <c r="Y159" s="113"/>
      <c r="Z159" s="260"/>
      <c r="AA159" s="259"/>
      <c r="AB159" s="241"/>
      <c r="AC159" s="240"/>
      <c r="AD159" s="113"/>
      <c r="AE159" s="270"/>
      <c r="AF159" s="271"/>
      <c r="AG159" s="245"/>
      <c r="AH159" s="240"/>
      <c r="AI159" s="113"/>
      <c r="AJ159" s="270"/>
      <c r="AK159" s="271"/>
      <c r="AL159" s="245"/>
      <c r="AM159" s="240"/>
      <c r="AN159" s="32"/>
      <c r="AO159" s="31"/>
      <c r="AP159" s="31"/>
      <c r="AQ159" s="31"/>
      <c r="AR159" s="31"/>
      <c r="AS159" s="31"/>
      <c r="AT159" s="31"/>
      <c r="AU159" s="12"/>
      <c r="AV159" s="42"/>
      <c r="AW159" s="44"/>
      <c r="AX159" s="66"/>
      <c r="AY159" s="3"/>
      <c r="AZ159" s="1"/>
      <c r="BA159" s="2"/>
      <c r="BB159" s="3"/>
      <c r="BC159" s="53"/>
    </row>
    <row r="160" spans="1:55" s="25" customFormat="1" x14ac:dyDescent="0.25">
      <c r="A160" s="261"/>
      <c r="B160" s="260"/>
      <c r="C160" s="259"/>
      <c r="D160" s="56"/>
      <c r="E160" s="24"/>
      <c r="F160" s="113"/>
      <c r="G160" s="241">
        <v>0.22</v>
      </c>
      <c r="H160" s="240">
        <v>7.85</v>
      </c>
      <c r="I160" s="240"/>
      <c r="J160" s="113"/>
      <c r="K160" s="260"/>
      <c r="L160" s="259"/>
      <c r="M160" s="241"/>
      <c r="N160" s="8"/>
      <c r="O160" s="113"/>
      <c r="P160" s="260"/>
      <c r="Q160" s="259"/>
      <c r="R160" s="241"/>
      <c r="S160" s="240"/>
      <c r="T160" s="113"/>
      <c r="U160" s="260"/>
      <c r="V160" s="259"/>
      <c r="W160" s="241"/>
      <c r="X160" s="24"/>
      <c r="Y160" s="113"/>
      <c r="Z160" s="260"/>
      <c r="AA160" s="259"/>
      <c r="AB160" s="241"/>
      <c r="AC160" s="24"/>
      <c r="AD160" s="113"/>
      <c r="AE160" s="270"/>
      <c r="AF160" s="271"/>
      <c r="AG160" s="245"/>
      <c r="AH160" s="24"/>
      <c r="AI160" s="113"/>
      <c r="AJ160" s="270"/>
      <c r="AK160" s="271"/>
      <c r="AL160" s="245"/>
      <c r="AM160" s="24"/>
      <c r="AN160" s="32"/>
      <c r="AO160" s="12"/>
      <c r="AP160" s="12"/>
      <c r="AQ160" s="12"/>
      <c r="AR160" s="12"/>
      <c r="AS160" s="12"/>
      <c r="AT160" s="12"/>
      <c r="AU160" s="12"/>
      <c r="AV160" s="12"/>
      <c r="AW160" s="44"/>
      <c r="AX160" s="46"/>
      <c r="AY160" s="3"/>
      <c r="AZ160" s="1"/>
      <c r="BA160" s="1"/>
      <c r="BB160" s="4"/>
      <c r="BC160" s="53"/>
    </row>
    <row r="161" spans="1:55" s="25" customFormat="1" x14ac:dyDescent="0.25">
      <c r="A161" s="261">
        <v>33</v>
      </c>
      <c r="B161" s="260">
        <v>2.7</v>
      </c>
      <c r="C161" s="259">
        <v>8.32</v>
      </c>
      <c r="D161" s="240"/>
      <c r="E161" s="241"/>
      <c r="F161" s="113"/>
      <c r="G161" s="260">
        <v>0.03</v>
      </c>
      <c r="H161" s="259">
        <v>7.93</v>
      </c>
      <c r="I161" s="240"/>
      <c r="J161" s="113"/>
      <c r="K161" s="270">
        <v>6.62</v>
      </c>
      <c r="L161" s="259">
        <v>8.3800000000000008</v>
      </c>
      <c r="M161" s="241"/>
      <c r="N161" s="241"/>
      <c r="O161" s="113"/>
      <c r="P161" s="260">
        <v>1.04</v>
      </c>
      <c r="Q161" s="259">
        <v>8.26</v>
      </c>
      <c r="R161" s="56"/>
      <c r="S161" s="241"/>
      <c r="T161" s="113"/>
      <c r="U161" s="260">
        <v>1.33</v>
      </c>
      <c r="V161" s="259">
        <v>8.32</v>
      </c>
      <c r="W161" s="241"/>
      <c r="X161" s="241"/>
      <c r="Y161" s="113"/>
      <c r="Z161" s="260">
        <v>0.6</v>
      </c>
      <c r="AA161" s="259">
        <v>8.25</v>
      </c>
      <c r="AB161" s="241"/>
      <c r="AC161" s="241"/>
      <c r="AD161" s="113"/>
      <c r="AE161" s="270">
        <v>0.5</v>
      </c>
      <c r="AF161" s="271">
        <v>7.73</v>
      </c>
      <c r="AG161" s="245"/>
      <c r="AH161" s="241"/>
      <c r="AI161" s="113"/>
      <c r="AJ161" s="270">
        <v>0.43</v>
      </c>
      <c r="AK161" s="271">
        <v>8.43</v>
      </c>
      <c r="AL161" s="245"/>
      <c r="AM161" s="241"/>
      <c r="AN161" s="32"/>
      <c r="AO161" s="12"/>
      <c r="AP161" s="12"/>
      <c r="AQ161" s="12"/>
      <c r="AR161" s="12"/>
      <c r="AS161" s="12"/>
      <c r="AT161" s="12"/>
      <c r="AU161" s="12"/>
      <c r="AV161" s="42"/>
      <c r="AW161" s="44"/>
      <c r="AX161" s="13"/>
      <c r="AY161" s="3"/>
      <c r="AZ161" s="1"/>
      <c r="BA161" s="1"/>
      <c r="BB161" s="4"/>
      <c r="BC161" s="53"/>
    </row>
    <row r="162" spans="1:55" s="25" customFormat="1" x14ac:dyDescent="0.25">
      <c r="A162" s="261"/>
      <c r="B162" s="260"/>
      <c r="C162" s="259"/>
      <c r="D162" s="240"/>
      <c r="E162" s="241"/>
      <c r="F162" s="113"/>
      <c r="G162" s="260"/>
      <c r="H162" s="259"/>
      <c r="I162" s="240"/>
      <c r="J162" s="113"/>
      <c r="K162" s="270"/>
      <c r="L162" s="259"/>
      <c r="M162" s="241"/>
      <c r="N162" s="241"/>
      <c r="O162" s="113"/>
      <c r="P162" s="260"/>
      <c r="Q162" s="259"/>
      <c r="R162" s="241"/>
      <c r="S162" s="241"/>
      <c r="T162" s="113"/>
      <c r="U162" s="260"/>
      <c r="V162" s="259"/>
      <c r="W162" s="241"/>
      <c r="X162" s="240"/>
      <c r="Y162" s="113"/>
      <c r="Z162" s="260"/>
      <c r="AA162" s="259"/>
      <c r="AB162" s="241"/>
      <c r="AC162" s="240"/>
      <c r="AD162" s="113"/>
      <c r="AE162" s="270"/>
      <c r="AF162" s="271"/>
      <c r="AG162" s="245"/>
      <c r="AH162" s="240"/>
      <c r="AI162" s="113"/>
      <c r="AJ162" s="270"/>
      <c r="AK162" s="271"/>
      <c r="AL162" s="245"/>
      <c r="AM162" s="240"/>
      <c r="AN162" s="32"/>
      <c r="AO162" s="12"/>
      <c r="AP162" s="12"/>
      <c r="AQ162" s="12"/>
      <c r="AR162" s="12"/>
      <c r="AS162" s="12"/>
      <c r="AT162" s="12"/>
      <c r="AU162" s="12"/>
      <c r="AV162" s="12"/>
      <c r="AW162" s="44"/>
      <c r="AX162" s="13"/>
      <c r="AY162" s="3"/>
      <c r="AZ162" s="1"/>
      <c r="BA162" s="1"/>
      <c r="BB162" s="4"/>
      <c r="BC162" s="53"/>
    </row>
    <row r="163" spans="1:55" s="25" customFormat="1" x14ac:dyDescent="0.25">
      <c r="A163" s="261"/>
      <c r="B163" s="260"/>
      <c r="C163" s="259"/>
      <c r="D163" s="240">
        <f>B161-D175-D168-D176-D171-D172-D173</f>
        <v>1.53</v>
      </c>
      <c r="E163" s="7" t="s">
        <v>149</v>
      </c>
      <c r="F163" s="113"/>
      <c r="G163" s="260">
        <v>3.39</v>
      </c>
      <c r="H163" s="259">
        <v>8.0299999999999994</v>
      </c>
      <c r="I163" s="240"/>
      <c r="J163" s="113"/>
      <c r="K163" s="270"/>
      <c r="L163" s="259"/>
      <c r="M163" s="241">
        <v>1.53</v>
      </c>
      <c r="N163" s="7" t="s">
        <v>149</v>
      </c>
      <c r="O163" s="113"/>
      <c r="P163" s="260"/>
      <c r="Q163" s="259"/>
      <c r="R163" s="19"/>
      <c r="S163" s="240"/>
      <c r="T163" s="113"/>
      <c r="U163" s="260"/>
      <c r="V163" s="259"/>
      <c r="W163" s="241"/>
      <c r="X163" s="24"/>
      <c r="Y163" s="113"/>
      <c r="Z163" s="260"/>
      <c r="AA163" s="259"/>
      <c r="AB163" s="241"/>
      <c r="AC163" s="24"/>
      <c r="AD163" s="113"/>
      <c r="AE163" s="270"/>
      <c r="AF163" s="271"/>
      <c r="AG163" s="245"/>
      <c r="AH163" s="24"/>
      <c r="AI163" s="113"/>
      <c r="AJ163" s="270"/>
      <c r="AK163" s="271"/>
      <c r="AL163" s="245"/>
      <c r="AM163" s="24"/>
      <c r="AN163" s="32"/>
      <c r="AO163" s="12"/>
      <c r="AP163" s="12"/>
      <c r="AQ163" s="12"/>
      <c r="AR163" s="12"/>
      <c r="AS163" s="12"/>
      <c r="AT163" s="12"/>
      <c r="AU163" s="12"/>
      <c r="AV163" s="42"/>
      <c r="AW163" s="44"/>
      <c r="AX163" s="11"/>
      <c r="AY163" s="3"/>
      <c r="AZ163" s="1"/>
      <c r="BA163" s="1"/>
      <c r="BB163" s="4"/>
      <c r="BC163" s="53"/>
    </row>
    <row r="164" spans="1:55" s="25" customFormat="1" x14ac:dyDescent="0.25">
      <c r="A164" s="261"/>
      <c r="B164" s="260"/>
      <c r="C164" s="259"/>
      <c r="D164" s="240"/>
      <c r="E164" s="19"/>
      <c r="F164" s="113"/>
      <c r="G164" s="260"/>
      <c r="H164" s="259"/>
      <c r="I164" s="240"/>
      <c r="J164" s="113"/>
      <c r="K164" s="270"/>
      <c r="L164" s="259"/>
      <c r="M164" s="241"/>
      <c r="N164" s="19"/>
      <c r="O164" s="113"/>
      <c r="P164" s="260"/>
      <c r="Q164" s="259"/>
      <c r="R164" s="241"/>
      <c r="S164" s="19"/>
      <c r="T164" s="113"/>
      <c r="U164" s="260"/>
      <c r="V164" s="259"/>
      <c r="W164" s="241"/>
      <c r="X164" s="24"/>
      <c r="Y164" s="113"/>
      <c r="Z164" s="260"/>
      <c r="AA164" s="259"/>
      <c r="AB164" s="241"/>
      <c r="AC164" s="24"/>
      <c r="AD164" s="113"/>
      <c r="AE164" s="270"/>
      <c r="AF164" s="271"/>
      <c r="AG164" s="95"/>
      <c r="AH164" s="24"/>
      <c r="AI164" s="113"/>
      <c r="AJ164" s="270"/>
      <c r="AK164" s="271"/>
      <c r="AL164" s="245"/>
      <c r="AM164" s="91"/>
      <c r="AN164" s="32"/>
      <c r="AO164" s="12"/>
      <c r="AP164" s="12"/>
      <c r="AQ164" s="12"/>
      <c r="AR164" s="12"/>
      <c r="AS164" s="12"/>
      <c r="AT164" s="12"/>
      <c r="AU164" s="12"/>
      <c r="AV164" s="12"/>
      <c r="AW164" s="44"/>
      <c r="AX164" s="13"/>
      <c r="AY164" s="3"/>
      <c r="AZ164" s="1"/>
      <c r="BA164" s="1"/>
      <c r="BB164" s="4"/>
      <c r="BC164" s="53"/>
    </row>
    <row r="165" spans="1:55" s="25" customFormat="1" x14ac:dyDescent="0.25">
      <c r="A165" s="261"/>
      <c r="B165" s="260"/>
      <c r="C165" s="259"/>
      <c r="D165" s="56"/>
      <c r="E165" s="24"/>
      <c r="F165" s="113"/>
      <c r="G165" s="260"/>
      <c r="H165" s="259"/>
      <c r="I165" s="240"/>
      <c r="J165" s="113"/>
      <c r="K165" s="270"/>
      <c r="L165" s="259"/>
      <c r="M165" s="56"/>
      <c r="N165" s="24"/>
      <c r="O165" s="113"/>
      <c r="P165" s="260"/>
      <c r="Q165" s="259"/>
      <c r="R165" s="56"/>
      <c r="S165" s="24"/>
      <c r="T165" s="113"/>
      <c r="U165" s="260"/>
      <c r="V165" s="259"/>
      <c r="W165" s="56"/>
      <c r="X165" s="24"/>
      <c r="Y165" s="113"/>
      <c r="Z165" s="260"/>
      <c r="AA165" s="259"/>
      <c r="AB165" s="56"/>
      <c r="AC165" s="24"/>
      <c r="AD165" s="113"/>
      <c r="AE165" s="270"/>
      <c r="AF165" s="271"/>
      <c r="AG165" s="24"/>
      <c r="AH165" s="24"/>
      <c r="AI165" s="113"/>
      <c r="AJ165" s="245"/>
      <c r="AK165" s="246"/>
      <c r="AL165" s="245"/>
      <c r="AM165" s="246"/>
      <c r="AN165" s="32"/>
      <c r="AO165" s="12"/>
      <c r="AP165" s="12"/>
      <c r="AQ165" s="12"/>
      <c r="AR165" s="12"/>
      <c r="AS165" s="12"/>
      <c r="AT165" s="12"/>
      <c r="AU165" s="12"/>
      <c r="AV165" s="12"/>
      <c r="AW165" s="44"/>
      <c r="AX165" s="13"/>
      <c r="AY165" s="3"/>
      <c r="AZ165" s="1"/>
      <c r="BA165" s="1"/>
      <c r="BB165" s="4"/>
      <c r="BC165" s="53"/>
    </row>
    <row r="166" spans="1:55" s="25" customFormat="1" x14ac:dyDescent="0.25">
      <c r="A166" s="261"/>
      <c r="B166" s="260"/>
      <c r="C166" s="259"/>
      <c r="D166" s="56"/>
      <c r="E166" s="24"/>
      <c r="F166" s="113"/>
      <c r="G166" s="260"/>
      <c r="H166" s="259"/>
      <c r="I166" s="240"/>
      <c r="J166" s="113"/>
      <c r="K166" s="270"/>
      <c r="L166" s="259"/>
      <c r="M166" s="19">
        <v>0.01</v>
      </c>
      <c r="N166" s="15" t="s">
        <v>445</v>
      </c>
      <c r="O166" s="113"/>
      <c r="P166" s="260">
        <v>4.42</v>
      </c>
      <c r="Q166" s="259">
        <v>8.36</v>
      </c>
      <c r="R166" s="19">
        <v>0.01</v>
      </c>
      <c r="S166" s="15" t="s">
        <v>325</v>
      </c>
      <c r="T166" s="113"/>
      <c r="U166" s="260"/>
      <c r="V166" s="259"/>
      <c r="W166" s="19">
        <v>0.01</v>
      </c>
      <c r="X166" s="15" t="s">
        <v>325</v>
      </c>
      <c r="Y166" s="113"/>
      <c r="Z166" s="260">
        <v>0.37</v>
      </c>
      <c r="AA166" s="259">
        <v>8.3800000000000008</v>
      </c>
      <c r="AB166" s="56"/>
      <c r="AC166" s="24"/>
      <c r="AD166" s="113"/>
      <c r="AE166" s="270">
        <v>0.7</v>
      </c>
      <c r="AF166" s="271">
        <v>7.9</v>
      </c>
      <c r="AG166" s="245"/>
      <c r="AH166" s="24"/>
      <c r="AI166" s="113"/>
      <c r="AJ166" s="270">
        <v>0.14000000000000001</v>
      </c>
      <c r="AK166" s="271">
        <v>8.5</v>
      </c>
      <c r="AL166" s="245"/>
      <c r="AM166" s="24"/>
      <c r="AN166" s="32"/>
      <c r="AO166" s="12"/>
      <c r="AP166" s="12"/>
      <c r="AQ166" s="12"/>
      <c r="AR166" s="12"/>
      <c r="AS166" s="12"/>
      <c r="AT166" s="12"/>
      <c r="AU166" s="12"/>
      <c r="AV166" s="42"/>
      <c r="AW166" s="44"/>
      <c r="AX166" s="13"/>
      <c r="AY166" s="3"/>
      <c r="AZ166" s="1"/>
      <c r="BA166" s="1"/>
      <c r="BB166" s="4"/>
      <c r="BC166" s="53"/>
    </row>
    <row r="167" spans="1:55" s="25" customFormat="1" x14ac:dyDescent="0.25">
      <c r="A167" s="261"/>
      <c r="B167" s="260"/>
      <c r="C167" s="259"/>
      <c r="D167" s="241"/>
      <c r="E167" s="241"/>
      <c r="F167" s="113"/>
      <c r="G167" s="260"/>
      <c r="H167" s="259"/>
      <c r="I167" s="240"/>
      <c r="J167" s="113"/>
      <c r="K167" s="270"/>
      <c r="L167" s="259"/>
      <c r="M167" s="241"/>
      <c r="N167" s="241"/>
      <c r="O167" s="113"/>
      <c r="P167" s="260"/>
      <c r="Q167" s="259"/>
      <c r="R167" s="241"/>
      <c r="S167" s="241"/>
      <c r="T167" s="113"/>
      <c r="U167" s="260"/>
      <c r="V167" s="259"/>
      <c r="W167" s="241"/>
      <c r="X167" s="240"/>
      <c r="Y167" s="113"/>
      <c r="Z167" s="260"/>
      <c r="AA167" s="259"/>
      <c r="AB167" s="241"/>
      <c r="AC167" s="240"/>
      <c r="AD167" s="113"/>
      <c r="AE167" s="270"/>
      <c r="AF167" s="271"/>
      <c r="AG167" s="245"/>
      <c r="AH167" s="240"/>
      <c r="AI167" s="113"/>
      <c r="AJ167" s="270"/>
      <c r="AK167" s="271"/>
      <c r="AL167" s="245"/>
      <c r="AM167" s="240"/>
      <c r="AN167" s="32"/>
      <c r="AO167" s="12"/>
      <c r="AP167" s="12"/>
      <c r="AQ167" s="12"/>
      <c r="AR167" s="12"/>
      <c r="AS167" s="12"/>
      <c r="AT167" s="12"/>
      <c r="AU167" s="12"/>
      <c r="AV167" s="42"/>
      <c r="AW167" s="44"/>
      <c r="AX167" s="11"/>
      <c r="AY167" s="3"/>
      <c r="AZ167" s="1"/>
      <c r="BA167" s="1"/>
      <c r="BB167" s="4"/>
      <c r="BC167" s="53"/>
    </row>
    <row r="168" spans="1:55" s="25" customFormat="1" x14ac:dyDescent="0.25">
      <c r="A168" s="261"/>
      <c r="B168" s="260"/>
      <c r="C168" s="259"/>
      <c r="D168" s="241">
        <f>0.17</f>
        <v>0.17</v>
      </c>
      <c r="E168" s="7" t="s">
        <v>78</v>
      </c>
      <c r="F168" s="113"/>
      <c r="G168" s="260"/>
      <c r="H168" s="259"/>
      <c r="I168" s="240"/>
      <c r="J168" s="113"/>
      <c r="K168" s="270"/>
      <c r="L168" s="259"/>
      <c r="M168" s="241">
        <v>0.2</v>
      </c>
      <c r="N168" s="7" t="s">
        <v>78</v>
      </c>
      <c r="O168" s="113"/>
      <c r="P168" s="260"/>
      <c r="Q168" s="259"/>
      <c r="R168" s="241"/>
      <c r="S168" s="240"/>
      <c r="T168" s="113"/>
      <c r="U168" s="260"/>
      <c r="V168" s="259"/>
      <c r="W168" s="241"/>
      <c r="X168" s="240"/>
      <c r="Y168" s="113"/>
      <c r="Z168" s="260"/>
      <c r="AA168" s="259"/>
      <c r="AB168" s="241"/>
      <c r="AC168" s="240"/>
      <c r="AD168" s="113"/>
      <c r="AE168" s="270"/>
      <c r="AF168" s="271"/>
      <c r="AG168" s="245"/>
      <c r="AH168" s="240"/>
      <c r="AI168" s="113"/>
      <c r="AJ168" s="270"/>
      <c r="AK168" s="271"/>
      <c r="AL168" s="245"/>
      <c r="AM168" s="240"/>
      <c r="AN168" s="32"/>
      <c r="AO168" s="12"/>
      <c r="AP168" s="12"/>
      <c r="AQ168" s="12"/>
      <c r="AR168" s="12"/>
      <c r="AS168" s="12"/>
      <c r="AT168" s="12"/>
      <c r="AU168" s="12"/>
      <c r="AV168" s="42"/>
      <c r="AW168" s="44"/>
      <c r="AX168" s="13"/>
      <c r="AY168" s="3"/>
      <c r="AZ168" s="1"/>
      <c r="BA168" s="1"/>
      <c r="BB168" s="4"/>
      <c r="BC168" s="53"/>
    </row>
    <row r="169" spans="1:55" s="25" customFormat="1" x14ac:dyDescent="0.25">
      <c r="A169" s="261"/>
      <c r="B169" s="260"/>
      <c r="C169" s="259"/>
      <c r="D169" s="241"/>
      <c r="E169" s="241"/>
      <c r="F169" s="113"/>
      <c r="G169" s="260"/>
      <c r="H169" s="259"/>
      <c r="I169" s="240"/>
      <c r="J169" s="113"/>
      <c r="K169" s="270"/>
      <c r="L169" s="259"/>
      <c r="M169" s="241">
        <v>1</v>
      </c>
      <c r="N169" s="7" t="s">
        <v>201</v>
      </c>
      <c r="O169" s="113"/>
      <c r="P169" s="260"/>
      <c r="Q169" s="259"/>
      <c r="R169" s="241"/>
      <c r="S169" s="8"/>
      <c r="T169" s="113"/>
      <c r="U169" s="260"/>
      <c r="V169" s="259"/>
      <c r="W169" s="241"/>
      <c r="X169" s="240"/>
      <c r="Y169" s="113"/>
      <c r="Z169" s="260"/>
      <c r="AA169" s="259"/>
      <c r="AB169" s="241"/>
      <c r="AC169" s="240"/>
      <c r="AD169" s="113"/>
      <c r="AE169" s="270"/>
      <c r="AF169" s="271"/>
      <c r="AG169" s="245"/>
      <c r="AH169" s="246"/>
      <c r="AI169" s="113"/>
      <c r="AJ169" s="270"/>
      <c r="AK169" s="271"/>
      <c r="AL169" s="245"/>
      <c r="AM169" s="246"/>
      <c r="AN169" s="32"/>
      <c r="AO169" s="12"/>
      <c r="AP169" s="12"/>
      <c r="AQ169" s="12"/>
      <c r="AR169" s="12"/>
      <c r="AS169" s="12"/>
      <c r="AT169" s="12"/>
      <c r="AU169" s="12"/>
      <c r="AV169" s="42"/>
      <c r="AW169" s="44"/>
      <c r="AX169" s="13"/>
      <c r="AY169" s="3"/>
      <c r="AZ169" s="1"/>
      <c r="BA169" s="1"/>
      <c r="BB169" s="4"/>
      <c r="BC169" s="53"/>
    </row>
    <row r="170" spans="1:55" s="25" customFormat="1" x14ac:dyDescent="0.25">
      <c r="A170" s="261"/>
      <c r="B170" s="260"/>
      <c r="C170" s="259"/>
      <c r="D170" s="56"/>
      <c r="E170" s="24"/>
      <c r="F170" s="113"/>
      <c r="G170" s="260"/>
      <c r="H170" s="259"/>
      <c r="I170" s="240"/>
      <c r="J170" s="113"/>
      <c r="K170" s="270"/>
      <c r="L170" s="259"/>
      <c r="M170" s="56"/>
      <c r="N170" s="24"/>
      <c r="O170" s="113"/>
      <c r="P170" s="260"/>
      <c r="Q170" s="259"/>
      <c r="R170" s="56"/>
      <c r="S170" s="24"/>
      <c r="T170" s="113"/>
      <c r="U170" s="260"/>
      <c r="V170" s="259"/>
      <c r="W170" s="241"/>
      <c r="X170" s="241"/>
      <c r="Y170" s="113"/>
      <c r="Z170" s="260"/>
      <c r="AA170" s="259"/>
      <c r="AB170" s="241"/>
      <c r="AC170" s="241"/>
      <c r="AD170" s="113"/>
      <c r="AE170" s="270"/>
      <c r="AF170" s="271"/>
      <c r="AG170" s="245"/>
      <c r="AH170" s="245"/>
      <c r="AI170" s="113"/>
      <c r="AJ170" s="270"/>
      <c r="AK170" s="271"/>
      <c r="AL170" s="245"/>
      <c r="AM170" s="245"/>
      <c r="AN170" s="32"/>
      <c r="AO170" s="12"/>
      <c r="AP170" s="12"/>
      <c r="AQ170" s="12"/>
      <c r="AR170" s="12"/>
      <c r="AS170" s="12"/>
      <c r="AT170" s="12"/>
      <c r="AU170" s="12"/>
      <c r="AV170" s="42"/>
      <c r="AW170" s="44"/>
      <c r="AX170" s="13"/>
      <c r="AY170" s="3"/>
      <c r="AZ170" s="1"/>
      <c r="BA170" s="1"/>
      <c r="BB170" s="4"/>
      <c r="BC170" s="53"/>
    </row>
    <row r="171" spans="1:55" s="25" customFormat="1" x14ac:dyDescent="0.25">
      <c r="A171" s="261"/>
      <c r="B171" s="260"/>
      <c r="C171" s="259"/>
      <c r="D171" s="241">
        <v>0.03</v>
      </c>
      <c r="E171" s="249" t="s">
        <v>402</v>
      </c>
      <c r="F171" s="113"/>
      <c r="G171" s="260"/>
      <c r="H171" s="259"/>
      <c r="I171" s="240"/>
      <c r="J171" s="113"/>
      <c r="K171" s="270"/>
      <c r="L171" s="259"/>
      <c r="M171" s="241">
        <f>K161+K156+K177-M180-M176-M175-M169-M168-M166-M163-M158-M157-M185</f>
        <v>2.1300000000000003</v>
      </c>
      <c r="N171" s="249" t="s">
        <v>402</v>
      </c>
      <c r="O171" s="113"/>
      <c r="P171" s="260"/>
      <c r="Q171" s="259"/>
      <c r="R171" s="241">
        <f>P166-R176-R172-R173-R166+P161-R175</f>
        <v>2.3199999999999998</v>
      </c>
      <c r="S171" s="249" t="s">
        <v>41</v>
      </c>
      <c r="T171" s="113"/>
      <c r="U171" s="260"/>
      <c r="V171" s="259"/>
      <c r="W171" s="241"/>
      <c r="X171" s="19"/>
      <c r="Y171" s="113"/>
      <c r="Z171" s="260"/>
      <c r="AA171" s="259"/>
      <c r="AB171" s="241"/>
      <c r="AC171" s="19"/>
      <c r="AD171" s="113"/>
      <c r="AE171" s="270"/>
      <c r="AF171" s="271"/>
      <c r="AG171" s="245"/>
      <c r="AH171" s="16"/>
      <c r="AI171" s="113"/>
      <c r="AJ171" s="270"/>
      <c r="AK171" s="271"/>
      <c r="AL171" s="245"/>
      <c r="AM171" s="16"/>
      <c r="AN171" s="32"/>
      <c r="AO171" s="12"/>
      <c r="AP171" s="12"/>
      <c r="AQ171" s="12"/>
      <c r="AR171" s="12"/>
      <c r="AS171" s="12"/>
      <c r="AT171" s="12"/>
      <c r="AU171" s="12"/>
      <c r="AV171" s="12"/>
      <c r="AW171" s="44"/>
      <c r="AX171" s="72"/>
      <c r="AY171" s="3"/>
      <c r="AZ171" s="1"/>
      <c r="BA171" s="1"/>
      <c r="BB171" s="4"/>
      <c r="BC171" s="53"/>
    </row>
    <row r="172" spans="1:55" s="25" customFormat="1" x14ac:dyDescent="0.25">
      <c r="A172" s="261"/>
      <c r="B172" s="260"/>
      <c r="C172" s="259"/>
      <c r="D172" s="241"/>
      <c r="E172" s="240"/>
      <c r="F172" s="113"/>
      <c r="G172" s="260"/>
      <c r="H172" s="259"/>
      <c r="I172" s="240"/>
      <c r="J172" s="113"/>
      <c r="K172" s="270"/>
      <c r="L172" s="259"/>
      <c r="M172" s="241"/>
      <c r="N172" s="240"/>
      <c r="O172" s="113"/>
      <c r="P172" s="260"/>
      <c r="Q172" s="259"/>
      <c r="R172" s="241">
        <f>W172</f>
        <v>0.20999999999999996</v>
      </c>
      <c r="S172" s="249" t="s">
        <v>221</v>
      </c>
      <c r="T172" s="113"/>
      <c r="U172" s="260"/>
      <c r="V172" s="259"/>
      <c r="W172" s="241">
        <f>U161-W180-W176-W175-W166</f>
        <v>0.20999999999999996</v>
      </c>
      <c r="X172" s="249" t="s">
        <v>221</v>
      </c>
      <c r="Y172" s="113"/>
      <c r="Z172" s="260"/>
      <c r="AA172" s="259"/>
      <c r="AB172" s="56"/>
      <c r="AC172" s="24"/>
      <c r="AD172" s="113"/>
      <c r="AE172" s="270"/>
      <c r="AF172" s="271"/>
      <c r="AG172" s="245"/>
      <c r="AH172" s="246"/>
      <c r="AI172" s="113"/>
      <c r="AJ172" s="270"/>
      <c r="AK172" s="271"/>
      <c r="AL172" s="245"/>
      <c r="AM172" s="246"/>
      <c r="AN172" s="32"/>
      <c r="AO172" s="12"/>
      <c r="AP172" s="12"/>
      <c r="AQ172" s="12"/>
      <c r="AR172" s="12"/>
      <c r="AS172" s="12"/>
      <c r="AT172" s="12"/>
      <c r="AU172" s="12"/>
      <c r="AV172" s="42"/>
      <c r="AW172" s="44"/>
      <c r="AX172" s="13"/>
      <c r="AY172" s="3"/>
      <c r="AZ172" s="1"/>
      <c r="BA172" s="1"/>
      <c r="BB172" s="4"/>
      <c r="BC172" s="53"/>
    </row>
    <row r="173" spans="1:55" s="25" customFormat="1" x14ac:dyDescent="0.25">
      <c r="A173" s="261"/>
      <c r="B173" s="260"/>
      <c r="C173" s="259"/>
      <c r="D173" s="241"/>
      <c r="E173" s="240"/>
      <c r="F173" s="113"/>
      <c r="G173" s="260"/>
      <c r="H173" s="259"/>
      <c r="I173" s="240"/>
      <c r="J173" s="113"/>
      <c r="K173" s="270"/>
      <c r="L173" s="259"/>
      <c r="M173" s="241"/>
      <c r="N173" s="240"/>
      <c r="O173" s="113"/>
      <c r="P173" s="260"/>
      <c r="Q173" s="259"/>
      <c r="R173" s="241">
        <v>1.95</v>
      </c>
      <c r="S173" s="249" t="s">
        <v>42</v>
      </c>
      <c r="T173" s="113"/>
      <c r="U173" s="260"/>
      <c r="V173" s="259"/>
      <c r="W173" s="241"/>
      <c r="X173" s="24"/>
      <c r="Y173" s="113"/>
      <c r="Z173" s="260"/>
      <c r="AA173" s="259"/>
      <c r="AB173" s="56"/>
      <c r="AC173" s="24"/>
      <c r="AD173" s="113"/>
      <c r="AE173" s="270"/>
      <c r="AF173" s="271"/>
      <c r="AG173" s="245"/>
      <c r="AH173" s="91"/>
      <c r="AI173" s="113"/>
      <c r="AJ173" s="270"/>
      <c r="AK173" s="271"/>
      <c r="AL173" s="245"/>
      <c r="AM173" s="91"/>
      <c r="AN173" s="32"/>
      <c r="AO173" s="12"/>
      <c r="AP173" s="12"/>
      <c r="AQ173" s="12"/>
      <c r="AR173" s="12"/>
      <c r="AS173" s="12"/>
      <c r="AT173" s="12"/>
      <c r="AU173" s="12"/>
      <c r="AV173" s="12"/>
      <c r="AW173" s="44"/>
      <c r="AX173" s="13"/>
      <c r="AY173" s="3"/>
      <c r="AZ173" s="1"/>
      <c r="BA173" s="1"/>
      <c r="BB173" s="4"/>
      <c r="BC173" s="53"/>
    </row>
    <row r="174" spans="1:55" s="25" customFormat="1" x14ac:dyDescent="0.25">
      <c r="A174" s="261"/>
      <c r="B174" s="260"/>
      <c r="C174" s="259"/>
      <c r="D174" s="24"/>
      <c r="E174" s="24"/>
      <c r="F174" s="113"/>
      <c r="G174" s="260"/>
      <c r="H174" s="259"/>
      <c r="I174" s="240"/>
      <c r="J174" s="113"/>
      <c r="K174" s="270"/>
      <c r="L174" s="259"/>
      <c r="M174" s="56"/>
      <c r="N174" s="24"/>
      <c r="O174" s="113"/>
      <c r="P174" s="260"/>
      <c r="Q174" s="259"/>
      <c r="R174" s="24"/>
      <c r="S174" s="24"/>
      <c r="T174" s="113"/>
      <c r="U174" s="260"/>
      <c r="V174" s="259"/>
      <c r="W174" s="56"/>
      <c r="X174" s="24"/>
      <c r="Y174" s="113"/>
      <c r="Z174" s="260"/>
      <c r="AA174" s="259"/>
      <c r="AB174" s="241"/>
      <c r="AC174" s="24"/>
      <c r="AD174" s="113"/>
      <c r="AE174" s="270"/>
      <c r="AF174" s="271"/>
      <c r="AG174" s="245"/>
      <c r="AH174" s="91"/>
      <c r="AI174" s="113"/>
      <c r="AJ174" s="270"/>
      <c r="AK174" s="271"/>
      <c r="AL174" s="245"/>
      <c r="AM174" s="91"/>
      <c r="AN174" s="32"/>
      <c r="AO174" s="12"/>
      <c r="AP174" s="12"/>
      <c r="AQ174" s="12"/>
      <c r="AR174" s="12"/>
      <c r="AS174" s="12"/>
      <c r="AT174" s="12"/>
      <c r="AU174" s="12"/>
      <c r="AV174" s="42"/>
      <c r="AW174" s="44"/>
      <c r="AX174" s="13"/>
      <c r="AY174" s="3"/>
      <c r="AZ174" s="1"/>
      <c r="BA174" s="1"/>
      <c r="BB174" s="4"/>
      <c r="BC174" s="53"/>
    </row>
    <row r="175" spans="1:55" s="25" customFormat="1" x14ac:dyDescent="0.25">
      <c r="A175" s="261"/>
      <c r="B175" s="260"/>
      <c r="C175" s="259"/>
      <c r="D175" s="241">
        <v>0.6</v>
      </c>
      <c r="E175" s="62" t="s">
        <v>112</v>
      </c>
      <c r="F175" s="113"/>
      <c r="G175" s="260"/>
      <c r="H175" s="259"/>
      <c r="I175" s="240"/>
      <c r="J175" s="113"/>
      <c r="K175" s="270"/>
      <c r="L175" s="259"/>
      <c r="M175" s="241">
        <v>0.6</v>
      </c>
      <c r="N175" s="62" t="s">
        <v>112</v>
      </c>
      <c r="O175" s="113"/>
      <c r="P175" s="260"/>
      <c r="Q175" s="259"/>
      <c r="R175" s="241">
        <v>0.6</v>
      </c>
      <c r="S175" s="62" t="s">
        <v>112</v>
      </c>
      <c r="T175" s="113"/>
      <c r="U175" s="260"/>
      <c r="V175" s="259"/>
      <c r="W175" s="241">
        <f>AB175</f>
        <v>0.6</v>
      </c>
      <c r="X175" s="62" t="s">
        <v>112</v>
      </c>
      <c r="Y175" s="113"/>
      <c r="Z175" s="260"/>
      <c r="AA175" s="259"/>
      <c r="AB175" s="241">
        <f>Z161</f>
        <v>0.6</v>
      </c>
      <c r="AC175" s="62" t="s">
        <v>112</v>
      </c>
      <c r="AD175" s="113"/>
      <c r="AE175" s="270"/>
      <c r="AF175" s="271"/>
      <c r="AG175" s="245">
        <f>AE161+AE166</f>
        <v>1.2</v>
      </c>
      <c r="AH175" s="62" t="s">
        <v>112</v>
      </c>
      <c r="AI175" s="113"/>
      <c r="AJ175" s="270"/>
      <c r="AK175" s="271"/>
      <c r="AL175" s="245">
        <f>AJ166</f>
        <v>0.14000000000000001</v>
      </c>
      <c r="AM175" s="62" t="s">
        <v>112</v>
      </c>
      <c r="AN175" s="32"/>
      <c r="AO175" s="12"/>
      <c r="AP175" s="12"/>
      <c r="AQ175" s="12"/>
      <c r="AR175" s="12"/>
      <c r="AS175" s="12"/>
      <c r="AT175" s="12"/>
      <c r="AU175" s="12"/>
      <c r="AV175" s="12"/>
      <c r="AW175" s="44"/>
      <c r="AX175" s="13"/>
      <c r="AY175" s="3"/>
      <c r="AZ175" s="1"/>
      <c r="BA175" s="1"/>
      <c r="BB175" s="4"/>
      <c r="BC175" s="53"/>
    </row>
    <row r="176" spans="1:55" s="25" customFormat="1" x14ac:dyDescent="0.25">
      <c r="A176" s="261"/>
      <c r="B176" s="260"/>
      <c r="C176" s="259"/>
      <c r="D176" s="241">
        <v>0.37</v>
      </c>
      <c r="E176" s="70" t="s">
        <v>115</v>
      </c>
      <c r="F176" s="113"/>
      <c r="G176" s="260"/>
      <c r="H176" s="259"/>
      <c r="I176" s="240"/>
      <c r="J176" s="113"/>
      <c r="K176" s="270"/>
      <c r="L176" s="259"/>
      <c r="M176" s="241">
        <f>R176</f>
        <v>0.37</v>
      </c>
      <c r="N176" s="70" t="s">
        <v>115</v>
      </c>
      <c r="O176" s="113"/>
      <c r="P176" s="260"/>
      <c r="Q176" s="259"/>
      <c r="R176" s="241">
        <f>AB176</f>
        <v>0.37</v>
      </c>
      <c r="S176" s="70" t="s">
        <v>115</v>
      </c>
      <c r="T176" s="113"/>
      <c r="U176" s="260"/>
      <c r="V176" s="259"/>
      <c r="W176" s="241">
        <f>AB176</f>
        <v>0.37</v>
      </c>
      <c r="X176" s="70" t="s">
        <v>115</v>
      </c>
      <c r="Y176" s="113"/>
      <c r="Z176" s="260"/>
      <c r="AA176" s="259"/>
      <c r="AB176" s="241">
        <f>Z166</f>
        <v>0.37</v>
      </c>
      <c r="AC176" s="70" t="s">
        <v>115</v>
      </c>
      <c r="AD176" s="113"/>
      <c r="AE176" s="270"/>
      <c r="AF176" s="271"/>
      <c r="AG176" s="245"/>
      <c r="AH176" s="240"/>
      <c r="AI176" s="113"/>
      <c r="AJ176" s="245">
        <v>0.09</v>
      </c>
      <c r="AK176" s="246">
        <v>8.56</v>
      </c>
      <c r="AL176" s="245">
        <f>AJ176</f>
        <v>0.09</v>
      </c>
      <c r="AM176" s="70" t="s">
        <v>115</v>
      </c>
      <c r="AN176" s="32"/>
      <c r="AO176" s="12"/>
      <c r="AP176" s="12"/>
      <c r="AQ176" s="12"/>
      <c r="AR176" s="12"/>
      <c r="AS176" s="12"/>
      <c r="AT176" s="12"/>
      <c r="AU176" s="12"/>
      <c r="AV176" s="42"/>
      <c r="AW176" s="44"/>
      <c r="AX176" s="4"/>
      <c r="AY176" s="3"/>
      <c r="AZ176" s="1"/>
      <c r="BA176" s="1"/>
      <c r="BB176" s="4"/>
      <c r="BC176" s="53"/>
    </row>
    <row r="177" spans="1:55" s="25" customFormat="1" x14ac:dyDescent="0.25">
      <c r="A177" s="261">
        <v>34</v>
      </c>
      <c r="B177" s="260">
        <v>0.61</v>
      </c>
      <c r="C177" s="259">
        <v>8.44</v>
      </c>
      <c r="D177" s="240"/>
      <c r="E177" s="241"/>
      <c r="F177" s="113"/>
      <c r="G177" s="260">
        <v>0.7</v>
      </c>
      <c r="H177" s="259">
        <v>8.14</v>
      </c>
      <c r="I177" s="240"/>
      <c r="J177" s="113"/>
      <c r="K177" s="260">
        <v>0.49</v>
      </c>
      <c r="L177" s="259">
        <v>8.5</v>
      </c>
      <c r="M177" s="241"/>
      <c r="N177" s="24"/>
      <c r="O177" s="113"/>
      <c r="P177" s="260">
        <v>0.61</v>
      </c>
      <c r="Q177" s="259">
        <v>8.4499999999999993</v>
      </c>
      <c r="R177" s="56"/>
      <c r="S177" s="24"/>
      <c r="T177" s="113"/>
      <c r="U177" s="260"/>
      <c r="V177" s="259"/>
      <c r="W177" s="241"/>
      <c r="X177" s="24"/>
      <c r="Y177" s="113"/>
      <c r="Z177" s="260">
        <v>0.14000000000000001</v>
      </c>
      <c r="AA177" s="259">
        <v>8.4600000000000009</v>
      </c>
      <c r="AB177" s="56"/>
      <c r="AC177" s="24"/>
      <c r="AD177" s="113"/>
      <c r="AE177" s="270">
        <v>0.61</v>
      </c>
      <c r="AF177" s="271">
        <v>7.98</v>
      </c>
      <c r="AG177" s="245"/>
      <c r="AH177" s="24"/>
      <c r="AI177" s="113"/>
      <c r="AJ177" s="270">
        <v>0.3</v>
      </c>
      <c r="AK177" s="271">
        <v>8.6199999999999992</v>
      </c>
      <c r="AL177" s="245"/>
      <c r="AM177" s="91"/>
      <c r="AN177" s="32"/>
      <c r="AO177" s="12"/>
      <c r="AP177" s="12"/>
      <c r="AQ177" s="12"/>
      <c r="AR177" s="12"/>
      <c r="AS177" s="12"/>
      <c r="AT177" s="12"/>
      <c r="AU177" s="12"/>
      <c r="AV177" s="12"/>
      <c r="AW177" s="44"/>
      <c r="AX177" s="13"/>
      <c r="AY177" s="3"/>
      <c r="AZ177" s="1"/>
      <c r="BA177" s="1"/>
      <c r="BB177" s="4"/>
      <c r="BC177" s="53"/>
    </row>
    <row r="178" spans="1:55" s="25" customFormat="1" x14ac:dyDescent="0.25">
      <c r="A178" s="261"/>
      <c r="B178" s="260"/>
      <c r="C178" s="259"/>
      <c r="D178" s="240"/>
      <c r="E178" s="241"/>
      <c r="F178" s="113"/>
      <c r="G178" s="260"/>
      <c r="H178" s="259"/>
      <c r="I178" s="240"/>
      <c r="J178" s="113"/>
      <c r="K178" s="260"/>
      <c r="L178" s="259"/>
      <c r="M178" s="241"/>
      <c r="N178" s="24"/>
      <c r="O178" s="113"/>
      <c r="P178" s="260"/>
      <c r="Q178" s="259"/>
      <c r="R178" s="56"/>
      <c r="S178" s="24"/>
      <c r="T178" s="113"/>
      <c r="U178" s="260"/>
      <c r="V178" s="259"/>
      <c r="W178" s="241"/>
      <c r="X178" s="24"/>
      <c r="Y178" s="113"/>
      <c r="Z178" s="260"/>
      <c r="AA178" s="259"/>
      <c r="AB178" s="56"/>
      <c r="AC178" s="24"/>
      <c r="AD178" s="113"/>
      <c r="AE178" s="270"/>
      <c r="AF178" s="271"/>
      <c r="AG178" s="245"/>
      <c r="AH178" s="24"/>
      <c r="AI178" s="113"/>
      <c r="AJ178" s="270"/>
      <c r="AK178" s="271"/>
      <c r="AL178" s="245"/>
      <c r="AM178" s="91"/>
      <c r="AN178" s="32"/>
      <c r="AO178" s="12"/>
      <c r="AP178" s="12"/>
      <c r="AQ178" s="12"/>
      <c r="AR178" s="12"/>
      <c r="AS178" s="12"/>
      <c r="AT178" s="12"/>
      <c r="AU178" s="12"/>
      <c r="AV178" s="12"/>
      <c r="AW178" s="44"/>
      <c r="AX178" s="69"/>
      <c r="AY178" s="3"/>
      <c r="AZ178" s="1"/>
      <c r="BA178" s="1"/>
      <c r="BB178" s="4"/>
      <c r="BC178" s="53"/>
    </row>
    <row r="179" spans="1:55" s="25" customFormat="1" x14ac:dyDescent="0.25">
      <c r="A179" s="261"/>
      <c r="B179" s="260"/>
      <c r="C179" s="259"/>
      <c r="D179" s="240"/>
      <c r="E179" s="241"/>
      <c r="F179" s="113"/>
      <c r="G179" s="260"/>
      <c r="H179" s="259"/>
      <c r="I179" s="240"/>
      <c r="J179" s="113"/>
      <c r="K179" s="260"/>
      <c r="L179" s="259"/>
      <c r="M179" s="241"/>
      <c r="N179" s="240"/>
      <c r="O179" s="113"/>
      <c r="P179" s="260"/>
      <c r="Q179" s="259"/>
      <c r="R179" s="241"/>
      <c r="S179" s="240"/>
      <c r="T179" s="113"/>
      <c r="U179" s="260"/>
      <c r="V179" s="259"/>
      <c r="W179" s="241"/>
      <c r="X179" s="24"/>
      <c r="Y179" s="113"/>
      <c r="Z179" s="260"/>
      <c r="AA179" s="259"/>
      <c r="AB179" s="56"/>
      <c r="AC179" s="24"/>
      <c r="AD179" s="113"/>
      <c r="AE179" s="270"/>
      <c r="AF179" s="271"/>
      <c r="AG179" s="245"/>
      <c r="AH179" s="24"/>
      <c r="AI179" s="113"/>
      <c r="AJ179" s="270"/>
      <c r="AK179" s="271"/>
      <c r="AL179" s="245"/>
      <c r="AM179" s="91"/>
      <c r="AN179" s="32"/>
      <c r="AO179" s="12"/>
      <c r="AP179" s="12"/>
      <c r="AQ179" s="12"/>
      <c r="AR179" s="12"/>
      <c r="AS179" s="12"/>
      <c r="AT179" s="12"/>
      <c r="AU179" s="12"/>
      <c r="AV179" s="42"/>
      <c r="AW179" s="44"/>
      <c r="AX179" s="11"/>
      <c r="AY179" s="3"/>
      <c r="AZ179" s="1"/>
      <c r="BA179" s="1"/>
      <c r="BB179" s="4"/>
      <c r="BC179" s="53"/>
    </row>
    <row r="180" spans="1:55" s="25" customFormat="1" x14ac:dyDescent="0.25">
      <c r="A180" s="261"/>
      <c r="B180" s="260"/>
      <c r="C180" s="259"/>
      <c r="D180" s="240">
        <f>B177-D185</f>
        <v>0.41</v>
      </c>
      <c r="E180" s="7" t="s">
        <v>107</v>
      </c>
      <c r="F180" s="113"/>
      <c r="G180" s="260"/>
      <c r="H180" s="259"/>
      <c r="I180" s="240"/>
      <c r="J180" s="113"/>
      <c r="K180" s="260"/>
      <c r="L180" s="259"/>
      <c r="M180" s="241">
        <f>R180</f>
        <v>0.14000000000000001</v>
      </c>
      <c r="N180" s="7" t="s">
        <v>107</v>
      </c>
      <c r="O180" s="113"/>
      <c r="P180" s="260"/>
      <c r="Q180" s="259"/>
      <c r="R180" s="241">
        <f>0.14</f>
        <v>0.14000000000000001</v>
      </c>
      <c r="S180" s="7" t="s">
        <v>107</v>
      </c>
      <c r="T180" s="113"/>
      <c r="U180" s="260"/>
      <c r="V180" s="259"/>
      <c r="W180" s="241">
        <f>AB180</f>
        <v>0.14000000000000001</v>
      </c>
      <c r="X180" s="7" t="s">
        <v>107</v>
      </c>
      <c r="Y180" s="113"/>
      <c r="Z180" s="260"/>
      <c r="AA180" s="259"/>
      <c r="AB180" s="241">
        <f>R180</f>
        <v>0.14000000000000001</v>
      </c>
      <c r="AC180" s="7" t="s">
        <v>107</v>
      </c>
      <c r="AD180" s="113"/>
      <c r="AE180" s="270"/>
      <c r="AF180" s="271"/>
      <c r="AG180" s="245">
        <f>AE177</f>
        <v>0.61</v>
      </c>
      <c r="AH180" s="7" t="s">
        <v>107</v>
      </c>
      <c r="AI180" s="113"/>
      <c r="AJ180" s="270"/>
      <c r="AK180" s="271"/>
      <c r="AL180" s="245">
        <f>AJ177</f>
        <v>0.3</v>
      </c>
      <c r="AM180" s="7" t="s">
        <v>107</v>
      </c>
      <c r="AN180" s="32"/>
      <c r="AO180" s="12"/>
      <c r="AP180" s="12"/>
      <c r="AQ180" s="12"/>
      <c r="AR180" s="12"/>
      <c r="AS180" s="12"/>
      <c r="AT180" s="12"/>
      <c r="AU180" s="12"/>
      <c r="AV180" s="42"/>
      <c r="AW180" s="44"/>
      <c r="AX180" s="13"/>
      <c r="AY180" s="3"/>
      <c r="AZ180" s="1"/>
      <c r="BA180" s="1"/>
      <c r="BB180" s="4"/>
      <c r="BC180" s="53"/>
    </row>
    <row r="181" spans="1:55" s="25" customFormat="1" x14ac:dyDescent="0.25">
      <c r="A181" s="261"/>
      <c r="B181" s="260"/>
      <c r="C181" s="259"/>
      <c r="D181" s="240"/>
      <c r="E181" s="241"/>
      <c r="F181" s="113"/>
      <c r="G181" s="260"/>
      <c r="H181" s="259"/>
      <c r="I181" s="240"/>
      <c r="J181" s="113"/>
      <c r="K181" s="260"/>
      <c r="L181" s="259"/>
      <c r="M181" s="241"/>
      <c r="N181" s="241"/>
      <c r="O181" s="113"/>
      <c r="P181" s="260"/>
      <c r="Q181" s="259"/>
      <c r="R181" s="241"/>
      <c r="S181" s="241"/>
      <c r="T181" s="113"/>
      <c r="U181" s="260"/>
      <c r="V181" s="259"/>
      <c r="W181" s="241"/>
      <c r="X181" s="241"/>
      <c r="Y181" s="113"/>
      <c r="Z181" s="260"/>
      <c r="AA181" s="259"/>
      <c r="AB181" s="241"/>
      <c r="AC181" s="241"/>
      <c r="AD181" s="113"/>
      <c r="AE181" s="270"/>
      <c r="AF181" s="271"/>
      <c r="AG181" s="245"/>
      <c r="AH181" s="241"/>
      <c r="AI181" s="113"/>
      <c r="AJ181" s="270"/>
      <c r="AK181" s="271"/>
      <c r="AL181" s="245"/>
      <c r="AM181" s="245"/>
      <c r="AN181" s="32"/>
      <c r="AO181" s="12"/>
      <c r="AP181" s="12"/>
      <c r="AQ181" s="12"/>
      <c r="AR181" s="12"/>
      <c r="AS181" s="12"/>
      <c r="AT181" s="12"/>
      <c r="AU181" s="12"/>
      <c r="AV181" s="42"/>
      <c r="AW181" s="44"/>
      <c r="AX181" s="13"/>
      <c r="AY181" s="3"/>
      <c r="AZ181" s="1"/>
      <c r="BA181" s="1"/>
      <c r="BB181" s="4"/>
      <c r="BC181" s="53"/>
    </row>
    <row r="182" spans="1:55" s="25" customFormat="1" x14ac:dyDescent="0.25">
      <c r="A182" s="261"/>
      <c r="B182" s="260"/>
      <c r="C182" s="259"/>
      <c r="D182" s="240"/>
      <c r="E182" s="71"/>
      <c r="F182" s="113"/>
      <c r="G182" s="260"/>
      <c r="H182" s="259"/>
      <c r="I182" s="240"/>
      <c r="J182" s="113"/>
      <c r="K182" s="260"/>
      <c r="L182" s="259"/>
      <c r="M182" s="241"/>
      <c r="N182" s="71"/>
      <c r="O182" s="113"/>
      <c r="P182" s="260"/>
      <c r="Q182" s="259"/>
      <c r="R182" s="241"/>
      <c r="S182" s="71"/>
      <c r="T182" s="113"/>
      <c r="U182" s="260"/>
      <c r="V182" s="259"/>
      <c r="W182" s="241"/>
      <c r="X182" s="71"/>
      <c r="Y182" s="113"/>
      <c r="Z182" s="260"/>
      <c r="AA182" s="259"/>
      <c r="AB182" s="241"/>
      <c r="AC182" s="71"/>
      <c r="AD182" s="113"/>
      <c r="AE182" s="270"/>
      <c r="AF182" s="271"/>
      <c r="AG182" s="245"/>
      <c r="AH182" s="71"/>
      <c r="AI182" s="113"/>
      <c r="AJ182" s="270"/>
      <c r="AK182" s="271"/>
      <c r="AL182" s="245"/>
      <c r="AM182" s="106"/>
      <c r="AN182" s="32"/>
      <c r="AO182" s="12"/>
      <c r="AP182" s="12"/>
      <c r="AQ182" s="12"/>
      <c r="AR182" s="12"/>
      <c r="AS182" s="12"/>
      <c r="AT182" s="12"/>
      <c r="AU182" s="12"/>
      <c r="AV182" s="12"/>
      <c r="AW182" s="44"/>
      <c r="AX182" s="13"/>
      <c r="AY182" s="3"/>
      <c r="AZ182" s="1"/>
      <c r="BA182" s="1"/>
      <c r="BB182" s="4"/>
      <c r="BC182" s="53"/>
    </row>
    <row r="183" spans="1:55" s="25" customFormat="1" x14ac:dyDescent="0.25">
      <c r="A183" s="261"/>
      <c r="B183" s="260"/>
      <c r="C183" s="259"/>
      <c r="D183" s="240"/>
      <c r="E183" s="19"/>
      <c r="F183" s="113"/>
      <c r="G183" s="260"/>
      <c r="H183" s="259"/>
      <c r="I183" s="240"/>
      <c r="J183" s="113"/>
      <c r="K183" s="260"/>
      <c r="L183" s="259"/>
      <c r="M183" s="241"/>
      <c r="N183" s="19"/>
      <c r="O183" s="113"/>
      <c r="P183" s="260"/>
      <c r="Q183" s="259"/>
      <c r="R183" s="241"/>
      <c r="S183" s="19"/>
      <c r="T183" s="113"/>
      <c r="U183" s="260"/>
      <c r="V183" s="259"/>
      <c r="W183" s="241"/>
      <c r="X183" s="19"/>
      <c r="Y183" s="113"/>
      <c r="Z183" s="260"/>
      <c r="AA183" s="259"/>
      <c r="AB183" s="241"/>
      <c r="AC183" s="19"/>
      <c r="AD183" s="113"/>
      <c r="AE183" s="270"/>
      <c r="AF183" s="271"/>
      <c r="AG183" s="245"/>
      <c r="AH183" s="19"/>
      <c r="AI183" s="113"/>
      <c r="AJ183" s="270"/>
      <c r="AK183" s="271"/>
      <c r="AL183" s="245"/>
      <c r="AM183" s="19"/>
      <c r="AN183" s="32"/>
      <c r="AO183" s="12"/>
      <c r="AP183" s="12"/>
      <c r="AQ183" s="12"/>
      <c r="AR183" s="12"/>
      <c r="AS183" s="12"/>
      <c r="AT183" s="12"/>
      <c r="AU183" s="12"/>
      <c r="AV183" s="12"/>
      <c r="AW183" s="44"/>
      <c r="AX183" s="13"/>
      <c r="AY183" s="3"/>
      <c r="AZ183" s="1"/>
      <c r="BA183" s="1"/>
      <c r="BB183" s="4"/>
      <c r="BC183" s="53"/>
    </row>
    <row r="184" spans="1:55" s="25" customFormat="1" x14ac:dyDescent="0.25">
      <c r="A184" s="261"/>
      <c r="B184" s="260"/>
      <c r="C184" s="259"/>
      <c r="D184" s="240"/>
      <c r="E184" s="241"/>
      <c r="F184" s="113"/>
      <c r="G184" s="260"/>
      <c r="H184" s="259"/>
      <c r="I184" s="240"/>
      <c r="J184" s="113"/>
      <c r="K184" s="260"/>
      <c r="L184" s="259"/>
      <c r="M184" s="241"/>
      <c r="N184" s="246"/>
      <c r="O184" s="113"/>
      <c r="P184" s="260"/>
      <c r="Q184" s="259"/>
      <c r="R184" s="241"/>
      <c r="S184" s="246"/>
      <c r="T184" s="113"/>
      <c r="U184" s="260"/>
      <c r="V184" s="259"/>
      <c r="W184" s="241"/>
      <c r="X184" s="19"/>
      <c r="Y184" s="113"/>
      <c r="Z184" s="260"/>
      <c r="AA184" s="259"/>
      <c r="AB184" s="241"/>
      <c r="AC184" s="19"/>
      <c r="AD184" s="113"/>
      <c r="AE184" s="270"/>
      <c r="AF184" s="271"/>
      <c r="AG184" s="245"/>
      <c r="AH184" s="19"/>
      <c r="AI184" s="113"/>
      <c r="AJ184" s="270"/>
      <c r="AK184" s="271"/>
      <c r="AL184" s="245"/>
      <c r="AM184" s="19"/>
      <c r="AN184" s="32"/>
      <c r="AO184" s="12"/>
      <c r="AP184" s="12"/>
      <c r="AQ184" s="12"/>
      <c r="AR184" s="12"/>
      <c r="AS184" s="12"/>
      <c r="AT184" s="12"/>
      <c r="AU184" s="12"/>
      <c r="AV184" s="12"/>
      <c r="AW184" s="44"/>
      <c r="AX184" s="13"/>
      <c r="AY184" s="3"/>
      <c r="AZ184" s="1"/>
      <c r="BA184" s="1"/>
      <c r="BB184" s="4"/>
      <c r="BC184" s="53"/>
    </row>
    <row r="185" spans="1:55" s="25" customFormat="1" ht="15.75" x14ac:dyDescent="0.25">
      <c r="A185" s="261"/>
      <c r="B185" s="260"/>
      <c r="C185" s="259"/>
      <c r="D185" s="241">
        <v>0.2</v>
      </c>
      <c r="E185" s="22" t="s">
        <v>228</v>
      </c>
      <c r="F185" s="113"/>
      <c r="G185" s="260"/>
      <c r="H185" s="259"/>
      <c r="I185" s="240"/>
      <c r="J185" s="113"/>
      <c r="K185" s="260"/>
      <c r="L185" s="259"/>
      <c r="M185" s="239">
        <v>0.2</v>
      </c>
      <c r="N185" s="22" t="s">
        <v>228</v>
      </c>
      <c r="O185" s="113"/>
      <c r="P185" s="260"/>
      <c r="Q185" s="259"/>
      <c r="R185" s="56"/>
      <c r="S185" s="24"/>
      <c r="T185" s="113"/>
      <c r="U185" s="260"/>
      <c r="V185" s="259"/>
      <c r="W185" s="241"/>
      <c r="X185" s="19"/>
      <c r="Y185" s="113"/>
      <c r="Z185" s="260"/>
      <c r="AA185" s="259"/>
      <c r="AB185" s="241"/>
      <c r="AC185" s="19"/>
      <c r="AD185" s="113"/>
      <c r="AE185" s="270"/>
      <c r="AF185" s="271"/>
      <c r="AG185" s="245"/>
      <c r="AH185" s="19"/>
      <c r="AI185" s="113"/>
      <c r="AJ185" s="270"/>
      <c r="AK185" s="271"/>
      <c r="AL185" s="245"/>
      <c r="AM185" s="19"/>
      <c r="AN185" s="32"/>
      <c r="AO185" s="12"/>
      <c r="AP185" s="12"/>
      <c r="AQ185" s="12"/>
      <c r="AR185" s="12"/>
      <c r="AS185" s="12"/>
      <c r="AT185" s="12"/>
      <c r="AU185" s="12"/>
      <c r="AV185" s="12"/>
      <c r="AW185" s="44"/>
      <c r="AX185" s="13"/>
      <c r="AY185" s="3"/>
      <c r="AZ185" s="1"/>
      <c r="BA185" s="1"/>
      <c r="BB185" s="4"/>
      <c r="BC185" s="53"/>
    </row>
    <row r="186" spans="1:55" s="25" customFormat="1" x14ac:dyDescent="0.25">
      <c r="A186" s="261"/>
      <c r="B186" s="260"/>
      <c r="C186" s="259"/>
      <c r="D186" s="240"/>
      <c r="E186" s="241"/>
      <c r="F186" s="113"/>
      <c r="G186" s="260"/>
      <c r="H186" s="259"/>
      <c r="I186" s="240"/>
      <c r="J186" s="113"/>
      <c r="K186" s="260"/>
      <c r="L186" s="259"/>
      <c r="M186" s="24"/>
      <c r="N186" s="24"/>
      <c r="O186" s="113"/>
      <c r="P186" s="260"/>
      <c r="Q186" s="259"/>
      <c r="R186" s="241"/>
      <c r="S186" s="241"/>
      <c r="T186" s="113"/>
      <c r="U186" s="260"/>
      <c r="V186" s="259"/>
      <c r="W186" s="241"/>
      <c r="X186" s="241"/>
      <c r="Y186" s="113"/>
      <c r="Z186" s="260"/>
      <c r="AA186" s="259"/>
      <c r="AB186" s="241"/>
      <c r="AC186" s="241"/>
      <c r="AD186" s="113"/>
      <c r="AE186" s="270"/>
      <c r="AF186" s="271"/>
      <c r="AG186" s="245"/>
      <c r="AH186" s="241"/>
      <c r="AI186" s="113"/>
      <c r="AJ186" s="270"/>
      <c r="AK186" s="271"/>
      <c r="AL186" s="245"/>
      <c r="AM186" s="241"/>
      <c r="AN186" s="32"/>
      <c r="AO186" s="12"/>
      <c r="AP186" s="12"/>
      <c r="AQ186" s="12"/>
      <c r="AR186" s="12"/>
      <c r="AS186" s="12"/>
      <c r="AT186" s="12"/>
      <c r="AU186" s="12"/>
      <c r="AV186" s="12"/>
      <c r="AW186" s="44"/>
      <c r="AX186" s="13"/>
      <c r="AY186" s="3"/>
      <c r="AZ186" s="1"/>
      <c r="BA186" s="1"/>
      <c r="BB186" s="4"/>
      <c r="BC186" s="53"/>
    </row>
    <row r="187" spans="1:55" s="25" customFormat="1" x14ac:dyDescent="0.25">
      <c r="A187" s="261"/>
      <c r="B187" s="260"/>
      <c r="C187" s="259"/>
      <c r="D187" s="240"/>
      <c r="E187" s="241"/>
      <c r="F187" s="113"/>
      <c r="G187" s="260"/>
      <c r="H187" s="259"/>
      <c r="I187" s="240"/>
      <c r="J187" s="113"/>
      <c r="K187" s="260"/>
      <c r="L187" s="259"/>
      <c r="M187" s="241"/>
      <c r="N187" s="241"/>
      <c r="O187" s="113"/>
      <c r="P187" s="260"/>
      <c r="Q187" s="259"/>
      <c r="R187" s="241"/>
      <c r="S187" s="241"/>
      <c r="T187" s="113"/>
      <c r="U187" s="260"/>
      <c r="V187" s="259"/>
      <c r="W187" s="241"/>
      <c r="X187" s="241"/>
      <c r="Y187" s="113"/>
      <c r="Z187" s="260"/>
      <c r="AA187" s="259"/>
      <c r="AB187" s="241"/>
      <c r="AC187" s="241"/>
      <c r="AD187" s="113"/>
      <c r="AE187" s="270"/>
      <c r="AF187" s="271"/>
      <c r="AG187" s="245"/>
      <c r="AH187" s="241"/>
      <c r="AI187" s="113"/>
      <c r="AJ187" s="270"/>
      <c r="AK187" s="271"/>
      <c r="AL187" s="245"/>
      <c r="AM187" s="241"/>
      <c r="AN187" s="32"/>
      <c r="AO187" s="12"/>
      <c r="AP187" s="12"/>
      <c r="AQ187" s="12"/>
      <c r="AR187" s="12"/>
      <c r="AS187" s="12"/>
      <c r="AT187" s="12"/>
      <c r="AU187" s="12"/>
      <c r="AV187" s="42"/>
      <c r="AW187" s="44"/>
      <c r="AX187" s="65"/>
      <c r="AY187" s="3"/>
      <c r="AZ187" s="1"/>
      <c r="BA187" s="2"/>
      <c r="BB187" s="3"/>
      <c r="BC187" s="53"/>
    </row>
    <row r="188" spans="1:55" s="25" customFormat="1" x14ac:dyDescent="0.25">
      <c r="A188" s="261">
        <v>35</v>
      </c>
      <c r="B188" s="260">
        <v>0.55000000000000004</v>
      </c>
      <c r="C188" s="259">
        <v>8.5299999999999994</v>
      </c>
      <c r="D188" s="24"/>
      <c r="E188" s="24"/>
      <c r="F188" s="113"/>
      <c r="G188" s="260">
        <v>0.63</v>
      </c>
      <c r="H188" s="259">
        <v>8.25</v>
      </c>
      <c r="I188" s="240"/>
      <c r="J188" s="113"/>
      <c r="K188" s="241">
        <v>0.56999999999999995</v>
      </c>
      <c r="L188" s="240">
        <v>8.59</v>
      </c>
      <c r="M188" s="241"/>
      <c r="N188" s="241"/>
      <c r="O188" s="113"/>
      <c r="P188" s="260">
        <v>0.65</v>
      </c>
      <c r="Q188" s="259">
        <v>8.5500000000000007</v>
      </c>
      <c r="R188" s="241"/>
      <c r="S188" s="241"/>
      <c r="T188" s="113"/>
      <c r="U188" s="260">
        <v>1.21</v>
      </c>
      <c r="V188" s="259">
        <v>8.52</v>
      </c>
      <c r="W188" s="241"/>
      <c r="X188" s="24"/>
      <c r="Y188" s="113"/>
      <c r="Z188" s="260">
        <v>0.65</v>
      </c>
      <c r="AA188" s="259">
        <v>8.5500000000000007</v>
      </c>
      <c r="AB188" s="241"/>
      <c r="AC188" s="24"/>
      <c r="AD188" s="113"/>
      <c r="AE188" s="270">
        <v>0.79</v>
      </c>
      <c r="AF188" s="271">
        <v>8.0500000000000007</v>
      </c>
      <c r="AG188" s="245"/>
      <c r="AH188" s="24"/>
      <c r="AI188" s="113"/>
      <c r="AJ188" s="270">
        <v>0.75</v>
      </c>
      <c r="AK188" s="271">
        <v>8.7200000000000006</v>
      </c>
      <c r="AL188" s="245"/>
      <c r="AM188" s="24"/>
      <c r="AN188" s="32"/>
      <c r="AO188" s="12"/>
      <c r="AP188" s="12"/>
      <c r="AQ188" s="12"/>
      <c r="AR188" s="12"/>
      <c r="AS188" s="12"/>
      <c r="AT188" s="12"/>
      <c r="AU188" s="12"/>
      <c r="AV188" s="42"/>
      <c r="AW188" s="44"/>
      <c r="AX188" s="13"/>
      <c r="AY188" s="3"/>
      <c r="AZ188" s="1"/>
      <c r="BA188" s="2"/>
      <c r="BB188" s="3"/>
      <c r="BC188" s="53"/>
    </row>
    <row r="189" spans="1:55" s="25" customFormat="1" x14ac:dyDescent="0.25">
      <c r="A189" s="261"/>
      <c r="B189" s="260"/>
      <c r="C189" s="259"/>
      <c r="D189" s="240"/>
      <c r="E189" s="241"/>
      <c r="F189" s="113"/>
      <c r="G189" s="260"/>
      <c r="H189" s="259"/>
      <c r="I189" s="240"/>
      <c r="J189" s="113"/>
      <c r="K189" s="260">
        <v>0.19</v>
      </c>
      <c r="L189" s="259">
        <v>8.6300000000000008</v>
      </c>
      <c r="M189" s="241"/>
      <c r="N189" s="241"/>
      <c r="O189" s="113"/>
      <c r="P189" s="260"/>
      <c r="Q189" s="259"/>
      <c r="R189" s="241"/>
      <c r="S189" s="241"/>
      <c r="T189" s="113"/>
      <c r="U189" s="260"/>
      <c r="V189" s="259"/>
      <c r="W189" s="241"/>
      <c r="X189" s="241"/>
      <c r="Y189" s="113"/>
      <c r="Z189" s="260"/>
      <c r="AA189" s="259"/>
      <c r="AB189" s="241"/>
      <c r="AC189" s="241"/>
      <c r="AD189" s="113"/>
      <c r="AE189" s="270"/>
      <c r="AF189" s="271"/>
      <c r="AG189" s="245"/>
      <c r="AH189" s="241"/>
      <c r="AI189" s="113"/>
      <c r="AJ189" s="270"/>
      <c r="AK189" s="271"/>
      <c r="AL189" s="245"/>
      <c r="AM189" s="241"/>
      <c r="AN189" s="32"/>
      <c r="AO189" s="12"/>
      <c r="AP189" s="12"/>
      <c r="AQ189" s="12"/>
      <c r="AR189" s="12"/>
      <c r="AS189" s="12"/>
      <c r="AT189" s="12"/>
      <c r="AU189" s="12"/>
      <c r="AV189" s="12"/>
      <c r="AW189" s="44"/>
      <c r="AX189" s="66"/>
      <c r="AY189" s="3"/>
      <c r="AZ189" s="1"/>
      <c r="BA189" s="2"/>
      <c r="BB189" s="3"/>
      <c r="BC189" s="53"/>
    </row>
    <row r="190" spans="1:55" s="25" customFormat="1" x14ac:dyDescent="0.25">
      <c r="A190" s="261"/>
      <c r="B190" s="260"/>
      <c r="C190" s="259"/>
      <c r="D190" s="240">
        <v>0.3</v>
      </c>
      <c r="E190" s="54" t="s">
        <v>34</v>
      </c>
      <c r="F190" s="113"/>
      <c r="G190" s="260"/>
      <c r="H190" s="259"/>
      <c r="I190" s="240"/>
      <c r="J190" s="113"/>
      <c r="K190" s="260"/>
      <c r="L190" s="259"/>
      <c r="M190" s="241">
        <f>K189+K188</f>
        <v>0.76</v>
      </c>
      <c r="N190" s="54" t="s">
        <v>34</v>
      </c>
      <c r="O190" s="113"/>
      <c r="P190" s="260"/>
      <c r="Q190" s="259"/>
      <c r="R190" s="241">
        <f>P188</f>
        <v>0.65</v>
      </c>
      <c r="S190" s="54" t="s">
        <v>34</v>
      </c>
      <c r="T190" s="113"/>
      <c r="U190" s="260"/>
      <c r="V190" s="259"/>
      <c r="W190" s="241">
        <f>U188</f>
        <v>1.21</v>
      </c>
      <c r="X190" s="54" t="s">
        <v>34</v>
      </c>
      <c r="Y190" s="113"/>
      <c r="Z190" s="260"/>
      <c r="AA190" s="259"/>
      <c r="AB190" s="241">
        <f>Z188</f>
        <v>0.65</v>
      </c>
      <c r="AC190" s="54" t="s">
        <v>34</v>
      </c>
      <c r="AD190" s="113"/>
      <c r="AE190" s="270"/>
      <c r="AF190" s="271"/>
      <c r="AG190" s="245">
        <f>AE188</f>
        <v>0.79</v>
      </c>
      <c r="AH190" s="54" t="s">
        <v>34</v>
      </c>
      <c r="AI190" s="113"/>
      <c r="AJ190" s="270"/>
      <c r="AK190" s="271"/>
      <c r="AL190" s="245">
        <f>AJ188</f>
        <v>0.75</v>
      </c>
      <c r="AM190" s="54" t="s">
        <v>34</v>
      </c>
      <c r="AN190" s="32"/>
      <c r="AO190" s="12"/>
      <c r="AP190" s="12"/>
      <c r="AQ190" s="12"/>
      <c r="AR190" s="12"/>
      <c r="AS190" s="12"/>
      <c r="AT190" s="12"/>
      <c r="AU190" s="12"/>
      <c r="AV190" s="42"/>
      <c r="AW190" s="44"/>
      <c r="AX190" s="4"/>
      <c r="AY190" s="3"/>
      <c r="AZ190" s="1"/>
      <c r="BA190" s="2"/>
      <c r="BB190" s="3"/>
      <c r="BC190" s="53"/>
    </row>
    <row r="191" spans="1:55" s="25" customFormat="1" x14ac:dyDescent="0.25">
      <c r="A191" s="261">
        <v>36</v>
      </c>
      <c r="B191" s="260">
        <v>0.46</v>
      </c>
      <c r="C191" s="259">
        <v>8.6</v>
      </c>
      <c r="D191" s="240">
        <v>0.2</v>
      </c>
      <c r="E191" s="7" t="s">
        <v>481</v>
      </c>
      <c r="F191" s="113"/>
      <c r="G191" s="260">
        <v>0.54</v>
      </c>
      <c r="H191" s="259">
        <v>8.2799999999999994</v>
      </c>
      <c r="I191" s="240"/>
      <c r="J191" s="113"/>
      <c r="K191" s="260">
        <v>0.48</v>
      </c>
      <c r="L191" s="259">
        <v>8.65</v>
      </c>
      <c r="M191" s="241">
        <v>1.03</v>
      </c>
      <c r="N191" s="7" t="s">
        <v>149</v>
      </c>
      <c r="O191" s="113"/>
      <c r="P191" s="260">
        <v>0.79</v>
      </c>
      <c r="Q191" s="259">
        <v>8.58</v>
      </c>
      <c r="R191" s="56"/>
      <c r="S191" s="24"/>
      <c r="T191" s="113"/>
      <c r="U191" s="260">
        <v>0.31</v>
      </c>
      <c r="V191" s="259">
        <v>8.61</v>
      </c>
      <c r="W191" s="56"/>
      <c r="X191" s="24"/>
      <c r="Y191" s="113"/>
      <c r="Z191" s="260">
        <v>0.66</v>
      </c>
      <c r="AA191" s="259">
        <v>8.6999999999999993</v>
      </c>
      <c r="AB191" s="56"/>
      <c r="AC191" s="24"/>
      <c r="AD191" s="113"/>
      <c r="AE191" s="270">
        <v>0.74</v>
      </c>
      <c r="AF191" s="271">
        <v>8.11</v>
      </c>
      <c r="AG191" s="245"/>
      <c r="AH191" s="246"/>
      <c r="AI191" s="113"/>
      <c r="AJ191" s="270">
        <v>0.23</v>
      </c>
      <c r="AK191" s="271">
        <v>8.85</v>
      </c>
      <c r="AL191" s="245"/>
      <c r="AM191" s="246"/>
      <c r="AN191" s="32"/>
      <c r="AO191" s="12"/>
      <c r="AP191" s="12"/>
      <c r="AQ191" s="12"/>
      <c r="AR191" s="12"/>
      <c r="AS191" s="12"/>
      <c r="AT191" s="12"/>
      <c r="AU191" s="12"/>
      <c r="AV191" s="42"/>
      <c r="AW191" s="44"/>
      <c r="AX191" s="4"/>
      <c r="AY191" s="3"/>
      <c r="AZ191" s="1"/>
      <c r="BA191" s="2"/>
      <c r="BB191" s="3"/>
      <c r="BC191" s="53"/>
    </row>
    <row r="192" spans="1:55" s="25" customFormat="1" x14ac:dyDescent="0.25">
      <c r="A192" s="261"/>
      <c r="B192" s="260"/>
      <c r="C192" s="259"/>
      <c r="D192" s="241">
        <v>0.2</v>
      </c>
      <c r="E192" s="59" t="s">
        <v>109</v>
      </c>
      <c r="F192" s="113"/>
      <c r="G192" s="260"/>
      <c r="H192" s="259"/>
      <c r="I192" s="240"/>
      <c r="J192" s="113"/>
      <c r="K192" s="260"/>
      <c r="L192" s="259"/>
      <c r="M192" s="241">
        <f>R192</f>
        <v>0.2</v>
      </c>
      <c r="N192" s="59" t="s">
        <v>109</v>
      </c>
      <c r="O192" s="113"/>
      <c r="P192" s="260"/>
      <c r="Q192" s="259"/>
      <c r="R192" s="241">
        <v>0.2</v>
      </c>
      <c r="S192" s="59" t="s">
        <v>109</v>
      </c>
      <c r="T192" s="113"/>
      <c r="U192" s="260"/>
      <c r="V192" s="259"/>
      <c r="W192" s="241">
        <f>R192</f>
        <v>0.2</v>
      </c>
      <c r="X192" s="59" t="s">
        <v>109</v>
      </c>
      <c r="Y192" s="113"/>
      <c r="Z192" s="260"/>
      <c r="AA192" s="259"/>
      <c r="AB192" s="241">
        <v>0.2</v>
      </c>
      <c r="AC192" s="59" t="s">
        <v>109</v>
      </c>
      <c r="AD192" s="113"/>
      <c r="AE192" s="270"/>
      <c r="AF192" s="271"/>
      <c r="AG192" s="245">
        <f>AE196-AG221-AG212-AG199-AG209</f>
        <v>3.9999999999999647E-2</v>
      </c>
      <c r="AH192" s="59" t="s">
        <v>109</v>
      </c>
      <c r="AI192" s="113"/>
      <c r="AJ192" s="270"/>
      <c r="AK192" s="271"/>
      <c r="AL192" s="245"/>
      <c r="AM192" s="246"/>
      <c r="AN192" s="32"/>
      <c r="AO192" s="12"/>
      <c r="AP192" s="12"/>
      <c r="AQ192" s="12"/>
      <c r="AR192" s="12"/>
      <c r="AS192" s="12"/>
      <c r="AT192" s="12"/>
      <c r="AU192" s="12"/>
      <c r="AV192" s="42"/>
      <c r="AW192" s="44"/>
      <c r="AX192" s="4"/>
      <c r="AY192" s="3"/>
      <c r="AZ192" s="1"/>
      <c r="BA192" s="2"/>
      <c r="BB192" s="3"/>
      <c r="BC192" s="53"/>
    </row>
    <row r="193" spans="1:55" s="25" customFormat="1" x14ac:dyDescent="0.25">
      <c r="A193" s="261"/>
      <c r="B193" s="260"/>
      <c r="C193" s="259"/>
      <c r="D193" s="241">
        <f>R193</f>
        <v>0.15</v>
      </c>
      <c r="E193" s="62" t="s">
        <v>415</v>
      </c>
      <c r="F193" s="113"/>
      <c r="G193" s="260"/>
      <c r="H193" s="259"/>
      <c r="I193" s="240"/>
      <c r="J193" s="113"/>
      <c r="K193" s="260"/>
      <c r="L193" s="259"/>
      <c r="M193" s="241">
        <f>R193</f>
        <v>0.15</v>
      </c>
      <c r="N193" s="62" t="s">
        <v>415</v>
      </c>
      <c r="O193" s="113"/>
      <c r="P193" s="260"/>
      <c r="Q193" s="259"/>
      <c r="R193" s="241">
        <f>0.15</f>
        <v>0.15</v>
      </c>
      <c r="S193" s="62" t="s">
        <v>138</v>
      </c>
      <c r="T193" s="113"/>
      <c r="U193" s="260"/>
      <c r="V193" s="259"/>
      <c r="W193" s="241"/>
      <c r="X193" s="240"/>
      <c r="Y193" s="113"/>
      <c r="Z193" s="260"/>
      <c r="AA193" s="259"/>
      <c r="AB193" s="241"/>
      <c r="AC193" s="240"/>
      <c r="AD193" s="113"/>
      <c r="AE193" s="270"/>
      <c r="AF193" s="271"/>
      <c r="AG193" s="245"/>
      <c r="AH193" s="240"/>
      <c r="AI193" s="113"/>
      <c r="AJ193" s="270"/>
      <c r="AK193" s="271"/>
      <c r="AL193" s="245"/>
      <c r="AN193" s="32"/>
      <c r="AO193" s="12"/>
      <c r="AP193" s="12"/>
      <c r="AQ193" s="12"/>
      <c r="AR193" s="12"/>
      <c r="AS193" s="12"/>
      <c r="AT193" s="12"/>
      <c r="AU193" s="12"/>
      <c r="AV193" s="42"/>
      <c r="AW193" s="44"/>
      <c r="AX193" s="4"/>
      <c r="AY193" s="3"/>
      <c r="AZ193" s="1"/>
      <c r="BA193" s="2"/>
      <c r="BB193" s="3"/>
      <c r="BC193" s="53"/>
    </row>
    <row r="194" spans="1:55" s="25" customFormat="1" x14ac:dyDescent="0.25">
      <c r="A194" s="261"/>
      <c r="B194" s="260"/>
      <c r="C194" s="259"/>
      <c r="D194" s="241">
        <v>0.18</v>
      </c>
      <c r="E194" s="62" t="s">
        <v>102</v>
      </c>
      <c r="F194" s="113"/>
      <c r="G194" s="260"/>
      <c r="H194" s="259"/>
      <c r="I194" s="240"/>
      <c r="J194" s="113"/>
      <c r="K194" s="260"/>
      <c r="L194" s="259"/>
      <c r="M194" s="241">
        <v>0.2</v>
      </c>
      <c r="N194" s="62" t="s">
        <v>102</v>
      </c>
      <c r="O194" s="113"/>
      <c r="P194" s="260"/>
      <c r="Q194" s="259"/>
      <c r="R194" s="19">
        <f>P191-R197-R193</f>
        <v>0.54</v>
      </c>
      <c r="S194" s="62" t="s">
        <v>102</v>
      </c>
      <c r="T194" s="113"/>
      <c r="U194" s="260"/>
      <c r="V194" s="259"/>
      <c r="W194" s="19">
        <f>U191</f>
        <v>0.31</v>
      </c>
      <c r="X194" s="62" t="s">
        <v>102</v>
      </c>
      <c r="Y194" s="113"/>
      <c r="Z194" s="260"/>
      <c r="AA194" s="259"/>
      <c r="AB194" s="19">
        <f>Z191</f>
        <v>0.66</v>
      </c>
      <c r="AC194" s="62" t="s">
        <v>102</v>
      </c>
      <c r="AD194" s="113"/>
      <c r="AE194" s="270"/>
      <c r="AF194" s="271"/>
      <c r="AG194" s="245"/>
      <c r="AH194" s="246"/>
      <c r="AI194" s="113"/>
      <c r="AJ194" s="270"/>
      <c r="AK194" s="271"/>
      <c r="AL194" s="245">
        <f>AJ191</f>
        <v>0.23</v>
      </c>
      <c r="AM194" s="62" t="s">
        <v>102</v>
      </c>
      <c r="AN194" s="32"/>
      <c r="AO194" s="12"/>
      <c r="AP194" s="12"/>
      <c r="AQ194" s="12"/>
      <c r="AR194" s="12"/>
      <c r="AS194" s="12"/>
      <c r="AT194" s="12"/>
      <c r="AU194" s="12"/>
      <c r="AV194" s="42"/>
      <c r="AW194" s="44"/>
      <c r="AX194" s="13"/>
      <c r="AY194" s="3"/>
      <c r="AZ194" s="1"/>
      <c r="BA194" s="2"/>
      <c r="BB194" s="3"/>
      <c r="BC194" s="53"/>
    </row>
    <row r="195" spans="1:55" s="25" customFormat="1" x14ac:dyDescent="0.25">
      <c r="A195" s="261"/>
      <c r="B195" s="260"/>
      <c r="C195" s="259"/>
      <c r="D195" s="56"/>
      <c r="E195" s="24"/>
      <c r="F195" s="113"/>
      <c r="G195" s="260"/>
      <c r="H195" s="259"/>
      <c r="I195" s="240"/>
      <c r="J195" s="113"/>
      <c r="K195" s="260"/>
      <c r="L195" s="259"/>
      <c r="M195" s="56"/>
      <c r="N195" s="24"/>
      <c r="O195" s="113"/>
      <c r="P195" s="260"/>
      <c r="Q195" s="259"/>
      <c r="R195" s="56"/>
      <c r="S195" s="24"/>
      <c r="T195" s="113"/>
      <c r="U195" s="260"/>
      <c r="V195" s="259"/>
      <c r="W195" s="241"/>
      <c r="X195" s="241"/>
      <c r="Y195" s="113"/>
      <c r="Z195" s="260"/>
      <c r="AA195" s="259"/>
      <c r="AB195" s="241"/>
      <c r="AC195" s="241"/>
      <c r="AD195" s="113"/>
      <c r="AE195" s="270"/>
      <c r="AF195" s="271"/>
      <c r="AG195" s="245"/>
      <c r="AH195" s="241"/>
      <c r="AI195" s="113"/>
      <c r="AJ195" s="270"/>
      <c r="AK195" s="271"/>
      <c r="AL195" s="245"/>
      <c r="AM195" s="241"/>
      <c r="AN195" s="32"/>
      <c r="AO195" s="12"/>
      <c r="AP195" s="12"/>
      <c r="AQ195" s="12"/>
      <c r="AR195" s="12"/>
      <c r="AS195" s="12"/>
      <c r="AT195" s="12"/>
      <c r="AU195" s="12"/>
      <c r="AV195" s="42"/>
      <c r="AW195" s="44"/>
      <c r="AX195" s="13"/>
      <c r="AY195" s="3"/>
      <c r="AZ195" s="1"/>
      <c r="BA195" s="2"/>
      <c r="BB195" s="3"/>
      <c r="BC195" s="53"/>
    </row>
    <row r="196" spans="1:55" s="25" customFormat="1" x14ac:dyDescent="0.25">
      <c r="A196" s="261">
        <v>37</v>
      </c>
      <c r="B196" s="260">
        <v>8.0500000000000007</v>
      </c>
      <c r="C196" s="259">
        <v>8.7799999999999994</v>
      </c>
      <c r="D196" s="241">
        <v>0.21</v>
      </c>
      <c r="E196" s="7" t="s">
        <v>72</v>
      </c>
      <c r="F196" s="113"/>
      <c r="G196" s="260">
        <v>2.63</v>
      </c>
      <c r="H196" s="259">
        <v>8.41</v>
      </c>
      <c r="I196" s="240"/>
      <c r="J196" s="113"/>
      <c r="K196" s="270">
        <v>3.44</v>
      </c>
      <c r="L196" s="259">
        <v>8.7799999999999994</v>
      </c>
      <c r="M196" s="241">
        <v>0.22</v>
      </c>
      <c r="N196" s="7" t="s">
        <v>72</v>
      </c>
      <c r="O196" s="113"/>
      <c r="P196" s="260">
        <v>2.31</v>
      </c>
      <c r="Q196" s="259">
        <v>8.74</v>
      </c>
      <c r="R196" s="241">
        <f>AB196</f>
        <v>0.51999999999999991</v>
      </c>
      <c r="S196" s="7" t="s">
        <v>72</v>
      </c>
      <c r="T196" s="113"/>
      <c r="U196" s="260">
        <v>9.81</v>
      </c>
      <c r="V196" s="259">
        <v>8.76</v>
      </c>
      <c r="W196" s="241">
        <f>R196</f>
        <v>0.51999999999999991</v>
      </c>
      <c r="X196" s="7" t="s">
        <v>72</v>
      </c>
      <c r="Y196" s="113"/>
      <c r="Z196" s="260">
        <v>5.63</v>
      </c>
      <c r="AA196" s="259">
        <v>8.8000000000000007</v>
      </c>
      <c r="AB196" s="241">
        <f>Z196-AB199-AB192-AB221-AB212</f>
        <v>0.51999999999999991</v>
      </c>
      <c r="AC196" s="7" t="s">
        <v>72</v>
      </c>
      <c r="AD196" s="113"/>
      <c r="AE196" s="270">
        <v>5.14</v>
      </c>
      <c r="AF196" s="271">
        <v>8.27</v>
      </c>
      <c r="AG196" s="91"/>
      <c r="AH196" s="24"/>
      <c r="AI196" s="113"/>
      <c r="AJ196" s="270">
        <v>4.95</v>
      </c>
      <c r="AK196" s="271">
        <v>8.99</v>
      </c>
      <c r="AL196" s="245">
        <f>AB196</f>
        <v>0.51999999999999991</v>
      </c>
      <c r="AM196" s="7" t="s">
        <v>72</v>
      </c>
      <c r="AN196" s="32"/>
      <c r="AO196" s="12"/>
      <c r="AP196" s="12"/>
      <c r="AQ196" s="12"/>
      <c r="AR196" s="12"/>
      <c r="AS196" s="12"/>
      <c r="AT196" s="12"/>
      <c r="AU196" s="12"/>
      <c r="AV196" s="42"/>
      <c r="AW196" s="44"/>
      <c r="AX196" s="11"/>
      <c r="AY196" s="3"/>
      <c r="AZ196" s="1"/>
      <c r="BA196" s="2"/>
      <c r="BB196" s="3"/>
      <c r="BC196" s="53"/>
    </row>
    <row r="197" spans="1:55" s="25" customFormat="1" x14ac:dyDescent="0.25">
      <c r="A197" s="261"/>
      <c r="B197" s="260"/>
      <c r="C197" s="259"/>
      <c r="D197" s="241">
        <f>B191+B188-D194-D191-D193-D190</f>
        <v>0.1800000000000001</v>
      </c>
      <c r="E197" s="58" t="s">
        <v>110</v>
      </c>
      <c r="F197" s="113"/>
      <c r="G197" s="260"/>
      <c r="H197" s="259"/>
      <c r="I197" s="240"/>
      <c r="J197" s="113"/>
      <c r="K197" s="270"/>
      <c r="L197" s="259"/>
      <c r="M197" s="241">
        <v>0.1</v>
      </c>
      <c r="N197" s="58" t="s">
        <v>110</v>
      </c>
      <c r="O197" s="113"/>
      <c r="P197" s="260"/>
      <c r="Q197" s="259"/>
      <c r="R197" s="19">
        <f>M197</f>
        <v>0.1</v>
      </c>
      <c r="S197" s="58" t="s">
        <v>137</v>
      </c>
      <c r="T197" s="113"/>
      <c r="U197" s="260"/>
      <c r="V197" s="259"/>
      <c r="W197" s="241"/>
      <c r="X197" s="240"/>
      <c r="Y197" s="113"/>
      <c r="Z197" s="260"/>
      <c r="AA197" s="259"/>
      <c r="AB197" s="56"/>
      <c r="AC197" s="24"/>
      <c r="AD197" s="113"/>
      <c r="AE197" s="270"/>
      <c r="AF197" s="271"/>
      <c r="AG197" s="91"/>
      <c r="AH197" s="24"/>
      <c r="AI197" s="113"/>
      <c r="AJ197" s="270"/>
      <c r="AK197" s="271"/>
      <c r="AL197" s="245"/>
      <c r="AM197" s="24"/>
      <c r="AN197" s="32"/>
      <c r="AO197" s="12"/>
      <c r="AP197" s="12"/>
      <c r="AQ197" s="12"/>
      <c r="AR197" s="12"/>
      <c r="AS197" s="12"/>
      <c r="AT197" s="12"/>
      <c r="AU197" s="12"/>
      <c r="AV197" s="42"/>
      <c r="AW197" s="44"/>
      <c r="AX197" s="11"/>
      <c r="AY197" s="3"/>
      <c r="AZ197" s="1"/>
      <c r="BA197" s="2"/>
      <c r="BB197" s="3"/>
      <c r="BC197" s="53"/>
    </row>
    <row r="198" spans="1:55" s="25" customFormat="1" x14ac:dyDescent="0.25">
      <c r="A198" s="261"/>
      <c r="B198" s="260"/>
      <c r="C198" s="259"/>
      <c r="D198" s="56"/>
      <c r="E198" s="24"/>
      <c r="F198" s="113"/>
      <c r="G198" s="260"/>
      <c r="H198" s="259"/>
      <c r="I198" s="240"/>
      <c r="J198" s="113"/>
      <c r="K198" s="270"/>
      <c r="L198" s="259"/>
      <c r="M198" s="241">
        <v>0.4</v>
      </c>
      <c r="N198" s="58" t="s">
        <v>444</v>
      </c>
      <c r="O198" s="113"/>
      <c r="P198" s="260"/>
      <c r="Q198" s="259"/>
      <c r="R198" s="56"/>
      <c r="S198" s="24"/>
      <c r="T198" s="113"/>
      <c r="U198" s="260"/>
      <c r="V198" s="259"/>
      <c r="W198" s="56"/>
      <c r="X198" s="24"/>
      <c r="Y198" s="113"/>
      <c r="Z198" s="260"/>
      <c r="AA198" s="259"/>
      <c r="AB198" s="241"/>
      <c r="AC198" s="16"/>
      <c r="AD198" s="113"/>
      <c r="AE198" s="270"/>
      <c r="AF198" s="271"/>
      <c r="AG198" s="245"/>
      <c r="AH198" s="16"/>
      <c r="AI198" s="113"/>
      <c r="AJ198" s="270"/>
      <c r="AK198" s="271"/>
      <c r="AL198" s="245"/>
      <c r="AM198" s="16"/>
      <c r="AN198" s="32"/>
      <c r="AO198" s="12"/>
      <c r="AP198" s="12"/>
      <c r="AQ198" s="12"/>
      <c r="AR198" s="12"/>
      <c r="AS198" s="12"/>
      <c r="AT198" s="12"/>
      <c r="AU198" s="12"/>
      <c r="AV198" s="12"/>
      <c r="AW198" s="44"/>
      <c r="AX198" s="13"/>
      <c r="AY198" s="3"/>
      <c r="AZ198" s="1"/>
      <c r="BA198" s="2"/>
      <c r="BB198" s="3"/>
      <c r="BC198" s="53"/>
    </row>
    <row r="199" spans="1:55" s="25" customFormat="1" x14ac:dyDescent="0.25">
      <c r="A199" s="261"/>
      <c r="B199" s="260"/>
      <c r="C199" s="259"/>
      <c r="D199" s="241">
        <v>0.31</v>
      </c>
      <c r="E199" s="249" t="s">
        <v>71</v>
      </c>
      <c r="F199" s="113"/>
      <c r="G199" s="260"/>
      <c r="H199" s="259"/>
      <c r="I199" s="240"/>
      <c r="J199" s="113"/>
      <c r="K199" s="270"/>
      <c r="L199" s="259"/>
      <c r="M199" s="241">
        <v>0.32</v>
      </c>
      <c r="N199" s="249" t="s">
        <v>71</v>
      </c>
      <c r="O199" s="113"/>
      <c r="P199" s="260"/>
      <c r="Q199" s="259"/>
      <c r="R199" s="241">
        <v>0.31</v>
      </c>
      <c r="S199" s="249" t="s">
        <v>71</v>
      </c>
      <c r="T199" s="113"/>
      <c r="U199" s="260"/>
      <c r="V199" s="259"/>
      <c r="W199" s="241">
        <v>1</v>
      </c>
      <c r="X199" s="249" t="s">
        <v>71</v>
      </c>
      <c r="Y199" s="113"/>
      <c r="Z199" s="260"/>
      <c r="AA199" s="259"/>
      <c r="AB199" s="241">
        <v>0.01</v>
      </c>
      <c r="AC199" s="249" t="s">
        <v>71</v>
      </c>
      <c r="AD199" s="113"/>
      <c r="AE199" s="270"/>
      <c r="AF199" s="271"/>
      <c r="AG199" s="245">
        <v>0.2</v>
      </c>
      <c r="AH199" s="249" t="s">
        <v>71</v>
      </c>
      <c r="AI199" s="113"/>
      <c r="AJ199" s="270"/>
      <c r="AK199" s="271"/>
      <c r="AL199" s="245">
        <v>0.01</v>
      </c>
      <c r="AM199" s="249" t="s">
        <v>71</v>
      </c>
      <c r="AN199" s="32"/>
      <c r="AO199" s="12"/>
      <c r="AP199" s="12"/>
      <c r="AQ199" s="12"/>
      <c r="AR199" s="12"/>
      <c r="AS199" s="12"/>
      <c r="AT199" s="12"/>
      <c r="AU199" s="12"/>
      <c r="AV199" s="42"/>
      <c r="AW199" s="44"/>
      <c r="AX199" s="13"/>
      <c r="AY199" s="3"/>
      <c r="AZ199" s="1"/>
      <c r="BA199" s="2"/>
      <c r="BB199" s="3"/>
      <c r="BC199" s="53"/>
    </row>
    <row r="200" spans="1:55" s="25" customFormat="1" x14ac:dyDescent="0.25">
      <c r="A200" s="261"/>
      <c r="B200" s="260"/>
      <c r="C200" s="259"/>
      <c r="D200" s="56"/>
      <c r="E200" s="24"/>
      <c r="F200" s="113"/>
      <c r="G200" s="260"/>
      <c r="H200" s="259"/>
      <c r="I200" s="240"/>
      <c r="J200" s="113"/>
      <c r="K200" s="270"/>
      <c r="L200" s="259"/>
      <c r="M200" s="241">
        <v>1.5</v>
      </c>
      <c r="N200" s="249" t="s">
        <v>269</v>
      </c>
      <c r="O200" s="113"/>
      <c r="P200" s="260"/>
      <c r="Q200" s="259"/>
      <c r="R200" s="241">
        <f>P196-R199-R196</f>
        <v>1.48</v>
      </c>
      <c r="S200" s="249" t="s">
        <v>500</v>
      </c>
      <c r="T200" s="113"/>
      <c r="U200" s="260"/>
      <c r="V200" s="259"/>
      <c r="W200" s="241">
        <v>1.6</v>
      </c>
      <c r="X200" s="249" t="s">
        <v>135</v>
      </c>
      <c r="Y200" s="113"/>
      <c r="Z200" s="260"/>
      <c r="AA200" s="259"/>
      <c r="AB200" s="56"/>
      <c r="AC200" s="24"/>
      <c r="AD200" s="113"/>
      <c r="AE200" s="270"/>
      <c r="AF200" s="271"/>
      <c r="AG200" s="245"/>
      <c r="AH200" s="18"/>
      <c r="AI200" s="113"/>
      <c r="AJ200" s="270"/>
      <c r="AK200" s="271"/>
      <c r="AL200" s="245"/>
      <c r="AM200" s="18"/>
      <c r="AN200" s="32"/>
      <c r="AO200" s="12"/>
      <c r="AP200" s="12"/>
      <c r="AQ200" s="12"/>
      <c r="AR200" s="12"/>
      <c r="AS200" s="12"/>
      <c r="AT200" s="12"/>
      <c r="AU200" s="12"/>
      <c r="AV200" s="42"/>
      <c r="AW200" s="44"/>
      <c r="AX200" s="13"/>
      <c r="AY200" s="3"/>
      <c r="AZ200" s="1"/>
      <c r="BA200" s="2"/>
      <c r="BB200" s="3"/>
      <c r="BC200" s="53"/>
    </row>
    <row r="201" spans="1:55" s="25" customFormat="1" x14ac:dyDescent="0.25">
      <c r="A201" s="261"/>
      <c r="B201" s="260"/>
      <c r="C201" s="259"/>
      <c r="D201" s="241"/>
      <c r="E201" s="8"/>
      <c r="F201" s="113"/>
      <c r="G201" s="260"/>
      <c r="H201" s="259"/>
      <c r="I201" s="240"/>
      <c r="J201" s="113"/>
      <c r="K201" s="270"/>
      <c r="L201" s="259"/>
      <c r="M201" s="241"/>
      <c r="N201" s="19"/>
      <c r="O201" s="113"/>
      <c r="P201" s="260"/>
      <c r="Q201" s="259"/>
      <c r="R201" s="241"/>
      <c r="S201" s="8"/>
      <c r="T201" s="113"/>
      <c r="U201" s="260"/>
      <c r="V201" s="259"/>
      <c r="W201" s="241"/>
      <c r="X201" s="8"/>
      <c r="Y201" s="113"/>
      <c r="Z201" s="260"/>
      <c r="AA201" s="259"/>
      <c r="AB201" s="241"/>
      <c r="AC201" s="8"/>
      <c r="AD201" s="113"/>
      <c r="AE201" s="270"/>
      <c r="AF201" s="271"/>
      <c r="AG201" s="245"/>
      <c r="AH201" s="8"/>
      <c r="AI201" s="113"/>
      <c r="AJ201" s="270"/>
      <c r="AK201" s="271"/>
      <c r="AL201" s="245"/>
      <c r="AM201" s="18"/>
      <c r="AN201" s="32"/>
      <c r="AO201" s="12"/>
      <c r="AP201" s="12"/>
      <c r="AQ201" s="12"/>
      <c r="AR201" s="12"/>
      <c r="AS201" s="12"/>
      <c r="AT201" s="12"/>
      <c r="AU201" s="12"/>
      <c r="AV201" s="42"/>
      <c r="AW201" s="44"/>
      <c r="AX201" s="13"/>
      <c r="AY201" s="3"/>
      <c r="AZ201" s="1"/>
      <c r="BA201" s="2"/>
      <c r="BB201" s="3"/>
      <c r="BC201" s="53"/>
    </row>
    <row r="202" spans="1:55" s="25" customFormat="1" x14ac:dyDescent="0.25">
      <c r="A202" s="261"/>
      <c r="B202" s="260"/>
      <c r="C202" s="259"/>
      <c r="D202" s="241"/>
      <c r="E202" s="241"/>
      <c r="F202" s="113"/>
      <c r="G202" s="260"/>
      <c r="H202" s="259"/>
      <c r="I202" s="240"/>
      <c r="J202" s="113"/>
      <c r="K202" s="270"/>
      <c r="L202" s="259"/>
      <c r="M202" s="241"/>
      <c r="N202" s="241"/>
      <c r="O202" s="113"/>
      <c r="P202" s="260"/>
      <c r="Q202" s="259"/>
      <c r="R202" s="241"/>
      <c r="S202" s="241"/>
      <c r="T202" s="113"/>
      <c r="U202" s="260"/>
      <c r="V202" s="259"/>
      <c r="W202" s="241"/>
      <c r="X202" s="19"/>
      <c r="Y202" s="113"/>
      <c r="Z202" s="260"/>
      <c r="AA202" s="259"/>
      <c r="AB202" s="241"/>
      <c r="AC202" s="19"/>
      <c r="AD202" s="113"/>
      <c r="AE202" s="270"/>
      <c r="AF202" s="271"/>
      <c r="AG202" s="245"/>
      <c r="AH202" s="19"/>
      <c r="AI202" s="113"/>
      <c r="AJ202" s="270"/>
      <c r="AK202" s="271"/>
      <c r="AL202" s="245"/>
      <c r="AM202" s="16"/>
      <c r="AN202" s="32"/>
      <c r="AO202" s="12"/>
      <c r="AP202" s="12"/>
      <c r="AQ202" s="12"/>
      <c r="AR202" s="12"/>
      <c r="AS202" s="12"/>
      <c r="AT202" s="12"/>
      <c r="AU202" s="12"/>
      <c r="AV202" s="42"/>
      <c r="AW202" s="44"/>
      <c r="AX202" s="11"/>
      <c r="AY202" s="3"/>
      <c r="AZ202" s="1"/>
      <c r="BA202" s="2"/>
      <c r="BB202" s="3"/>
      <c r="BC202" s="53"/>
    </row>
    <row r="203" spans="1:55" s="25" customFormat="1" x14ac:dyDescent="0.25">
      <c r="A203" s="261"/>
      <c r="B203" s="260"/>
      <c r="C203" s="259"/>
      <c r="D203" s="241"/>
      <c r="E203" s="241"/>
      <c r="F203" s="113"/>
      <c r="G203" s="260"/>
      <c r="H203" s="259"/>
      <c r="I203" s="240"/>
      <c r="J203" s="113"/>
      <c r="K203" s="270"/>
      <c r="L203" s="259"/>
      <c r="M203" s="241"/>
      <c r="N203" s="241"/>
      <c r="O203" s="113"/>
      <c r="P203" s="260"/>
      <c r="Q203" s="259"/>
      <c r="R203" s="241"/>
      <c r="S203" s="241"/>
      <c r="T203" s="113"/>
      <c r="U203" s="260"/>
      <c r="V203" s="259"/>
      <c r="W203" s="241">
        <v>0.4</v>
      </c>
      <c r="X203" s="75" t="s">
        <v>45</v>
      </c>
      <c r="Y203" s="113"/>
      <c r="Z203" s="260"/>
      <c r="AA203" s="259"/>
      <c r="AB203" s="241">
        <v>0.4</v>
      </c>
      <c r="AC203" s="75" t="s">
        <v>45</v>
      </c>
      <c r="AD203" s="113"/>
      <c r="AE203" s="270"/>
      <c r="AF203" s="271"/>
      <c r="AG203" s="245">
        <v>0.4</v>
      </c>
      <c r="AH203" s="75" t="s">
        <v>45</v>
      </c>
      <c r="AI203" s="113"/>
      <c r="AJ203" s="270"/>
      <c r="AK203" s="271"/>
      <c r="AL203" s="245"/>
      <c r="AM203" s="245"/>
      <c r="AN203" s="32"/>
      <c r="AO203" s="12"/>
      <c r="AP203" s="12"/>
      <c r="AQ203" s="12"/>
      <c r="AR203" s="12"/>
      <c r="AS203" s="12"/>
      <c r="AT203" s="12"/>
      <c r="AU203" s="12"/>
      <c r="AV203" s="42"/>
      <c r="AW203" s="44"/>
      <c r="AX203" s="13"/>
      <c r="AY203" s="3"/>
      <c r="AZ203" s="1"/>
      <c r="BA203" s="2"/>
      <c r="BB203" s="3"/>
      <c r="BC203" s="53"/>
    </row>
    <row r="204" spans="1:55" s="25" customFormat="1" x14ac:dyDescent="0.25">
      <c r="A204" s="261"/>
      <c r="B204" s="260"/>
      <c r="C204" s="259"/>
      <c r="D204" s="241"/>
      <c r="E204" s="241"/>
      <c r="F204" s="113"/>
      <c r="G204" s="260"/>
      <c r="H204" s="259"/>
      <c r="I204" s="240"/>
      <c r="J204" s="113"/>
      <c r="K204" s="270"/>
      <c r="L204" s="259"/>
      <c r="M204" s="241"/>
      <c r="N204" s="241"/>
      <c r="O204" s="113"/>
      <c r="P204" s="260"/>
      <c r="Q204" s="259"/>
      <c r="R204" s="241"/>
      <c r="S204" s="241"/>
      <c r="T204" s="113"/>
      <c r="U204" s="260"/>
      <c r="V204" s="259"/>
      <c r="W204" s="241"/>
      <c r="X204" s="241"/>
      <c r="Y204" s="113"/>
      <c r="Z204" s="260"/>
      <c r="AA204" s="259"/>
      <c r="AB204" s="241"/>
      <c r="AC204" s="241"/>
      <c r="AD204" s="113"/>
      <c r="AE204" s="270"/>
      <c r="AF204" s="271"/>
      <c r="AG204" s="245"/>
      <c r="AH204" s="241"/>
      <c r="AI204" s="113"/>
      <c r="AJ204" s="270"/>
      <c r="AK204" s="271"/>
      <c r="AL204" s="245"/>
      <c r="AM204" s="245"/>
      <c r="AN204" s="32"/>
      <c r="AO204" s="12"/>
      <c r="AP204" s="12"/>
      <c r="AQ204" s="12"/>
      <c r="AR204" s="12"/>
      <c r="AS204" s="12"/>
      <c r="AT204" s="12"/>
      <c r="AU204" s="12"/>
      <c r="AV204" s="42"/>
      <c r="AW204" s="44"/>
      <c r="AX204" s="69"/>
      <c r="AY204" s="3"/>
      <c r="AZ204" s="1"/>
      <c r="BA204" s="2"/>
      <c r="BB204" s="3"/>
      <c r="BC204" s="53"/>
    </row>
    <row r="205" spans="1:55" s="25" customFormat="1" x14ac:dyDescent="0.25">
      <c r="A205" s="261"/>
      <c r="B205" s="260"/>
      <c r="C205" s="259"/>
      <c r="D205" s="56"/>
      <c r="E205" s="24"/>
      <c r="F205" s="113"/>
      <c r="G205" s="260"/>
      <c r="H205" s="259"/>
      <c r="I205" s="240"/>
      <c r="J205" s="113"/>
      <c r="K205" s="270"/>
      <c r="L205" s="259"/>
      <c r="M205" s="56"/>
      <c r="N205" s="24"/>
      <c r="O205" s="113"/>
      <c r="P205" s="260"/>
      <c r="Q205" s="259"/>
      <c r="R205" s="241"/>
      <c r="S205" s="19"/>
      <c r="T205" s="113"/>
      <c r="U205" s="260"/>
      <c r="V205" s="259"/>
      <c r="W205" s="241"/>
      <c r="X205" s="19"/>
      <c r="Y205" s="113"/>
      <c r="Z205" s="260"/>
      <c r="AA205" s="259"/>
      <c r="AB205" s="241"/>
      <c r="AC205" s="19"/>
      <c r="AD205" s="113"/>
      <c r="AE205" s="270"/>
      <c r="AF205" s="271"/>
      <c r="AG205" s="245"/>
      <c r="AH205" s="19"/>
      <c r="AI205" s="113"/>
      <c r="AJ205" s="270"/>
      <c r="AK205" s="271"/>
      <c r="AL205" s="245"/>
      <c r="AM205" s="16"/>
      <c r="AN205" s="32"/>
      <c r="AO205" s="12"/>
      <c r="AP205" s="12"/>
      <c r="AQ205" s="12"/>
      <c r="AR205" s="12"/>
      <c r="AS205" s="12"/>
      <c r="AT205" s="12"/>
      <c r="AU205" s="12"/>
      <c r="AV205" s="12"/>
      <c r="AW205" s="44"/>
      <c r="AX205" s="13"/>
      <c r="AY205" s="3"/>
      <c r="AZ205" s="1"/>
      <c r="BA205" s="2"/>
      <c r="BB205" s="3"/>
      <c r="BC205" s="53"/>
    </row>
    <row r="206" spans="1:55" s="25" customFormat="1" x14ac:dyDescent="0.25">
      <c r="A206" s="261"/>
      <c r="B206" s="260"/>
      <c r="C206" s="259"/>
      <c r="D206" s="241">
        <f>B196-D199-D196-D211-D192-D207-D209-D213-D215-D210-D221-D217-D218</f>
        <v>1.9800000000000018</v>
      </c>
      <c r="E206" s="7" t="s">
        <v>480</v>
      </c>
      <c r="F206" s="113"/>
      <c r="G206" s="260"/>
      <c r="H206" s="259"/>
      <c r="I206" s="240"/>
      <c r="J206" s="113"/>
      <c r="K206" s="270">
        <v>6.3</v>
      </c>
      <c r="L206" s="259">
        <v>8.84</v>
      </c>
      <c r="M206" s="241">
        <v>0.8</v>
      </c>
      <c r="N206" s="7" t="s">
        <v>78</v>
      </c>
      <c r="O206" s="113"/>
      <c r="P206" s="260">
        <v>5.84</v>
      </c>
      <c r="Q206" s="259">
        <v>8.8000000000000007</v>
      </c>
      <c r="R206" s="56"/>
      <c r="S206" s="24"/>
      <c r="T206" s="113"/>
      <c r="U206" s="260"/>
      <c r="V206" s="259"/>
      <c r="W206" s="56"/>
      <c r="X206" s="24"/>
      <c r="Y206" s="113"/>
      <c r="Z206" s="260"/>
      <c r="AA206" s="259"/>
      <c r="AB206" s="56"/>
      <c r="AC206" s="24"/>
      <c r="AD206" s="113"/>
      <c r="AE206" s="270"/>
      <c r="AF206" s="271"/>
      <c r="AG206" s="245"/>
      <c r="AH206" s="24"/>
      <c r="AI206" s="113"/>
      <c r="AJ206" s="270"/>
      <c r="AK206" s="271"/>
      <c r="AL206" s="245"/>
      <c r="AM206" s="91"/>
      <c r="AN206" s="32"/>
      <c r="AO206" s="12"/>
      <c r="AP206" s="12"/>
      <c r="AQ206" s="12"/>
      <c r="AR206" s="12"/>
      <c r="AS206" s="12"/>
      <c r="AT206" s="12"/>
      <c r="AU206" s="12"/>
      <c r="AV206" s="12"/>
      <c r="AW206" s="44"/>
      <c r="AX206" s="11"/>
      <c r="AY206" s="3"/>
      <c r="AZ206" s="1"/>
      <c r="BA206" s="2"/>
      <c r="BB206" s="3"/>
      <c r="BC206" s="53"/>
    </row>
    <row r="207" spans="1:55" s="25" customFormat="1" x14ac:dyDescent="0.25">
      <c r="A207" s="261"/>
      <c r="B207" s="260"/>
      <c r="C207" s="259"/>
      <c r="D207" s="241">
        <v>0.01</v>
      </c>
      <c r="E207" s="7" t="s">
        <v>200</v>
      </c>
      <c r="F207" s="113"/>
      <c r="G207" s="260"/>
      <c r="H207" s="259"/>
      <c r="I207" s="240"/>
      <c r="J207" s="113"/>
      <c r="K207" s="270"/>
      <c r="L207" s="259"/>
      <c r="M207" s="241">
        <f>D207</f>
        <v>0.01</v>
      </c>
      <c r="N207" s="7" t="s">
        <v>200</v>
      </c>
      <c r="O207" s="113"/>
      <c r="P207" s="260"/>
      <c r="Q207" s="259"/>
      <c r="R207" s="56"/>
      <c r="S207" s="24"/>
      <c r="T207" s="113"/>
      <c r="U207" s="260"/>
      <c r="V207" s="259"/>
      <c r="W207" s="56"/>
      <c r="X207" s="24"/>
      <c r="Y207" s="113"/>
      <c r="Z207" s="260"/>
      <c r="AA207" s="259"/>
      <c r="AB207" s="56"/>
      <c r="AC207" s="24"/>
      <c r="AD207" s="113"/>
      <c r="AE207" s="270"/>
      <c r="AF207" s="271"/>
      <c r="AG207" s="24"/>
      <c r="AH207" s="24"/>
      <c r="AI207" s="113"/>
      <c r="AJ207" s="270"/>
      <c r="AK207" s="271"/>
      <c r="AL207" s="245"/>
      <c r="AM207" s="96"/>
      <c r="AN207" s="32"/>
      <c r="AO207" s="12"/>
      <c r="AP207" s="12"/>
      <c r="AQ207" s="12"/>
      <c r="AR207" s="12"/>
      <c r="AS207" s="12"/>
      <c r="AT207" s="12"/>
      <c r="AU207" s="12"/>
      <c r="AV207" s="42"/>
      <c r="AW207" s="44"/>
      <c r="AX207" s="11"/>
      <c r="AY207" s="3"/>
      <c r="AZ207" s="1"/>
      <c r="BA207" s="2"/>
      <c r="BB207" s="3"/>
      <c r="BC207" s="53"/>
    </row>
    <row r="208" spans="1:55" s="25" customFormat="1" x14ac:dyDescent="0.25">
      <c r="A208" s="261"/>
      <c r="B208" s="260"/>
      <c r="C208" s="259"/>
      <c r="F208" s="113"/>
      <c r="G208" s="260"/>
      <c r="H208" s="259"/>
      <c r="I208" s="240"/>
      <c r="J208" s="113"/>
      <c r="K208" s="270"/>
      <c r="L208" s="259"/>
      <c r="M208" s="24"/>
      <c r="N208" s="24"/>
      <c r="O208" s="113"/>
      <c r="P208" s="260"/>
      <c r="Q208" s="259"/>
      <c r="R208" s="24"/>
      <c r="S208" s="24"/>
      <c r="T208" s="113"/>
      <c r="U208" s="260"/>
      <c r="V208" s="259"/>
      <c r="W208" s="24"/>
      <c r="X208" s="24"/>
      <c r="Y208" s="113"/>
      <c r="Z208" s="260"/>
      <c r="AA208" s="259"/>
      <c r="AB208" s="24"/>
      <c r="AC208" s="24"/>
      <c r="AD208" s="113"/>
      <c r="AE208" s="270"/>
      <c r="AF208" s="271"/>
      <c r="AG208" s="24"/>
      <c r="AH208" s="24"/>
      <c r="AI208" s="113"/>
      <c r="AJ208" s="270"/>
      <c r="AK208" s="271"/>
      <c r="AL208" s="245">
        <f>AG192</f>
        <v>3.9999999999999647E-2</v>
      </c>
      <c r="AM208" s="59" t="s">
        <v>109</v>
      </c>
      <c r="AN208" s="32"/>
      <c r="AO208" s="12"/>
      <c r="AP208" s="12"/>
      <c r="AQ208" s="12"/>
      <c r="AR208" s="12"/>
      <c r="AS208" s="12"/>
      <c r="AT208" s="12"/>
      <c r="AU208" s="12"/>
      <c r="AV208" s="42"/>
      <c r="AW208" s="44"/>
      <c r="AX208" s="11"/>
      <c r="AY208" s="3"/>
      <c r="AZ208" s="1"/>
      <c r="BA208" s="2"/>
      <c r="BB208" s="3"/>
      <c r="BC208" s="53"/>
    </row>
    <row r="209" spans="1:55" s="25" customFormat="1" x14ac:dyDescent="0.25">
      <c r="A209" s="261"/>
      <c r="B209" s="260"/>
      <c r="C209" s="259"/>
      <c r="D209" s="241">
        <v>0.01</v>
      </c>
      <c r="E209" s="59" t="s">
        <v>228</v>
      </c>
      <c r="F209" s="113"/>
      <c r="G209" s="260"/>
      <c r="H209" s="259"/>
      <c r="I209" s="240"/>
      <c r="J209" s="113"/>
      <c r="K209" s="270"/>
      <c r="L209" s="259"/>
      <c r="M209" s="241">
        <v>0.05</v>
      </c>
      <c r="N209" s="59" t="s">
        <v>228</v>
      </c>
      <c r="O209" s="113"/>
      <c r="P209" s="260"/>
      <c r="Q209" s="259"/>
      <c r="R209" s="241"/>
      <c r="S209" s="19"/>
      <c r="T209" s="113"/>
      <c r="U209" s="260"/>
      <c r="V209" s="259"/>
      <c r="W209" s="56"/>
      <c r="X209" s="24"/>
      <c r="Y209" s="113"/>
      <c r="Z209" s="260"/>
      <c r="AA209" s="259"/>
      <c r="AB209" s="241"/>
      <c r="AC209" s="241"/>
      <c r="AD209" s="113"/>
      <c r="AE209" s="270"/>
      <c r="AF209" s="271"/>
      <c r="AG209" s="245"/>
      <c r="AH209" s="241"/>
      <c r="AI209" s="113"/>
      <c r="AJ209" s="270"/>
      <c r="AK209" s="271"/>
      <c r="AL209" s="245"/>
      <c r="AM209" s="16"/>
      <c r="AN209" s="32"/>
      <c r="AO209" s="12"/>
      <c r="AP209" s="12"/>
      <c r="AQ209" s="12"/>
      <c r="AR209" s="12"/>
      <c r="AS209" s="12"/>
      <c r="AT209" s="12"/>
      <c r="AU209" s="12"/>
      <c r="AV209" s="42"/>
      <c r="AW209" s="44"/>
      <c r="AX209" s="69"/>
      <c r="AY209" s="3"/>
      <c r="AZ209" s="1"/>
      <c r="BA209" s="2"/>
      <c r="BB209" s="3"/>
      <c r="BC209" s="53"/>
    </row>
    <row r="210" spans="1:55" s="25" customFormat="1" x14ac:dyDescent="0.25">
      <c r="A210" s="261"/>
      <c r="B210" s="260"/>
      <c r="C210" s="259"/>
      <c r="D210" s="241">
        <v>0.01</v>
      </c>
      <c r="E210" s="59" t="s">
        <v>81</v>
      </c>
      <c r="F210" s="113"/>
      <c r="G210" s="260"/>
      <c r="H210" s="259"/>
      <c r="I210" s="240"/>
      <c r="J210" s="113"/>
      <c r="K210" s="270"/>
      <c r="L210" s="259"/>
      <c r="M210" s="241">
        <f>D210</f>
        <v>0.01</v>
      </c>
      <c r="N210" s="59" t="s">
        <v>81</v>
      </c>
      <c r="O210" s="113"/>
      <c r="P210" s="260"/>
      <c r="Q210" s="259"/>
      <c r="R210" s="241"/>
      <c r="S210" s="24"/>
      <c r="T210" s="113"/>
      <c r="U210" s="260"/>
      <c r="V210" s="259"/>
      <c r="W210" s="56"/>
      <c r="X210" s="24"/>
      <c r="Y210" s="113"/>
      <c r="Z210" s="260"/>
      <c r="AA210" s="259"/>
      <c r="AB210" s="241"/>
      <c r="AC210" s="19"/>
      <c r="AD210" s="113"/>
      <c r="AE210" s="270"/>
      <c r="AF210" s="271"/>
      <c r="AG210" s="245"/>
      <c r="AH210" s="19"/>
      <c r="AI210" s="113"/>
      <c r="AJ210" s="270"/>
      <c r="AK210" s="271"/>
      <c r="AL210" s="245"/>
      <c r="AM210" s="91"/>
      <c r="AN210" s="32"/>
      <c r="AO210" s="12"/>
      <c r="AP210" s="12"/>
      <c r="AQ210" s="12"/>
      <c r="AR210" s="12"/>
      <c r="AS210" s="12"/>
      <c r="AT210" s="12"/>
      <c r="AU210" s="12"/>
      <c r="AV210" s="42"/>
      <c r="AW210" s="44"/>
      <c r="AX210" s="13"/>
      <c r="AY210" s="3"/>
      <c r="AZ210" s="1"/>
      <c r="BA210" s="2"/>
      <c r="BB210" s="3"/>
      <c r="BC210" s="53"/>
    </row>
    <row r="211" spans="1:55" s="25" customFormat="1" x14ac:dyDescent="0.25">
      <c r="A211" s="261"/>
      <c r="B211" s="260"/>
      <c r="C211" s="259"/>
      <c r="D211" s="241">
        <v>0.2</v>
      </c>
      <c r="E211" s="249" t="s">
        <v>352</v>
      </c>
      <c r="F211" s="113"/>
      <c r="G211" s="260"/>
      <c r="H211" s="259"/>
      <c r="I211" s="240"/>
      <c r="J211" s="113"/>
      <c r="K211" s="270"/>
      <c r="L211" s="259"/>
      <c r="M211" s="241">
        <v>1</v>
      </c>
      <c r="N211" s="249" t="s">
        <v>352</v>
      </c>
      <c r="O211" s="113"/>
      <c r="P211" s="260"/>
      <c r="Q211" s="259"/>
      <c r="R211" s="241">
        <v>0.2</v>
      </c>
      <c r="S211" s="249" t="s">
        <v>352</v>
      </c>
      <c r="T211" s="113"/>
      <c r="U211" s="260"/>
      <c r="V211" s="259"/>
      <c r="W211" s="241">
        <f>R211</f>
        <v>0.2</v>
      </c>
      <c r="X211" s="249" t="s">
        <v>352</v>
      </c>
      <c r="Y211" s="113"/>
      <c r="Z211" s="260"/>
      <c r="AA211" s="259"/>
      <c r="AB211" s="56"/>
      <c r="AC211" s="24"/>
      <c r="AD211" s="113"/>
      <c r="AE211" s="270"/>
      <c r="AF211" s="271"/>
      <c r="AG211" s="245"/>
      <c r="AH211" s="24"/>
      <c r="AI211" s="113"/>
      <c r="AJ211" s="270"/>
      <c r="AK211" s="271"/>
      <c r="AL211" s="245"/>
      <c r="AM211" s="16"/>
      <c r="AN211" s="32"/>
      <c r="AO211" s="12"/>
      <c r="AP211" s="12"/>
      <c r="AQ211" s="12"/>
      <c r="AR211" s="12"/>
      <c r="AS211" s="12"/>
      <c r="AT211" s="12"/>
      <c r="AU211" s="12"/>
      <c r="AV211" s="12"/>
      <c r="AW211" s="44"/>
      <c r="AX211" s="13"/>
      <c r="AY211" s="3"/>
      <c r="AZ211" s="1"/>
      <c r="BA211" s="2"/>
      <c r="BB211" s="3"/>
      <c r="BC211" s="53"/>
    </row>
    <row r="212" spans="1:55" s="25" customFormat="1" x14ac:dyDescent="0.25">
      <c r="A212" s="261"/>
      <c r="B212" s="260"/>
      <c r="C212" s="259"/>
      <c r="D212" s="56"/>
      <c r="E212" s="24"/>
      <c r="F212" s="113"/>
      <c r="G212" s="260"/>
      <c r="H212" s="259"/>
      <c r="I212" s="240"/>
      <c r="J212" s="113"/>
      <c r="K212" s="270"/>
      <c r="L212" s="259"/>
      <c r="M212" s="56"/>
      <c r="N212" s="24"/>
      <c r="O212" s="113"/>
      <c r="P212" s="260"/>
      <c r="Q212" s="259"/>
      <c r="R212" s="241"/>
      <c r="S212" s="24"/>
      <c r="T212" s="113"/>
      <c r="U212" s="260"/>
      <c r="V212" s="259"/>
      <c r="W212" s="241">
        <f>U196-W200-W199-W196-W211-W192-W218-W221</f>
        <v>0.89000000000000057</v>
      </c>
      <c r="X212" s="75" t="s">
        <v>43</v>
      </c>
      <c r="Y212" s="113"/>
      <c r="Z212" s="260"/>
      <c r="AA212" s="259"/>
      <c r="AB212" s="241">
        <v>0.9</v>
      </c>
      <c r="AC212" s="75" t="s">
        <v>43</v>
      </c>
      <c r="AD212" s="113"/>
      <c r="AE212" s="270"/>
      <c r="AF212" s="271"/>
      <c r="AG212" s="245">
        <v>0.9</v>
      </c>
      <c r="AH212" s="75" t="s">
        <v>43</v>
      </c>
      <c r="AI212" s="113"/>
      <c r="AJ212" s="270"/>
      <c r="AK212" s="271"/>
      <c r="AL212" s="245"/>
      <c r="AM212" s="91"/>
      <c r="AN212" s="32"/>
      <c r="AO212" s="12"/>
      <c r="AP212" s="12"/>
      <c r="AQ212" s="12"/>
      <c r="AR212" s="12"/>
      <c r="AS212" s="12"/>
      <c r="AT212" s="12"/>
      <c r="AU212" s="12"/>
      <c r="AV212" s="42"/>
      <c r="AW212" s="44"/>
      <c r="AX212" s="13"/>
      <c r="AY212" s="3"/>
      <c r="AZ212" s="1"/>
      <c r="BA212" s="2"/>
      <c r="BB212" s="3"/>
      <c r="BC212" s="53"/>
    </row>
    <row r="213" spans="1:55" s="25" customFormat="1" x14ac:dyDescent="0.25">
      <c r="A213" s="261"/>
      <c r="B213" s="260"/>
      <c r="C213" s="259"/>
      <c r="D213" s="241">
        <v>0.01</v>
      </c>
      <c r="E213" s="249" t="s">
        <v>79</v>
      </c>
      <c r="F213" s="113"/>
      <c r="G213" s="260"/>
      <c r="H213" s="259"/>
      <c r="I213" s="240"/>
      <c r="J213" s="113"/>
      <c r="K213" s="270"/>
      <c r="L213" s="259"/>
      <c r="M213" s="241">
        <f>D213</f>
        <v>0.01</v>
      </c>
      <c r="N213" s="249" t="s">
        <v>79</v>
      </c>
      <c r="O213" s="113"/>
      <c r="P213" s="260"/>
      <c r="Q213" s="259"/>
      <c r="R213" s="19"/>
      <c r="S213" s="240"/>
      <c r="T213" s="113"/>
      <c r="U213" s="260"/>
      <c r="V213" s="259"/>
      <c r="W213" s="241"/>
      <c r="X213" s="19"/>
      <c r="Y213" s="113"/>
      <c r="Z213" s="260"/>
      <c r="AA213" s="259"/>
      <c r="AB213" s="241"/>
      <c r="AC213" s="19"/>
      <c r="AD213" s="113"/>
      <c r="AE213" s="270"/>
      <c r="AF213" s="271"/>
      <c r="AG213" s="245"/>
      <c r="AH213" s="19"/>
      <c r="AI213" s="113"/>
      <c r="AJ213" s="270"/>
      <c r="AK213" s="271"/>
      <c r="AL213" s="245"/>
      <c r="AM213" s="16"/>
      <c r="AN213" s="32"/>
      <c r="AO213" s="12"/>
      <c r="AP213" s="12"/>
      <c r="AQ213" s="12"/>
      <c r="AR213" s="12"/>
      <c r="AS213" s="12"/>
      <c r="AT213" s="12"/>
      <c r="AU213" s="12"/>
      <c r="AV213" s="42"/>
      <c r="AW213" s="44"/>
      <c r="AX213" s="69"/>
      <c r="AY213" s="3"/>
      <c r="AZ213" s="1"/>
      <c r="BA213" s="2"/>
      <c r="BB213" s="3"/>
      <c r="BC213" s="53"/>
    </row>
    <row r="214" spans="1:55" s="25" customFormat="1" x14ac:dyDescent="0.25">
      <c r="A214" s="261"/>
      <c r="B214" s="260"/>
      <c r="C214" s="259"/>
      <c r="D214" s="241"/>
      <c r="E214" s="241"/>
      <c r="F214" s="113"/>
      <c r="G214" s="260"/>
      <c r="H214" s="259"/>
      <c r="I214" s="240"/>
      <c r="J214" s="113"/>
      <c r="K214" s="270"/>
      <c r="L214" s="259"/>
      <c r="M214" s="241"/>
      <c r="N214" s="19"/>
      <c r="O214" s="113"/>
      <c r="P214" s="260"/>
      <c r="Q214" s="259"/>
      <c r="R214" s="56"/>
      <c r="S214" s="24"/>
      <c r="T214" s="113"/>
      <c r="U214" s="260"/>
      <c r="V214" s="259"/>
      <c r="W214" s="241"/>
      <c r="X214" s="19"/>
      <c r="Y214" s="113"/>
      <c r="Z214" s="260"/>
      <c r="AA214" s="259"/>
      <c r="AB214" s="241"/>
      <c r="AC214" s="19"/>
      <c r="AD214" s="113"/>
      <c r="AE214" s="270"/>
      <c r="AF214" s="271"/>
      <c r="AG214" s="245"/>
      <c r="AH214" s="19"/>
      <c r="AI214" s="113"/>
      <c r="AJ214" s="270"/>
      <c r="AK214" s="271"/>
      <c r="AL214" s="245"/>
      <c r="AM214" s="16"/>
      <c r="AN214" s="32"/>
      <c r="AO214" s="12"/>
      <c r="AP214" s="12"/>
      <c r="AQ214" s="12"/>
      <c r="AR214" s="12"/>
      <c r="AS214" s="12"/>
      <c r="AT214" s="12"/>
      <c r="AU214" s="31"/>
      <c r="AV214" s="42"/>
      <c r="AW214" s="44"/>
      <c r="AX214" s="13"/>
      <c r="AY214" s="3"/>
      <c r="AZ214" s="1"/>
      <c r="BA214" s="2"/>
      <c r="BB214" s="3"/>
      <c r="BC214" s="53"/>
    </row>
    <row r="215" spans="1:55" s="25" customFormat="1" x14ac:dyDescent="0.25">
      <c r="A215" s="261"/>
      <c r="B215" s="260"/>
      <c r="C215" s="259"/>
      <c r="D215" s="241">
        <v>0.01</v>
      </c>
      <c r="E215" s="249" t="s">
        <v>80</v>
      </c>
      <c r="F215" s="113"/>
      <c r="G215" s="260"/>
      <c r="H215" s="259"/>
      <c r="I215" s="240"/>
      <c r="J215" s="113"/>
      <c r="K215" s="270"/>
      <c r="L215" s="259"/>
      <c r="M215" s="241">
        <f>D215</f>
        <v>0.01</v>
      </c>
      <c r="N215" s="249" t="s">
        <v>80</v>
      </c>
      <c r="O215" s="113"/>
      <c r="P215" s="260"/>
      <c r="Q215" s="259"/>
      <c r="R215" s="56"/>
      <c r="S215" s="24"/>
      <c r="T215" s="113"/>
      <c r="U215" s="260"/>
      <c r="V215" s="259"/>
      <c r="W215" s="241"/>
      <c r="X215" s="19"/>
      <c r="Y215" s="113"/>
      <c r="Z215" s="260"/>
      <c r="AA215" s="259"/>
      <c r="AB215" s="241"/>
      <c r="AC215" s="19"/>
      <c r="AD215" s="113"/>
      <c r="AE215" s="270"/>
      <c r="AF215" s="271"/>
      <c r="AG215" s="245"/>
      <c r="AH215" s="19"/>
      <c r="AI215" s="113"/>
      <c r="AJ215" s="270"/>
      <c r="AK215" s="271"/>
      <c r="AL215" s="245"/>
      <c r="AM215" s="16"/>
      <c r="AN215" s="32"/>
      <c r="AO215" s="12"/>
      <c r="AP215" s="12"/>
      <c r="AQ215" s="12"/>
      <c r="AR215" s="12"/>
      <c r="AS215" s="12"/>
      <c r="AT215" s="12"/>
      <c r="AU215" s="12"/>
      <c r="AV215" s="12"/>
      <c r="AW215" s="44"/>
      <c r="AX215" s="13"/>
      <c r="AY215" s="3"/>
      <c r="AZ215" s="1"/>
      <c r="BA215" s="2"/>
      <c r="BB215" s="3"/>
      <c r="BC215" s="53"/>
    </row>
    <row r="216" spans="1:55" s="25" customFormat="1" x14ac:dyDescent="0.25">
      <c r="A216" s="261"/>
      <c r="B216" s="260"/>
      <c r="C216" s="259"/>
      <c r="D216" s="56"/>
      <c r="E216" s="24"/>
      <c r="F216" s="113"/>
      <c r="G216" s="260"/>
      <c r="H216" s="259"/>
      <c r="I216" s="240"/>
      <c r="J216" s="113"/>
      <c r="K216" s="270"/>
      <c r="L216" s="259"/>
      <c r="M216" s="56"/>
      <c r="N216" s="24"/>
      <c r="O216" s="113"/>
      <c r="P216" s="260"/>
      <c r="Q216" s="259"/>
      <c r="R216" s="241"/>
      <c r="S216" s="241"/>
      <c r="T216" s="113"/>
      <c r="U216" s="260"/>
      <c r="V216" s="259"/>
      <c r="W216" s="241"/>
      <c r="X216" s="19"/>
      <c r="Y216" s="113"/>
      <c r="Z216" s="260"/>
      <c r="AA216" s="259"/>
      <c r="AB216" s="241"/>
      <c r="AC216" s="19"/>
      <c r="AD216" s="113"/>
      <c r="AE216" s="270"/>
      <c r="AF216" s="271"/>
      <c r="AG216" s="245"/>
      <c r="AH216" s="19"/>
      <c r="AI216" s="113"/>
      <c r="AJ216" s="270"/>
      <c r="AK216" s="271"/>
      <c r="AL216" s="245"/>
      <c r="AM216" s="16"/>
      <c r="AN216" s="32"/>
      <c r="AO216" s="12"/>
      <c r="AP216" s="12"/>
      <c r="AQ216" s="12"/>
      <c r="AR216" s="12"/>
      <c r="AS216" s="12"/>
      <c r="AT216" s="12"/>
      <c r="AU216" s="12"/>
      <c r="AV216" s="12"/>
      <c r="AW216" s="44"/>
      <c r="AX216" s="11"/>
      <c r="AY216" s="3"/>
      <c r="AZ216" s="1"/>
      <c r="BA216" s="2"/>
      <c r="BB216" s="3"/>
      <c r="BC216" s="53"/>
    </row>
    <row r="217" spans="1:55" s="25" customFormat="1" x14ac:dyDescent="0.25">
      <c r="A217" s="261"/>
      <c r="B217" s="260"/>
      <c r="C217" s="259"/>
      <c r="D217" s="241">
        <v>0.1</v>
      </c>
      <c r="E217" s="6" t="s">
        <v>479</v>
      </c>
      <c r="F217" s="113"/>
      <c r="G217" s="260"/>
      <c r="H217" s="259"/>
      <c r="I217" s="80"/>
      <c r="J217" s="113"/>
      <c r="K217" s="270"/>
      <c r="L217" s="259"/>
      <c r="M217" s="241">
        <v>0.01</v>
      </c>
      <c r="N217" s="6" t="s">
        <v>244</v>
      </c>
      <c r="O217" s="113"/>
      <c r="P217" s="260"/>
      <c r="Q217" s="259"/>
      <c r="R217" s="241"/>
      <c r="S217" s="241"/>
      <c r="T217" s="113"/>
      <c r="U217" s="260"/>
      <c r="V217" s="259"/>
      <c r="W217" s="241"/>
      <c r="X217" s="19"/>
      <c r="Y217" s="113"/>
      <c r="Z217" s="260"/>
      <c r="AA217" s="259"/>
      <c r="AB217" s="241"/>
      <c r="AC217" s="19"/>
      <c r="AD217" s="113"/>
      <c r="AE217" s="270"/>
      <c r="AF217" s="271"/>
      <c r="AG217" s="245"/>
      <c r="AH217" s="19"/>
      <c r="AI217" s="113"/>
      <c r="AJ217" s="270"/>
      <c r="AK217" s="271"/>
      <c r="AL217" s="245"/>
      <c r="AM217" s="19"/>
      <c r="AN217" s="32"/>
      <c r="AO217" s="12"/>
      <c r="AP217" s="12"/>
      <c r="AQ217" s="12"/>
      <c r="AR217" s="12"/>
      <c r="AS217" s="12"/>
      <c r="AT217" s="12"/>
      <c r="AU217" s="12"/>
      <c r="AV217" s="42"/>
      <c r="AW217" s="44"/>
      <c r="AX217" s="3"/>
      <c r="AY217" s="3"/>
      <c r="AZ217" s="1"/>
      <c r="BA217" s="2"/>
      <c r="BB217" s="3"/>
      <c r="BC217" s="53"/>
    </row>
    <row r="218" spans="1:55" s="25" customFormat="1" x14ac:dyDescent="0.25">
      <c r="A218" s="261"/>
      <c r="B218" s="260"/>
      <c r="C218" s="259"/>
      <c r="D218" s="241">
        <v>1</v>
      </c>
      <c r="E218" s="62" t="s">
        <v>123</v>
      </c>
      <c r="F218" s="113"/>
      <c r="G218" s="260"/>
      <c r="H218" s="259"/>
      <c r="I218" s="240"/>
      <c r="J218" s="113"/>
      <c r="K218" s="270"/>
      <c r="L218" s="259"/>
      <c r="M218" s="241">
        <v>1</v>
      </c>
      <c r="N218" s="62" t="s">
        <v>123</v>
      </c>
      <c r="O218" s="113"/>
      <c r="P218" s="260"/>
      <c r="Q218" s="259"/>
      <c r="R218" s="241">
        <f>P206-R211-R192-R221</f>
        <v>1.4399999999999995</v>
      </c>
      <c r="S218" s="62" t="s">
        <v>522</v>
      </c>
      <c r="T218" s="113"/>
      <c r="U218" s="260"/>
      <c r="V218" s="259"/>
      <c r="W218" s="241">
        <v>1.4</v>
      </c>
      <c r="X218" s="62" t="s">
        <v>139</v>
      </c>
      <c r="Y218" s="113"/>
      <c r="Z218" s="260"/>
      <c r="AA218" s="259"/>
      <c r="AB218" s="241"/>
      <c r="AC218" s="19"/>
      <c r="AD218" s="113"/>
      <c r="AE218" s="270"/>
      <c r="AF218" s="271"/>
      <c r="AG218" s="245"/>
      <c r="AH218" s="19"/>
      <c r="AI218" s="113"/>
      <c r="AJ218" s="270"/>
      <c r="AK218" s="271"/>
      <c r="AL218" s="245"/>
      <c r="AM218" s="19"/>
      <c r="AN218" s="32"/>
      <c r="AO218" s="12"/>
      <c r="AP218" s="12"/>
      <c r="AQ218" s="12"/>
      <c r="AR218" s="12"/>
      <c r="AS218" s="12"/>
      <c r="AT218" s="12"/>
      <c r="AU218" s="12"/>
      <c r="AV218" s="42"/>
      <c r="AW218" s="44"/>
      <c r="AX218" s="3"/>
      <c r="AY218" s="3"/>
      <c r="AZ218" s="1"/>
      <c r="BA218" s="2"/>
      <c r="BB218" s="3"/>
      <c r="BC218" s="53"/>
    </row>
    <row r="219" spans="1:55" s="25" customFormat="1" x14ac:dyDescent="0.25">
      <c r="A219" s="261"/>
      <c r="B219" s="260"/>
      <c r="C219" s="259"/>
      <c r="D219" s="241"/>
      <c r="E219" s="241"/>
      <c r="F219" s="113"/>
      <c r="G219" s="260"/>
      <c r="H219" s="259"/>
      <c r="I219" s="240"/>
      <c r="J219" s="113"/>
      <c r="K219" s="270"/>
      <c r="L219" s="259"/>
      <c r="M219" s="241"/>
      <c r="N219" s="241"/>
      <c r="O219" s="113"/>
      <c r="P219" s="260"/>
      <c r="Q219" s="259"/>
      <c r="R219" s="241"/>
      <c r="S219" s="241"/>
      <c r="T219" s="113"/>
      <c r="U219" s="260"/>
      <c r="V219" s="259"/>
      <c r="W219" s="241"/>
      <c r="X219" s="19"/>
      <c r="Y219" s="113"/>
      <c r="Z219" s="260"/>
      <c r="AA219" s="259"/>
      <c r="AB219" s="241"/>
      <c r="AC219" s="19"/>
      <c r="AD219" s="113"/>
      <c r="AE219" s="270"/>
      <c r="AF219" s="271"/>
      <c r="AG219" s="245"/>
      <c r="AH219" s="19"/>
      <c r="AI219" s="113"/>
      <c r="AJ219" s="270"/>
      <c r="AK219" s="271"/>
      <c r="AL219" s="245"/>
      <c r="AM219" s="19"/>
      <c r="AN219" s="32"/>
      <c r="AO219" s="12"/>
      <c r="AP219" s="12"/>
      <c r="AQ219" s="12"/>
      <c r="AR219" s="12"/>
      <c r="AS219" s="12"/>
      <c r="AT219" s="12"/>
      <c r="AU219" s="12"/>
      <c r="AV219" s="42"/>
      <c r="AW219" s="44"/>
      <c r="AX219" s="3"/>
      <c r="AY219" s="3"/>
      <c r="AZ219" s="1"/>
      <c r="BA219" s="2"/>
      <c r="BB219" s="3"/>
      <c r="BC219" s="53"/>
    </row>
    <row r="220" spans="1:55" s="25" customFormat="1" x14ac:dyDescent="0.25">
      <c r="A220" s="261"/>
      <c r="B220" s="260"/>
      <c r="C220" s="259"/>
      <c r="D220" s="241"/>
      <c r="E220" s="19"/>
      <c r="F220" s="113"/>
      <c r="G220" s="260"/>
      <c r="H220" s="259"/>
      <c r="I220" s="240"/>
      <c r="J220" s="113"/>
      <c r="K220" s="270"/>
      <c r="L220" s="259"/>
      <c r="M220" s="241"/>
      <c r="N220" s="241"/>
      <c r="O220" s="113"/>
      <c r="P220" s="260"/>
      <c r="Q220" s="259"/>
      <c r="R220" s="241"/>
      <c r="S220" s="241"/>
      <c r="T220" s="113"/>
      <c r="U220" s="260"/>
      <c r="V220" s="259"/>
      <c r="W220" s="241"/>
      <c r="X220" s="19"/>
      <c r="Y220" s="113"/>
      <c r="Z220" s="260"/>
      <c r="AA220" s="259"/>
      <c r="AB220" s="241"/>
      <c r="AC220" s="19"/>
      <c r="AD220" s="113"/>
      <c r="AE220" s="270"/>
      <c r="AF220" s="271"/>
      <c r="AG220" s="245"/>
      <c r="AH220" s="19"/>
      <c r="AI220" s="113"/>
      <c r="AJ220" s="270"/>
      <c r="AK220" s="271"/>
      <c r="AL220" s="245"/>
      <c r="AM220" s="19"/>
      <c r="AN220" s="32"/>
      <c r="AO220" s="12"/>
      <c r="AP220" s="12"/>
      <c r="AQ220" s="12"/>
      <c r="AR220" s="12"/>
      <c r="AS220" s="12"/>
      <c r="AT220" s="12"/>
      <c r="AU220" s="12"/>
      <c r="AV220" s="12"/>
      <c r="AW220" s="44"/>
      <c r="AX220" s="4"/>
      <c r="AY220" s="3"/>
      <c r="AZ220" s="1"/>
      <c r="BA220" s="2"/>
      <c r="BB220" s="3"/>
      <c r="BC220" s="53"/>
    </row>
    <row r="221" spans="1:55" s="25" customFormat="1" x14ac:dyDescent="0.25">
      <c r="A221" s="261"/>
      <c r="B221" s="260"/>
      <c r="C221" s="259"/>
      <c r="D221" s="240">
        <f>R221</f>
        <v>4</v>
      </c>
      <c r="E221" s="6" t="s">
        <v>25</v>
      </c>
      <c r="F221" s="113"/>
      <c r="G221" s="260"/>
      <c r="H221" s="259"/>
      <c r="I221" s="80"/>
      <c r="J221" s="113"/>
      <c r="K221" s="270"/>
      <c r="L221" s="259"/>
      <c r="M221" s="241">
        <f>R221</f>
        <v>4</v>
      </c>
      <c r="N221" s="6" t="s">
        <v>25</v>
      </c>
      <c r="O221" s="113"/>
      <c r="P221" s="260"/>
      <c r="Q221" s="259"/>
      <c r="R221" s="241">
        <f>AB221</f>
        <v>4</v>
      </c>
      <c r="S221" s="6" t="s">
        <v>25</v>
      </c>
      <c r="T221" s="113"/>
      <c r="U221" s="260"/>
      <c r="V221" s="259"/>
      <c r="W221" s="241">
        <f>AB221</f>
        <v>4</v>
      </c>
      <c r="X221" s="6" t="s">
        <v>25</v>
      </c>
      <c r="Y221" s="113"/>
      <c r="Z221" s="260"/>
      <c r="AA221" s="259"/>
      <c r="AB221" s="241">
        <v>4</v>
      </c>
      <c r="AC221" s="6" t="s">
        <v>25</v>
      </c>
      <c r="AD221" s="113"/>
      <c r="AE221" s="270"/>
      <c r="AF221" s="271"/>
      <c r="AG221" s="245">
        <v>4</v>
      </c>
      <c r="AH221" s="6" t="s">
        <v>25</v>
      </c>
      <c r="AI221" s="113"/>
      <c r="AJ221" s="270"/>
      <c r="AK221" s="271"/>
      <c r="AL221" s="245">
        <v>4</v>
      </c>
      <c r="AM221" s="6" t="s">
        <v>25</v>
      </c>
      <c r="AN221" s="32"/>
      <c r="AO221" s="12"/>
      <c r="AP221" s="12"/>
      <c r="AQ221" s="12"/>
      <c r="AR221" s="12"/>
      <c r="AS221" s="12"/>
      <c r="AT221" s="12"/>
      <c r="AU221" s="12"/>
      <c r="AV221" s="42"/>
      <c r="AW221" s="44"/>
      <c r="AX221" s="11"/>
      <c r="AY221" s="3"/>
      <c r="AZ221" s="1"/>
      <c r="BA221" s="2"/>
      <c r="BB221" s="3"/>
      <c r="BC221" s="53"/>
    </row>
    <row r="222" spans="1:55" s="25" customFormat="1" x14ac:dyDescent="0.25">
      <c r="A222" s="261">
        <v>38</v>
      </c>
      <c r="B222" s="260">
        <v>1.8</v>
      </c>
      <c r="C222" s="259">
        <v>8.98</v>
      </c>
      <c r="D222" s="240"/>
      <c r="E222" s="241"/>
      <c r="F222" s="113"/>
      <c r="G222" s="260">
        <v>0.28000000000000003</v>
      </c>
      <c r="H222" s="259">
        <v>8.56</v>
      </c>
      <c r="I222" s="240"/>
      <c r="J222" s="113"/>
      <c r="K222" s="270">
        <v>0.42</v>
      </c>
      <c r="L222" s="259">
        <v>8.9700000000000006</v>
      </c>
      <c r="M222" s="241"/>
      <c r="N222" s="56"/>
      <c r="O222" s="113"/>
      <c r="P222" s="260">
        <v>1.65</v>
      </c>
      <c r="Q222" s="259">
        <v>9.0500000000000007</v>
      </c>
      <c r="R222" s="241"/>
      <c r="S222" s="56"/>
      <c r="T222" s="113"/>
      <c r="U222" s="260">
        <v>0.51</v>
      </c>
      <c r="V222" s="259">
        <v>8.94</v>
      </c>
      <c r="W222" s="241"/>
      <c r="X222" s="240"/>
      <c r="Y222" s="113"/>
      <c r="Z222" s="260">
        <v>0.36</v>
      </c>
      <c r="AA222" s="259">
        <v>8.99</v>
      </c>
      <c r="AB222" s="241"/>
      <c r="AC222" s="240"/>
      <c r="AD222" s="113"/>
      <c r="AE222" s="270">
        <v>1.07</v>
      </c>
      <c r="AF222" s="271">
        <v>8.3800000000000008</v>
      </c>
      <c r="AG222" s="245"/>
      <c r="AH222" s="240"/>
      <c r="AI222" s="113"/>
      <c r="AJ222" s="270">
        <v>0.26</v>
      </c>
      <c r="AK222" s="271">
        <v>9.18</v>
      </c>
      <c r="AL222" s="245"/>
      <c r="AM222" s="240"/>
      <c r="AN222" s="32"/>
      <c r="AO222" s="12"/>
      <c r="AP222" s="12"/>
      <c r="AQ222" s="12"/>
      <c r="AR222" s="12"/>
      <c r="AS222" s="12"/>
      <c r="AT222" s="12"/>
      <c r="AU222" s="12"/>
      <c r="AV222" s="12"/>
      <c r="AW222" s="44"/>
      <c r="AX222" s="11"/>
      <c r="AY222" s="3"/>
      <c r="AZ222" s="1"/>
      <c r="BA222" s="2"/>
      <c r="BB222" s="3"/>
      <c r="BC222" s="53"/>
    </row>
    <row r="223" spans="1:55" s="25" customFormat="1" x14ac:dyDescent="0.25">
      <c r="A223" s="261"/>
      <c r="B223" s="260"/>
      <c r="C223" s="259"/>
      <c r="D223" s="240"/>
      <c r="E223" s="19"/>
      <c r="F223" s="113"/>
      <c r="G223" s="260"/>
      <c r="H223" s="259"/>
      <c r="I223" s="240"/>
      <c r="J223" s="113"/>
      <c r="K223" s="270"/>
      <c r="L223" s="259"/>
      <c r="M223" s="241"/>
      <c r="N223" s="56"/>
      <c r="O223" s="113"/>
      <c r="P223" s="260"/>
      <c r="Q223" s="259"/>
      <c r="R223" s="241"/>
      <c r="S223" s="56"/>
      <c r="T223" s="113"/>
      <c r="U223" s="260"/>
      <c r="V223" s="259"/>
      <c r="W223" s="241"/>
      <c r="X223" s="240"/>
      <c r="Y223" s="113"/>
      <c r="Z223" s="260"/>
      <c r="AA223" s="259"/>
      <c r="AB223" s="241"/>
      <c r="AC223" s="8"/>
      <c r="AD223" s="113"/>
      <c r="AE223" s="270"/>
      <c r="AF223" s="271"/>
      <c r="AG223" s="91"/>
      <c r="AH223" s="240"/>
      <c r="AI223" s="113"/>
      <c r="AJ223" s="270"/>
      <c r="AK223" s="271"/>
      <c r="AL223" s="245"/>
      <c r="AM223" s="240"/>
      <c r="AN223" s="32"/>
      <c r="AO223" s="12"/>
      <c r="AP223" s="12"/>
      <c r="AQ223" s="12"/>
      <c r="AR223" s="12"/>
      <c r="AS223" s="12"/>
      <c r="AT223" s="12"/>
      <c r="AU223" s="12"/>
      <c r="AV223" s="42"/>
      <c r="AW223" s="44"/>
      <c r="AX223" s="4"/>
      <c r="AY223" s="3"/>
      <c r="AZ223" s="1"/>
      <c r="BA223" s="2"/>
      <c r="BB223" s="3"/>
      <c r="BC223" s="53"/>
    </row>
    <row r="224" spans="1:55" s="25" customFormat="1" x14ac:dyDescent="0.25">
      <c r="A224" s="261"/>
      <c r="B224" s="260"/>
      <c r="C224" s="259"/>
      <c r="D224" s="240"/>
      <c r="E224" s="19"/>
      <c r="F224" s="113"/>
      <c r="G224" s="260"/>
      <c r="H224" s="259"/>
      <c r="I224" s="240"/>
      <c r="J224" s="113"/>
      <c r="K224" s="270"/>
      <c r="L224" s="259"/>
      <c r="M224" s="241">
        <f>K222</f>
        <v>0.42</v>
      </c>
      <c r="N224" s="7" t="s">
        <v>72</v>
      </c>
      <c r="O224" s="113"/>
      <c r="P224" s="260"/>
      <c r="Q224" s="259"/>
      <c r="R224" s="241">
        <f>P222-R238-R231-R233</f>
        <v>0.88</v>
      </c>
      <c r="S224" s="7" t="s">
        <v>72</v>
      </c>
      <c r="T224" s="113"/>
      <c r="U224" s="260"/>
      <c r="V224" s="259"/>
      <c r="W224" s="241">
        <f>U222+U230-W238-W231-W233</f>
        <v>0.2100000000000001</v>
      </c>
      <c r="X224" s="7" t="s">
        <v>72</v>
      </c>
      <c r="Y224" s="113"/>
      <c r="Z224" s="260"/>
      <c r="AA224" s="259"/>
      <c r="AB224" s="241">
        <f>Z222</f>
        <v>0.36</v>
      </c>
      <c r="AC224" s="7" t="s">
        <v>72</v>
      </c>
      <c r="AD224" s="113"/>
      <c r="AE224" s="270"/>
      <c r="AF224" s="271"/>
      <c r="AG224" s="245"/>
      <c r="AH224" s="19"/>
      <c r="AI224" s="113"/>
      <c r="AJ224" s="270"/>
      <c r="AK224" s="271"/>
      <c r="AL224" s="245">
        <f>(AJ222/6)+0.38</f>
        <v>0.42333333333333334</v>
      </c>
      <c r="AM224" s="7" t="s">
        <v>72</v>
      </c>
      <c r="AN224" s="32"/>
      <c r="AO224" s="12"/>
      <c r="AP224" s="12"/>
      <c r="AQ224" s="12"/>
      <c r="AR224" s="12"/>
      <c r="AS224" s="12"/>
      <c r="AT224" s="12"/>
      <c r="AU224" s="12"/>
      <c r="AV224" s="42"/>
      <c r="AW224" s="44"/>
      <c r="AX224" s="13"/>
      <c r="AY224" s="3"/>
      <c r="AZ224" s="1"/>
      <c r="BA224" s="2"/>
      <c r="BB224" s="3"/>
      <c r="BC224" s="53"/>
    </row>
    <row r="225" spans="1:55" s="25" customFormat="1" x14ac:dyDescent="0.25">
      <c r="A225" s="261"/>
      <c r="B225" s="260"/>
      <c r="C225" s="259"/>
      <c r="D225" s="241">
        <v>0.01</v>
      </c>
      <c r="E225" s="7" t="s">
        <v>150</v>
      </c>
      <c r="F225" s="113"/>
      <c r="G225" s="260"/>
      <c r="H225" s="259"/>
      <c r="I225" s="240"/>
      <c r="J225" s="113"/>
      <c r="K225" s="270"/>
      <c r="L225" s="259"/>
      <c r="M225" s="241"/>
      <c r="N225" s="8"/>
      <c r="O225" s="113"/>
      <c r="P225" s="260"/>
      <c r="Q225" s="259"/>
      <c r="R225" s="241"/>
      <c r="S225" s="8"/>
      <c r="T225" s="113"/>
      <c r="U225" s="260"/>
      <c r="V225" s="259"/>
      <c r="W225" s="241"/>
      <c r="X225" s="19"/>
      <c r="Y225" s="113"/>
      <c r="Z225" s="260"/>
      <c r="AA225" s="259"/>
      <c r="AB225" s="56"/>
      <c r="AC225" s="24"/>
      <c r="AD225" s="113"/>
      <c r="AE225" s="270"/>
      <c r="AF225" s="271"/>
      <c r="AG225" s="245"/>
      <c r="AH225" s="8"/>
      <c r="AI225" s="113"/>
      <c r="AJ225" s="270"/>
      <c r="AK225" s="271"/>
      <c r="AL225" s="245"/>
      <c r="AM225" s="8"/>
      <c r="AN225" s="32"/>
      <c r="AO225" s="12"/>
      <c r="AP225" s="12"/>
      <c r="AQ225" s="12"/>
      <c r="AR225" s="12"/>
      <c r="AS225" s="12"/>
      <c r="AT225" s="12"/>
      <c r="AU225" s="12"/>
      <c r="AV225" s="42"/>
      <c r="AW225" s="44"/>
      <c r="AX225" s="13"/>
      <c r="AY225" s="3"/>
      <c r="AZ225" s="1"/>
      <c r="BA225" s="2"/>
      <c r="BB225" s="3"/>
      <c r="BC225" s="53"/>
    </row>
    <row r="226" spans="1:55" s="25" customFormat="1" x14ac:dyDescent="0.25">
      <c r="A226" s="261"/>
      <c r="B226" s="260"/>
      <c r="C226" s="259"/>
      <c r="D226" s="240">
        <f>B222-D225-D227</f>
        <v>1.78</v>
      </c>
      <c r="E226" s="249" t="s">
        <v>339</v>
      </c>
      <c r="F226" s="113"/>
      <c r="G226" s="260"/>
      <c r="H226" s="259"/>
      <c r="I226" s="240"/>
      <c r="J226" s="113"/>
      <c r="K226" s="270"/>
      <c r="L226" s="259"/>
      <c r="M226" s="56"/>
      <c r="N226" s="24"/>
      <c r="O226" s="113"/>
      <c r="P226" s="260"/>
      <c r="Q226" s="259"/>
      <c r="R226" s="56"/>
      <c r="S226" s="24"/>
      <c r="T226" s="113"/>
      <c r="U226" s="260"/>
      <c r="V226" s="259"/>
      <c r="W226" s="56"/>
      <c r="X226" s="24"/>
      <c r="Y226" s="113"/>
      <c r="Z226" s="260"/>
      <c r="AA226" s="259"/>
      <c r="AB226" s="56"/>
      <c r="AC226" s="24"/>
      <c r="AD226" s="113"/>
      <c r="AE226" s="270"/>
      <c r="AF226" s="271"/>
      <c r="AG226" s="91"/>
      <c r="AH226" s="18"/>
      <c r="AI226" s="113"/>
      <c r="AJ226" s="270"/>
      <c r="AK226" s="271"/>
      <c r="AL226" s="245"/>
      <c r="AM226" s="18"/>
      <c r="AN226" s="32"/>
      <c r="AO226" s="12"/>
      <c r="AP226" s="12"/>
      <c r="AQ226" s="12"/>
      <c r="AR226" s="12"/>
      <c r="AS226" s="12"/>
      <c r="AT226" s="12"/>
      <c r="AU226" s="12"/>
      <c r="AV226" s="42"/>
      <c r="AW226" s="44"/>
      <c r="AX226" s="13"/>
      <c r="AY226" s="3"/>
      <c r="AZ226" s="1"/>
      <c r="BA226" s="2"/>
      <c r="BB226" s="3"/>
      <c r="BC226" s="53"/>
    </row>
    <row r="227" spans="1:55" s="25" customFormat="1" x14ac:dyDescent="0.25">
      <c r="A227" s="261"/>
      <c r="B227" s="260"/>
      <c r="C227" s="259"/>
      <c r="D227" s="241">
        <f>0.01</f>
        <v>0.01</v>
      </c>
      <c r="E227" s="15" t="s">
        <v>151</v>
      </c>
      <c r="F227" s="113"/>
      <c r="G227" s="260"/>
      <c r="H227" s="259"/>
      <c r="I227" s="240"/>
      <c r="J227" s="113"/>
      <c r="K227" s="270"/>
      <c r="L227" s="259"/>
      <c r="M227" s="241"/>
      <c r="N227" s="8"/>
      <c r="O227" s="113"/>
      <c r="P227" s="260"/>
      <c r="Q227" s="259"/>
      <c r="R227" s="241"/>
      <c r="S227" s="8"/>
      <c r="T227" s="113"/>
      <c r="U227" s="260"/>
      <c r="V227" s="259"/>
      <c r="W227" s="241"/>
      <c r="X227" s="19"/>
      <c r="Y227" s="113"/>
      <c r="Z227" s="260"/>
      <c r="AA227" s="259"/>
      <c r="AB227" s="241"/>
      <c r="AC227" s="19"/>
      <c r="AD227" s="113"/>
      <c r="AE227" s="270"/>
      <c r="AF227" s="271"/>
      <c r="AG227" s="245"/>
      <c r="AH227" s="19"/>
      <c r="AI227" s="113"/>
      <c r="AJ227" s="270"/>
      <c r="AK227" s="271"/>
      <c r="AL227" s="245"/>
      <c r="AM227" s="19"/>
      <c r="AN227" s="32"/>
      <c r="AO227" s="12"/>
      <c r="AP227" s="12"/>
      <c r="AQ227" s="12"/>
      <c r="AR227" s="12"/>
      <c r="AS227" s="12"/>
      <c r="AT227" s="12"/>
      <c r="AU227" s="12"/>
      <c r="AV227" s="42"/>
      <c r="AW227" s="44"/>
      <c r="AX227" s="13"/>
      <c r="AY227" s="3"/>
      <c r="AZ227" s="1"/>
      <c r="BA227" s="2"/>
      <c r="BB227" s="3"/>
      <c r="BC227" s="53"/>
    </row>
    <row r="228" spans="1:55" s="25" customFormat="1" x14ac:dyDescent="0.25">
      <c r="A228" s="261"/>
      <c r="B228" s="260"/>
      <c r="C228" s="259"/>
      <c r="D228" s="56"/>
      <c r="E228" s="24"/>
      <c r="F228" s="113"/>
      <c r="G228" s="260"/>
      <c r="H228" s="259"/>
      <c r="I228" s="240"/>
      <c r="J228" s="113"/>
      <c r="K228" s="270"/>
      <c r="L228" s="259"/>
      <c r="M228" s="241"/>
      <c r="N228" s="241"/>
      <c r="O228" s="113"/>
      <c r="P228" s="260"/>
      <c r="Q228" s="259"/>
      <c r="R228" s="241"/>
      <c r="S228" s="18"/>
      <c r="T228" s="113"/>
      <c r="U228" s="260"/>
      <c r="V228" s="259"/>
      <c r="W228" s="241"/>
      <c r="X228" s="18"/>
      <c r="Y228" s="113"/>
      <c r="Z228" s="260"/>
      <c r="AA228" s="259"/>
      <c r="AB228" s="241"/>
      <c r="AC228" s="18"/>
      <c r="AD228" s="113"/>
      <c r="AE228" s="270"/>
      <c r="AF228" s="271"/>
      <c r="AG228" s="245"/>
      <c r="AH228" s="18"/>
      <c r="AI228" s="113"/>
      <c r="AJ228" s="270"/>
      <c r="AK228" s="271"/>
      <c r="AL228" s="245"/>
      <c r="AM228" s="18"/>
      <c r="AN228" s="32"/>
      <c r="AO228" s="12"/>
      <c r="AP228" s="12"/>
      <c r="AQ228" s="12"/>
      <c r="AR228" s="12"/>
      <c r="AS228" s="12"/>
      <c r="AT228" s="12"/>
      <c r="AU228" s="12"/>
      <c r="AV228" s="42"/>
      <c r="AW228" s="44"/>
      <c r="AX228" s="4"/>
      <c r="AY228" s="3"/>
      <c r="AZ228" s="1"/>
      <c r="BA228" s="2"/>
      <c r="BB228" s="3"/>
      <c r="BC228" s="53"/>
    </row>
    <row r="229" spans="1:55" s="25" customFormat="1" x14ac:dyDescent="0.25">
      <c r="A229" s="261"/>
      <c r="B229" s="260"/>
      <c r="C229" s="259"/>
      <c r="D229" s="240"/>
      <c r="E229" s="241"/>
      <c r="F229" s="113"/>
      <c r="G229" s="241">
        <v>1.69</v>
      </c>
      <c r="H229" s="240">
        <v>8.64</v>
      </c>
      <c r="I229" s="240"/>
      <c r="J229" s="113"/>
      <c r="K229" s="270">
        <v>2.2999999999999998</v>
      </c>
      <c r="L229" s="259">
        <v>9.0299999999999994</v>
      </c>
      <c r="M229" s="56"/>
      <c r="N229" s="24"/>
      <c r="O229" s="113"/>
      <c r="P229" s="260"/>
      <c r="Q229" s="259"/>
      <c r="R229" s="241"/>
      <c r="S229" s="241"/>
      <c r="T229" s="113"/>
      <c r="U229" s="260"/>
      <c r="V229" s="259"/>
      <c r="W229" s="241"/>
      <c r="X229" s="241"/>
      <c r="Y229" s="113"/>
      <c r="Z229" s="260"/>
      <c r="AA229" s="259"/>
      <c r="AB229" s="241"/>
      <c r="AC229" s="241"/>
      <c r="AD229" s="113"/>
      <c r="AE229" s="270"/>
      <c r="AF229" s="271"/>
      <c r="AG229" s="241"/>
      <c r="AH229" s="118"/>
      <c r="AI229" s="113"/>
      <c r="AJ229" s="270"/>
      <c r="AK229" s="271"/>
      <c r="AL229" s="241"/>
      <c r="AM229" s="118"/>
      <c r="AN229" s="32"/>
      <c r="AO229" s="12"/>
      <c r="AP229" s="12"/>
      <c r="AQ229" s="12"/>
      <c r="AR229" s="12"/>
      <c r="AS229" s="12"/>
      <c r="AT229" s="12"/>
      <c r="AU229" s="12"/>
      <c r="AV229" s="42"/>
      <c r="AW229" s="44"/>
      <c r="AX229" s="66"/>
      <c r="AY229" s="3"/>
      <c r="AZ229" s="1"/>
      <c r="BA229" s="2"/>
      <c r="BB229" s="3"/>
      <c r="BC229" s="53"/>
    </row>
    <row r="230" spans="1:55" s="25" customFormat="1" x14ac:dyDescent="0.25">
      <c r="A230" s="261">
        <v>39</v>
      </c>
      <c r="B230" s="260">
        <v>0.98</v>
      </c>
      <c r="C230" s="259">
        <v>9.09</v>
      </c>
      <c r="D230" s="241">
        <f>B230-D232-D238-D231-D233</f>
        <v>0.19999999999999998</v>
      </c>
      <c r="E230" s="7" t="s">
        <v>478</v>
      </c>
      <c r="F230" s="113"/>
      <c r="G230" s="260">
        <v>1.01</v>
      </c>
      <c r="H230" s="259">
        <v>8.7200000000000006</v>
      </c>
      <c r="I230" s="240"/>
      <c r="J230" s="113"/>
      <c r="K230" s="270"/>
      <c r="L230" s="259"/>
      <c r="M230" s="241">
        <v>0.01</v>
      </c>
      <c r="N230" s="7" t="s">
        <v>173</v>
      </c>
      <c r="O230" s="113"/>
      <c r="P230" s="260"/>
      <c r="Q230" s="259"/>
      <c r="R230" s="241"/>
      <c r="S230" s="241"/>
      <c r="T230" s="113"/>
      <c r="U230" s="260">
        <v>0.61</v>
      </c>
      <c r="V230" s="259">
        <v>9</v>
      </c>
      <c r="W230" s="241"/>
      <c r="X230" s="8"/>
      <c r="Y230" s="113"/>
      <c r="Z230" s="260"/>
      <c r="AA230" s="259"/>
      <c r="AB230" s="241"/>
      <c r="AC230" s="8"/>
      <c r="AD230" s="113"/>
      <c r="AE230" s="270"/>
      <c r="AF230" s="271"/>
      <c r="AG230" s="245"/>
      <c r="AH230" s="8"/>
      <c r="AI230" s="113"/>
      <c r="AJ230" s="270"/>
      <c r="AK230" s="271"/>
      <c r="AL230" s="245"/>
      <c r="AM230" s="8"/>
      <c r="AN230" s="32"/>
      <c r="AO230" s="12"/>
      <c r="AP230" s="12"/>
      <c r="AQ230" s="12"/>
      <c r="AR230" s="12"/>
      <c r="AS230" s="12"/>
      <c r="AT230" s="12"/>
      <c r="AU230" s="12"/>
      <c r="AV230" s="42"/>
      <c r="AW230" s="44"/>
      <c r="AX230" s="66"/>
      <c r="AY230" s="4"/>
      <c r="AZ230" s="1"/>
      <c r="BA230" s="2"/>
      <c r="BB230" s="3"/>
      <c r="BC230" s="53"/>
    </row>
    <row r="231" spans="1:55" s="25" customFormat="1" x14ac:dyDescent="0.25">
      <c r="A231" s="261"/>
      <c r="B231" s="260"/>
      <c r="C231" s="259"/>
      <c r="D231" s="241">
        <f>R231</f>
        <v>0.01</v>
      </c>
      <c r="E231" s="59" t="s">
        <v>110</v>
      </c>
      <c r="F231" s="113"/>
      <c r="G231" s="260"/>
      <c r="H231" s="259"/>
      <c r="I231" s="240"/>
      <c r="J231" s="113"/>
      <c r="K231" s="270"/>
      <c r="L231" s="259"/>
      <c r="M231" s="241">
        <f>R231</f>
        <v>0.01</v>
      </c>
      <c r="N231" s="59" t="s">
        <v>110</v>
      </c>
      <c r="O231" s="113"/>
      <c r="P231" s="260"/>
      <c r="Q231" s="259"/>
      <c r="R231" s="241">
        <v>0.01</v>
      </c>
      <c r="S231" s="59" t="s">
        <v>110</v>
      </c>
      <c r="T231" s="113"/>
      <c r="U231" s="260"/>
      <c r="V231" s="259"/>
      <c r="W231" s="241">
        <f>AB231</f>
        <v>0.15</v>
      </c>
      <c r="X231" s="59" t="s">
        <v>110</v>
      </c>
      <c r="Y231" s="113"/>
      <c r="Z231" s="260">
        <v>0.91</v>
      </c>
      <c r="AA231" s="259">
        <v>9.1999999999999993</v>
      </c>
      <c r="AB231" s="241">
        <v>0.15</v>
      </c>
      <c r="AC231" s="59" t="s">
        <v>110</v>
      </c>
      <c r="AD231" s="113"/>
      <c r="AE231" s="270">
        <v>1.17</v>
      </c>
      <c r="AF231" s="271">
        <v>8.6</v>
      </c>
      <c r="AG231" s="245"/>
      <c r="AH231" s="8"/>
      <c r="AI231" s="113"/>
      <c r="AJ231" s="270"/>
      <c r="AK231" s="271"/>
      <c r="AL231" s="245">
        <f>AL224</f>
        <v>0.42333333333333334</v>
      </c>
      <c r="AM231" s="59" t="s">
        <v>110</v>
      </c>
      <c r="AN231" s="32"/>
      <c r="AO231" s="12"/>
      <c r="AP231" s="12"/>
      <c r="AQ231" s="12"/>
      <c r="AR231" s="12"/>
      <c r="AS231" s="12"/>
      <c r="AT231" s="12"/>
      <c r="AU231" s="12"/>
      <c r="AV231" s="42"/>
      <c r="AW231" s="44"/>
      <c r="AX231" s="11"/>
      <c r="AY231" s="4"/>
      <c r="AZ231" s="1"/>
      <c r="BA231" s="2"/>
      <c r="BB231" s="3"/>
      <c r="BC231" s="53"/>
    </row>
    <row r="232" spans="1:55" s="25" customFormat="1" x14ac:dyDescent="0.25">
      <c r="A232" s="261"/>
      <c r="B232" s="260"/>
      <c r="C232" s="259"/>
      <c r="D232" s="241">
        <v>0.01</v>
      </c>
      <c r="E232" s="249" t="s">
        <v>477</v>
      </c>
      <c r="F232" s="113"/>
      <c r="G232" s="260"/>
      <c r="H232" s="259"/>
      <c r="I232" s="240"/>
      <c r="J232" s="113"/>
      <c r="K232" s="270"/>
      <c r="L232" s="259"/>
      <c r="M232" s="241">
        <f>K229-M238-M231-M233-M230</f>
        <v>1.52</v>
      </c>
      <c r="N232" s="249" t="s">
        <v>271</v>
      </c>
      <c r="O232" s="113"/>
      <c r="P232" s="260"/>
      <c r="Q232" s="259"/>
      <c r="R232" s="56"/>
      <c r="S232" s="24"/>
      <c r="T232" s="113"/>
      <c r="U232" s="260"/>
      <c r="V232" s="259"/>
      <c r="W232" s="56"/>
      <c r="X232" s="24"/>
      <c r="Y232" s="113"/>
      <c r="Z232" s="260"/>
      <c r="AA232" s="259"/>
      <c r="AB232" s="56"/>
      <c r="AC232" s="24"/>
      <c r="AD232" s="113"/>
      <c r="AE232" s="270"/>
      <c r="AF232" s="271"/>
      <c r="AG232" s="245"/>
      <c r="AH232" s="8"/>
      <c r="AI232" s="113"/>
      <c r="AJ232" s="270"/>
      <c r="AK232" s="271"/>
      <c r="AL232" s="245"/>
      <c r="AM232" s="24"/>
      <c r="AN232" s="32"/>
      <c r="AO232" s="12"/>
      <c r="AP232" s="12"/>
      <c r="AQ232" s="12"/>
      <c r="AR232" s="12"/>
      <c r="AS232" s="12"/>
      <c r="AT232" s="12"/>
      <c r="AU232" s="12"/>
      <c r="AV232" s="12"/>
      <c r="AW232" s="44"/>
      <c r="AX232" s="13"/>
      <c r="AY232" s="4"/>
      <c r="AZ232" s="1"/>
      <c r="BA232" s="2"/>
      <c r="BB232" s="3"/>
      <c r="BC232" s="53"/>
    </row>
    <row r="233" spans="1:55" s="25" customFormat="1" x14ac:dyDescent="0.25">
      <c r="A233" s="261"/>
      <c r="B233" s="260"/>
      <c r="C233" s="259"/>
      <c r="D233" s="241">
        <f>R233</f>
        <v>0.15</v>
      </c>
      <c r="E233" s="249" t="s">
        <v>111</v>
      </c>
      <c r="F233" s="113"/>
      <c r="G233" s="260"/>
      <c r="H233" s="259"/>
      <c r="I233" s="240"/>
      <c r="J233" s="113"/>
      <c r="K233" s="270"/>
      <c r="L233" s="259"/>
      <c r="M233" s="241">
        <f>R233</f>
        <v>0.15</v>
      </c>
      <c r="N233" s="249" t="s">
        <v>111</v>
      </c>
      <c r="O233" s="113"/>
      <c r="P233" s="260"/>
      <c r="Q233" s="259"/>
      <c r="R233" s="241">
        <f>AB233</f>
        <v>0.15</v>
      </c>
      <c r="S233" s="249" t="s">
        <v>111</v>
      </c>
      <c r="T233" s="113"/>
      <c r="U233" s="260"/>
      <c r="V233" s="259"/>
      <c r="W233" s="241">
        <f>AB233</f>
        <v>0.15</v>
      </c>
      <c r="X233" s="249" t="s">
        <v>111</v>
      </c>
      <c r="Y233" s="113"/>
      <c r="Z233" s="260"/>
      <c r="AA233" s="259"/>
      <c r="AB233" s="241">
        <v>0.15</v>
      </c>
      <c r="AC233" s="249" t="s">
        <v>111</v>
      </c>
      <c r="AD233" s="113"/>
      <c r="AE233" s="270"/>
      <c r="AF233" s="271"/>
      <c r="AG233" s="245"/>
      <c r="AH233" s="8"/>
      <c r="AI233" s="113"/>
      <c r="AJ233" s="270"/>
      <c r="AK233" s="271"/>
      <c r="AL233" s="245">
        <f>AL224</f>
        <v>0.42333333333333334</v>
      </c>
      <c r="AM233" s="249" t="s">
        <v>111</v>
      </c>
      <c r="AN233" s="32"/>
      <c r="AO233" s="12"/>
      <c r="AP233" s="12"/>
      <c r="AQ233" s="12"/>
      <c r="AR233" s="12"/>
      <c r="AS233" s="12"/>
      <c r="AT233" s="12"/>
      <c r="AU233" s="12"/>
      <c r="AV233" s="12"/>
      <c r="AW233" s="44"/>
      <c r="AX233" s="69"/>
      <c r="AY233" s="4"/>
      <c r="AZ233" s="1"/>
      <c r="BA233" s="2"/>
      <c r="BB233" s="3"/>
      <c r="BC233" s="53"/>
    </row>
    <row r="234" spans="1:55" s="25" customFormat="1" x14ac:dyDescent="0.25">
      <c r="A234" s="261"/>
      <c r="B234" s="260"/>
      <c r="C234" s="259"/>
      <c r="D234" s="241"/>
      <c r="E234" s="241"/>
      <c r="F234" s="113"/>
      <c r="G234" s="260"/>
      <c r="H234" s="259"/>
      <c r="I234" s="240"/>
      <c r="J234" s="113"/>
      <c r="K234" s="270"/>
      <c r="L234" s="259"/>
      <c r="M234" s="241"/>
      <c r="N234" s="24"/>
      <c r="O234" s="113"/>
      <c r="P234" s="260"/>
      <c r="Q234" s="259"/>
      <c r="R234" s="56"/>
      <c r="S234" s="24"/>
      <c r="T234" s="113"/>
      <c r="U234" s="260"/>
      <c r="V234" s="259"/>
      <c r="W234" s="241"/>
      <c r="X234" s="8"/>
      <c r="Y234" s="113"/>
      <c r="Z234" s="260"/>
      <c r="AA234" s="259"/>
      <c r="AB234" s="241"/>
      <c r="AC234" s="8"/>
      <c r="AD234" s="113"/>
      <c r="AE234" s="270"/>
      <c r="AF234" s="271"/>
      <c r="AG234" s="245"/>
      <c r="AH234" s="8"/>
      <c r="AI234" s="113"/>
      <c r="AJ234" s="270"/>
      <c r="AK234" s="271"/>
      <c r="AL234" s="245"/>
      <c r="AM234" s="8"/>
      <c r="AN234" s="32"/>
      <c r="AO234" s="12"/>
      <c r="AP234" s="12"/>
      <c r="AQ234" s="12"/>
      <c r="AR234" s="12"/>
      <c r="AS234" s="12"/>
      <c r="AT234" s="12"/>
      <c r="AU234" s="12"/>
      <c r="AV234" s="12"/>
      <c r="AW234" s="44"/>
      <c r="AX234" s="13"/>
      <c r="AY234" s="4"/>
      <c r="AZ234" s="1"/>
      <c r="BA234" s="2"/>
      <c r="BB234" s="3"/>
      <c r="BC234" s="53"/>
    </row>
    <row r="235" spans="1:55" s="25" customFormat="1" x14ac:dyDescent="0.25">
      <c r="A235" s="261"/>
      <c r="B235" s="260"/>
      <c r="C235" s="259"/>
      <c r="D235" s="240"/>
      <c r="E235" s="71"/>
      <c r="F235" s="113"/>
      <c r="G235" s="260"/>
      <c r="H235" s="259"/>
      <c r="I235" s="240"/>
      <c r="J235" s="113"/>
      <c r="K235" s="270"/>
      <c r="L235" s="259"/>
      <c r="M235" s="241"/>
      <c r="N235" s="24"/>
      <c r="O235" s="113"/>
      <c r="P235" s="260"/>
      <c r="Q235" s="259"/>
      <c r="R235" s="241"/>
      <c r="S235" s="24"/>
      <c r="T235" s="113"/>
      <c r="U235" s="260"/>
      <c r="V235" s="259"/>
      <c r="W235" s="241"/>
      <c r="X235" s="8"/>
      <c r="Y235" s="113"/>
      <c r="Z235" s="260"/>
      <c r="AA235" s="259"/>
      <c r="AB235" s="241"/>
      <c r="AC235" s="8"/>
      <c r="AD235" s="113"/>
      <c r="AE235" s="270"/>
      <c r="AF235" s="271"/>
      <c r="AG235" s="245"/>
      <c r="AH235" s="8"/>
      <c r="AI235" s="113"/>
      <c r="AJ235" s="270"/>
      <c r="AK235" s="271"/>
      <c r="AL235" s="245"/>
      <c r="AM235" s="8"/>
      <c r="AN235" s="32"/>
      <c r="AO235" s="17"/>
      <c r="AP235" s="17"/>
      <c r="AQ235" s="17"/>
      <c r="AR235" s="17"/>
      <c r="AS235" s="17"/>
      <c r="AT235" s="17"/>
      <c r="AU235" s="17"/>
      <c r="AV235" s="17"/>
      <c r="AW235" s="53"/>
      <c r="AX235" s="53"/>
      <c r="AY235" s="4"/>
      <c r="AZ235" s="1"/>
      <c r="BA235" s="2"/>
      <c r="BB235" s="3"/>
      <c r="BC235" s="53"/>
    </row>
    <row r="236" spans="1:55" s="25" customFormat="1" x14ac:dyDescent="0.25">
      <c r="A236" s="261"/>
      <c r="B236" s="260"/>
      <c r="C236" s="259"/>
      <c r="D236" s="240"/>
      <c r="E236" s="241"/>
      <c r="F236" s="113"/>
      <c r="G236" s="260"/>
      <c r="H236" s="259"/>
      <c r="I236" s="240"/>
      <c r="J236" s="113"/>
      <c r="K236" s="270"/>
      <c r="L236" s="259"/>
      <c r="M236" s="241"/>
      <c r="N236" s="24"/>
      <c r="O236" s="113"/>
      <c r="P236" s="260"/>
      <c r="Q236" s="259"/>
      <c r="R236" s="241"/>
      <c r="S236" s="24"/>
      <c r="T236" s="113"/>
      <c r="U236" s="260"/>
      <c r="V236" s="259"/>
      <c r="W236" s="241"/>
      <c r="X236" s="8"/>
      <c r="Y236" s="113"/>
      <c r="Z236" s="260"/>
      <c r="AA236" s="259"/>
      <c r="AB236" s="241"/>
      <c r="AC236" s="8"/>
      <c r="AD236" s="113"/>
      <c r="AE236" s="270"/>
      <c r="AF236" s="271"/>
      <c r="AG236" s="91"/>
      <c r="AH236" s="8"/>
      <c r="AI236" s="113"/>
      <c r="AJ236" s="270"/>
      <c r="AK236" s="271"/>
      <c r="AL236" s="245"/>
      <c r="AM236" s="8"/>
      <c r="AN236" s="32"/>
      <c r="AO236" s="12"/>
      <c r="AP236" s="12"/>
      <c r="AQ236" s="12"/>
      <c r="AR236" s="12"/>
      <c r="AS236" s="12"/>
      <c r="AT236" s="12"/>
      <c r="AU236" s="12"/>
      <c r="AV236" s="12"/>
      <c r="AW236" s="44"/>
      <c r="AX236" s="46"/>
      <c r="AY236" s="4"/>
      <c r="AZ236" s="1"/>
      <c r="BA236" s="2"/>
      <c r="BB236" s="3"/>
      <c r="BC236" s="53"/>
    </row>
    <row r="237" spans="1:55" s="25" customFormat="1" x14ac:dyDescent="0.25">
      <c r="A237" s="261"/>
      <c r="B237" s="260"/>
      <c r="C237" s="259"/>
      <c r="D237" s="240"/>
      <c r="E237" s="241"/>
      <c r="F237" s="113"/>
      <c r="G237" s="260"/>
      <c r="H237" s="259"/>
      <c r="I237" s="240"/>
      <c r="J237" s="113"/>
      <c r="K237" s="270"/>
      <c r="L237" s="259"/>
      <c r="M237" s="241"/>
      <c r="N237" s="24"/>
      <c r="O237" s="113"/>
      <c r="P237" s="260"/>
      <c r="Q237" s="259"/>
      <c r="R237" s="241"/>
      <c r="S237" s="24"/>
      <c r="T237" s="113"/>
      <c r="U237" s="260"/>
      <c r="V237" s="259"/>
      <c r="W237" s="241"/>
      <c r="X237" s="8"/>
      <c r="Y237" s="113"/>
      <c r="Z237" s="260"/>
      <c r="AA237" s="259"/>
      <c r="AB237" s="241"/>
      <c r="AC237" s="8"/>
      <c r="AD237" s="113"/>
      <c r="AE237" s="270"/>
      <c r="AF237" s="271"/>
      <c r="AG237" s="245"/>
      <c r="AH237" s="8"/>
      <c r="AI237" s="113"/>
      <c r="AJ237" s="270"/>
      <c r="AK237" s="271"/>
      <c r="AL237" s="245"/>
      <c r="AM237" s="8"/>
      <c r="AN237" s="32"/>
      <c r="AO237" s="12"/>
      <c r="AP237" s="12"/>
      <c r="AQ237" s="12"/>
      <c r="AR237" s="12"/>
      <c r="AS237" s="12"/>
      <c r="AT237" s="12"/>
      <c r="AU237" s="12"/>
      <c r="AV237" s="12"/>
      <c r="AW237" s="44"/>
      <c r="AX237" s="46"/>
      <c r="AY237" s="4"/>
      <c r="AZ237" s="1"/>
      <c r="BA237" s="2"/>
      <c r="BB237" s="3"/>
      <c r="BC237" s="53"/>
    </row>
    <row r="238" spans="1:55" s="25" customFormat="1" x14ac:dyDescent="0.25">
      <c r="A238" s="261"/>
      <c r="B238" s="260"/>
      <c r="C238" s="259"/>
      <c r="D238" s="240">
        <f>R238</f>
        <v>0.61</v>
      </c>
      <c r="E238" s="68" t="s">
        <v>119</v>
      </c>
      <c r="F238" s="113"/>
      <c r="G238" s="260"/>
      <c r="H238" s="259"/>
      <c r="I238" s="240"/>
      <c r="J238" s="113"/>
      <c r="K238" s="270"/>
      <c r="L238" s="259"/>
      <c r="M238" s="241">
        <f>R238</f>
        <v>0.61</v>
      </c>
      <c r="N238" s="68" t="s">
        <v>119</v>
      </c>
      <c r="O238" s="113"/>
      <c r="P238" s="260"/>
      <c r="Q238" s="259"/>
      <c r="R238" s="241">
        <f>AB238</f>
        <v>0.61</v>
      </c>
      <c r="S238" s="68" t="s">
        <v>119</v>
      </c>
      <c r="T238" s="113"/>
      <c r="U238" s="260"/>
      <c r="V238" s="259"/>
      <c r="W238" s="241">
        <f>U230</f>
        <v>0.61</v>
      </c>
      <c r="X238" s="68" t="s">
        <v>119</v>
      </c>
      <c r="Y238" s="113"/>
      <c r="Z238" s="260"/>
      <c r="AA238" s="259"/>
      <c r="AB238" s="241">
        <f>W238</f>
        <v>0.61</v>
      </c>
      <c r="AC238" s="68" t="s">
        <v>119</v>
      </c>
      <c r="AD238" s="113"/>
      <c r="AE238" s="270"/>
      <c r="AF238" s="271"/>
      <c r="AG238" s="245">
        <v>0.61</v>
      </c>
      <c r="AH238" s="68" t="s">
        <v>119</v>
      </c>
      <c r="AI238" s="113"/>
      <c r="AJ238" s="270"/>
      <c r="AK238" s="271"/>
      <c r="AL238" s="245">
        <v>0.61</v>
      </c>
      <c r="AM238" s="68" t="s">
        <v>119</v>
      </c>
      <c r="AN238" s="32"/>
      <c r="AO238" s="12"/>
      <c r="AP238" s="12"/>
      <c r="AQ238" s="12"/>
      <c r="AR238" s="12"/>
      <c r="AS238" s="12"/>
      <c r="AT238" s="12"/>
      <c r="AU238" s="12"/>
      <c r="AV238" s="12"/>
      <c r="AW238" s="44"/>
      <c r="AX238" s="46"/>
      <c r="AY238" s="4"/>
      <c r="AZ238" s="1"/>
      <c r="BA238" s="2"/>
      <c r="BB238" s="3"/>
      <c r="BC238" s="53"/>
    </row>
    <row r="239" spans="1:55" s="25" customFormat="1" x14ac:dyDescent="0.25">
      <c r="A239" s="261"/>
      <c r="B239" s="260"/>
      <c r="C239" s="259"/>
      <c r="D239" s="240"/>
      <c r="E239" s="19"/>
      <c r="F239" s="113"/>
      <c r="G239" s="260"/>
      <c r="H239" s="259"/>
      <c r="I239" s="240"/>
      <c r="J239" s="113"/>
      <c r="K239" s="270"/>
      <c r="L239" s="259"/>
      <c r="M239" s="241"/>
      <c r="N239" s="8"/>
      <c r="O239" s="113"/>
      <c r="P239" s="260"/>
      <c r="Q239" s="259"/>
      <c r="R239" s="241"/>
      <c r="S239" s="240"/>
      <c r="T239" s="113"/>
      <c r="U239" s="260"/>
      <c r="V239" s="259"/>
      <c r="W239" s="241"/>
      <c r="X239" s="19"/>
      <c r="Y239" s="113"/>
      <c r="Z239" s="260"/>
      <c r="AA239" s="259"/>
      <c r="AB239" s="241"/>
      <c r="AC239" s="8"/>
      <c r="AD239" s="113"/>
      <c r="AE239" s="270"/>
      <c r="AF239" s="271"/>
      <c r="AG239" s="245"/>
      <c r="AH239" s="8"/>
      <c r="AI239" s="113"/>
      <c r="AJ239" s="270"/>
      <c r="AK239" s="271"/>
      <c r="AL239" s="245"/>
      <c r="AM239" s="18"/>
      <c r="AN239" s="32"/>
      <c r="AO239" s="12"/>
      <c r="AP239" s="12"/>
      <c r="AQ239" s="12"/>
      <c r="AR239" s="12"/>
      <c r="AS239" s="12"/>
      <c r="AT239" s="12"/>
      <c r="AU239" s="12"/>
      <c r="AV239" s="12"/>
      <c r="AW239" s="44"/>
      <c r="AX239" s="46"/>
      <c r="AY239" s="4"/>
      <c r="AZ239" s="1"/>
      <c r="BA239" s="2"/>
      <c r="BB239" s="3"/>
      <c r="BC239" s="53"/>
    </row>
    <row r="240" spans="1:55" s="25" customFormat="1" x14ac:dyDescent="0.25">
      <c r="A240" s="261"/>
      <c r="B240" s="260"/>
      <c r="C240" s="259"/>
      <c r="D240" s="240"/>
      <c r="E240" s="241"/>
      <c r="F240" s="113"/>
      <c r="G240" s="260"/>
      <c r="H240" s="259"/>
      <c r="I240" s="240"/>
      <c r="J240" s="113"/>
      <c r="K240" s="270"/>
      <c r="L240" s="259"/>
      <c r="M240" s="241"/>
      <c r="N240" s="241"/>
      <c r="O240" s="113"/>
      <c r="P240" s="260"/>
      <c r="Q240" s="259"/>
      <c r="R240" s="241"/>
      <c r="S240" s="241"/>
      <c r="T240" s="113"/>
      <c r="U240" s="260"/>
      <c r="V240" s="259"/>
      <c r="W240" s="241"/>
      <c r="X240" s="240"/>
      <c r="Y240" s="113"/>
      <c r="Z240" s="260"/>
      <c r="AA240" s="259"/>
      <c r="AB240" s="241"/>
      <c r="AC240" s="241"/>
      <c r="AD240" s="113"/>
      <c r="AE240" s="270"/>
      <c r="AF240" s="271"/>
      <c r="AG240" s="245"/>
      <c r="AH240" s="241"/>
      <c r="AI240" s="113"/>
      <c r="AJ240" s="270"/>
      <c r="AK240" s="271"/>
      <c r="AL240" s="245"/>
      <c r="AM240" s="245"/>
      <c r="AN240" s="32"/>
      <c r="AO240" s="12"/>
      <c r="AP240" s="12"/>
      <c r="AQ240" s="12"/>
      <c r="AR240" s="12"/>
      <c r="AS240" s="12"/>
      <c r="AT240" s="12"/>
      <c r="AU240" s="12"/>
      <c r="AV240" s="12"/>
      <c r="AW240" s="44"/>
      <c r="AX240" s="46"/>
      <c r="AY240" s="4"/>
      <c r="AZ240" s="1"/>
      <c r="BA240" s="2"/>
      <c r="BB240" s="3"/>
      <c r="BC240" s="53"/>
    </row>
    <row r="241" spans="1:55" s="25" customFormat="1" x14ac:dyDescent="0.25">
      <c r="A241" s="261"/>
      <c r="B241" s="260"/>
      <c r="C241" s="259"/>
      <c r="D241" s="240"/>
      <c r="E241" s="241"/>
      <c r="F241" s="113"/>
      <c r="G241" s="260"/>
      <c r="H241" s="259"/>
      <c r="I241" s="240"/>
      <c r="J241" s="113"/>
      <c r="K241" s="270"/>
      <c r="L241" s="259"/>
      <c r="M241" s="241"/>
      <c r="N241" s="241"/>
      <c r="O241" s="113"/>
      <c r="P241" s="260"/>
      <c r="Q241" s="259"/>
      <c r="R241" s="241"/>
      <c r="S241" s="241"/>
      <c r="T241" s="113"/>
      <c r="U241" s="260"/>
      <c r="V241" s="259"/>
      <c r="W241" s="241"/>
      <c r="X241" s="241"/>
      <c r="Y241" s="113"/>
      <c r="Z241" s="260"/>
      <c r="AA241" s="259"/>
      <c r="AB241" s="241"/>
      <c r="AC241" s="241"/>
      <c r="AD241" s="113"/>
      <c r="AE241" s="270"/>
      <c r="AF241" s="271"/>
      <c r="AG241" s="245"/>
      <c r="AH241" s="241"/>
      <c r="AI241" s="113"/>
      <c r="AJ241" s="270"/>
      <c r="AK241" s="271"/>
      <c r="AL241" s="245"/>
      <c r="AM241" s="245"/>
      <c r="AN241" s="32"/>
      <c r="AO241" s="12"/>
      <c r="AP241" s="12"/>
      <c r="AQ241" s="12"/>
      <c r="AR241" s="12"/>
      <c r="AS241" s="12"/>
      <c r="AT241" s="12"/>
      <c r="AU241" s="12"/>
      <c r="AV241" s="12"/>
      <c r="AW241" s="44"/>
      <c r="AX241" s="13"/>
      <c r="AY241" s="4"/>
      <c r="AZ241" s="1"/>
      <c r="BA241" s="2"/>
      <c r="BB241" s="3"/>
      <c r="BC241" s="53"/>
    </row>
    <row r="242" spans="1:55" s="25" customFormat="1" x14ac:dyDescent="0.25">
      <c r="A242" s="261"/>
      <c r="B242" s="260"/>
      <c r="C242" s="259"/>
      <c r="D242" s="56"/>
      <c r="E242" s="24"/>
      <c r="F242" s="113"/>
      <c r="G242" s="260"/>
      <c r="H242" s="259"/>
      <c r="I242" s="240"/>
      <c r="J242" s="113"/>
      <c r="K242" s="270"/>
      <c r="L242" s="259"/>
      <c r="M242" s="56"/>
      <c r="N242" s="24"/>
      <c r="O242" s="113"/>
      <c r="P242" s="260"/>
      <c r="Q242" s="259"/>
      <c r="R242" s="56"/>
      <c r="S242" s="24"/>
      <c r="T242" s="113"/>
      <c r="U242" s="260"/>
      <c r="V242" s="259"/>
      <c r="W242" s="56"/>
      <c r="X242" s="24"/>
      <c r="Y242" s="113"/>
      <c r="Z242" s="260"/>
      <c r="AA242" s="259"/>
      <c r="AB242" s="56"/>
      <c r="AC242" s="24"/>
      <c r="AD242" s="113"/>
      <c r="AE242" s="270"/>
      <c r="AF242" s="271"/>
      <c r="AG242" s="245">
        <v>1</v>
      </c>
      <c r="AH242" s="75" t="s">
        <v>197</v>
      </c>
      <c r="AI242" s="113"/>
      <c r="AJ242" s="270"/>
      <c r="AK242" s="271"/>
      <c r="AL242" s="245">
        <v>0.04</v>
      </c>
      <c r="AM242" s="75" t="s">
        <v>197</v>
      </c>
      <c r="AN242" s="32"/>
      <c r="AO242" s="12"/>
      <c r="AP242" s="12"/>
      <c r="AQ242" s="12"/>
      <c r="AR242" s="12"/>
      <c r="AS242" s="12"/>
      <c r="AT242" s="12"/>
      <c r="AU242" s="12"/>
      <c r="AV242" s="42"/>
      <c r="AW242" s="44"/>
      <c r="AX242" s="13"/>
      <c r="AY242" s="4"/>
      <c r="AZ242" s="1"/>
      <c r="BA242" s="2"/>
      <c r="BB242" s="3"/>
      <c r="BC242" s="53"/>
    </row>
    <row r="243" spans="1:55" s="25" customFormat="1" x14ac:dyDescent="0.25">
      <c r="A243" s="261"/>
      <c r="B243" s="260"/>
      <c r="C243" s="259"/>
      <c r="D243" s="56"/>
      <c r="E243" s="24"/>
      <c r="F243" s="113"/>
      <c r="G243" s="260"/>
      <c r="H243" s="259"/>
      <c r="I243" s="240"/>
      <c r="J243" s="113"/>
      <c r="K243" s="270"/>
      <c r="L243" s="259"/>
      <c r="M243" s="56"/>
      <c r="N243" s="24"/>
      <c r="O243" s="113"/>
      <c r="P243" s="260"/>
      <c r="Q243" s="259"/>
      <c r="R243" s="56"/>
      <c r="S243" s="24"/>
      <c r="T243" s="113"/>
      <c r="U243" s="260"/>
      <c r="V243" s="259"/>
      <c r="W243" s="56"/>
      <c r="X243" s="24"/>
      <c r="Y243" s="113"/>
      <c r="Z243" s="260"/>
      <c r="AA243" s="259"/>
      <c r="AB243" s="56"/>
      <c r="AC243" s="24"/>
      <c r="AD243" s="113"/>
      <c r="AE243" s="270"/>
      <c r="AF243" s="271"/>
      <c r="AG243" s="245"/>
      <c r="AH243" s="246"/>
      <c r="AI243" s="113"/>
      <c r="AJ243" s="270"/>
      <c r="AK243" s="271"/>
      <c r="AL243" s="245"/>
      <c r="AM243" s="246"/>
      <c r="AN243" s="32"/>
      <c r="AO243" s="12"/>
      <c r="AP243" s="12"/>
      <c r="AQ243" s="12"/>
      <c r="AR243" s="12"/>
      <c r="AS243" s="12"/>
      <c r="AT243" s="12"/>
      <c r="AU243" s="12"/>
      <c r="AV243" s="12"/>
      <c r="AW243" s="44"/>
      <c r="AX243" s="13"/>
      <c r="AY243" s="4"/>
      <c r="AZ243" s="1"/>
      <c r="BA243" s="2"/>
      <c r="BB243" s="3"/>
      <c r="BC243" s="53"/>
    </row>
    <row r="244" spans="1:55" s="25" customFormat="1" x14ac:dyDescent="0.25">
      <c r="A244" s="261"/>
      <c r="B244" s="260"/>
      <c r="C244" s="259"/>
      <c r="D244" s="240"/>
      <c r="E244" s="241"/>
      <c r="F244" s="113"/>
      <c r="G244" s="260"/>
      <c r="H244" s="259"/>
      <c r="I244" s="240"/>
      <c r="J244" s="113"/>
      <c r="K244" s="270"/>
      <c r="L244" s="259"/>
      <c r="M244" s="241"/>
      <c r="N244" s="241"/>
      <c r="O244" s="113"/>
      <c r="P244" s="260"/>
      <c r="Q244" s="259"/>
      <c r="R244" s="241"/>
      <c r="S244" s="241"/>
      <c r="T244" s="113"/>
      <c r="U244" s="260"/>
      <c r="V244" s="259"/>
      <c r="W244" s="241"/>
      <c r="X244" s="241"/>
      <c r="Y244" s="113"/>
      <c r="Z244" s="260"/>
      <c r="AA244" s="259"/>
      <c r="AB244" s="241"/>
      <c r="AC244" s="241"/>
      <c r="AD244" s="113"/>
      <c r="AE244" s="270"/>
      <c r="AF244" s="271"/>
      <c r="AG244" s="245"/>
      <c r="AH244" s="241"/>
      <c r="AI244" s="113"/>
      <c r="AJ244" s="270"/>
      <c r="AK244" s="271"/>
      <c r="AL244" s="245"/>
      <c r="AM244" s="241"/>
      <c r="AN244" s="32"/>
      <c r="AO244" s="12"/>
      <c r="AP244" s="12"/>
      <c r="AQ244" s="12"/>
      <c r="AR244" s="12"/>
      <c r="AS244" s="12"/>
      <c r="AT244" s="12"/>
      <c r="AU244" s="12"/>
      <c r="AV244" s="42"/>
      <c r="AW244" s="44"/>
      <c r="AX244" s="13"/>
      <c r="AY244" s="4"/>
      <c r="AZ244" s="1"/>
      <c r="BA244" s="2"/>
      <c r="BB244" s="3"/>
      <c r="BC244" s="53"/>
    </row>
    <row r="245" spans="1:55" s="25" customFormat="1" x14ac:dyDescent="0.25">
      <c r="A245" s="261">
        <v>40</v>
      </c>
      <c r="B245" s="260">
        <v>1.2</v>
      </c>
      <c r="C245" s="259">
        <v>9.19</v>
      </c>
      <c r="D245" s="240">
        <f>B245-D249-D246</f>
        <v>1.0499999999999998</v>
      </c>
      <c r="E245" s="7" t="s">
        <v>150</v>
      </c>
      <c r="F245" s="113"/>
      <c r="G245" s="260">
        <v>1.41</v>
      </c>
      <c r="H245" s="259">
        <v>8.82</v>
      </c>
      <c r="I245" s="240"/>
      <c r="J245" s="113"/>
      <c r="K245" s="260">
        <v>0.61</v>
      </c>
      <c r="L245" s="259">
        <v>9.18</v>
      </c>
      <c r="M245" s="241"/>
      <c r="N245" s="241"/>
      <c r="O245" s="113"/>
      <c r="P245" s="260">
        <v>0.74</v>
      </c>
      <c r="Q245" s="259">
        <v>9.17</v>
      </c>
      <c r="R245" s="241"/>
      <c r="S245" s="241"/>
      <c r="T245" s="113"/>
      <c r="U245" s="260">
        <v>0.56000000000000005</v>
      </c>
      <c r="V245" s="259">
        <v>9.09</v>
      </c>
      <c r="W245" s="241"/>
      <c r="X245" s="24"/>
      <c r="Y245" s="113"/>
      <c r="Z245" s="260"/>
      <c r="AA245" s="259"/>
      <c r="AB245" s="56"/>
      <c r="AC245" s="24"/>
      <c r="AD245" s="113"/>
      <c r="AE245" s="270"/>
      <c r="AF245" s="271"/>
      <c r="AG245" s="245"/>
      <c r="AH245" s="24"/>
      <c r="AI245" s="113"/>
      <c r="AJ245" s="270">
        <v>0.44</v>
      </c>
      <c r="AK245" s="271">
        <v>9.2100000000000009</v>
      </c>
      <c r="AL245" s="245"/>
      <c r="AM245" s="24"/>
      <c r="AN245" s="32"/>
      <c r="AO245" s="12"/>
      <c r="AP245" s="12"/>
      <c r="AQ245" s="12"/>
      <c r="AR245" s="12"/>
      <c r="AS245" s="12"/>
      <c r="AT245" s="12"/>
      <c r="AU245" s="12"/>
      <c r="AV245" s="42"/>
      <c r="AW245" s="44"/>
      <c r="AX245" s="66"/>
      <c r="AY245" s="4"/>
      <c r="AZ245" s="1"/>
      <c r="BA245" s="2"/>
      <c r="BB245" s="3"/>
      <c r="BC245" s="53"/>
    </row>
    <row r="246" spans="1:55" s="25" customFormat="1" x14ac:dyDescent="0.25">
      <c r="A246" s="261"/>
      <c r="B246" s="260"/>
      <c r="C246" s="259"/>
      <c r="D246" s="241">
        <v>0.05</v>
      </c>
      <c r="E246" s="77" t="s">
        <v>152</v>
      </c>
      <c r="F246" s="113"/>
      <c r="G246" s="260"/>
      <c r="H246" s="259"/>
      <c r="I246" s="240"/>
      <c r="J246" s="113"/>
      <c r="K246" s="260"/>
      <c r="L246" s="259"/>
      <c r="M246" s="241"/>
      <c r="N246" s="241"/>
      <c r="O246" s="113"/>
      <c r="P246" s="260"/>
      <c r="Q246" s="259"/>
      <c r="R246" s="241"/>
      <c r="S246" s="241"/>
      <c r="T246" s="113"/>
      <c r="U246" s="260"/>
      <c r="V246" s="259"/>
      <c r="W246" s="241"/>
      <c r="X246" s="241"/>
      <c r="Y246" s="113"/>
      <c r="Z246" s="260"/>
      <c r="AA246" s="259"/>
      <c r="AB246" s="241"/>
      <c r="AC246" s="241"/>
      <c r="AD246" s="113"/>
      <c r="AE246" s="270"/>
      <c r="AF246" s="271"/>
      <c r="AG246" s="245"/>
      <c r="AH246" s="241"/>
      <c r="AI246" s="113"/>
      <c r="AJ246" s="270"/>
      <c r="AK246" s="271"/>
      <c r="AL246" s="245"/>
      <c r="AM246" s="241"/>
      <c r="AN246" s="32"/>
      <c r="AO246" s="12"/>
      <c r="AP246" s="12"/>
      <c r="AQ246" s="12"/>
      <c r="AR246" s="12"/>
      <c r="AS246" s="12"/>
      <c r="AT246" s="12"/>
      <c r="AU246" s="12"/>
      <c r="AV246" s="42"/>
      <c r="AW246" s="44"/>
      <c r="AX246" s="13"/>
      <c r="AY246" s="4"/>
      <c r="AZ246" s="1"/>
      <c r="BA246" s="2"/>
      <c r="BB246" s="3"/>
      <c r="BC246" s="53"/>
    </row>
    <row r="247" spans="1:55" s="25" customFormat="1" x14ac:dyDescent="0.25">
      <c r="A247" s="261"/>
      <c r="B247" s="260"/>
      <c r="C247" s="259"/>
      <c r="D247" s="240"/>
      <c r="E247" s="241"/>
      <c r="F247" s="113"/>
      <c r="G247" s="260"/>
      <c r="H247" s="259"/>
      <c r="I247" s="240"/>
      <c r="J247" s="113"/>
      <c r="K247" s="260"/>
      <c r="L247" s="259"/>
      <c r="M247" s="241">
        <f>K245-M249</f>
        <v>0.51</v>
      </c>
      <c r="N247" s="77" t="s">
        <v>164</v>
      </c>
      <c r="O247" s="113"/>
      <c r="P247" s="260"/>
      <c r="Q247" s="259"/>
      <c r="R247" s="241">
        <v>0.7</v>
      </c>
      <c r="S247" s="77" t="s">
        <v>164</v>
      </c>
      <c r="T247" s="113"/>
      <c r="U247" s="260"/>
      <c r="V247" s="259"/>
      <c r="W247" s="241">
        <v>0.4</v>
      </c>
      <c r="X247" s="77" t="s">
        <v>164</v>
      </c>
      <c r="Y247" s="113"/>
      <c r="Z247" s="260"/>
      <c r="AA247" s="259"/>
      <c r="AB247" s="241"/>
      <c r="AC247" s="245"/>
      <c r="AD247" s="113"/>
      <c r="AE247" s="270"/>
      <c r="AF247" s="271"/>
      <c r="AG247" s="245"/>
      <c r="AH247" s="245"/>
      <c r="AI247" s="113"/>
      <c r="AJ247" s="270"/>
      <c r="AK247" s="271"/>
      <c r="AL247" s="245"/>
      <c r="AM247" s="245"/>
      <c r="AN247" s="32"/>
      <c r="AO247" s="12"/>
      <c r="AP247" s="12"/>
      <c r="AQ247" s="12"/>
      <c r="AR247" s="12"/>
      <c r="AS247" s="12"/>
      <c r="AT247" s="12"/>
      <c r="AU247" s="12"/>
      <c r="AV247" s="42"/>
      <c r="AW247" s="44"/>
      <c r="AX247" s="66"/>
      <c r="AY247" s="4"/>
      <c r="AZ247" s="1"/>
      <c r="BA247" s="2"/>
      <c r="BB247" s="3"/>
      <c r="BC247" s="53"/>
    </row>
    <row r="248" spans="1:55" s="25" customFormat="1" x14ac:dyDescent="0.25">
      <c r="A248" s="261"/>
      <c r="B248" s="260"/>
      <c r="C248" s="259"/>
      <c r="D248" s="56"/>
      <c r="E248" s="24"/>
      <c r="F248" s="113"/>
      <c r="G248" s="260"/>
      <c r="H248" s="259"/>
      <c r="I248" s="240"/>
      <c r="J248" s="113"/>
      <c r="K248" s="260"/>
      <c r="L248" s="259"/>
      <c r="M248" s="241"/>
      <c r="N248" s="245"/>
      <c r="O248" s="113"/>
      <c r="P248" s="260"/>
      <c r="Q248" s="259"/>
      <c r="R248" s="241"/>
      <c r="S248" s="245"/>
      <c r="T248" s="113"/>
      <c r="U248" s="260"/>
      <c r="V248" s="259"/>
      <c r="W248" s="241"/>
      <c r="X248" s="245"/>
      <c r="Y248" s="113"/>
      <c r="Z248" s="260"/>
      <c r="AA248" s="259"/>
      <c r="AB248" s="241"/>
      <c r="AC248" s="245"/>
      <c r="AD248" s="113"/>
      <c r="AE248" s="270"/>
      <c r="AF248" s="271"/>
      <c r="AG248" s="245"/>
      <c r="AH248" s="245"/>
      <c r="AI248" s="113"/>
      <c r="AJ248" s="270"/>
      <c r="AK248" s="271"/>
      <c r="AL248" s="245"/>
      <c r="AM248" s="245"/>
      <c r="AN248" s="32"/>
      <c r="AO248" s="12"/>
      <c r="AP248" s="12"/>
      <c r="AQ248" s="12"/>
      <c r="AR248" s="12"/>
      <c r="AS248" s="12"/>
      <c r="AT248" s="12"/>
      <c r="AU248" s="12"/>
      <c r="AV248" s="42"/>
      <c r="AW248" s="44"/>
      <c r="AX248" s="66"/>
      <c r="AY248" s="4"/>
      <c r="AZ248" s="1"/>
      <c r="BA248" s="2"/>
      <c r="BB248" s="3"/>
      <c r="BC248" s="53"/>
    </row>
    <row r="249" spans="1:55" s="25" customFormat="1" x14ac:dyDescent="0.25">
      <c r="A249" s="261"/>
      <c r="B249" s="260"/>
      <c r="C249" s="259"/>
      <c r="D249" s="241">
        <v>0.1</v>
      </c>
      <c r="E249" s="77" t="s">
        <v>412</v>
      </c>
      <c r="F249" s="113"/>
      <c r="G249" s="260"/>
      <c r="H249" s="259"/>
      <c r="I249" s="240"/>
      <c r="J249" s="113"/>
      <c r="K249" s="260"/>
      <c r="L249" s="259"/>
      <c r="M249" s="241">
        <v>0.1</v>
      </c>
      <c r="N249" s="77" t="s">
        <v>412</v>
      </c>
      <c r="O249" s="113"/>
      <c r="P249" s="260"/>
      <c r="Q249" s="259"/>
      <c r="R249" s="241">
        <f>P245-R247</f>
        <v>4.0000000000000036E-2</v>
      </c>
      <c r="S249" s="77" t="s">
        <v>523</v>
      </c>
      <c r="T249" s="113"/>
      <c r="U249" s="260"/>
      <c r="V249" s="259"/>
      <c r="W249" s="241">
        <f>U245-W247</f>
        <v>0.16000000000000003</v>
      </c>
      <c r="X249" s="77" t="s">
        <v>261</v>
      </c>
      <c r="Y249" s="113"/>
      <c r="Z249" s="260"/>
      <c r="AA249" s="259"/>
      <c r="AB249" s="241"/>
      <c r="AC249" s="245"/>
      <c r="AD249" s="113"/>
      <c r="AE249" s="270"/>
      <c r="AF249" s="271"/>
      <c r="AG249" s="245"/>
      <c r="AH249" s="245"/>
      <c r="AI249" s="113"/>
      <c r="AJ249" s="270"/>
      <c r="AK249" s="271"/>
      <c r="AL249" s="245"/>
      <c r="AM249" s="245"/>
      <c r="AN249" s="32"/>
      <c r="AO249" s="12"/>
      <c r="AP249" s="12"/>
      <c r="AQ249" s="12"/>
      <c r="AR249" s="12"/>
      <c r="AS249" s="12"/>
      <c r="AT249" s="12"/>
      <c r="AU249" s="12"/>
      <c r="AV249" s="42"/>
      <c r="AW249" s="44"/>
      <c r="AX249" s="66"/>
      <c r="AY249" s="4"/>
      <c r="AZ249" s="1"/>
      <c r="BA249" s="2"/>
      <c r="BB249" s="3"/>
      <c r="BC249" s="53"/>
    </row>
    <row r="250" spans="1:55" s="25" customFormat="1" x14ac:dyDescent="0.25">
      <c r="A250" s="261"/>
      <c r="B250" s="260"/>
      <c r="C250" s="259"/>
      <c r="D250" s="56"/>
      <c r="E250" s="24"/>
      <c r="F250" s="113"/>
      <c r="G250" s="260"/>
      <c r="H250" s="259"/>
      <c r="I250" s="240"/>
      <c r="J250" s="113"/>
      <c r="K250" s="260"/>
      <c r="L250" s="259"/>
      <c r="M250" s="241"/>
      <c r="N250" s="245"/>
      <c r="O250" s="113"/>
      <c r="P250" s="260"/>
      <c r="Q250" s="259"/>
      <c r="R250" s="241"/>
      <c r="S250" s="245"/>
      <c r="T250" s="113"/>
      <c r="U250" s="260"/>
      <c r="V250" s="259"/>
      <c r="W250" s="241"/>
      <c r="X250" s="246"/>
      <c r="Y250" s="113"/>
      <c r="Z250" s="260"/>
      <c r="AA250" s="259"/>
      <c r="AB250" s="241"/>
      <c r="AC250" s="245"/>
      <c r="AD250" s="113"/>
      <c r="AE250" s="270"/>
      <c r="AF250" s="271"/>
      <c r="AG250" s="245"/>
      <c r="AH250" s="245"/>
      <c r="AI250" s="113"/>
      <c r="AJ250" s="270"/>
      <c r="AK250" s="271"/>
      <c r="AL250" s="245"/>
      <c r="AM250" s="245"/>
      <c r="AN250" s="32"/>
      <c r="AO250" s="12"/>
      <c r="AP250" s="12"/>
      <c r="AQ250" s="12"/>
      <c r="AR250" s="12"/>
      <c r="AS250" s="12"/>
      <c r="AT250" s="12"/>
      <c r="AU250" s="12"/>
      <c r="AV250" s="42"/>
      <c r="AW250" s="44"/>
      <c r="AX250" s="66"/>
      <c r="AY250" s="4"/>
      <c r="AZ250" s="1"/>
      <c r="BA250" s="2"/>
      <c r="BB250" s="3"/>
      <c r="BC250" s="53"/>
    </row>
    <row r="251" spans="1:55" s="25" customFormat="1" x14ac:dyDescent="0.25">
      <c r="A251" s="261"/>
      <c r="B251" s="260"/>
      <c r="C251" s="259"/>
      <c r="D251" s="241"/>
      <c r="E251" s="241"/>
      <c r="F251" s="113"/>
      <c r="G251" s="260"/>
      <c r="H251" s="259"/>
      <c r="I251" s="240"/>
      <c r="J251" s="113"/>
      <c r="K251" s="260"/>
      <c r="L251" s="259"/>
      <c r="M251" s="241"/>
      <c r="N251" s="19"/>
      <c r="O251" s="113"/>
      <c r="P251" s="260"/>
      <c r="Q251" s="259"/>
      <c r="R251" s="241"/>
      <c r="S251" s="245"/>
      <c r="T251" s="113"/>
      <c r="U251" s="260"/>
      <c r="V251" s="259"/>
      <c r="W251" s="241"/>
      <c r="X251" s="246"/>
      <c r="Y251" s="113"/>
      <c r="Z251" s="260"/>
      <c r="AA251" s="259"/>
      <c r="AB251" s="241"/>
      <c r="AC251" s="245"/>
      <c r="AD251" s="113"/>
      <c r="AE251" s="270"/>
      <c r="AF251" s="271"/>
      <c r="AG251" s="245"/>
      <c r="AH251" s="245"/>
      <c r="AI251" s="113"/>
      <c r="AJ251" s="270"/>
      <c r="AK251" s="271"/>
      <c r="AL251" s="245"/>
      <c r="AM251" s="245"/>
      <c r="AN251" s="32"/>
      <c r="AO251" s="12"/>
      <c r="AP251" s="12"/>
      <c r="AQ251" s="12"/>
      <c r="AR251" s="12"/>
      <c r="AS251" s="12"/>
      <c r="AT251" s="12"/>
      <c r="AU251" s="12"/>
      <c r="AV251" s="12"/>
      <c r="AW251" s="44"/>
      <c r="AX251" s="4"/>
      <c r="AY251" s="4"/>
      <c r="AZ251" s="1"/>
      <c r="BA251" s="2"/>
      <c r="BB251" s="3"/>
      <c r="BC251" s="53"/>
    </row>
    <row r="252" spans="1:55" s="25" customFormat="1" x14ac:dyDescent="0.25">
      <c r="A252" s="261"/>
      <c r="B252" s="260"/>
      <c r="C252" s="259"/>
      <c r="D252" s="240"/>
      <c r="E252" s="241"/>
      <c r="F252" s="113"/>
      <c r="G252" s="260"/>
      <c r="H252" s="259"/>
      <c r="I252" s="240"/>
      <c r="J252" s="113"/>
      <c r="K252" s="260"/>
      <c r="L252" s="259"/>
      <c r="M252" s="241"/>
      <c r="N252" s="241"/>
      <c r="O252" s="113"/>
      <c r="P252" s="260"/>
      <c r="Q252" s="259"/>
      <c r="R252" s="241"/>
      <c r="S252" s="241"/>
      <c r="T252" s="113"/>
      <c r="U252" s="260"/>
      <c r="V252" s="259"/>
      <c r="W252" s="241"/>
      <c r="X252" s="241"/>
      <c r="Y252" s="113"/>
      <c r="Z252" s="260"/>
      <c r="AA252" s="259"/>
      <c r="AB252" s="241"/>
      <c r="AC252" s="241"/>
      <c r="AD252" s="113"/>
      <c r="AE252" s="270"/>
      <c r="AF252" s="271"/>
      <c r="AG252" s="245"/>
      <c r="AH252" s="241"/>
      <c r="AI252" s="113"/>
      <c r="AJ252" s="270"/>
      <c r="AK252" s="271"/>
      <c r="AL252" s="245"/>
      <c r="AM252" s="245"/>
      <c r="AN252" s="32"/>
      <c r="AO252" s="12"/>
      <c r="AP252" s="12"/>
      <c r="AQ252" s="12"/>
      <c r="AR252" s="12"/>
      <c r="AS252" s="12"/>
      <c r="AT252" s="12"/>
      <c r="AU252" s="12"/>
      <c r="AV252" s="42"/>
      <c r="AW252" s="44"/>
      <c r="AX252" s="13"/>
      <c r="AY252" s="3"/>
      <c r="AZ252" s="1"/>
      <c r="BA252" s="2"/>
      <c r="BB252" s="3"/>
      <c r="BC252" s="53"/>
    </row>
    <row r="253" spans="1:55" s="25" customFormat="1" x14ac:dyDescent="0.25">
      <c r="A253" s="261">
        <v>41</v>
      </c>
      <c r="B253" s="260">
        <v>0.33</v>
      </c>
      <c r="C253" s="259">
        <v>9.2899999999999991</v>
      </c>
      <c r="D253" s="240">
        <v>0.3</v>
      </c>
      <c r="E253" s="7" t="s">
        <v>156</v>
      </c>
      <c r="F253" s="113"/>
      <c r="G253" s="260">
        <v>0.45</v>
      </c>
      <c r="H253" s="259">
        <v>8.98</v>
      </c>
      <c r="I253" s="240"/>
      <c r="J253" s="113"/>
      <c r="K253" s="260">
        <v>0.42</v>
      </c>
      <c r="L253" s="259">
        <v>9.34</v>
      </c>
      <c r="M253" s="56"/>
      <c r="N253" s="24"/>
      <c r="O253" s="113"/>
      <c r="P253" s="260">
        <v>0.6</v>
      </c>
      <c r="Q253" s="259">
        <v>9.34</v>
      </c>
      <c r="R253" s="241"/>
      <c r="S253" s="24"/>
      <c r="T253" s="113"/>
      <c r="U253" s="260">
        <v>0.72</v>
      </c>
      <c r="V253" s="259">
        <v>9.26</v>
      </c>
      <c r="W253" s="241"/>
      <c r="X253" s="19"/>
      <c r="Y253" s="113"/>
      <c r="Z253" s="260">
        <v>0.9</v>
      </c>
      <c r="AA253" s="259">
        <v>9.31</v>
      </c>
      <c r="AB253" s="241"/>
      <c r="AC253" s="19"/>
      <c r="AD253" s="113"/>
      <c r="AE253" s="270">
        <v>1.0900000000000001</v>
      </c>
      <c r="AF253" s="271">
        <v>8.74</v>
      </c>
      <c r="AG253" s="95"/>
      <c r="AH253" s="19"/>
      <c r="AI253" s="113"/>
      <c r="AJ253" s="245">
        <v>0.31</v>
      </c>
      <c r="AK253" s="246">
        <v>9.42</v>
      </c>
      <c r="AL253" s="95"/>
      <c r="AM253" s="16"/>
      <c r="AN253" s="32"/>
      <c r="AO253" s="12"/>
      <c r="AP253" s="12"/>
      <c r="AQ253" s="12"/>
      <c r="AR253" s="12"/>
      <c r="AS253" s="12"/>
      <c r="AT253" s="12"/>
      <c r="AU253" s="12"/>
      <c r="AV253" s="42"/>
      <c r="AW253" s="44"/>
      <c r="AX253" s="4"/>
      <c r="AY253" s="3"/>
      <c r="AZ253" s="1"/>
      <c r="BA253" s="2"/>
      <c r="BB253" s="3"/>
      <c r="BC253" s="53"/>
    </row>
    <row r="254" spans="1:55" s="25" customFormat="1" x14ac:dyDescent="0.25">
      <c r="A254" s="261"/>
      <c r="B254" s="260"/>
      <c r="C254" s="259"/>
      <c r="D254" s="56"/>
      <c r="E254" s="24"/>
      <c r="F254" s="113"/>
      <c r="G254" s="260"/>
      <c r="H254" s="259"/>
      <c r="I254" s="240"/>
      <c r="J254" s="113"/>
      <c r="K254" s="260"/>
      <c r="L254" s="259"/>
      <c r="M254" s="56"/>
      <c r="N254" s="24"/>
      <c r="O254" s="113"/>
      <c r="P254" s="260"/>
      <c r="Q254" s="259"/>
      <c r="R254" s="241"/>
      <c r="S254" s="241"/>
      <c r="T254" s="113"/>
      <c r="U254" s="260"/>
      <c r="V254" s="259"/>
      <c r="W254" s="241"/>
      <c r="X254" s="241"/>
      <c r="Y254" s="113"/>
      <c r="Z254" s="260"/>
      <c r="AA254" s="259"/>
      <c r="AB254" s="241"/>
      <c r="AC254" s="241"/>
      <c r="AD254" s="113"/>
      <c r="AE254" s="270"/>
      <c r="AF254" s="271"/>
      <c r="AG254" s="245"/>
      <c r="AH254" s="241"/>
      <c r="AI254" s="113"/>
      <c r="AJ254" s="270">
        <v>0.23</v>
      </c>
      <c r="AK254" s="271">
        <v>9.48</v>
      </c>
      <c r="AL254" s="95"/>
      <c r="AM254" s="245"/>
      <c r="AN254" s="32"/>
      <c r="AO254" s="12"/>
      <c r="AP254" s="12"/>
      <c r="AQ254" s="12"/>
      <c r="AR254" s="12"/>
      <c r="AS254" s="12"/>
      <c r="AT254" s="12"/>
      <c r="AU254" s="12"/>
      <c r="AV254" s="42"/>
      <c r="AW254" s="44"/>
      <c r="AX254" s="13"/>
      <c r="AY254" s="3"/>
      <c r="AZ254" s="1"/>
      <c r="BA254" s="2"/>
      <c r="BB254" s="3"/>
      <c r="BC254" s="53"/>
    </row>
    <row r="255" spans="1:55" s="25" customFormat="1" x14ac:dyDescent="0.25">
      <c r="A255" s="261"/>
      <c r="B255" s="260"/>
      <c r="C255" s="259"/>
      <c r="D255" s="241">
        <f>B253-D256-D253</f>
        <v>2.0000000000000018E-2</v>
      </c>
      <c r="E255" s="22" t="s">
        <v>110</v>
      </c>
      <c r="F255" s="113"/>
      <c r="G255" s="260"/>
      <c r="H255" s="259"/>
      <c r="I255" s="240"/>
      <c r="J255" s="113"/>
      <c r="K255" s="260"/>
      <c r="L255" s="259"/>
      <c r="M255" s="241">
        <v>0.38</v>
      </c>
      <c r="N255" s="22" t="s">
        <v>110</v>
      </c>
      <c r="O255" s="113"/>
      <c r="P255" s="260"/>
      <c r="Q255" s="259"/>
      <c r="R255" s="241">
        <v>0.4</v>
      </c>
      <c r="S255" s="22" t="s">
        <v>110</v>
      </c>
      <c r="T255" s="113"/>
      <c r="U255" s="260"/>
      <c r="V255" s="259"/>
      <c r="W255" s="241">
        <f>U253</f>
        <v>0.72</v>
      </c>
      <c r="X255" s="22" t="s">
        <v>110</v>
      </c>
      <c r="Y255" s="113"/>
      <c r="Z255" s="260"/>
      <c r="AA255" s="259"/>
      <c r="AB255" s="241">
        <f>Z253</f>
        <v>0.9</v>
      </c>
      <c r="AC255" s="22" t="s">
        <v>110</v>
      </c>
      <c r="AD255" s="113"/>
      <c r="AE255" s="270"/>
      <c r="AF255" s="271"/>
      <c r="AG255" s="241"/>
      <c r="AH255" s="73"/>
      <c r="AI255" s="113"/>
      <c r="AJ255" s="270"/>
      <c r="AK255" s="271"/>
      <c r="AL255" s="36">
        <v>0.21</v>
      </c>
      <c r="AM255" s="22" t="s">
        <v>110</v>
      </c>
      <c r="AN255" s="32"/>
      <c r="AO255" s="12"/>
      <c r="AP255" s="12"/>
      <c r="AQ255" s="12"/>
      <c r="AR255" s="12"/>
      <c r="AS255" s="12"/>
      <c r="AT255" s="12"/>
      <c r="AU255" s="12"/>
      <c r="AV255" s="42"/>
      <c r="AW255" s="44"/>
      <c r="AX255" s="13"/>
      <c r="AY255" s="3"/>
      <c r="AZ255" s="1"/>
      <c r="BA255" s="2"/>
      <c r="BB255" s="3"/>
      <c r="BC255" s="53"/>
    </row>
    <row r="256" spans="1:55" s="25" customFormat="1" x14ac:dyDescent="0.25">
      <c r="A256" s="261"/>
      <c r="B256" s="260"/>
      <c r="C256" s="259"/>
      <c r="D256" s="241">
        <v>0.01</v>
      </c>
      <c r="E256" s="62" t="s">
        <v>153</v>
      </c>
      <c r="F256" s="113"/>
      <c r="G256" s="260"/>
      <c r="H256" s="259"/>
      <c r="I256" s="240"/>
      <c r="J256" s="113"/>
      <c r="K256" s="260"/>
      <c r="L256" s="259"/>
      <c r="M256" s="241">
        <v>0.04</v>
      </c>
      <c r="N256" s="62" t="s">
        <v>153</v>
      </c>
      <c r="O256" s="113"/>
      <c r="P256" s="260"/>
      <c r="Q256" s="259"/>
      <c r="R256" s="241"/>
      <c r="S256" s="246"/>
      <c r="T256" s="113"/>
      <c r="U256" s="260"/>
      <c r="V256" s="259"/>
      <c r="W256" s="56"/>
      <c r="X256" s="24"/>
      <c r="Y256" s="113"/>
      <c r="Z256" s="260"/>
      <c r="AA256" s="259"/>
      <c r="AB256" s="56"/>
      <c r="AC256" s="24"/>
      <c r="AD256" s="113"/>
      <c r="AE256" s="270"/>
      <c r="AF256" s="271"/>
      <c r="AG256" s="245">
        <v>0.16</v>
      </c>
      <c r="AH256" s="59" t="s">
        <v>340</v>
      </c>
      <c r="AI256" s="113"/>
      <c r="AJ256" s="270"/>
      <c r="AK256" s="271"/>
      <c r="AL256" s="241"/>
      <c r="AM256" s="73"/>
      <c r="AN256" s="32"/>
      <c r="AO256" s="12"/>
      <c r="AP256" s="12"/>
      <c r="AQ256" s="12"/>
      <c r="AR256" s="12"/>
      <c r="AS256" s="12"/>
      <c r="AT256" s="12"/>
      <c r="AU256" s="12"/>
      <c r="AV256" s="42"/>
      <c r="AW256" s="44"/>
      <c r="AX256" s="11"/>
      <c r="AY256" s="3"/>
      <c r="AZ256" s="1"/>
      <c r="BA256" s="2"/>
      <c r="BB256" s="3"/>
      <c r="BC256" s="53"/>
    </row>
    <row r="257" spans="1:55" s="25" customFormat="1" x14ac:dyDescent="0.25">
      <c r="A257" s="261"/>
      <c r="B257" s="260"/>
      <c r="C257" s="259"/>
      <c r="D257" s="240"/>
      <c r="E257" s="241"/>
      <c r="F257" s="113"/>
      <c r="G257" s="260"/>
      <c r="H257" s="259"/>
      <c r="I257" s="240"/>
      <c r="J257" s="113"/>
      <c r="K257" s="260"/>
      <c r="L257" s="259"/>
      <c r="M257" s="241"/>
      <c r="N257" s="241"/>
      <c r="O257" s="113"/>
      <c r="P257" s="260"/>
      <c r="Q257" s="259"/>
      <c r="R257" s="241"/>
      <c r="S257" s="241"/>
      <c r="T257" s="113"/>
      <c r="U257" s="260"/>
      <c r="V257" s="259"/>
      <c r="W257" s="241"/>
      <c r="X257" s="240"/>
      <c r="Y257" s="113"/>
      <c r="Z257" s="260"/>
      <c r="AA257" s="259"/>
      <c r="AB257" s="241"/>
      <c r="AC257" s="240"/>
      <c r="AD257" s="113"/>
      <c r="AE257" s="270"/>
      <c r="AF257" s="271"/>
      <c r="AG257" s="24"/>
      <c r="AH257" s="24"/>
      <c r="AI257" s="113"/>
      <c r="AJ257" s="270"/>
      <c r="AK257" s="271"/>
      <c r="AL257" s="245"/>
      <c r="AM257" s="246"/>
      <c r="AN257" s="32"/>
      <c r="AO257" s="12"/>
      <c r="AP257" s="12"/>
      <c r="AQ257" s="12"/>
      <c r="AR257" s="12"/>
      <c r="AS257" s="12"/>
      <c r="AT257" s="12"/>
      <c r="AU257" s="12"/>
      <c r="AV257" s="42"/>
      <c r="AW257" s="44"/>
      <c r="AX257" s="13"/>
      <c r="AY257" s="3"/>
      <c r="AZ257" s="1"/>
      <c r="BA257" s="1"/>
      <c r="BB257" s="4"/>
      <c r="BC257" s="53"/>
    </row>
    <row r="258" spans="1:55" s="25" customFormat="1" x14ac:dyDescent="0.25">
      <c r="A258" s="261">
        <v>42</v>
      </c>
      <c r="B258" s="260">
        <v>0.86</v>
      </c>
      <c r="C258" s="259">
        <v>9.41</v>
      </c>
      <c r="D258" s="240"/>
      <c r="E258" s="240"/>
      <c r="F258" s="113"/>
      <c r="G258" s="260">
        <v>1.42</v>
      </c>
      <c r="H258" s="259">
        <v>9.0500000000000007</v>
      </c>
      <c r="I258" s="240"/>
      <c r="J258" s="113"/>
      <c r="K258" s="260">
        <v>0.34</v>
      </c>
      <c r="L258" s="259">
        <v>9.43</v>
      </c>
      <c r="M258" s="241"/>
      <c r="N258" s="24"/>
      <c r="O258" s="113"/>
      <c r="P258" s="260"/>
      <c r="Q258" s="259"/>
      <c r="R258" s="241"/>
      <c r="S258" s="24"/>
      <c r="T258" s="113"/>
      <c r="U258" s="260">
        <v>6.28</v>
      </c>
      <c r="V258" s="259">
        <v>9.48</v>
      </c>
      <c r="W258" s="241"/>
      <c r="X258" s="24"/>
      <c r="Y258" s="113"/>
      <c r="Z258" s="260">
        <v>0.28999999999999998</v>
      </c>
      <c r="AA258" s="259">
        <v>9.42</v>
      </c>
      <c r="AB258" s="241"/>
      <c r="AC258" s="24"/>
      <c r="AD258" s="113"/>
      <c r="AE258" s="270">
        <v>0.36</v>
      </c>
      <c r="AF258" s="271">
        <v>8.84</v>
      </c>
      <c r="AG258" s="245"/>
      <c r="AH258" s="24"/>
      <c r="AI258" s="113"/>
      <c r="AJ258" s="270">
        <v>0.13</v>
      </c>
      <c r="AK258" s="271">
        <v>9.5299999999999994</v>
      </c>
      <c r="AL258" s="245"/>
      <c r="AM258" s="91"/>
      <c r="AN258" s="32"/>
      <c r="AO258" s="12"/>
      <c r="AP258" s="12"/>
      <c r="AQ258" s="12"/>
      <c r="AR258" s="12"/>
      <c r="AS258" s="12"/>
      <c r="AT258" s="12"/>
      <c r="AU258" s="12"/>
      <c r="AV258" s="42"/>
      <c r="AW258" s="44"/>
      <c r="AX258" s="13"/>
      <c r="AY258" s="3"/>
      <c r="AZ258" s="1"/>
      <c r="BA258" s="1"/>
      <c r="BB258" s="4"/>
      <c r="BC258" s="53"/>
    </row>
    <row r="259" spans="1:55" s="25" customFormat="1" ht="14.25" customHeight="1" x14ac:dyDescent="0.25">
      <c r="A259" s="261"/>
      <c r="B259" s="260"/>
      <c r="C259" s="259"/>
      <c r="D259" s="240">
        <f>B258-D261-D262</f>
        <v>0.84</v>
      </c>
      <c r="E259" s="7" t="s">
        <v>77</v>
      </c>
      <c r="F259" s="113"/>
      <c r="G259" s="260"/>
      <c r="H259" s="259"/>
      <c r="I259" s="240"/>
      <c r="J259" s="113"/>
      <c r="K259" s="260"/>
      <c r="L259" s="259"/>
      <c r="M259" s="241"/>
      <c r="N259" s="78"/>
      <c r="O259" s="113"/>
      <c r="P259" s="260"/>
      <c r="Q259" s="259"/>
      <c r="R259" s="241"/>
      <c r="S259" s="78"/>
      <c r="T259" s="113"/>
      <c r="U259" s="260"/>
      <c r="V259" s="259"/>
      <c r="W259" s="241"/>
      <c r="X259" s="24"/>
      <c r="Y259" s="113"/>
      <c r="Z259" s="260"/>
      <c r="AA259" s="259"/>
      <c r="AB259" s="56"/>
      <c r="AC259" s="24"/>
      <c r="AD259" s="113"/>
      <c r="AE259" s="270"/>
      <c r="AF259" s="271"/>
      <c r="AG259" s="245"/>
      <c r="AH259" s="24"/>
      <c r="AI259" s="113"/>
      <c r="AJ259" s="270"/>
      <c r="AK259" s="271"/>
      <c r="AL259" s="245"/>
      <c r="AM259" s="91"/>
      <c r="AN259" s="32"/>
      <c r="AO259" s="12"/>
      <c r="AP259" s="12"/>
      <c r="AQ259" s="12"/>
      <c r="AR259" s="12"/>
      <c r="AS259" s="12"/>
      <c r="AT259" s="12"/>
      <c r="AU259" s="12"/>
      <c r="AV259" s="42"/>
      <c r="AW259" s="44"/>
      <c r="AX259" s="13"/>
      <c r="AY259" s="3"/>
      <c r="AZ259" s="1"/>
      <c r="BA259" s="1"/>
      <c r="BB259" s="4"/>
      <c r="BC259" s="53"/>
    </row>
    <row r="260" spans="1:55" s="25" customFormat="1" x14ac:dyDescent="0.25">
      <c r="A260" s="261"/>
      <c r="B260" s="260"/>
      <c r="C260" s="259"/>
      <c r="D260" s="56"/>
      <c r="E260" s="24"/>
      <c r="F260" s="113"/>
      <c r="G260" s="260"/>
      <c r="H260" s="259"/>
      <c r="I260" s="240"/>
      <c r="J260" s="113"/>
      <c r="K260" s="260"/>
      <c r="L260" s="259"/>
      <c r="M260" s="241"/>
      <c r="N260" s="24"/>
      <c r="O260" s="113"/>
      <c r="P260" s="260"/>
      <c r="Q260" s="259"/>
      <c r="R260" s="241"/>
      <c r="S260" s="24"/>
      <c r="T260" s="113"/>
      <c r="U260" s="260"/>
      <c r="V260" s="259"/>
      <c r="W260" s="241"/>
      <c r="X260" s="19"/>
      <c r="Y260" s="113"/>
      <c r="Z260" s="260"/>
      <c r="AA260" s="259"/>
      <c r="AB260" s="241"/>
      <c r="AC260" s="19"/>
      <c r="AD260" s="113"/>
      <c r="AE260" s="270"/>
      <c r="AF260" s="271"/>
      <c r="AG260" s="245"/>
      <c r="AH260" s="19"/>
      <c r="AI260" s="113"/>
      <c r="AJ260" s="270"/>
      <c r="AK260" s="271"/>
      <c r="AL260" s="245"/>
      <c r="AM260" s="16"/>
      <c r="AN260" s="32"/>
      <c r="AO260" s="12"/>
      <c r="AP260" s="12"/>
      <c r="AQ260" s="12"/>
      <c r="AR260" s="12"/>
      <c r="AS260" s="12"/>
      <c r="AT260" s="12"/>
      <c r="AU260" s="12"/>
      <c r="AV260" s="12"/>
      <c r="AW260" s="44"/>
      <c r="AX260" s="13"/>
      <c r="AY260" s="3"/>
      <c r="AZ260" s="1"/>
      <c r="BA260" s="1"/>
      <c r="BB260" s="4"/>
      <c r="BC260" s="53"/>
    </row>
    <row r="261" spans="1:55" s="25" customFormat="1" x14ac:dyDescent="0.25">
      <c r="A261" s="261"/>
      <c r="B261" s="260"/>
      <c r="C261" s="259"/>
      <c r="D261" s="241">
        <v>0.01</v>
      </c>
      <c r="E261" s="7" t="s">
        <v>88</v>
      </c>
      <c r="F261" s="113"/>
      <c r="G261" s="260"/>
      <c r="H261" s="259"/>
      <c r="I261" s="240"/>
      <c r="J261" s="113"/>
      <c r="K261" s="260"/>
      <c r="L261" s="259"/>
      <c r="M261" s="241"/>
      <c r="N261" s="24"/>
      <c r="O261" s="113"/>
      <c r="P261" s="260"/>
      <c r="Q261" s="259"/>
      <c r="R261" s="241"/>
      <c r="S261" s="24"/>
      <c r="T261" s="113"/>
      <c r="U261" s="260"/>
      <c r="V261" s="259"/>
      <c r="W261" s="241"/>
      <c r="X261" s="24"/>
      <c r="Y261" s="113"/>
      <c r="Z261" s="260"/>
      <c r="AA261" s="259"/>
      <c r="AB261" s="241"/>
      <c r="AC261" s="24"/>
      <c r="AD261" s="113"/>
      <c r="AE261" s="270"/>
      <c r="AF261" s="271"/>
      <c r="AG261" s="245"/>
      <c r="AH261" s="24"/>
      <c r="AI261" s="113"/>
      <c r="AJ261" s="270"/>
      <c r="AK261" s="271"/>
      <c r="AL261" s="245"/>
      <c r="AM261" s="91"/>
      <c r="AN261" s="32"/>
      <c r="AO261" s="12"/>
      <c r="AP261" s="12"/>
      <c r="AQ261" s="12"/>
      <c r="AR261" s="12"/>
      <c r="AS261" s="12"/>
      <c r="AT261" s="12"/>
      <c r="AU261" s="12"/>
      <c r="AV261" s="12"/>
      <c r="AW261" s="44"/>
      <c r="AX261" s="72"/>
      <c r="AY261" s="3"/>
      <c r="AZ261" s="1"/>
      <c r="BA261" s="1"/>
      <c r="BB261" s="4"/>
      <c r="BC261" s="53"/>
    </row>
    <row r="262" spans="1:55" s="25" customFormat="1" x14ac:dyDescent="0.25">
      <c r="A262" s="261"/>
      <c r="B262" s="260"/>
      <c r="C262" s="259"/>
      <c r="D262" s="241">
        <v>0.01</v>
      </c>
      <c r="E262" s="249" t="s">
        <v>87</v>
      </c>
      <c r="F262" s="113"/>
      <c r="G262" s="260"/>
      <c r="H262" s="259"/>
      <c r="I262" s="240"/>
      <c r="J262" s="113"/>
      <c r="K262" s="260"/>
      <c r="L262" s="259"/>
      <c r="M262" s="241"/>
      <c r="N262" s="240"/>
      <c r="O262" s="113"/>
      <c r="P262" s="260"/>
      <c r="Q262" s="259"/>
      <c r="R262" s="241"/>
      <c r="S262" s="241"/>
      <c r="T262" s="113"/>
      <c r="U262" s="260"/>
      <c r="V262" s="259"/>
      <c r="W262" s="241"/>
      <c r="X262" s="241"/>
      <c r="Y262" s="113"/>
      <c r="Z262" s="260"/>
      <c r="AA262" s="259"/>
      <c r="AB262" s="241"/>
      <c r="AC262" s="241"/>
      <c r="AD262" s="113"/>
      <c r="AE262" s="270"/>
      <c r="AF262" s="271"/>
      <c r="AG262" s="245"/>
      <c r="AH262" s="241"/>
      <c r="AI262" s="113"/>
      <c r="AJ262" s="270"/>
      <c r="AK262" s="271"/>
      <c r="AL262" s="245"/>
      <c r="AM262" s="245"/>
      <c r="AN262" s="32"/>
      <c r="AO262" s="12"/>
      <c r="AP262" s="12"/>
      <c r="AQ262" s="12"/>
      <c r="AR262" s="12"/>
      <c r="AS262" s="12"/>
      <c r="AT262" s="12"/>
      <c r="AU262" s="12"/>
      <c r="AV262" s="42"/>
      <c r="AW262" s="44"/>
      <c r="AX262" s="4"/>
      <c r="AY262" s="3"/>
      <c r="AZ262" s="1"/>
      <c r="BA262" s="1"/>
      <c r="BB262" s="4"/>
      <c r="BC262" s="53"/>
    </row>
    <row r="263" spans="1:55" s="25" customFormat="1" x14ac:dyDescent="0.25">
      <c r="A263" s="261"/>
      <c r="B263" s="260"/>
      <c r="C263" s="259"/>
      <c r="D263" s="241"/>
      <c r="E263" s="241"/>
      <c r="F263" s="113"/>
      <c r="G263" s="260"/>
      <c r="H263" s="259"/>
      <c r="I263" s="240"/>
      <c r="J263" s="113"/>
      <c r="K263" s="260"/>
      <c r="L263" s="259"/>
      <c r="M263" s="241">
        <f>K258</f>
        <v>0.34</v>
      </c>
      <c r="N263" s="70" t="s">
        <v>443</v>
      </c>
      <c r="O263" s="113"/>
      <c r="P263" s="260"/>
      <c r="Q263" s="259"/>
      <c r="R263" s="241">
        <f>P253-R255-R267</f>
        <v>0.19999999999999996</v>
      </c>
      <c r="S263" s="70" t="s">
        <v>524</v>
      </c>
      <c r="T263" s="113"/>
      <c r="U263" s="260"/>
      <c r="V263" s="259"/>
      <c r="W263" s="241">
        <v>0.6</v>
      </c>
      <c r="X263" s="70" t="s">
        <v>226</v>
      </c>
      <c r="Y263" s="113"/>
      <c r="Z263" s="260"/>
      <c r="AA263" s="259"/>
      <c r="AB263" s="241"/>
      <c r="AC263" s="24"/>
      <c r="AD263" s="113"/>
      <c r="AE263" s="270"/>
      <c r="AF263" s="271"/>
      <c r="AG263" s="245"/>
      <c r="AH263" s="24"/>
      <c r="AI263" s="113"/>
      <c r="AJ263" s="270"/>
      <c r="AK263" s="271"/>
      <c r="AL263" s="245"/>
      <c r="AM263" s="91"/>
      <c r="AN263" s="32"/>
      <c r="AO263" s="12"/>
      <c r="AP263" s="12"/>
      <c r="AQ263" s="12"/>
      <c r="AR263" s="12"/>
      <c r="AS263" s="12"/>
      <c r="AT263" s="12"/>
      <c r="AU263" s="12"/>
      <c r="AV263" s="12"/>
      <c r="AW263" s="44"/>
      <c r="AX263" s="4"/>
      <c r="AY263" s="3"/>
      <c r="AZ263" s="1"/>
      <c r="BA263" s="1"/>
      <c r="BB263" s="4"/>
      <c r="BC263" s="53"/>
    </row>
    <row r="264" spans="1:55" s="25" customFormat="1" x14ac:dyDescent="0.25">
      <c r="A264" s="261"/>
      <c r="B264" s="260"/>
      <c r="C264" s="259"/>
      <c r="D264" s="240"/>
      <c r="E264" s="241"/>
      <c r="F264" s="113"/>
      <c r="G264" s="260"/>
      <c r="H264" s="259"/>
      <c r="I264" s="240"/>
      <c r="J264" s="113"/>
      <c r="K264" s="260"/>
      <c r="L264" s="259"/>
      <c r="M264" s="241"/>
      <c r="N264" s="246"/>
      <c r="O264" s="113"/>
      <c r="P264" s="260"/>
      <c r="Q264" s="259"/>
      <c r="R264" s="241"/>
      <c r="S264" s="246"/>
      <c r="T264" s="113"/>
      <c r="U264" s="260"/>
      <c r="V264" s="259"/>
      <c r="W264" s="241"/>
      <c r="X264" s="24"/>
      <c r="Y264" s="113"/>
      <c r="Z264" s="260"/>
      <c r="AA264" s="259"/>
      <c r="AB264" s="241"/>
      <c r="AC264" s="24"/>
      <c r="AD264" s="113"/>
      <c r="AE264" s="270"/>
      <c r="AF264" s="271"/>
      <c r="AG264" s="245"/>
      <c r="AH264" s="24"/>
      <c r="AI264" s="113"/>
      <c r="AJ264" s="270"/>
      <c r="AK264" s="271"/>
      <c r="AL264" s="245"/>
      <c r="AM264" s="91"/>
      <c r="AN264" s="32"/>
      <c r="AO264" s="12"/>
      <c r="AP264" s="12"/>
      <c r="AQ264" s="12"/>
      <c r="AR264" s="12"/>
      <c r="AS264" s="12"/>
      <c r="AT264" s="12"/>
      <c r="AU264" s="12"/>
      <c r="AV264" s="42"/>
      <c r="AW264" s="44"/>
      <c r="AX264" s="66"/>
      <c r="AY264" s="3"/>
      <c r="AZ264" s="1"/>
      <c r="BA264" s="1"/>
      <c r="BB264" s="4"/>
      <c r="BC264" s="53"/>
    </row>
    <row r="265" spans="1:55" s="25" customFormat="1" x14ac:dyDescent="0.25">
      <c r="A265" s="261"/>
      <c r="B265" s="260"/>
      <c r="C265" s="259"/>
      <c r="D265" s="240"/>
      <c r="E265" s="241"/>
      <c r="F265" s="113"/>
      <c r="G265" s="260"/>
      <c r="H265" s="259"/>
      <c r="I265" s="240"/>
      <c r="J265" s="113"/>
      <c r="K265" s="260"/>
      <c r="L265" s="259"/>
      <c r="M265" s="241"/>
      <c r="N265" s="24"/>
      <c r="O265" s="113"/>
      <c r="P265" s="260"/>
      <c r="Q265" s="259"/>
      <c r="R265" s="241"/>
      <c r="S265" s="24"/>
      <c r="T265" s="113"/>
      <c r="U265" s="260"/>
      <c r="V265" s="259"/>
      <c r="W265" s="241"/>
      <c r="X265" s="24"/>
      <c r="Y265" s="113"/>
      <c r="Z265" s="260"/>
      <c r="AA265" s="259"/>
      <c r="AB265" s="241"/>
      <c r="AC265" s="24"/>
      <c r="AD265" s="113"/>
      <c r="AE265" s="270"/>
      <c r="AF265" s="271"/>
      <c r="AG265" s="245"/>
      <c r="AH265" s="24"/>
      <c r="AI265" s="113"/>
      <c r="AJ265" s="270"/>
      <c r="AK265" s="271"/>
      <c r="AL265" s="245"/>
      <c r="AM265" s="91"/>
      <c r="AN265" s="32"/>
      <c r="AO265" s="12"/>
      <c r="AP265" s="12"/>
      <c r="AQ265" s="12"/>
      <c r="AR265" s="12"/>
      <c r="AS265" s="12"/>
      <c r="AT265" s="12"/>
      <c r="AU265" s="12"/>
      <c r="AV265" s="42"/>
      <c r="AW265" s="44"/>
      <c r="AX265" s="13"/>
      <c r="AY265" s="3"/>
      <c r="AZ265" s="1"/>
      <c r="BA265" s="1"/>
      <c r="BB265" s="4"/>
      <c r="BC265" s="53"/>
    </row>
    <row r="266" spans="1:55" s="25" customFormat="1" x14ac:dyDescent="0.25">
      <c r="A266" s="261"/>
      <c r="B266" s="260"/>
      <c r="C266" s="259"/>
      <c r="D266" s="240"/>
      <c r="E266" s="245"/>
      <c r="F266" s="113"/>
      <c r="G266" s="260"/>
      <c r="H266" s="259"/>
      <c r="I266" s="240"/>
      <c r="J266" s="113"/>
      <c r="K266" s="260"/>
      <c r="L266" s="259"/>
      <c r="M266" s="241"/>
      <c r="N266" s="24"/>
      <c r="O266" s="113"/>
      <c r="P266" s="260"/>
      <c r="Q266" s="259"/>
      <c r="R266" s="241"/>
      <c r="S266" s="24"/>
      <c r="T266" s="113"/>
      <c r="U266" s="260"/>
      <c r="V266" s="259"/>
      <c r="W266" s="241"/>
      <c r="X266" s="240"/>
      <c r="Y266" s="113"/>
      <c r="Z266" s="260"/>
      <c r="AA266" s="259"/>
      <c r="AB266" s="241"/>
      <c r="AC266" s="24"/>
      <c r="AD266" s="113"/>
      <c r="AE266" s="270"/>
      <c r="AF266" s="271"/>
      <c r="AG266" s="245"/>
      <c r="AH266" s="24"/>
      <c r="AI266" s="113"/>
      <c r="AJ266" s="270"/>
      <c r="AK266" s="271"/>
      <c r="AL266" s="245"/>
      <c r="AM266" s="91"/>
      <c r="AN266" s="32"/>
      <c r="AO266" s="12"/>
      <c r="AP266" s="12"/>
      <c r="AQ266" s="12"/>
      <c r="AR266" s="12"/>
      <c r="AS266" s="12"/>
      <c r="AT266" s="12"/>
      <c r="AU266" s="12"/>
      <c r="AV266" s="42"/>
      <c r="AW266" s="44"/>
      <c r="AX266" s="13"/>
      <c r="AY266" s="3"/>
      <c r="AZ266" s="1"/>
      <c r="BA266" s="1"/>
      <c r="BB266" s="4"/>
      <c r="BC266" s="53"/>
    </row>
    <row r="267" spans="1:55" s="25" customFormat="1" x14ac:dyDescent="0.25">
      <c r="A267" s="261"/>
      <c r="B267" s="260"/>
      <c r="C267" s="259"/>
      <c r="D267" s="240"/>
      <c r="E267" s="19"/>
      <c r="F267" s="113"/>
      <c r="G267" s="260"/>
      <c r="H267" s="259"/>
      <c r="I267" s="240"/>
      <c r="J267" s="113"/>
      <c r="K267" s="260"/>
      <c r="L267" s="259"/>
      <c r="M267" s="241"/>
      <c r="N267" s="19"/>
      <c r="O267" s="113"/>
      <c r="P267" s="260"/>
      <c r="Q267" s="259"/>
      <c r="R267" s="241"/>
      <c r="S267" s="19"/>
      <c r="T267" s="113"/>
      <c r="U267" s="260"/>
      <c r="V267" s="259"/>
      <c r="W267" s="241"/>
      <c r="X267" s="24"/>
      <c r="Y267" s="113"/>
      <c r="Z267" s="260"/>
      <c r="AA267" s="259"/>
      <c r="AB267" s="241"/>
      <c r="AC267" s="24"/>
      <c r="AD267" s="113"/>
      <c r="AE267" s="270"/>
      <c r="AF267" s="271"/>
      <c r="AG267" s="245"/>
      <c r="AH267" s="24"/>
      <c r="AI267" s="113"/>
      <c r="AJ267" s="245">
        <v>0.06</v>
      </c>
      <c r="AK267" s="246">
        <v>9.61</v>
      </c>
      <c r="AL267" s="245"/>
      <c r="AM267" s="91"/>
      <c r="AN267" s="32"/>
      <c r="AO267" s="12"/>
      <c r="AP267" s="12"/>
      <c r="AQ267" s="12"/>
      <c r="AR267" s="12"/>
      <c r="AS267" s="12"/>
      <c r="AT267" s="12"/>
      <c r="AU267" s="12"/>
      <c r="AV267" s="42"/>
      <c r="AW267" s="44"/>
      <c r="AX267" s="11"/>
      <c r="AY267" s="3"/>
      <c r="AZ267" s="1"/>
      <c r="BA267" s="2"/>
      <c r="BB267" s="3"/>
      <c r="BC267" s="53"/>
    </row>
    <row r="268" spans="1:55" s="25" customFormat="1" x14ac:dyDescent="0.25">
      <c r="A268" s="261">
        <v>43</v>
      </c>
      <c r="B268" s="260">
        <v>4.41</v>
      </c>
      <c r="C268" s="259">
        <v>9.51</v>
      </c>
      <c r="D268" s="241">
        <v>0.97</v>
      </c>
      <c r="E268" s="7" t="s">
        <v>155</v>
      </c>
      <c r="F268" s="113"/>
      <c r="G268" s="260">
        <v>6.66</v>
      </c>
      <c r="H268" s="259">
        <v>9.24</v>
      </c>
      <c r="I268" s="240"/>
      <c r="J268" s="113"/>
      <c r="K268" s="270">
        <v>6.34</v>
      </c>
      <c r="L268" s="259">
        <v>9.56</v>
      </c>
      <c r="M268" s="241">
        <f>K268-M278-M274-M272-M271-M270-M269</f>
        <v>0.99000000000000021</v>
      </c>
      <c r="N268" s="7" t="s">
        <v>155</v>
      </c>
      <c r="O268" s="113"/>
      <c r="P268" s="260">
        <v>4</v>
      </c>
      <c r="Q268" s="259">
        <v>9.5299999999999994</v>
      </c>
      <c r="R268" s="241"/>
      <c r="S268" s="24"/>
      <c r="T268" s="113"/>
      <c r="U268" s="260"/>
      <c r="V268" s="259"/>
      <c r="W268" s="241"/>
      <c r="X268" s="24"/>
      <c r="Y268" s="113"/>
      <c r="Z268" s="260">
        <v>4.25</v>
      </c>
      <c r="AA268" s="259">
        <v>9.5299999999999994</v>
      </c>
      <c r="AB268" s="241"/>
      <c r="AC268" s="24"/>
      <c r="AD268" s="113"/>
      <c r="AE268" s="270">
        <v>4.3899999999999997</v>
      </c>
      <c r="AF268" s="271">
        <v>8.93</v>
      </c>
      <c r="AG268" s="245"/>
      <c r="AH268" s="24"/>
      <c r="AI268" s="113"/>
      <c r="AJ268" s="270">
        <v>3.69</v>
      </c>
      <c r="AK268" s="271">
        <v>9.7200000000000006</v>
      </c>
      <c r="AL268" s="245"/>
      <c r="AM268" s="91"/>
      <c r="AN268" s="32"/>
      <c r="AO268" s="12"/>
      <c r="AP268" s="12"/>
      <c r="AQ268" s="12"/>
      <c r="AR268" s="12"/>
      <c r="AS268" s="12"/>
      <c r="AT268" s="12"/>
      <c r="AU268" s="12"/>
      <c r="AV268" s="42"/>
      <c r="AW268" s="44"/>
      <c r="AX268" s="13"/>
      <c r="AY268" s="3"/>
      <c r="AZ268" s="1"/>
      <c r="BA268" s="2"/>
      <c r="BB268" s="3"/>
      <c r="BC268" s="53"/>
    </row>
    <row r="269" spans="1:55" s="25" customFormat="1" x14ac:dyDescent="0.25">
      <c r="A269" s="261"/>
      <c r="B269" s="260"/>
      <c r="C269" s="259"/>
      <c r="D269" s="240">
        <v>2</v>
      </c>
      <c r="E269" s="249" t="s">
        <v>477</v>
      </c>
      <c r="F269" s="113"/>
      <c r="G269" s="260"/>
      <c r="H269" s="259"/>
      <c r="I269" s="240"/>
      <c r="J269" s="113"/>
      <c r="K269" s="270"/>
      <c r="L269" s="259"/>
      <c r="M269" s="241">
        <v>1.1000000000000001</v>
      </c>
      <c r="N269" s="249" t="s">
        <v>271</v>
      </c>
      <c r="O269" s="113"/>
      <c r="P269" s="260"/>
      <c r="Q269" s="259"/>
      <c r="R269" s="241"/>
      <c r="S269" s="24"/>
      <c r="T269" s="113"/>
      <c r="U269" s="260"/>
      <c r="V269" s="259"/>
      <c r="W269" s="241">
        <v>1</v>
      </c>
      <c r="X269" s="75" t="s">
        <v>180</v>
      </c>
      <c r="Y269" s="113"/>
      <c r="Z269" s="260"/>
      <c r="AA269" s="259"/>
      <c r="AB269" s="241">
        <v>0.9</v>
      </c>
      <c r="AC269" s="75" t="s">
        <v>180</v>
      </c>
      <c r="AD269" s="113"/>
      <c r="AE269" s="270"/>
      <c r="AF269" s="271"/>
      <c r="AG269" s="245"/>
      <c r="AH269" s="18"/>
      <c r="AI269" s="113"/>
      <c r="AJ269" s="270"/>
      <c r="AK269" s="271"/>
      <c r="AL269" s="245">
        <f>AB269</f>
        <v>0.9</v>
      </c>
      <c r="AM269" s="75" t="s">
        <v>180</v>
      </c>
      <c r="AN269" s="32"/>
      <c r="AO269" s="12"/>
      <c r="AP269" s="12"/>
      <c r="AQ269" s="12"/>
      <c r="AR269" s="12"/>
      <c r="AS269" s="12"/>
      <c r="AT269" s="12"/>
      <c r="AU269" s="12"/>
      <c r="AV269" s="12"/>
      <c r="AW269" s="44"/>
      <c r="AX269" s="13"/>
      <c r="AY269" s="3"/>
      <c r="AZ269" s="1"/>
      <c r="BA269" s="2"/>
      <c r="BB269" s="3"/>
      <c r="BC269" s="53"/>
    </row>
    <row r="270" spans="1:55" s="25" customFormat="1" x14ac:dyDescent="0.25">
      <c r="A270" s="261"/>
      <c r="B270" s="260"/>
      <c r="C270" s="259"/>
      <c r="D270" s="56"/>
      <c r="E270" s="24"/>
      <c r="F270" s="113"/>
      <c r="G270" s="260"/>
      <c r="H270" s="259"/>
      <c r="I270" s="240"/>
      <c r="J270" s="113"/>
      <c r="K270" s="270"/>
      <c r="L270" s="259"/>
      <c r="M270" s="241">
        <f>R270</f>
        <v>0.01</v>
      </c>
      <c r="N270" s="249" t="s">
        <v>359</v>
      </c>
      <c r="O270" s="113"/>
      <c r="P270" s="260"/>
      <c r="Q270" s="259"/>
      <c r="R270" s="241">
        <v>0.01</v>
      </c>
      <c r="S270" s="249" t="s">
        <v>359</v>
      </c>
      <c r="T270" s="113"/>
      <c r="U270" s="260"/>
      <c r="V270" s="259"/>
      <c r="W270" s="241">
        <v>0.01</v>
      </c>
      <c r="X270" s="249" t="s">
        <v>359</v>
      </c>
      <c r="Y270" s="113"/>
      <c r="Z270" s="260"/>
      <c r="AA270" s="259"/>
      <c r="AB270" s="241"/>
      <c r="AC270" s="24"/>
      <c r="AD270" s="113"/>
      <c r="AE270" s="270"/>
      <c r="AF270" s="271"/>
      <c r="AG270" s="245"/>
      <c r="AH270" s="24"/>
      <c r="AI270" s="113"/>
      <c r="AJ270" s="270"/>
      <c r="AK270" s="271"/>
      <c r="AL270" s="245"/>
      <c r="AM270" s="91"/>
      <c r="AN270" s="32"/>
      <c r="AO270" s="12"/>
      <c r="AP270" s="12"/>
      <c r="AQ270" s="12"/>
      <c r="AR270" s="12"/>
      <c r="AS270" s="12"/>
      <c r="AT270" s="12"/>
      <c r="AU270" s="12"/>
      <c r="AV270" s="12"/>
      <c r="AW270" s="44"/>
      <c r="AX270" s="13"/>
      <c r="AY270" s="3"/>
      <c r="AZ270" s="1"/>
      <c r="BA270" s="2"/>
      <c r="BB270" s="3"/>
      <c r="BC270" s="53"/>
    </row>
    <row r="271" spans="1:55" s="25" customFormat="1" x14ac:dyDescent="0.25">
      <c r="A271" s="261"/>
      <c r="B271" s="260"/>
      <c r="C271" s="259"/>
      <c r="D271" s="241">
        <v>0.01</v>
      </c>
      <c r="E271" s="249" t="s">
        <v>355</v>
      </c>
      <c r="F271" s="113"/>
      <c r="G271" s="260"/>
      <c r="H271" s="259"/>
      <c r="I271" s="240"/>
      <c r="J271" s="113"/>
      <c r="K271" s="270"/>
      <c r="L271" s="259"/>
      <c r="M271" s="241">
        <f>R271</f>
        <v>0.01</v>
      </c>
      <c r="N271" s="249" t="s">
        <v>355</v>
      </c>
      <c r="O271" s="113"/>
      <c r="P271" s="260"/>
      <c r="Q271" s="259"/>
      <c r="R271" s="241">
        <v>0.01</v>
      </c>
      <c r="S271" s="249" t="s">
        <v>355</v>
      </c>
      <c r="T271" s="113"/>
      <c r="U271" s="260"/>
      <c r="V271" s="259"/>
      <c r="W271" s="241">
        <v>0.01</v>
      </c>
      <c r="X271" s="249" t="s">
        <v>355</v>
      </c>
      <c r="Y271" s="113"/>
      <c r="Z271" s="260"/>
      <c r="AA271" s="259"/>
      <c r="AB271" s="241"/>
      <c r="AC271" s="24"/>
      <c r="AD271" s="113"/>
      <c r="AE271" s="270"/>
      <c r="AF271" s="271"/>
      <c r="AG271" s="245"/>
      <c r="AH271" s="24"/>
      <c r="AI271" s="113"/>
      <c r="AJ271" s="270"/>
      <c r="AK271" s="271"/>
      <c r="AL271" s="245"/>
      <c r="AM271" s="91"/>
      <c r="AN271" s="32"/>
      <c r="AO271" s="12"/>
      <c r="AP271" s="12"/>
      <c r="AQ271" s="12"/>
      <c r="AR271" s="12"/>
      <c r="AS271" s="12"/>
      <c r="AT271" s="12"/>
      <c r="AU271" s="12"/>
      <c r="AV271" s="42"/>
      <c r="AW271" s="44"/>
      <c r="AX271" s="79"/>
      <c r="AY271" s="3"/>
      <c r="AZ271" s="1"/>
      <c r="BA271" s="2"/>
      <c r="BB271" s="3"/>
      <c r="BC271" s="53"/>
    </row>
    <row r="272" spans="1:55" s="25" customFormat="1" x14ac:dyDescent="0.25">
      <c r="A272" s="261"/>
      <c r="B272" s="260"/>
      <c r="C272" s="259"/>
      <c r="D272" s="241">
        <v>0.4</v>
      </c>
      <c r="E272" s="22" t="s">
        <v>83</v>
      </c>
      <c r="F272" s="113"/>
      <c r="G272" s="260"/>
      <c r="H272" s="259"/>
      <c r="I272" s="240"/>
      <c r="J272" s="113"/>
      <c r="K272" s="270"/>
      <c r="L272" s="259"/>
      <c r="M272" s="241">
        <v>0.4</v>
      </c>
      <c r="N272" s="22" t="s">
        <v>83</v>
      </c>
      <c r="O272" s="113"/>
      <c r="P272" s="260"/>
      <c r="Q272" s="259"/>
      <c r="R272" s="241"/>
      <c r="S272" s="24"/>
      <c r="T272" s="113"/>
      <c r="U272" s="260"/>
      <c r="V272" s="259"/>
      <c r="W272" s="241"/>
      <c r="X272" s="24"/>
      <c r="Y272" s="113"/>
      <c r="Z272" s="260"/>
      <c r="AA272" s="259"/>
      <c r="AB272" s="241"/>
      <c r="AC272" s="24"/>
      <c r="AD272" s="113"/>
      <c r="AE272" s="270"/>
      <c r="AF272" s="271"/>
      <c r="AG272" s="245"/>
      <c r="AH272" s="24"/>
      <c r="AI272" s="113"/>
      <c r="AJ272" s="270"/>
      <c r="AK272" s="271"/>
      <c r="AL272" s="245"/>
      <c r="AM272" s="91"/>
      <c r="AN272" s="32"/>
      <c r="AO272" s="12"/>
      <c r="AP272" s="12"/>
      <c r="AQ272" s="12"/>
      <c r="AR272" s="12"/>
      <c r="AS272" s="12"/>
      <c r="AT272" s="12"/>
      <c r="AU272" s="12"/>
      <c r="AV272" s="42"/>
      <c r="AW272" s="44"/>
      <c r="AX272" s="79"/>
      <c r="AY272" s="3"/>
      <c r="AZ272" s="1"/>
      <c r="BA272" s="2"/>
      <c r="BB272" s="3"/>
      <c r="BC272" s="53"/>
    </row>
    <row r="273" spans="1:55" s="25" customFormat="1" x14ac:dyDescent="0.25">
      <c r="A273" s="261"/>
      <c r="B273" s="260"/>
      <c r="C273" s="259"/>
      <c r="D273" s="56"/>
      <c r="E273" s="24"/>
      <c r="F273" s="113"/>
      <c r="G273" s="260"/>
      <c r="H273" s="259"/>
      <c r="I273" s="240"/>
      <c r="J273" s="113"/>
      <c r="K273" s="270"/>
      <c r="L273" s="259"/>
      <c r="M273" s="56"/>
      <c r="N273" s="24"/>
      <c r="O273" s="113"/>
      <c r="P273" s="260"/>
      <c r="Q273" s="259"/>
      <c r="R273" s="56"/>
      <c r="S273" s="24"/>
      <c r="T273" s="113"/>
      <c r="U273" s="260"/>
      <c r="V273" s="259"/>
      <c r="W273" s="56"/>
      <c r="X273" s="24"/>
      <c r="Y273" s="113"/>
      <c r="Z273" s="260"/>
      <c r="AA273" s="259"/>
      <c r="AB273" s="241"/>
      <c r="AC273" s="24"/>
      <c r="AD273" s="113"/>
      <c r="AE273" s="270"/>
      <c r="AF273" s="271"/>
      <c r="AG273" s="245"/>
      <c r="AH273" s="24"/>
      <c r="AI273" s="113"/>
      <c r="AJ273" s="270"/>
      <c r="AK273" s="271"/>
      <c r="AL273" s="245"/>
      <c r="AM273" s="91"/>
      <c r="AN273" s="32"/>
      <c r="AO273" s="12"/>
      <c r="AP273" s="12"/>
      <c r="AQ273" s="12"/>
      <c r="AR273" s="12"/>
      <c r="AS273" s="12"/>
      <c r="AT273" s="12"/>
      <c r="AU273" s="12"/>
      <c r="AV273" s="42"/>
      <c r="AW273" s="44"/>
      <c r="AX273" s="79"/>
      <c r="AY273" s="3"/>
      <c r="AZ273" s="1"/>
      <c r="BA273" s="2"/>
      <c r="BB273" s="3"/>
      <c r="BC273" s="53"/>
    </row>
    <row r="274" spans="1:55" s="25" customFormat="1" x14ac:dyDescent="0.25">
      <c r="A274" s="261"/>
      <c r="B274" s="260"/>
      <c r="C274" s="259"/>
      <c r="D274" s="241">
        <f>R274</f>
        <v>0.03</v>
      </c>
      <c r="E274" s="14" t="s">
        <v>351</v>
      </c>
      <c r="F274" s="113"/>
      <c r="G274" s="260"/>
      <c r="H274" s="259"/>
      <c r="I274" s="240"/>
      <c r="J274" s="113"/>
      <c r="K274" s="270"/>
      <c r="L274" s="259"/>
      <c r="M274" s="241">
        <f>R274</f>
        <v>0.03</v>
      </c>
      <c r="N274" s="14" t="s">
        <v>351</v>
      </c>
      <c r="O274" s="113"/>
      <c r="P274" s="260"/>
      <c r="Q274" s="259"/>
      <c r="R274" s="241">
        <v>0.03</v>
      </c>
      <c r="S274" s="14" t="s">
        <v>351</v>
      </c>
      <c r="T274" s="113"/>
      <c r="U274" s="260"/>
      <c r="V274" s="259"/>
      <c r="W274" s="241">
        <f>W263</f>
        <v>0.6</v>
      </c>
      <c r="X274" s="14" t="s">
        <v>351</v>
      </c>
      <c r="Y274" s="113"/>
      <c r="Z274" s="260"/>
      <c r="AA274" s="259"/>
      <c r="AB274" s="241"/>
      <c r="AC274" s="24"/>
      <c r="AD274" s="113"/>
      <c r="AE274" s="270"/>
      <c r="AF274" s="271"/>
      <c r="AG274" s="245"/>
      <c r="AH274" s="24"/>
      <c r="AI274" s="113"/>
      <c r="AJ274" s="270"/>
      <c r="AK274" s="271"/>
      <c r="AL274" s="245"/>
      <c r="AM274" s="91"/>
      <c r="AN274" s="32"/>
      <c r="AO274" s="12"/>
      <c r="AP274" s="12"/>
      <c r="AQ274" s="12"/>
      <c r="AR274" s="12"/>
      <c r="AS274" s="12"/>
      <c r="AT274" s="12"/>
      <c r="AU274" s="12"/>
      <c r="AV274" s="42"/>
      <c r="AW274" s="44"/>
      <c r="AX274" s="79"/>
      <c r="AY274" s="3"/>
      <c r="AZ274" s="1"/>
      <c r="BA274" s="2"/>
      <c r="BB274" s="3"/>
      <c r="BC274" s="53"/>
    </row>
    <row r="275" spans="1:55" s="25" customFormat="1" x14ac:dyDescent="0.25">
      <c r="A275" s="261"/>
      <c r="B275" s="260"/>
      <c r="C275" s="259"/>
      <c r="D275" s="241"/>
      <c r="E275" s="19"/>
      <c r="F275" s="113"/>
      <c r="G275" s="260"/>
      <c r="H275" s="259"/>
      <c r="I275" s="240"/>
      <c r="J275" s="113"/>
      <c r="K275" s="270"/>
      <c r="L275" s="259"/>
      <c r="M275" s="241"/>
      <c r="N275" s="19"/>
      <c r="O275" s="113"/>
      <c r="P275" s="260"/>
      <c r="Q275" s="259"/>
      <c r="R275" s="241"/>
      <c r="S275" s="19"/>
      <c r="T275" s="113"/>
      <c r="U275" s="260"/>
      <c r="V275" s="259"/>
      <c r="W275" s="241"/>
      <c r="X275" s="19"/>
      <c r="Y275" s="113"/>
      <c r="Z275" s="260"/>
      <c r="AA275" s="259"/>
      <c r="AB275" s="241"/>
      <c r="AC275" s="19"/>
      <c r="AD275" s="113"/>
      <c r="AE275" s="270"/>
      <c r="AF275" s="271"/>
      <c r="AG275" s="245"/>
      <c r="AH275" s="19"/>
      <c r="AI275" s="113"/>
      <c r="AJ275" s="270"/>
      <c r="AK275" s="271"/>
      <c r="AL275" s="245"/>
      <c r="AM275" s="19"/>
      <c r="AN275" s="32"/>
      <c r="AO275" s="12"/>
      <c r="AP275" s="12"/>
      <c r="AQ275" s="12"/>
      <c r="AR275" s="12"/>
      <c r="AS275" s="12"/>
      <c r="AT275" s="12"/>
      <c r="AU275" s="12"/>
      <c r="AV275" s="42"/>
      <c r="AW275" s="44"/>
      <c r="AX275" s="66"/>
      <c r="AY275" s="3"/>
      <c r="AZ275" s="1"/>
      <c r="BA275" s="2"/>
      <c r="BB275" s="3"/>
      <c r="BC275" s="53"/>
    </row>
    <row r="276" spans="1:55" s="25" customFormat="1" x14ac:dyDescent="0.25">
      <c r="A276" s="261"/>
      <c r="B276" s="260"/>
      <c r="C276" s="259"/>
      <c r="D276" s="241"/>
      <c r="E276" s="241"/>
      <c r="F276" s="113"/>
      <c r="G276" s="260"/>
      <c r="H276" s="259"/>
      <c r="I276" s="240"/>
      <c r="J276" s="113"/>
      <c r="K276" s="270"/>
      <c r="L276" s="259"/>
      <c r="M276" s="241"/>
      <c r="N276" s="241"/>
      <c r="O276" s="113"/>
      <c r="P276" s="260"/>
      <c r="Q276" s="259"/>
      <c r="R276" s="241"/>
      <c r="S276" s="241"/>
      <c r="T276" s="113"/>
      <c r="U276" s="260"/>
      <c r="V276" s="259"/>
      <c r="W276" s="241"/>
      <c r="X276" s="241"/>
      <c r="Y276" s="113"/>
      <c r="Z276" s="260"/>
      <c r="AA276" s="259"/>
      <c r="AB276" s="241"/>
      <c r="AC276" s="241"/>
      <c r="AD276" s="113"/>
      <c r="AE276" s="270"/>
      <c r="AF276" s="271"/>
      <c r="AG276" s="245"/>
      <c r="AH276" s="241"/>
      <c r="AI276" s="113"/>
      <c r="AJ276" s="270"/>
      <c r="AK276" s="271"/>
      <c r="AL276" s="245"/>
      <c r="AM276" s="241"/>
      <c r="AN276" s="32"/>
      <c r="AO276" s="12"/>
      <c r="AP276" s="12"/>
      <c r="AQ276" s="12"/>
      <c r="AR276" s="12"/>
      <c r="AS276" s="12"/>
      <c r="AT276" s="12"/>
      <c r="AU276" s="12"/>
      <c r="AV276" s="42"/>
      <c r="AW276" s="44"/>
      <c r="AX276" s="65"/>
      <c r="AY276" s="3"/>
      <c r="AZ276" s="1"/>
      <c r="BA276" s="2"/>
      <c r="BB276" s="3"/>
      <c r="BC276" s="53"/>
    </row>
    <row r="277" spans="1:55" s="25" customFormat="1" x14ac:dyDescent="0.25">
      <c r="A277" s="261"/>
      <c r="B277" s="260"/>
      <c r="C277" s="259"/>
      <c r="D277" s="240"/>
      <c r="E277" s="241"/>
      <c r="F277" s="113"/>
      <c r="G277" s="260"/>
      <c r="H277" s="259"/>
      <c r="I277" s="240"/>
      <c r="J277" s="113"/>
      <c r="K277" s="270"/>
      <c r="L277" s="259"/>
      <c r="M277" s="56"/>
      <c r="N277" s="24"/>
      <c r="O277" s="113"/>
      <c r="P277" s="260"/>
      <c r="Q277" s="259"/>
      <c r="R277" s="56"/>
      <c r="S277" s="24"/>
      <c r="T277" s="113"/>
      <c r="U277" s="260"/>
      <c r="V277" s="259"/>
      <c r="W277" s="56"/>
      <c r="X277" s="24"/>
      <c r="Y277" s="113"/>
      <c r="Z277" s="260"/>
      <c r="AA277" s="259"/>
      <c r="AB277" s="241"/>
      <c r="AC277" s="241"/>
      <c r="AD277" s="113"/>
      <c r="AE277" s="270"/>
      <c r="AF277" s="271"/>
      <c r="AG277" s="245"/>
      <c r="AH277" s="241"/>
      <c r="AI277" s="113"/>
      <c r="AJ277" s="270"/>
      <c r="AK277" s="271"/>
      <c r="AL277" s="245"/>
      <c r="AM277" s="241"/>
      <c r="AN277" s="32"/>
      <c r="AO277" s="12"/>
      <c r="AP277" s="12"/>
      <c r="AQ277" s="12"/>
      <c r="AR277" s="12"/>
      <c r="AS277" s="12"/>
      <c r="AT277" s="12"/>
      <c r="AU277" s="12"/>
      <c r="AV277" s="12"/>
      <c r="AW277" s="44"/>
      <c r="AX277" s="79"/>
      <c r="AY277" s="3"/>
      <c r="AZ277" s="1"/>
      <c r="BA277" s="2"/>
      <c r="BB277" s="3"/>
      <c r="BC277" s="53"/>
    </row>
    <row r="278" spans="1:55" s="25" customFormat="1" x14ac:dyDescent="0.25">
      <c r="A278" s="261"/>
      <c r="B278" s="260"/>
      <c r="C278" s="259"/>
      <c r="D278" s="240">
        <f>R278</f>
        <v>3.8000000000000003</v>
      </c>
      <c r="E278" s="80" t="s">
        <v>26</v>
      </c>
      <c r="F278" s="113"/>
      <c r="G278" s="260"/>
      <c r="H278" s="259"/>
      <c r="I278" s="80"/>
      <c r="J278" s="113"/>
      <c r="K278" s="270"/>
      <c r="L278" s="259"/>
      <c r="M278" s="241">
        <f>R278</f>
        <v>3.8000000000000003</v>
      </c>
      <c r="N278" s="6" t="s">
        <v>26</v>
      </c>
      <c r="O278" s="113"/>
      <c r="P278" s="260"/>
      <c r="Q278" s="259"/>
      <c r="R278" s="241">
        <f>P268-R271-R274-R281</f>
        <v>3.8000000000000003</v>
      </c>
      <c r="S278" s="6" t="s">
        <v>26</v>
      </c>
      <c r="T278" s="113"/>
      <c r="U278" s="260"/>
      <c r="V278" s="259"/>
      <c r="W278" s="241">
        <f>U258-W263-W271-W274-W270-W281-W269</f>
        <v>3.9000000000000012</v>
      </c>
      <c r="X278" s="6" t="s">
        <v>26</v>
      </c>
      <c r="Y278" s="113"/>
      <c r="Z278" s="260"/>
      <c r="AA278" s="259"/>
      <c r="AB278" s="241">
        <f>Z268-AB269-AB281</f>
        <v>3.19</v>
      </c>
      <c r="AC278" s="6" t="s">
        <v>26</v>
      </c>
      <c r="AD278" s="113"/>
      <c r="AE278" s="270"/>
      <c r="AF278" s="271"/>
      <c r="AG278" s="245">
        <f>AE268</f>
        <v>4.3899999999999997</v>
      </c>
      <c r="AH278" s="6" t="s">
        <v>26</v>
      </c>
      <c r="AI278" s="113"/>
      <c r="AJ278" s="270"/>
      <c r="AK278" s="271"/>
      <c r="AL278" s="245">
        <f>AJ268-AL269-AL281</f>
        <v>2.63</v>
      </c>
      <c r="AM278" s="6" t="s">
        <v>26</v>
      </c>
      <c r="AN278" s="32"/>
      <c r="AO278" s="12"/>
      <c r="AP278" s="12"/>
      <c r="AQ278" s="12"/>
      <c r="AR278" s="12"/>
      <c r="AS278" s="12"/>
      <c r="AT278" s="12"/>
      <c r="AU278" s="12"/>
      <c r="AV278" s="42"/>
      <c r="AW278" s="44"/>
      <c r="AX278" s="66"/>
      <c r="AY278" s="3"/>
      <c r="AZ278" s="1"/>
      <c r="BA278" s="1"/>
      <c r="BB278" s="4"/>
      <c r="BC278" s="53"/>
    </row>
    <row r="279" spans="1:55" s="25" customFormat="1" x14ac:dyDescent="0.25">
      <c r="A279" s="261">
        <v>44</v>
      </c>
      <c r="B279" s="260">
        <v>6.11</v>
      </c>
      <c r="C279" s="259">
        <v>9.61</v>
      </c>
      <c r="D279" s="241">
        <v>0.01</v>
      </c>
      <c r="E279" s="7" t="s">
        <v>155</v>
      </c>
      <c r="F279" s="113"/>
      <c r="G279" s="260"/>
      <c r="H279" s="259"/>
      <c r="I279" s="240"/>
      <c r="J279" s="113"/>
      <c r="K279" s="270">
        <v>1.59</v>
      </c>
      <c r="L279" s="259">
        <v>9.65</v>
      </c>
      <c r="M279" s="241">
        <f>D279</f>
        <v>0.01</v>
      </c>
      <c r="N279" s="7" t="s">
        <v>155</v>
      </c>
      <c r="O279" s="113"/>
      <c r="P279" s="260"/>
      <c r="Q279" s="259"/>
      <c r="R279" s="56"/>
      <c r="S279" s="24"/>
      <c r="T279" s="113"/>
      <c r="U279" s="260"/>
      <c r="V279" s="259"/>
      <c r="W279" s="241"/>
      <c r="X279" s="19"/>
      <c r="Y279" s="113"/>
      <c r="Z279" s="260"/>
      <c r="AA279" s="259"/>
      <c r="AB279" s="241"/>
      <c r="AC279" s="19"/>
      <c r="AD279" s="113"/>
      <c r="AE279" s="270"/>
      <c r="AF279" s="271"/>
      <c r="AG279" s="245"/>
      <c r="AH279" s="19"/>
      <c r="AI279" s="113"/>
      <c r="AJ279" s="270"/>
      <c r="AK279" s="271"/>
      <c r="AL279" s="91"/>
      <c r="AM279" s="19"/>
      <c r="AN279" s="32"/>
      <c r="AO279" s="12"/>
      <c r="AP279" s="12"/>
      <c r="AQ279" s="12"/>
      <c r="AR279" s="12"/>
      <c r="AS279" s="12"/>
      <c r="AT279" s="12"/>
      <c r="AU279" s="12"/>
      <c r="AV279" s="42"/>
      <c r="AW279" s="44"/>
      <c r="AX279" s="13"/>
      <c r="AY279" s="3"/>
      <c r="AZ279" s="1"/>
      <c r="BA279" s="1"/>
      <c r="BB279" s="4"/>
      <c r="BC279" s="53"/>
    </row>
    <row r="280" spans="1:55" s="25" customFormat="1" x14ac:dyDescent="0.25">
      <c r="A280" s="261"/>
      <c r="B280" s="260"/>
      <c r="C280" s="259"/>
      <c r="D280" s="241">
        <v>0.01</v>
      </c>
      <c r="E280" s="59" t="s">
        <v>233</v>
      </c>
      <c r="F280" s="113"/>
      <c r="G280" s="260"/>
      <c r="H280" s="259"/>
      <c r="I280" s="240"/>
      <c r="J280" s="113"/>
      <c r="K280" s="270"/>
      <c r="L280" s="259"/>
      <c r="M280" s="241">
        <v>0.01</v>
      </c>
      <c r="N280" s="59" t="s">
        <v>233</v>
      </c>
      <c r="O280" s="113"/>
      <c r="P280" s="260"/>
      <c r="Q280" s="259"/>
      <c r="R280" s="56"/>
      <c r="S280" s="24"/>
      <c r="T280" s="113"/>
      <c r="U280" s="260"/>
      <c r="V280" s="259"/>
      <c r="W280" s="241"/>
      <c r="X280" s="8"/>
      <c r="Y280" s="113"/>
      <c r="Z280" s="260"/>
      <c r="AA280" s="259"/>
      <c r="AB280" s="241"/>
      <c r="AC280" s="8"/>
      <c r="AD280" s="113"/>
      <c r="AE280" s="270"/>
      <c r="AF280" s="271"/>
      <c r="AG280" s="245"/>
      <c r="AH280" s="8"/>
      <c r="AI280" s="113"/>
      <c r="AJ280" s="270"/>
      <c r="AK280" s="271"/>
      <c r="AL280" s="245"/>
      <c r="AM280" s="8"/>
      <c r="AN280" s="32"/>
      <c r="AO280" s="12"/>
      <c r="AP280" s="12"/>
      <c r="AQ280" s="12"/>
      <c r="AR280" s="12"/>
      <c r="AS280" s="12"/>
      <c r="AT280" s="12"/>
      <c r="AU280" s="12"/>
      <c r="AV280" s="42"/>
      <c r="AW280" s="44"/>
      <c r="AX280" s="13"/>
      <c r="AY280" s="3"/>
      <c r="AZ280" s="1"/>
      <c r="BA280" s="1"/>
      <c r="BB280" s="4"/>
      <c r="BC280" s="53"/>
    </row>
    <row r="281" spans="1:55" s="25" customFormat="1" x14ac:dyDescent="0.25">
      <c r="A281" s="261"/>
      <c r="B281" s="260"/>
      <c r="C281" s="259"/>
      <c r="D281" s="241">
        <f>R281</f>
        <v>0.16</v>
      </c>
      <c r="E281" s="59" t="s">
        <v>336</v>
      </c>
      <c r="F281" s="113"/>
      <c r="G281" s="260"/>
      <c r="H281" s="259"/>
      <c r="I281" s="240"/>
      <c r="J281" s="113"/>
      <c r="K281" s="270"/>
      <c r="L281" s="259"/>
      <c r="M281" s="241">
        <v>0.16</v>
      </c>
      <c r="N281" s="59" t="s">
        <v>336</v>
      </c>
      <c r="O281" s="113"/>
      <c r="P281" s="260"/>
      <c r="Q281" s="259"/>
      <c r="R281" s="241">
        <v>0.16</v>
      </c>
      <c r="S281" s="59" t="s">
        <v>336</v>
      </c>
      <c r="T281" s="113"/>
      <c r="U281" s="260"/>
      <c r="V281" s="259"/>
      <c r="W281" s="241">
        <f>R281</f>
        <v>0.16</v>
      </c>
      <c r="X281" s="59" t="s">
        <v>336</v>
      </c>
      <c r="Y281" s="113"/>
      <c r="Z281" s="260"/>
      <c r="AA281" s="259"/>
      <c r="AB281" s="241">
        <v>0.16</v>
      </c>
      <c r="AC281" s="59" t="s">
        <v>336</v>
      </c>
      <c r="AD281" s="113"/>
      <c r="AE281" s="270"/>
      <c r="AF281" s="271"/>
      <c r="AG281" s="91"/>
      <c r="AH281" s="24"/>
      <c r="AI281" s="113"/>
      <c r="AJ281" s="270"/>
      <c r="AK281" s="271"/>
      <c r="AL281" s="245">
        <f>AB281</f>
        <v>0.16</v>
      </c>
      <c r="AM281" s="59" t="s">
        <v>336</v>
      </c>
      <c r="AN281" s="32"/>
      <c r="AO281" s="12"/>
      <c r="AP281" s="12"/>
      <c r="AQ281" s="12"/>
      <c r="AR281" s="12"/>
      <c r="AS281" s="12"/>
      <c r="AT281" s="12"/>
      <c r="AU281" s="12"/>
      <c r="AV281" s="12"/>
      <c r="AW281" s="44"/>
      <c r="AX281" s="66"/>
      <c r="AY281" s="3"/>
      <c r="AZ281" s="1"/>
      <c r="BA281" s="1"/>
      <c r="BB281" s="4"/>
      <c r="BC281" s="53"/>
    </row>
    <row r="282" spans="1:55" s="25" customFormat="1" x14ac:dyDescent="0.25">
      <c r="A282" s="261"/>
      <c r="B282" s="260"/>
      <c r="C282" s="259"/>
      <c r="D282" s="241">
        <v>0.12</v>
      </c>
      <c r="E282" s="249" t="s">
        <v>218</v>
      </c>
      <c r="F282" s="113"/>
      <c r="G282" s="260"/>
      <c r="H282" s="259"/>
      <c r="I282" s="240"/>
      <c r="J282" s="113"/>
      <c r="K282" s="270"/>
      <c r="L282" s="259"/>
      <c r="M282" s="241">
        <v>0.12</v>
      </c>
      <c r="N282" s="249" t="s">
        <v>218</v>
      </c>
      <c r="O282" s="113"/>
      <c r="P282" s="260"/>
      <c r="Q282" s="259"/>
      <c r="R282" s="241"/>
      <c r="S282" s="246"/>
      <c r="T282" s="113"/>
      <c r="U282" s="260"/>
      <c r="V282" s="259"/>
      <c r="W282" s="241"/>
      <c r="X282" s="246"/>
      <c r="Y282" s="113"/>
      <c r="Z282" s="260"/>
      <c r="AA282" s="259"/>
      <c r="AB282" s="241"/>
      <c r="AC282" s="246"/>
      <c r="AD282" s="113"/>
      <c r="AE282" s="270"/>
      <c r="AF282" s="271"/>
      <c r="AG282" s="245"/>
      <c r="AH282" s="246"/>
      <c r="AI282" s="113"/>
      <c r="AJ282" s="270"/>
      <c r="AK282" s="271"/>
      <c r="AL282" s="245"/>
      <c r="AM282" s="246"/>
      <c r="AN282" s="32"/>
      <c r="AO282" s="12"/>
      <c r="AP282" s="12"/>
      <c r="AQ282" s="12"/>
      <c r="AR282" s="12"/>
      <c r="AS282" s="12"/>
      <c r="AT282" s="12"/>
      <c r="AU282" s="12"/>
      <c r="AV282" s="42"/>
      <c r="AW282" s="44"/>
      <c r="AX282" s="11"/>
      <c r="AY282" s="3"/>
      <c r="AZ282" s="1"/>
      <c r="BA282" s="1"/>
      <c r="BB282" s="4"/>
      <c r="BC282" s="53"/>
    </row>
    <row r="283" spans="1:55" s="25" customFormat="1" x14ac:dyDescent="0.25">
      <c r="A283" s="261"/>
      <c r="B283" s="260"/>
      <c r="C283" s="259"/>
      <c r="D283" s="241">
        <v>1.01</v>
      </c>
      <c r="E283" s="249" t="s">
        <v>476</v>
      </c>
      <c r="F283" s="113"/>
      <c r="G283" s="260"/>
      <c r="H283" s="259"/>
      <c r="I283" s="240"/>
      <c r="J283" s="113"/>
      <c r="K283" s="270"/>
      <c r="L283" s="259"/>
      <c r="M283" s="241">
        <v>0.01</v>
      </c>
      <c r="N283" s="249" t="s">
        <v>84</v>
      </c>
      <c r="O283" s="113"/>
      <c r="P283" s="260"/>
      <c r="Q283" s="259"/>
      <c r="R283" s="241"/>
      <c r="S283" s="246"/>
      <c r="T283" s="113"/>
      <c r="U283" s="260"/>
      <c r="V283" s="259"/>
      <c r="W283" s="241"/>
      <c r="X283" s="246"/>
      <c r="Y283" s="113"/>
      <c r="Z283" s="260"/>
      <c r="AA283" s="259"/>
      <c r="AB283" s="241"/>
      <c r="AC283" s="246"/>
      <c r="AD283" s="113"/>
      <c r="AE283" s="270"/>
      <c r="AF283" s="271"/>
      <c r="AG283" s="245"/>
      <c r="AH283" s="246"/>
      <c r="AI283" s="113"/>
      <c r="AJ283" s="270"/>
      <c r="AK283" s="271"/>
      <c r="AL283" s="245"/>
      <c r="AM283" s="246"/>
      <c r="AN283" s="32"/>
      <c r="AO283" s="12"/>
      <c r="AP283" s="12"/>
      <c r="AQ283" s="12"/>
      <c r="AR283" s="12"/>
      <c r="AS283" s="12"/>
      <c r="AT283" s="12"/>
      <c r="AU283" s="12"/>
      <c r="AV283" s="42"/>
      <c r="AW283" s="44"/>
      <c r="AX283" s="11"/>
      <c r="AY283" s="3"/>
      <c r="AZ283" s="1"/>
      <c r="BA283" s="1"/>
      <c r="BB283" s="4"/>
      <c r="BC283" s="53"/>
    </row>
    <row r="284" spans="1:55" s="25" customFormat="1" x14ac:dyDescent="0.25">
      <c r="A284" s="261"/>
      <c r="B284" s="260"/>
      <c r="C284" s="259"/>
      <c r="D284" s="56"/>
      <c r="E284" s="24"/>
      <c r="F284" s="113"/>
      <c r="G284" s="260"/>
      <c r="H284" s="259"/>
      <c r="I284" s="240"/>
      <c r="J284" s="113"/>
      <c r="K284" s="270"/>
      <c r="L284" s="259"/>
      <c r="M284" s="56"/>
      <c r="N284" s="24"/>
      <c r="O284" s="113"/>
      <c r="P284" s="260"/>
      <c r="Q284" s="259"/>
      <c r="R284" s="241"/>
      <c r="S284" s="240"/>
      <c r="T284" s="113"/>
      <c r="U284" s="260"/>
      <c r="V284" s="259"/>
      <c r="W284" s="241"/>
      <c r="X284" s="240"/>
      <c r="Y284" s="113"/>
      <c r="Z284" s="260"/>
      <c r="AA284" s="259"/>
      <c r="AB284" s="241"/>
      <c r="AC284" s="246"/>
      <c r="AD284" s="113"/>
      <c r="AE284" s="270"/>
      <c r="AF284" s="271"/>
      <c r="AG284" s="245"/>
      <c r="AH284" s="246"/>
      <c r="AI284" s="113"/>
      <c r="AJ284" s="270"/>
      <c r="AK284" s="271"/>
      <c r="AL284" s="245"/>
      <c r="AM284" s="246"/>
      <c r="AN284" s="32"/>
      <c r="AO284" s="12"/>
      <c r="AP284" s="12"/>
      <c r="AQ284" s="12"/>
      <c r="AR284" s="12"/>
      <c r="AS284" s="12"/>
      <c r="AT284" s="12"/>
      <c r="AU284" s="12"/>
      <c r="AV284" s="42"/>
      <c r="AW284" s="44"/>
      <c r="AX284" s="11"/>
      <c r="AY284" s="3"/>
      <c r="AZ284" s="1"/>
      <c r="BA284" s="1"/>
      <c r="BB284" s="4"/>
      <c r="BC284" s="53"/>
    </row>
    <row r="285" spans="1:55" s="25" customFormat="1" x14ac:dyDescent="0.25">
      <c r="A285" s="261"/>
      <c r="B285" s="260"/>
      <c r="C285" s="259"/>
      <c r="D285" s="56"/>
      <c r="E285" s="24"/>
      <c r="F285" s="113"/>
      <c r="G285" s="260"/>
      <c r="H285" s="259"/>
      <c r="I285" s="240"/>
      <c r="J285" s="113"/>
      <c r="K285" s="270"/>
      <c r="L285" s="259"/>
      <c r="M285" s="56"/>
      <c r="N285" s="24"/>
      <c r="O285" s="113"/>
      <c r="P285" s="260"/>
      <c r="Q285" s="259"/>
      <c r="R285" s="56"/>
      <c r="S285" s="24"/>
      <c r="T285" s="113"/>
      <c r="U285" s="260"/>
      <c r="V285" s="259"/>
      <c r="W285" s="56"/>
      <c r="X285" s="24"/>
      <c r="Y285" s="113"/>
      <c r="Z285" s="260"/>
      <c r="AA285" s="259"/>
      <c r="AB285" s="56"/>
      <c r="AC285" s="24"/>
      <c r="AD285" s="113"/>
      <c r="AE285" s="270"/>
      <c r="AF285" s="271"/>
      <c r="AG285" s="245"/>
      <c r="AH285" s="96"/>
      <c r="AI285" s="113"/>
      <c r="AJ285" s="270"/>
      <c r="AK285" s="271"/>
      <c r="AL285" s="245"/>
      <c r="AM285" s="96"/>
      <c r="AN285" s="32"/>
      <c r="AO285" s="12"/>
      <c r="AP285" s="12"/>
      <c r="AQ285" s="12"/>
      <c r="AR285" s="12"/>
      <c r="AS285" s="12"/>
      <c r="AT285" s="12"/>
      <c r="AU285" s="12"/>
      <c r="AV285" s="42"/>
      <c r="AW285" s="44"/>
      <c r="AX285" s="11"/>
      <c r="AY285" s="3"/>
      <c r="AZ285" s="1"/>
      <c r="BA285" s="1"/>
      <c r="BB285" s="4"/>
      <c r="BC285" s="53"/>
    </row>
    <row r="286" spans="1:55" s="25" customFormat="1" x14ac:dyDescent="0.25">
      <c r="A286" s="261"/>
      <c r="B286" s="260"/>
      <c r="C286" s="259"/>
      <c r="D286" s="241"/>
      <c r="E286" s="19"/>
      <c r="F286" s="113"/>
      <c r="G286" s="260"/>
      <c r="H286" s="259"/>
      <c r="I286" s="240"/>
      <c r="J286" s="113"/>
      <c r="K286" s="270"/>
      <c r="L286" s="259"/>
      <c r="M286" s="241"/>
      <c r="N286" s="19"/>
      <c r="O286" s="113"/>
      <c r="P286" s="260"/>
      <c r="Q286" s="259"/>
      <c r="R286" s="241"/>
      <c r="S286" s="19"/>
      <c r="T286" s="113"/>
      <c r="U286" s="260"/>
      <c r="V286" s="259"/>
      <c r="W286" s="241"/>
      <c r="X286" s="19"/>
      <c r="Y286" s="113"/>
      <c r="Z286" s="260"/>
      <c r="AA286" s="259"/>
      <c r="AB286" s="241"/>
      <c r="AC286" s="19"/>
      <c r="AD286" s="113"/>
      <c r="AE286" s="270"/>
      <c r="AF286" s="271"/>
      <c r="AG286" s="245"/>
      <c r="AH286" s="19"/>
      <c r="AI286" s="113"/>
      <c r="AJ286" s="270"/>
      <c r="AK286" s="271"/>
      <c r="AL286" s="245"/>
      <c r="AM286" s="16"/>
      <c r="AN286" s="32"/>
      <c r="AO286" s="12"/>
      <c r="AP286" s="12"/>
      <c r="AQ286" s="12"/>
      <c r="AR286" s="12"/>
      <c r="AS286" s="12"/>
      <c r="AT286" s="12"/>
      <c r="AU286" s="12"/>
      <c r="AV286" s="42"/>
      <c r="AW286" s="44"/>
      <c r="AX286" s="11"/>
      <c r="AY286" s="3"/>
      <c r="AZ286" s="1"/>
      <c r="BA286" s="1"/>
      <c r="BB286" s="4"/>
      <c r="BC286" s="53"/>
    </row>
    <row r="287" spans="1:55" s="25" customFormat="1" x14ac:dyDescent="0.25">
      <c r="A287" s="261"/>
      <c r="B287" s="260"/>
      <c r="C287" s="259"/>
      <c r="D287" s="56"/>
      <c r="E287" s="24"/>
      <c r="F287" s="113"/>
      <c r="G287" s="260"/>
      <c r="H287" s="259"/>
      <c r="I287" s="240"/>
      <c r="J287" s="113"/>
      <c r="K287" s="270"/>
      <c r="L287" s="259"/>
      <c r="M287" s="56"/>
      <c r="N287" s="24"/>
      <c r="O287" s="113"/>
      <c r="P287" s="260"/>
      <c r="Q287" s="259"/>
      <c r="R287" s="241"/>
      <c r="S287" s="240"/>
      <c r="T287" s="113"/>
      <c r="U287" s="260"/>
      <c r="V287" s="259"/>
      <c r="W287" s="241"/>
      <c r="X287" s="240"/>
      <c r="Y287" s="113"/>
      <c r="Z287" s="260"/>
      <c r="AA287" s="259"/>
      <c r="AB287" s="241"/>
      <c r="AC287" s="240"/>
      <c r="AD287" s="113"/>
      <c r="AE287" s="270"/>
      <c r="AF287" s="271"/>
      <c r="AG287" s="245"/>
      <c r="AH287" s="240"/>
      <c r="AI287" s="113"/>
      <c r="AJ287" s="270"/>
      <c r="AK287" s="271"/>
      <c r="AL287" s="245"/>
      <c r="AM287" s="246"/>
      <c r="AN287" s="32"/>
      <c r="AO287" s="12"/>
      <c r="AP287" s="12"/>
      <c r="AQ287" s="12"/>
      <c r="AR287" s="12"/>
      <c r="AS287" s="12"/>
      <c r="AT287" s="12"/>
      <c r="AU287" s="12"/>
      <c r="AV287" s="42"/>
      <c r="AW287" s="44"/>
      <c r="AX287" s="11"/>
      <c r="AY287" s="3"/>
      <c r="AZ287" s="1"/>
      <c r="BA287" s="1"/>
      <c r="BB287" s="4"/>
      <c r="BC287" s="53"/>
    </row>
    <row r="288" spans="1:55" s="25" customFormat="1" x14ac:dyDescent="0.25">
      <c r="A288" s="261">
        <v>45</v>
      </c>
      <c r="B288" s="260">
        <v>0.63</v>
      </c>
      <c r="C288" s="259">
        <v>9.7799999999999994</v>
      </c>
      <c r="D288" s="56"/>
      <c r="E288" s="24"/>
      <c r="F288" s="113"/>
      <c r="G288" s="260">
        <v>0.83</v>
      </c>
      <c r="H288" s="259">
        <v>9.39</v>
      </c>
      <c r="I288" s="240"/>
      <c r="J288" s="113"/>
      <c r="K288" s="260">
        <v>0.52</v>
      </c>
      <c r="L288" s="259">
        <v>9.7899999999999991</v>
      </c>
      <c r="M288" s="56"/>
      <c r="N288" s="24"/>
      <c r="O288" s="113"/>
      <c r="P288" s="260">
        <v>0.8</v>
      </c>
      <c r="Q288" s="259">
        <v>9.7899999999999991</v>
      </c>
      <c r="R288" s="56"/>
      <c r="S288" s="24"/>
      <c r="T288" s="113"/>
      <c r="U288" s="260">
        <v>0.31</v>
      </c>
      <c r="V288" s="259">
        <v>9.65</v>
      </c>
      <c r="W288" s="56"/>
      <c r="X288" s="24"/>
      <c r="Y288" s="113"/>
      <c r="Z288" s="260">
        <v>0.41</v>
      </c>
      <c r="AA288" s="259">
        <v>9.6999999999999993</v>
      </c>
      <c r="AB288" s="56"/>
      <c r="AC288" s="24"/>
      <c r="AD288" s="113"/>
      <c r="AE288" s="270">
        <v>1.1000000000000001</v>
      </c>
      <c r="AF288" s="271">
        <v>9.1</v>
      </c>
      <c r="AG288" s="24"/>
      <c r="AH288" s="24"/>
      <c r="AI288" s="113"/>
      <c r="AJ288" s="245">
        <v>0.08</v>
      </c>
      <c r="AK288" s="246">
        <v>9.85</v>
      </c>
      <c r="AL288" s="245"/>
      <c r="AM288" s="18"/>
      <c r="AN288" s="32"/>
      <c r="AO288" s="12"/>
      <c r="AP288" s="12"/>
      <c r="AQ288" s="12"/>
      <c r="AR288" s="12"/>
      <c r="AS288" s="12"/>
      <c r="AT288" s="12"/>
      <c r="AU288" s="12"/>
      <c r="AV288" s="42"/>
      <c r="AW288" s="44"/>
      <c r="AX288" s="11"/>
      <c r="AY288" s="3"/>
      <c r="AZ288" s="1"/>
      <c r="BA288" s="1"/>
      <c r="BB288" s="4"/>
      <c r="BC288" s="53"/>
    </row>
    <row r="289" spans="1:55" s="25" customFormat="1" x14ac:dyDescent="0.25">
      <c r="A289" s="261"/>
      <c r="B289" s="260"/>
      <c r="C289" s="259"/>
      <c r="D289" s="240">
        <v>2.13</v>
      </c>
      <c r="E289" s="7" t="s">
        <v>469</v>
      </c>
      <c r="F289" s="113"/>
      <c r="G289" s="260"/>
      <c r="H289" s="259"/>
      <c r="I289" s="240"/>
      <c r="J289" s="113"/>
      <c r="K289" s="260"/>
      <c r="L289" s="259"/>
      <c r="M289" s="241">
        <f>K288+K279-M283-M279-M280-M281-M282-M290</f>
        <v>1.2800000000000011</v>
      </c>
      <c r="N289" s="7" t="s">
        <v>154</v>
      </c>
      <c r="O289" s="113"/>
      <c r="P289" s="260"/>
      <c r="Q289" s="259"/>
      <c r="R289" s="241"/>
      <c r="S289" s="8"/>
      <c r="T289" s="113"/>
      <c r="U289" s="260"/>
      <c r="V289" s="259"/>
      <c r="W289" s="241"/>
      <c r="X289" s="18"/>
      <c r="Y289" s="113"/>
      <c r="Z289" s="260"/>
      <c r="AA289" s="259"/>
      <c r="AB289" s="241"/>
      <c r="AC289" s="18"/>
      <c r="AD289" s="113"/>
      <c r="AE289" s="270"/>
      <c r="AF289" s="271"/>
      <c r="AG289" s="245"/>
      <c r="AH289" s="18"/>
      <c r="AI289" s="113"/>
      <c r="AJ289" s="270">
        <v>0.11</v>
      </c>
      <c r="AK289" s="271">
        <v>9.89</v>
      </c>
      <c r="AL289" s="245"/>
      <c r="AM289" s="18"/>
      <c r="AN289" s="32"/>
      <c r="AO289" s="12"/>
      <c r="AP289" s="12"/>
      <c r="AQ289" s="12"/>
      <c r="AR289" s="12"/>
      <c r="AS289" s="12"/>
      <c r="AT289" s="12"/>
      <c r="AU289" s="12"/>
      <c r="AV289" s="42"/>
      <c r="AW289" s="44"/>
      <c r="AX289" s="11"/>
      <c r="AY289" s="3"/>
      <c r="AZ289" s="1"/>
      <c r="BA289" s="1"/>
      <c r="BB289" s="4"/>
      <c r="BC289" s="53"/>
    </row>
    <row r="290" spans="1:55" s="25" customFormat="1" x14ac:dyDescent="0.25">
      <c r="A290" s="261"/>
      <c r="B290" s="260"/>
      <c r="C290" s="259"/>
      <c r="D290" s="241">
        <v>0.5</v>
      </c>
      <c r="E290" s="68" t="s">
        <v>100</v>
      </c>
      <c r="F290" s="113"/>
      <c r="G290" s="260"/>
      <c r="H290" s="259"/>
      <c r="I290" s="240"/>
      <c r="J290" s="113"/>
      <c r="K290" s="260"/>
      <c r="L290" s="259"/>
      <c r="M290" s="241">
        <f>K288</f>
        <v>0.52</v>
      </c>
      <c r="N290" s="68" t="s">
        <v>100</v>
      </c>
      <c r="O290" s="113"/>
      <c r="P290" s="260"/>
      <c r="Q290" s="259"/>
      <c r="R290" s="241">
        <f>P288-R289</f>
        <v>0.8</v>
      </c>
      <c r="S290" s="68" t="s">
        <v>100</v>
      </c>
      <c r="T290" s="113"/>
      <c r="U290" s="260"/>
      <c r="V290" s="259"/>
      <c r="W290" s="241">
        <f>U288+U294</f>
        <v>0.72</v>
      </c>
      <c r="X290" s="68" t="s">
        <v>100</v>
      </c>
      <c r="Y290" s="113"/>
      <c r="Z290" s="260"/>
      <c r="AA290" s="259"/>
      <c r="AB290" s="241">
        <f>Z288</f>
        <v>0.41</v>
      </c>
      <c r="AC290" s="68" t="s">
        <v>100</v>
      </c>
      <c r="AD290" s="113"/>
      <c r="AE290" s="270"/>
      <c r="AF290" s="271"/>
      <c r="AG290" s="245">
        <f>AE288</f>
        <v>1.1000000000000001</v>
      </c>
      <c r="AH290" s="68" t="s">
        <v>100</v>
      </c>
      <c r="AI290" s="113"/>
      <c r="AJ290" s="270"/>
      <c r="AK290" s="271"/>
      <c r="AL290" s="245">
        <f>AJ289</f>
        <v>0.11</v>
      </c>
      <c r="AM290" s="68" t="s">
        <v>100</v>
      </c>
      <c r="AN290" s="32"/>
      <c r="AO290" s="12"/>
      <c r="AP290" s="12"/>
      <c r="AQ290" s="12"/>
      <c r="AR290" s="12"/>
      <c r="AS290" s="12"/>
      <c r="AT290" s="12"/>
      <c r="AU290" s="12"/>
      <c r="AV290" s="42"/>
      <c r="AW290" s="44"/>
      <c r="AX290" s="13"/>
      <c r="AY290" s="3"/>
      <c r="AZ290" s="1"/>
      <c r="BA290" s="1"/>
      <c r="BB290" s="4"/>
      <c r="BC290" s="53"/>
    </row>
    <row r="291" spans="1:55" s="25" customFormat="1" x14ac:dyDescent="0.25">
      <c r="A291" s="261"/>
      <c r="B291" s="260"/>
      <c r="C291" s="259"/>
      <c r="D291" s="240"/>
      <c r="E291" s="241"/>
      <c r="F291" s="113"/>
      <c r="G291" s="260"/>
      <c r="H291" s="259"/>
      <c r="I291" s="240"/>
      <c r="J291" s="113"/>
      <c r="K291" s="260"/>
      <c r="L291" s="259"/>
      <c r="M291" s="241"/>
      <c r="N291" s="241"/>
      <c r="O291" s="113"/>
      <c r="P291" s="260"/>
      <c r="Q291" s="259"/>
      <c r="R291" s="241"/>
      <c r="S291" s="24"/>
      <c r="T291" s="113"/>
      <c r="U291" s="260"/>
      <c r="V291" s="259"/>
      <c r="W291" s="241"/>
      <c r="X291" s="19"/>
      <c r="Y291" s="113"/>
      <c r="Z291" s="260"/>
      <c r="AA291" s="259"/>
      <c r="AB291" s="241"/>
      <c r="AC291" s="19"/>
      <c r="AD291" s="113"/>
      <c r="AE291" s="270"/>
      <c r="AF291" s="271"/>
      <c r="AG291" s="24"/>
      <c r="AH291" s="24"/>
      <c r="AI291" s="113"/>
      <c r="AJ291" s="270"/>
      <c r="AK291" s="271"/>
      <c r="AL291" s="245"/>
      <c r="AM291" s="16"/>
      <c r="AN291" s="32"/>
      <c r="AO291" s="12"/>
      <c r="AP291" s="12"/>
      <c r="AQ291" s="12"/>
      <c r="AR291" s="12"/>
      <c r="AS291" s="12"/>
      <c r="AT291" s="12"/>
      <c r="AU291" s="12"/>
      <c r="AV291" s="42"/>
      <c r="AW291" s="44"/>
      <c r="AX291" s="13"/>
      <c r="AY291" s="3"/>
      <c r="AZ291" s="1"/>
      <c r="BA291" s="1"/>
      <c r="BB291" s="4"/>
      <c r="BC291" s="53"/>
    </row>
    <row r="292" spans="1:55" s="25" customFormat="1" x14ac:dyDescent="0.25">
      <c r="A292" s="261"/>
      <c r="B292" s="260"/>
      <c r="C292" s="259"/>
      <c r="D292" s="240"/>
      <c r="E292" s="241"/>
      <c r="F292" s="113"/>
      <c r="G292" s="260"/>
      <c r="H292" s="259"/>
      <c r="I292" s="240"/>
      <c r="J292" s="113"/>
      <c r="K292" s="260"/>
      <c r="L292" s="259"/>
      <c r="M292" s="241"/>
      <c r="N292" s="241"/>
      <c r="O292" s="113"/>
      <c r="P292" s="260"/>
      <c r="Q292" s="259"/>
      <c r="R292" s="241"/>
      <c r="S292" s="241"/>
      <c r="T292" s="113"/>
      <c r="U292" s="260"/>
      <c r="V292" s="259"/>
      <c r="W292" s="241"/>
      <c r="X292" s="241"/>
      <c r="Y292" s="113"/>
      <c r="Z292" s="260"/>
      <c r="AA292" s="259"/>
      <c r="AB292" s="241"/>
      <c r="AC292" s="241"/>
      <c r="AD292" s="113"/>
      <c r="AE292" s="270"/>
      <c r="AF292" s="271"/>
      <c r="AG292" s="245"/>
      <c r="AH292" s="241"/>
      <c r="AI292" s="113"/>
      <c r="AJ292" s="270"/>
      <c r="AK292" s="271"/>
      <c r="AL292" s="245"/>
      <c r="AM292" s="245"/>
      <c r="AN292" s="32"/>
      <c r="AO292" s="12"/>
      <c r="AP292" s="12"/>
      <c r="AQ292" s="12"/>
      <c r="AR292" s="12"/>
      <c r="AS292" s="12"/>
      <c r="AT292" s="12"/>
      <c r="AU292" s="12"/>
      <c r="AV292" s="42"/>
      <c r="AW292" s="44"/>
      <c r="AX292" s="11"/>
      <c r="AY292" s="3"/>
      <c r="AZ292" s="1"/>
      <c r="BA292" s="1"/>
      <c r="BB292" s="4"/>
      <c r="BC292" s="53"/>
    </row>
    <row r="293" spans="1:55" s="25" customFormat="1" x14ac:dyDescent="0.25">
      <c r="A293" s="261"/>
      <c r="B293" s="260"/>
      <c r="C293" s="259"/>
      <c r="D293" s="240"/>
      <c r="E293" s="241"/>
      <c r="F293" s="113"/>
      <c r="G293" s="260"/>
      <c r="H293" s="259"/>
      <c r="I293" s="240"/>
      <c r="J293" s="113"/>
      <c r="K293" s="260"/>
      <c r="L293" s="259"/>
      <c r="M293" s="241"/>
      <c r="N293" s="241"/>
      <c r="O293" s="113"/>
      <c r="P293" s="260"/>
      <c r="Q293" s="259"/>
      <c r="R293" s="241"/>
      <c r="S293" s="241"/>
      <c r="T293" s="113"/>
      <c r="U293" s="260"/>
      <c r="V293" s="259"/>
      <c r="W293" s="241"/>
      <c r="X293" s="24"/>
      <c r="Y293" s="113"/>
      <c r="Z293" s="260"/>
      <c r="AA293" s="259"/>
      <c r="AB293" s="56"/>
      <c r="AC293" s="24"/>
      <c r="AD293" s="113"/>
      <c r="AE293" s="270"/>
      <c r="AF293" s="271"/>
      <c r="AG293" s="245"/>
      <c r="AH293" s="24"/>
      <c r="AI293" s="113"/>
      <c r="AJ293" s="270"/>
      <c r="AK293" s="271"/>
      <c r="AL293" s="245"/>
      <c r="AM293" s="91"/>
      <c r="AN293" s="32"/>
      <c r="AO293" s="12"/>
      <c r="AP293" s="12"/>
      <c r="AQ293" s="12"/>
      <c r="AR293" s="12"/>
      <c r="AS293" s="12"/>
      <c r="AT293" s="12"/>
      <c r="AU293" s="12"/>
      <c r="AV293" s="42"/>
      <c r="AW293" s="44"/>
      <c r="AX293" s="66"/>
      <c r="AY293" s="3"/>
      <c r="AZ293" s="1"/>
      <c r="BA293" s="1"/>
      <c r="BB293" s="4"/>
      <c r="BC293" s="53"/>
    </row>
    <row r="294" spans="1:55" s="25" customFormat="1" x14ac:dyDescent="0.25">
      <c r="A294" s="261">
        <v>46</v>
      </c>
      <c r="B294" s="260">
        <v>0.51</v>
      </c>
      <c r="C294" s="271">
        <v>9.86</v>
      </c>
      <c r="D294" s="56"/>
      <c r="E294" s="24"/>
      <c r="F294" s="113"/>
      <c r="G294" s="260">
        <v>0.68</v>
      </c>
      <c r="H294" s="259">
        <v>9.48</v>
      </c>
      <c r="I294" s="240"/>
      <c r="J294" s="113"/>
      <c r="K294" s="241">
        <v>0.11</v>
      </c>
      <c r="L294" s="240">
        <v>9.86</v>
      </c>
      <c r="M294" s="56"/>
      <c r="N294" s="24"/>
      <c r="O294" s="113"/>
      <c r="P294" s="260">
        <v>0.37</v>
      </c>
      <c r="Q294" s="259">
        <v>9.94</v>
      </c>
      <c r="R294" s="241"/>
      <c r="S294" s="240"/>
      <c r="T294" s="113"/>
      <c r="U294" s="260">
        <v>0.41</v>
      </c>
      <c r="V294" s="259">
        <v>9.82</v>
      </c>
      <c r="W294" s="241"/>
      <c r="X294" s="240"/>
      <c r="Y294" s="113"/>
      <c r="Z294" s="260">
        <v>0.89</v>
      </c>
      <c r="AA294" s="259">
        <v>9.8699999999999992</v>
      </c>
      <c r="AB294" s="241"/>
      <c r="AC294" s="240"/>
      <c r="AD294" s="113"/>
      <c r="AE294" s="270">
        <v>1.87</v>
      </c>
      <c r="AF294" s="271">
        <v>9.27</v>
      </c>
      <c r="AG294" s="245"/>
      <c r="AH294" s="240"/>
      <c r="AI294" s="113"/>
      <c r="AJ294" s="245">
        <v>0.05</v>
      </c>
      <c r="AK294" s="246">
        <v>9.98</v>
      </c>
      <c r="AL294" s="245"/>
      <c r="AM294" s="246"/>
      <c r="AN294" s="32"/>
      <c r="AO294" s="12"/>
      <c r="AP294" s="12"/>
      <c r="AQ294" s="12"/>
      <c r="AR294" s="12"/>
      <c r="AS294" s="12"/>
      <c r="AT294" s="12"/>
      <c r="AU294" s="12"/>
      <c r="AV294" s="42"/>
      <c r="AW294" s="44"/>
      <c r="AX294" s="13"/>
      <c r="AY294" s="3"/>
      <c r="AZ294" s="1"/>
      <c r="BA294" s="1"/>
      <c r="BB294" s="4"/>
      <c r="BC294" s="53"/>
    </row>
    <row r="295" spans="1:55" s="25" customFormat="1" x14ac:dyDescent="0.25">
      <c r="A295" s="261"/>
      <c r="B295" s="260"/>
      <c r="C295" s="271"/>
      <c r="D295" s="240">
        <f>B294-D296</f>
        <v>0.31</v>
      </c>
      <c r="E295" s="7" t="s">
        <v>154</v>
      </c>
      <c r="F295" s="113"/>
      <c r="G295" s="260"/>
      <c r="H295" s="259"/>
      <c r="I295" s="240"/>
      <c r="J295" s="113"/>
      <c r="K295" s="270">
        <v>0.72</v>
      </c>
      <c r="L295" s="259">
        <v>9.93</v>
      </c>
      <c r="M295" s="241">
        <f>K295-M298</f>
        <v>0.72</v>
      </c>
      <c r="N295" s="7" t="s">
        <v>154</v>
      </c>
      <c r="O295" s="113"/>
      <c r="P295" s="260"/>
      <c r="Q295" s="259"/>
      <c r="R295" s="241"/>
      <c r="S295" s="49"/>
      <c r="T295" s="113"/>
      <c r="U295" s="260"/>
      <c r="V295" s="259"/>
      <c r="W295" s="241"/>
      <c r="X295" s="240"/>
      <c r="Y295" s="113"/>
      <c r="Z295" s="260"/>
      <c r="AA295" s="259"/>
      <c r="AB295" s="241"/>
      <c r="AC295" s="240"/>
      <c r="AD295" s="113"/>
      <c r="AE295" s="270"/>
      <c r="AF295" s="271"/>
      <c r="AG295" s="245"/>
      <c r="AH295" s="240"/>
      <c r="AI295" s="113"/>
      <c r="AJ295" s="245">
        <v>0.17</v>
      </c>
      <c r="AK295" s="246">
        <v>10.029999999999999</v>
      </c>
      <c r="AL295" s="245"/>
      <c r="AM295" s="246"/>
      <c r="AN295" s="32"/>
      <c r="AO295" s="12"/>
      <c r="AP295" s="12"/>
      <c r="AQ295" s="12"/>
      <c r="AR295" s="12"/>
      <c r="AS295" s="12"/>
      <c r="AT295" s="12"/>
      <c r="AU295" s="12"/>
      <c r="AV295" s="42"/>
      <c r="AW295" s="44"/>
      <c r="AX295" s="13"/>
      <c r="AY295" s="3"/>
      <c r="AZ295" s="1"/>
      <c r="BA295" s="1"/>
      <c r="BB295" s="4"/>
      <c r="BC295" s="53"/>
    </row>
    <row r="296" spans="1:55" s="25" customFormat="1" x14ac:dyDescent="0.25">
      <c r="A296" s="261"/>
      <c r="B296" s="260"/>
      <c r="C296" s="271"/>
      <c r="D296" s="241">
        <v>0.2</v>
      </c>
      <c r="E296" s="59" t="s">
        <v>475</v>
      </c>
      <c r="F296" s="113"/>
      <c r="G296" s="260"/>
      <c r="H296" s="259"/>
      <c r="I296" s="240"/>
      <c r="J296" s="113"/>
      <c r="K296" s="270"/>
      <c r="L296" s="259"/>
      <c r="M296" s="241">
        <f>K294</f>
        <v>0.11</v>
      </c>
      <c r="N296" s="59" t="s">
        <v>217</v>
      </c>
      <c r="O296" s="113"/>
      <c r="P296" s="260"/>
      <c r="Q296" s="259"/>
      <c r="R296" s="241"/>
      <c r="S296" s="49"/>
      <c r="T296" s="113"/>
      <c r="U296" s="260"/>
      <c r="V296" s="259"/>
      <c r="W296" s="241"/>
      <c r="X296" s="240"/>
      <c r="Y296" s="113"/>
      <c r="Z296" s="260"/>
      <c r="AA296" s="259"/>
      <c r="AB296" s="241"/>
      <c r="AC296" s="240"/>
      <c r="AD296" s="113"/>
      <c r="AE296" s="270"/>
      <c r="AF296" s="271"/>
      <c r="AG296" s="245"/>
      <c r="AH296" s="240"/>
      <c r="AI296" s="113"/>
      <c r="AJ296" s="270">
        <v>0.13</v>
      </c>
      <c r="AK296" s="271">
        <v>10.08</v>
      </c>
      <c r="AL296" s="245"/>
      <c r="AM296" s="246"/>
      <c r="AN296" s="32"/>
      <c r="AO296" s="12"/>
      <c r="AP296" s="12"/>
      <c r="AQ296" s="12"/>
      <c r="AR296" s="12"/>
      <c r="AS296" s="12"/>
      <c r="AT296" s="12"/>
      <c r="AU296" s="12"/>
      <c r="AV296" s="12"/>
      <c r="AW296" s="44"/>
      <c r="AX296" s="13"/>
      <c r="AY296" s="3"/>
      <c r="AZ296" s="1"/>
      <c r="BA296" s="1"/>
      <c r="BB296" s="4"/>
      <c r="BC296" s="53"/>
    </row>
    <row r="297" spans="1:55" s="25" customFormat="1" x14ac:dyDescent="0.25">
      <c r="A297" s="261"/>
      <c r="B297" s="260"/>
      <c r="C297" s="271"/>
      <c r="D297" s="240"/>
      <c r="E297" s="241"/>
      <c r="F297" s="113"/>
      <c r="G297" s="260"/>
      <c r="H297" s="259"/>
      <c r="I297" s="240"/>
      <c r="J297" s="113"/>
      <c r="K297" s="270"/>
      <c r="L297" s="259"/>
      <c r="M297" s="241"/>
      <c r="N297" s="49"/>
      <c r="O297" s="113"/>
      <c r="P297" s="260"/>
      <c r="Q297" s="259"/>
      <c r="R297" s="56"/>
      <c r="S297" s="24"/>
      <c r="T297" s="113"/>
      <c r="U297" s="260"/>
      <c r="V297" s="259"/>
      <c r="W297" s="241"/>
      <c r="X297" s="240"/>
      <c r="Y297" s="113"/>
      <c r="Z297" s="260"/>
      <c r="AA297" s="259"/>
      <c r="AB297" s="241"/>
      <c r="AC297" s="240"/>
      <c r="AD297" s="113"/>
      <c r="AE297" s="270"/>
      <c r="AF297" s="271"/>
      <c r="AG297" s="91"/>
      <c r="AH297" s="240"/>
      <c r="AI297" s="113"/>
      <c r="AJ297" s="270"/>
      <c r="AK297" s="271"/>
      <c r="AL297" s="245"/>
      <c r="AM297" s="246"/>
      <c r="AN297" s="32"/>
      <c r="AO297" s="12"/>
      <c r="AP297" s="12"/>
      <c r="AQ297" s="12"/>
      <c r="AR297" s="12"/>
      <c r="AS297" s="12"/>
      <c r="AT297" s="12"/>
      <c r="AU297" s="12"/>
      <c r="AV297" s="42"/>
      <c r="AW297" s="44"/>
      <c r="AX297" s="69"/>
      <c r="AY297" s="3"/>
      <c r="AZ297" s="1"/>
      <c r="BA297" s="1"/>
      <c r="BB297" s="4"/>
      <c r="BC297" s="53"/>
    </row>
    <row r="298" spans="1:55" s="25" customFormat="1" x14ac:dyDescent="0.25">
      <c r="A298" s="261"/>
      <c r="B298" s="260"/>
      <c r="C298" s="271"/>
      <c r="D298" s="240"/>
      <c r="E298" s="19"/>
      <c r="F298" s="113"/>
      <c r="G298" s="260"/>
      <c r="H298" s="259"/>
      <c r="I298" s="240"/>
      <c r="J298" s="113"/>
      <c r="K298" s="270"/>
      <c r="L298" s="259"/>
      <c r="M298" s="241"/>
      <c r="N298" s="8"/>
      <c r="O298" s="113"/>
      <c r="P298" s="260"/>
      <c r="Q298" s="259"/>
      <c r="R298" s="241"/>
      <c r="S298" s="8"/>
      <c r="T298" s="113"/>
      <c r="U298" s="260"/>
      <c r="V298" s="259"/>
      <c r="W298" s="241"/>
      <c r="X298" s="24"/>
      <c r="Y298" s="113"/>
      <c r="Z298" s="260"/>
      <c r="AA298" s="259"/>
      <c r="AB298" s="241"/>
      <c r="AC298" s="56"/>
      <c r="AD298" s="113"/>
      <c r="AE298" s="270"/>
      <c r="AF298" s="271"/>
      <c r="AG298" s="245"/>
      <c r="AH298" s="56"/>
      <c r="AI298" s="113"/>
      <c r="AJ298" s="270"/>
      <c r="AK298" s="271"/>
      <c r="AL298" s="245"/>
      <c r="AM298" s="91"/>
      <c r="AN298" s="32"/>
      <c r="AO298" s="12"/>
      <c r="AP298" s="12"/>
      <c r="AQ298" s="12"/>
      <c r="AR298" s="12"/>
      <c r="AS298" s="12"/>
      <c r="AT298" s="12"/>
      <c r="AU298" s="12"/>
      <c r="AV298" s="42"/>
      <c r="AW298" s="44"/>
      <c r="AX298" s="11"/>
      <c r="AY298" s="3"/>
      <c r="AZ298" s="1"/>
      <c r="BA298" s="1"/>
      <c r="BB298" s="4"/>
      <c r="BC298" s="53"/>
    </row>
    <row r="299" spans="1:55" s="25" customFormat="1" x14ac:dyDescent="0.25">
      <c r="A299" s="261"/>
      <c r="B299" s="260"/>
      <c r="C299" s="271"/>
      <c r="D299" s="240"/>
      <c r="E299" s="241"/>
      <c r="F299" s="113"/>
      <c r="G299" s="260"/>
      <c r="H299" s="259"/>
      <c r="I299" s="240"/>
      <c r="J299" s="113"/>
      <c r="K299" s="270"/>
      <c r="L299" s="259"/>
      <c r="M299" s="241"/>
      <c r="N299" s="19"/>
      <c r="O299" s="113"/>
      <c r="P299" s="260"/>
      <c r="Q299" s="259"/>
      <c r="R299" s="241"/>
      <c r="S299" s="49"/>
      <c r="T299" s="113"/>
      <c r="U299" s="260"/>
      <c r="V299" s="259"/>
      <c r="W299" s="241"/>
      <c r="X299" s="240"/>
      <c r="Y299" s="113"/>
      <c r="Z299" s="260"/>
      <c r="AA299" s="259"/>
      <c r="AB299" s="241"/>
      <c r="AC299" s="240"/>
      <c r="AD299" s="113"/>
      <c r="AE299" s="270"/>
      <c r="AF299" s="271"/>
      <c r="AG299" s="245"/>
      <c r="AH299" s="240"/>
      <c r="AI299" s="113"/>
      <c r="AJ299" s="270"/>
      <c r="AK299" s="271"/>
      <c r="AL299" s="245"/>
      <c r="AM299" s="246"/>
      <c r="AN299" s="32"/>
      <c r="AO299" s="12"/>
      <c r="AP299" s="12"/>
      <c r="AQ299" s="12"/>
      <c r="AR299" s="12"/>
      <c r="AS299" s="12"/>
      <c r="AT299" s="12"/>
      <c r="AU299" s="12"/>
      <c r="AV299" s="42"/>
      <c r="AW299" s="44"/>
      <c r="AX299" s="11"/>
      <c r="AY299" s="3"/>
      <c r="AZ299" s="1"/>
      <c r="BA299" s="1"/>
      <c r="BB299" s="4"/>
      <c r="BC299" s="53"/>
    </row>
    <row r="300" spans="1:55" s="25" customFormat="1" x14ac:dyDescent="0.25">
      <c r="A300" s="261"/>
      <c r="B300" s="260"/>
      <c r="C300" s="271"/>
      <c r="D300" s="240"/>
      <c r="E300" s="241"/>
      <c r="F300" s="113"/>
      <c r="G300" s="260"/>
      <c r="H300" s="259"/>
      <c r="I300" s="240"/>
      <c r="J300" s="113"/>
      <c r="K300" s="270"/>
      <c r="L300" s="259"/>
      <c r="M300" s="241"/>
      <c r="N300" s="49"/>
      <c r="O300" s="113"/>
      <c r="P300" s="260"/>
      <c r="Q300" s="259"/>
      <c r="R300" s="241"/>
      <c r="S300" s="49"/>
      <c r="T300" s="113"/>
      <c r="U300" s="260"/>
      <c r="V300" s="259"/>
      <c r="W300" s="241"/>
      <c r="X300" s="240"/>
      <c r="Y300" s="113"/>
      <c r="Z300" s="260"/>
      <c r="AA300" s="259"/>
      <c r="AB300" s="241"/>
      <c r="AC300" s="240"/>
      <c r="AD300" s="113"/>
      <c r="AE300" s="270"/>
      <c r="AF300" s="271"/>
      <c r="AG300" s="245"/>
      <c r="AH300" s="240"/>
      <c r="AI300" s="113"/>
      <c r="AJ300" s="270"/>
      <c r="AK300" s="271"/>
      <c r="AL300" s="245"/>
      <c r="AM300" s="246"/>
      <c r="AN300" s="32"/>
      <c r="AO300" s="12"/>
      <c r="AP300" s="12"/>
      <c r="AQ300" s="12"/>
      <c r="AR300" s="12"/>
      <c r="AS300" s="12"/>
      <c r="AT300" s="12"/>
      <c r="AU300" s="12"/>
      <c r="AV300" s="42"/>
      <c r="AW300" s="44"/>
      <c r="AX300" s="13"/>
      <c r="AY300" s="3"/>
      <c r="AZ300" s="1"/>
      <c r="BA300" s="1"/>
      <c r="BB300" s="4"/>
      <c r="BC300" s="53"/>
    </row>
    <row r="301" spans="1:55" s="25" customFormat="1" x14ac:dyDescent="0.25">
      <c r="A301" s="261"/>
      <c r="B301" s="260"/>
      <c r="C301" s="271"/>
      <c r="D301" s="240"/>
      <c r="E301" s="241"/>
      <c r="F301" s="113"/>
      <c r="G301" s="260"/>
      <c r="H301" s="259"/>
      <c r="I301" s="240"/>
      <c r="J301" s="113"/>
      <c r="K301" s="270"/>
      <c r="L301" s="259"/>
      <c r="M301" s="241"/>
      <c r="N301" s="49"/>
      <c r="O301" s="113"/>
      <c r="P301" s="260"/>
      <c r="Q301" s="259"/>
      <c r="R301" s="241"/>
      <c r="S301" s="49"/>
      <c r="T301" s="113"/>
      <c r="U301" s="260"/>
      <c r="V301" s="259"/>
      <c r="W301" s="241"/>
      <c r="X301" s="240"/>
      <c r="Y301" s="113"/>
      <c r="Z301" s="260"/>
      <c r="AA301" s="259"/>
      <c r="AB301" s="241"/>
      <c r="AC301" s="240"/>
      <c r="AD301" s="113"/>
      <c r="AE301" s="270"/>
      <c r="AF301" s="271"/>
      <c r="AG301" s="245"/>
      <c r="AH301" s="240"/>
      <c r="AI301" s="113"/>
      <c r="AJ301" s="270"/>
      <c r="AK301" s="271"/>
      <c r="AL301" s="245"/>
      <c r="AM301" s="246"/>
      <c r="AN301" s="32"/>
      <c r="AO301" s="12"/>
      <c r="AP301" s="12"/>
      <c r="AQ301" s="12"/>
      <c r="AR301" s="12"/>
      <c r="AS301" s="12"/>
      <c r="AT301" s="12"/>
      <c r="AU301" s="12"/>
      <c r="AV301" s="42"/>
      <c r="AW301" s="44"/>
      <c r="AX301" s="11"/>
      <c r="AY301" s="3"/>
      <c r="AZ301" s="1"/>
      <c r="BA301" s="1"/>
      <c r="BB301" s="4"/>
      <c r="BC301" s="53"/>
    </row>
    <row r="302" spans="1:55" s="25" customFormat="1" x14ac:dyDescent="0.25">
      <c r="A302" s="261"/>
      <c r="B302" s="260"/>
      <c r="C302" s="271"/>
      <c r="D302" s="240"/>
      <c r="E302" s="241"/>
      <c r="F302" s="113"/>
      <c r="G302" s="260"/>
      <c r="H302" s="259"/>
      <c r="I302" s="240"/>
      <c r="J302" s="113"/>
      <c r="K302" s="270"/>
      <c r="L302" s="259"/>
      <c r="M302" s="241"/>
      <c r="N302" s="49"/>
      <c r="O302" s="113"/>
      <c r="P302" s="260"/>
      <c r="Q302" s="259"/>
      <c r="R302" s="241"/>
      <c r="S302" s="49"/>
      <c r="T302" s="113"/>
      <c r="U302" s="260"/>
      <c r="V302" s="259"/>
      <c r="W302" s="241"/>
      <c r="X302" s="240"/>
      <c r="Y302" s="113"/>
      <c r="Z302" s="260"/>
      <c r="AA302" s="259"/>
      <c r="AB302" s="241"/>
      <c r="AC302" s="240"/>
      <c r="AD302" s="113"/>
      <c r="AE302" s="270"/>
      <c r="AF302" s="271"/>
      <c r="AG302" s="245"/>
      <c r="AH302" s="240"/>
      <c r="AI302" s="113"/>
      <c r="AJ302" s="270"/>
      <c r="AK302" s="271"/>
      <c r="AL302" s="245"/>
      <c r="AM302" s="246"/>
      <c r="AN302" s="32"/>
      <c r="AO302" s="12"/>
      <c r="AP302" s="12"/>
      <c r="AQ302" s="12"/>
      <c r="AR302" s="12"/>
      <c r="AS302" s="12"/>
      <c r="AT302" s="12"/>
      <c r="AU302" s="12"/>
      <c r="AV302" s="42"/>
      <c r="AW302" s="44"/>
      <c r="AX302" s="13"/>
      <c r="AY302" s="3"/>
      <c r="AZ302" s="1"/>
      <c r="BA302" s="1"/>
      <c r="BB302" s="4"/>
      <c r="BC302" s="53"/>
    </row>
    <row r="303" spans="1:55" s="25" customFormat="1" x14ac:dyDescent="0.25">
      <c r="A303" s="261"/>
      <c r="B303" s="260"/>
      <c r="C303" s="271"/>
      <c r="D303" s="240"/>
      <c r="E303" s="24"/>
      <c r="F303" s="113"/>
      <c r="G303" s="260"/>
      <c r="H303" s="259"/>
      <c r="I303" s="240"/>
      <c r="J303" s="113"/>
      <c r="K303" s="270"/>
      <c r="L303" s="259"/>
      <c r="M303" s="241"/>
      <c r="N303" s="49"/>
      <c r="O303" s="113"/>
      <c r="P303" s="260"/>
      <c r="Q303" s="259"/>
      <c r="R303" s="241"/>
      <c r="S303" s="49"/>
      <c r="T303" s="113"/>
      <c r="U303" s="260"/>
      <c r="V303" s="259"/>
      <c r="W303" s="241"/>
      <c r="X303" s="240"/>
      <c r="Y303" s="113"/>
      <c r="Z303" s="260"/>
      <c r="AA303" s="259"/>
      <c r="AB303" s="241"/>
      <c r="AC303" s="240"/>
      <c r="AD303" s="113"/>
      <c r="AE303" s="270"/>
      <c r="AF303" s="271"/>
      <c r="AG303" s="245"/>
      <c r="AH303" s="240"/>
      <c r="AI303" s="113"/>
      <c r="AJ303" s="270"/>
      <c r="AK303" s="271"/>
      <c r="AL303" s="245"/>
      <c r="AM303" s="246"/>
      <c r="AN303" s="32"/>
      <c r="AO303" s="12"/>
      <c r="AP303" s="12"/>
      <c r="AQ303" s="12"/>
      <c r="AR303" s="12"/>
      <c r="AS303" s="12"/>
      <c r="AT303" s="12"/>
      <c r="AU303" s="12"/>
      <c r="AV303" s="42"/>
      <c r="AW303" s="44"/>
      <c r="AX303" s="13"/>
      <c r="AY303" s="3"/>
      <c r="AZ303" s="1"/>
      <c r="BA303" s="1"/>
      <c r="BB303" s="4"/>
    </row>
    <row r="304" spans="1:55" s="25" customFormat="1" x14ac:dyDescent="0.25">
      <c r="A304" s="261"/>
      <c r="B304" s="260"/>
      <c r="C304" s="271"/>
      <c r="D304" s="240"/>
      <c r="E304" s="19"/>
      <c r="F304" s="113"/>
      <c r="G304" s="260"/>
      <c r="H304" s="259"/>
      <c r="I304" s="240"/>
      <c r="J304" s="113"/>
      <c r="K304" s="270"/>
      <c r="L304" s="259"/>
      <c r="M304" s="241"/>
      <c r="N304" s="19"/>
      <c r="O304" s="113"/>
      <c r="P304" s="260"/>
      <c r="Q304" s="259"/>
      <c r="R304" s="241"/>
      <c r="S304" s="19"/>
      <c r="T304" s="113"/>
      <c r="U304" s="260"/>
      <c r="V304" s="259"/>
      <c r="W304" s="241"/>
      <c r="X304" s="19"/>
      <c r="Y304" s="113"/>
      <c r="Z304" s="260"/>
      <c r="AA304" s="259"/>
      <c r="AB304" s="241"/>
      <c r="AC304" s="19"/>
      <c r="AD304" s="113"/>
      <c r="AE304" s="270"/>
      <c r="AF304" s="271"/>
      <c r="AG304" s="245"/>
      <c r="AH304" s="19"/>
      <c r="AI304" s="113"/>
      <c r="AJ304" s="270"/>
      <c r="AK304" s="271"/>
      <c r="AL304" s="245"/>
      <c r="AM304" s="16"/>
      <c r="AN304" s="32"/>
      <c r="AO304" s="12"/>
      <c r="AP304" s="12"/>
      <c r="AQ304" s="12"/>
      <c r="AR304" s="12"/>
      <c r="AS304" s="12"/>
      <c r="AT304" s="12"/>
      <c r="AU304" s="12"/>
      <c r="AV304" s="42"/>
      <c r="AW304" s="44"/>
      <c r="AX304" s="13"/>
      <c r="AY304" s="3"/>
      <c r="AZ304" s="1"/>
      <c r="BA304" s="1"/>
      <c r="BB304" s="4"/>
    </row>
    <row r="305" spans="1:54" s="25" customFormat="1" x14ac:dyDescent="0.25">
      <c r="A305" s="261"/>
      <c r="B305" s="260"/>
      <c r="C305" s="271"/>
      <c r="D305" s="240"/>
      <c r="E305" s="241"/>
      <c r="F305" s="113"/>
      <c r="G305" s="260"/>
      <c r="H305" s="259"/>
      <c r="I305" s="240"/>
      <c r="J305" s="113"/>
      <c r="K305" s="270"/>
      <c r="L305" s="259"/>
      <c r="M305" s="241"/>
      <c r="N305" s="241"/>
      <c r="O305" s="113"/>
      <c r="P305" s="260"/>
      <c r="Q305" s="259"/>
      <c r="R305" s="241"/>
      <c r="S305" s="241"/>
      <c r="T305" s="113"/>
      <c r="U305" s="260"/>
      <c r="V305" s="259"/>
      <c r="W305" s="241"/>
      <c r="X305" s="241"/>
      <c r="Y305" s="113"/>
      <c r="Z305" s="260"/>
      <c r="AA305" s="259"/>
      <c r="AB305" s="241"/>
      <c r="AC305" s="241"/>
      <c r="AD305" s="113"/>
      <c r="AE305" s="270"/>
      <c r="AF305" s="271"/>
      <c r="AG305" s="245"/>
      <c r="AH305" s="241"/>
      <c r="AI305" s="113"/>
      <c r="AJ305" s="270"/>
      <c r="AK305" s="271"/>
      <c r="AL305" s="245"/>
      <c r="AM305" s="245"/>
      <c r="AN305" s="32"/>
      <c r="AO305" s="12"/>
      <c r="AP305" s="12"/>
      <c r="AQ305" s="12"/>
      <c r="AR305" s="12"/>
      <c r="AS305" s="12"/>
      <c r="AT305" s="12"/>
      <c r="AU305" s="12"/>
      <c r="AV305" s="42"/>
      <c r="AW305" s="44"/>
      <c r="AX305" s="66"/>
      <c r="AY305" s="3"/>
      <c r="AZ305" s="1"/>
      <c r="BA305" s="1"/>
      <c r="BB305" s="4"/>
    </row>
    <row r="306" spans="1:54" s="25" customFormat="1" x14ac:dyDescent="0.25">
      <c r="A306" s="261"/>
      <c r="B306" s="260"/>
      <c r="C306" s="271"/>
      <c r="D306" s="240"/>
      <c r="E306" s="241"/>
      <c r="F306" s="113"/>
      <c r="G306" s="260"/>
      <c r="H306" s="259"/>
      <c r="I306" s="240"/>
      <c r="J306" s="113"/>
      <c r="K306" s="270"/>
      <c r="L306" s="259"/>
      <c r="M306" s="241"/>
      <c r="N306" s="241"/>
      <c r="O306" s="113"/>
      <c r="P306" s="260"/>
      <c r="Q306" s="259"/>
      <c r="R306" s="241"/>
      <c r="S306" s="241"/>
      <c r="T306" s="113"/>
      <c r="U306" s="260"/>
      <c r="V306" s="259"/>
      <c r="W306" s="241"/>
      <c r="X306" s="241"/>
      <c r="Y306" s="113"/>
      <c r="Z306" s="260"/>
      <c r="AA306" s="259"/>
      <c r="AB306" s="241"/>
      <c r="AC306" s="241"/>
      <c r="AD306" s="113"/>
      <c r="AE306" s="270"/>
      <c r="AF306" s="271"/>
      <c r="AG306" s="245"/>
      <c r="AH306" s="241"/>
      <c r="AI306" s="113"/>
      <c r="AJ306" s="270"/>
      <c r="AK306" s="271"/>
      <c r="AL306" s="245"/>
      <c r="AM306" s="245"/>
      <c r="AN306" s="32"/>
      <c r="AO306" s="12"/>
      <c r="AP306" s="12"/>
      <c r="AQ306" s="12"/>
      <c r="AR306" s="12"/>
      <c r="AS306" s="12"/>
      <c r="AT306" s="12"/>
      <c r="AU306" s="12"/>
      <c r="AV306" s="42"/>
      <c r="AW306" s="44"/>
      <c r="AX306" s="65"/>
      <c r="AY306" s="3"/>
      <c r="AZ306" s="1"/>
      <c r="BA306" s="1"/>
      <c r="BB306" s="4"/>
    </row>
    <row r="307" spans="1:54" s="25" customFormat="1" x14ac:dyDescent="0.25">
      <c r="A307" s="261"/>
      <c r="B307" s="260"/>
      <c r="C307" s="271"/>
      <c r="D307" s="240"/>
      <c r="E307" s="241"/>
      <c r="F307" s="113"/>
      <c r="G307" s="260"/>
      <c r="H307" s="259"/>
      <c r="I307" s="240"/>
      <c r="J307" s="113"/>
      <c r="K307" s="270"/>
      <c r="L307" s="259"/>
      <c r="M307" s="241"/>
      <c r="N307" s="241"/>
      <c r="O307" s="113"/>
      <c r="P307" s="260"/>
      <c r="Q307" s="259"/>
      <c r="R307" s="241"/>
      <c r="S307" s="241"/>
      <c r="T307" s="113"/>
      <c r="U307" s="260"/>
      <c r="V307" s="259"/>
      <c r="W307" s="241"/>
      <c r="X307" s="241"/>
      <c r="Y307" s="113"/>
      <c r="Z307" s="260"/>
      <c r="AA307" s="259"/>
      <c r="AB307" s="241"/>
      <c r="AC307" s="241"/>
      <c r="AD307" s="113"/>
      <c r="AE307" s="270"/>
      <c r="AF307" s="271"/>
      <c r="AG307" s="245"/>
      <c r="AH307" s="241"/>
      <c r="AI307" s="113"/>
      <c r="AJ307" s="270"/>
      <c r="AK307" s="271"/>
      <c r="AL307" s="245"/>
      <c r="AM307" s="245"/>
      <c r="AN307" s="32"/>
      <c r="AO307" s="12"/>
      <c r="AP307" s="12"/>
      <c r="AQ307" s="12"/>
      <c r="AR307" s="12"/>
      <c r="AS307" s="12"/>
      <c r="AT307" s="12"/>
      <c r="AU307" s="12"/>
      <c r="AV307" s="42"/>
      <c r="AW307" s="44"/>
      <c r="AX307" s="11"/>
      <c r="AY307" s="3"/>
      <c r="AZ307" s="1"/>
      <c r="BA307" s="1"/>
      <c r="BB307" s="4"/>
    </row>
    <row r="308" spans="1:54" s="25" customFormat="1" x14ac:dyDescent="0.25">
      <c r="A308" s="261"/>
      <c r="B308" s="260"/>
      <c r="C308" s="271"/>
      <c r="D308" s="240"/>
      <c r="E308" s="24"/>
      <c r="F308" s="113"/>
      <c r="G308" s="260"/>
      <c r="H308" s="259"/>
      <c r="I308" s="240"/>
      <c r="J308" s="113"/>
      <c r="K308" s="270"/>
      <c r="L308" s="259"/>
      <c r="M308" s="241"/>
      <c r="N308" s="49"/>
      <c r="O308" s="113"/>
      <c r="P308" s="260"/>
      <c r="Q308" s="259"/>
      <c r="R308" s="241"/>
      <c r="S308" s="56"/>
      <c r="T308" s="113"/>
      <c r="U308" s="260"/>
      <c r="V308" s="259"/>
      <c r="W308" s="241"/>
      <c r="X308" s="240"/>
      <c r="Y308" s="113"/>
      <c r="Z308" s="260"/>
      <c r="AA308" s="259"/>
      <c r="AB308" s="241"/>
      <c r="AC308" s="241"/>
      <c r="AD308" s="113"/>
      <c r="AE308" s="270"/>
      <c r="AF308" s="271"/>
      <c r="AG308" s="245"/>
      <c r="AH308" s="241"/>
      <c r="AI308" s="113"/>
      <c r="AJ308" s="270"/>
      <c r="AK308" s="271"/>
      <c r="AL308" s="245"/>
      <c r="AM308" s="245"/>
      <c r="AN308" s="32"/>
      <c r="AO308" s="12"/>
      <c r="AP308" s="12"/>
      <c r="AQ308" s="12"/>
      <c r="AR308" s="12"/>
      <c r="AS308" s="12"/>
      <c r="AT308" s="12"/>
      <c r="AU308" s="12"/>
      <c r="AV308" s="42"/>
      <c r="AW308" s="44"/>
      <c r="AX308" s="13"/>
      <c r="AY308" s="3"/>
      <c r="AZ308" s="1"/>
      <c r="BA308" s="1"/>
      <c r="BB308" s="4"/>
    </row>
    <row r="309" spans="1:54" s="25" customFormat="1" x14ac:dyDescent="0.25">
      <c r="A309" s="261"/>
      <c r="B309" s="260"/>
      <c r="C309" s="271"/>
      <c r="D309" s="240"/>
      <c r="E309" s="24"/>
      <c r="F309" s="113"/>
      <c r="G309" s="260"/>
      <c r="H309" s="259"/>
      <c r="I309" s="240"/>
      <c r="J309" s="113"/>
      <c r="K309" s="270"/>
      <c r="L309" s="259"/>
      <c r="M309" s="241"/>
      <c r="N309" s="49"/>
      <c r="O309" s="113"/>
      <c r="P309" s="260"/>
      <c r="Q309" s="259"/>
      <c r="R309" s="241"/>
      <c r="S309" s="56"/>
      <c r="T309" s="113"/>
      <c r="U309" s="260"/>
      <c r="V309" s="259"/>
      <c r="W309" s="241"/>
      <c r="X309" s="240"/>
      <c r="Y309" s="113"/>
      <c r="Z309" s="260"/>
      <c r="AA309" s="259"/>
      <c r="AB309" s="241"/>
      <c r="AC309" s="241"/>
      <c r="AD309" s="113"/>
      <c r="AE309" s="270"/>
      <c r="AF309" s="271"/>
      <c r="AG309" s="245"/>
      <c r="AH309" s="241"/>
      <c r="AI309" s="113"/>
      <c r="AJ309" s="270"/>
      <c r="AK309" s="271"/>
      <c r="AL309" s="245"/>
      <c r="AM309" s="245"/>
      <c r="AN309" s="32"/>
      <c r="AO309" s="12"/>
      <c r="AP309" s="12"/>
      <c r="AQ309" s="12"/>
      <c r="AR309" s="12"/>
      <c r="AS309" s="12"/>
      <c r="AT309" s="12"/>
      <c r="AU309" s="12"/>
      <c r="AV309" s="42"/>
      <c r="AW309" s="44"/>
      <c r="AX309" s="13"/>
      <c r="AY309" s="3"/>
      <c r="AZ309" s="1"/>
      <c r="BA309" s="2"/>
      <c r="BB309" s="3"/>
    </row>
    <row r="310" spans="1:54" s="25" customFormat="1" x14ac:dyDescent="0.25">
      <c r="A310" s="261">
        <v>47</v>
      </c>
      <c r="B310" s="260">
        <v>1.55</v>
      </c>
      <c r="C310" s="259">
        <v>10.029999999999999</v>
      </c>
      <c r="D310" s="56"/>
      <c r="E310" s="24"/>
      <c r="F310" s="113"/>
      <c r="G310" s="260">
        <v>1.24</v>
      </c>
      <c r="H310" s="259">
        <v>9.64</v>
      </c>
      <c r="I310" s="240"/>
      <c r="J310" s="113"/>
      <c r="K310" s="260">
        <v>0.62</v>
      </c>
      <c r="L310" s="259">
        <v>10.02</v>
      </c>
      <c r="M310" s="241"/>
      <c r="N310" s="19"/>
      <c r="O310" s="113"/>
      <c r="P310" s="241">
        <v>0.11</v>
      </c>
      <c r="Q310" s="240">
        <v>9.99</v>
      </c>
      <c r="R310" s="241"/>
      <c r="S310" s="240"/>
      <c r="T310" s="113"/>
      <c r="U310" s="260">
        <v>0.63</v>
      </c>
      <c r="V310" s="259">
        <v>10.050000000000001</v>
      </c>
      <c r="W310" s="241"/>
      <c r="X310" s="240"/>
      <c r="Y310" s="113"/>
      <c r="Z310" s="260"/>
      <c r="AA310" s="259"/>
      <c r="AB310" s="241"/>
      <c r="AC310" s="241"/>
      <c r="AD310" s="113"/>
      <c r="AE310" s="270"/>
      <c r="AF310" s="271"/>
      <c r="AG310" s="245"/>
      <c r="AH310" s="241"/>
      <c r="AI310" s="113"/>
      <c r="AJ310" s="245">
        <v>0.04</v>
      </c>
      <c r="AK310" s="246">
        <v>10.15</v>
      </c>
      <c r="AL310" s="245"/>
      <c r="AM310" s="245"/>
      <c r="AN310" s="32"/>
      <c r="AO310" s="12"/>
      <c r="AP310" s="12"/>
      <c r="AQ310" s="12"/>
      <c r="AR310" s="12"/>
      <c r="AS310" s="12"/>
      <c r="AT310" s="12"/>
      <c r="AU310" s="12"/>
      <c r="AV310" s="42"/>
      <c r="AW310" s="44"/>
      <c r="AX310" s="13"/>
      <c r="AY310" s="3"/>
      <c r="AZ310" s="1"/>
      <c r="BA310" s="2"/>
      <c r="BB310" s="3"/>
    </row>
    <row r="311" spans="1:54" s="25" customFormat="1" x14ac:dyDescent="0.25">
      <c r="A311" s="261"/>
      <c r="B311" s="260"/>
      <c r="C311" s="259"/>
      <c r="D311" s="241"/>
      <c r="E311" s="241"/>
      <c r="F311" s="113"/>
      <c r="G311" s="260"/>
      <c r="H311" s="259"/>
      <c r="I311" s="240"/>
      <c r="J311" s="113"/>
      <c r="K311" s="260"/>
      <c r="L311" s="259"/>
      <c r="M311" s="241"/>
      <c r="N311" s="24"/>
      <c r="O311" s="113"/>
      <c r="P311" s="241">
        <v>0.16</v>
      </c>
      <c r="Q311" s="240">
        <v>10.02</v>
      </c>
      <c r="R311" s="241"/>
      <c r="S311" s="24"/>
      <c r="T311" s="113"/>
      <c r="U311" s="260"/>
      <c r="V311" s="259"/>
      <c r="W311" s="241"/>
      <c r="X311" s="8"/>
      <c r="Y311" s="113"/>
      <c r="Z311" s="260"/>
      <c r="AA311" s="259"/>
      <c r="AB311" s="241"/>
      <c r="AC311" s="8"/>
      <c r="AD311" s="113"/>
      <c r="AE311" s="270"/>
      <c r="AF311" s="271"/>
      <c r="AG311" s="245"/>
      <c r="AH311" s="8"/>
      <c r="AI311" s="113"/>
      <c r="AJ311" s="270">
        <v>0.09</v>
      </c>
      <c r="AK311" s="271">
        <v>10.23</v>
      </c>
      <c r="AL311" s="245"/>
      <c r="AM311" s="18"/>
      <c r="AN311" s="32"/>
      <c r="AO311" s="12"/>
      <c r="AP311" s="12"/>
      <c r="AQ311" s="12"/>
      <c r="AR311" s="12"/>
      <c r="AS311" s="12"/>
      <c r="AT311" s="12"/>
      <c r="AU311" s="12"/>
      <c r="AV311" s="42"/>
      <c r="AW311" s="44"/>
      <c r="AX311" s="65"/>
      <c r="AY311" s="3"/>
      <c r="AZ311" s="1"/>
      <c r="BA311" s="1"/>
      <c r="BB311" s="4"/>
    </row>
    <row r="312" spans="1:54" s="25" customFormat="1" x14ac:dyDescent="0.25">
      <c r="A312" s="261"/>
      <c r="B312" s="260"/>
      <c r="C312" s="259"/>
      <c r="D312" s="56"/>
      <c r="E312" s="24"/>
      <c r="F312" s="113"/>
      <c r="G312" s="260"/>
      <c r="H312" s="259"/>
      <c r="I312" s="240"/>
      <c r="J312" s="113"/>
      <c r="K312" s="260">
        <v>1.97</v>
      </c>
      <c r="L312" s="259">
        <v>10.15</v>
      </c>
      <c r="M312" s="56"/>
      <c r="N312" s="24"/>
      <c r="O312" s="113"/>
      <c r="P312" s="260">
        <v>1.94</v>
      </c>
      <c r="Q312" s="259">
        <v>10.130000000000001</v>
      </c>
      <c r="R312" s="56"/>
      <c r="S312" s="24"/>
      <c r="T312" s="113"/>
      <c r="U312" s="260"/>
      <c r="V312" s="259"/>
      <c r="W312" s="56"/>
      <c r="X312" s="24"/>
      <c r="Y312" s="113"/>
      <c r="Z312" s="260">
        <v>0.48</v>
      </c>
      <c r="AA312" s="259">
        <v>10.050000000000001</v>
      </c>
      <c r="AB312" s="56"/>
      <c r="AC312" s="24"/>
      <c r="AD312" s="113"/>
      <c r="AE312" s="270">
        <v>1.04</v>
      </c>
      <c r="AF312" s="271">
        <v>9.49</v>
      </c>
      <c r="AG312" s="245"/>
      <c r="AH312" s="24"/>
      <c r="AI312" s="113"/>
      <c r="AJ312" s="270"/>
      <c r="AK312" s="271"/>
      <c r="AL312" s="245"/>
      <c r="AM312" s="91"/>
      <c r="AN312" s="32"/>
      <c r="AO312" s="12"/>
      <c r="AP312" s="12"/>
      <c r="AQ312" s="12"/>
      <c r="AR312" s="12"/>
      <c r="AS312" s="12"/>
      <c r="AT312" s="12"/>
      <c r="AU312" s="12"/>
      <c r="AV312" s="12"/>
      <c r="AW312" s="12"/>
      <c r="AX312" s="65"/>
      <c r="AY312" s="4"/>
      <c r="AZ312" s="1"/>
      <c r="BA312" s="1"/>
      <c r="BB312" s="4"/>
    </row>
    <row r="313" spans="1:54" s="25" customFormat="1" x14ac:dyDescent="0.25">
      <c r="A313" s="261"/>
      <c r="B313" s="260"/>
      <c r="C313" s="259"/>
      <c r="D313" s="56"/>
      <c r="E313" s="24"/>
      <c r="F313" s="113"/>
      <c r="G313" s="260"/>
      <c r="H313" s="259"/>
      <c r="I313" s="240"/>
      <c r="J313" s="113"/>
      <c r="K313" s="260"/>
      <c r="L313" s="259"/>
      <c r="M313" s="56"/>
      <c r="N313" s="24"/>
      <c r="O313" s="113"/>
      <c r="P313" s="260"/>
      <c r="Q313" s="259"/>
      <c r="R313" s="56"/>
      <c r="S313" s="24"/>
      <c r="T313" s="113"/>
      <c r="U313" s="260"/>
      <c r="V313" s="259"/>
      <c r="W313" s="56"/>
      <c r="X313" s="24"/>
      <c r="Y313" s="113"/>
      <c r="Z313" s="260"/>
      <c r="AA313" s="259"/>
      <c r="AB313" s="56"/>
      <c r="AC313" s="24"/>
      <c r="AD313" s="113"/>
      <c r="AE313" s="270"/>
      <c r="AF313" s="271"/>
      <c r="AG313" s="245"/>
      <c r="AH313" s="24"/>
      <c r="AI313" s="113"/>
      <c r="AJ313" s="270">
        <v>0.09</v>
      </c>
      <c r="AK313" s="271">
        <v>10.27</v>
      </c>
      <c r="AL313" s="245"/>
      <c r="AM313" s="91"/>
      <c r="AN313" s="32"/>
      <c r="AO313" s="12"/>
      <c r="AP313" s="12"/>
      <c r="AQ313" s="12"/>
      <c r="AR313" s="12"/>
      <c r="AS313" s="12"/>
      <c r="AT313" s="12"/>
      <c r="AU313" s="12"/>
      <c r="AV313" s="42"/>
      <c r="AW313" s="44"/>
      <c r="AX313" s="13"/>
      <c r="AY313" s="4"/>
      <c r="AZ313" s="1"/>
      <c r="BA313" s="1"/>
      <c r="BB313" s="4"/>
    </row>
    <row r="314" spans="1:54" s="25" customFormat="1" x14ac:dyDescent="0.25">
      <c r="A314" s="261"/>
      <c r="B314" s="260"/>
      <c r="C314" s="259"/>
      <c r="D314" s="56"/>
      <c r="E314" s="24"/>
      <c r="F314" s="113"/>
      <c r="G314" s="260"/>
      <c r="H314" s="259"/>
      <c r="I314" s="240"/>
      <c r="J314" s="113"/>
      <c r="K314" s="260"/>
      <c r="L314" s="259"/>
      <c r="M314" s="241">
        <f>R314</f>
        <v>0.33</v>
      </c>
      <c r="N314" s="70" t="s">
        <v>412</v>
      </c>
      <c r="O314" s="113"/>
      <c r="P314" s="260"/>
      <c r="Q314" s="259"/>
      <c r="R314" s="241">
        <v>0.33</v>
      </c>
      <c r="S314" s="70" t="s">
        <v>523</v>
      </c>
      <c r="T314" s="113"/>
      <c r="U314" s="260"/>
      <c r="V314" s="259"/>
      <c r="W314" s="241">
        <v>0.21</v>
      </c>
      <c r="X314" s="70" t="s">
        <v>261</v>
      </c>
      <c r="Y314" s="113"/>
      <c r="Z314" s="260"/>
      <c r="AA314" s="259"/>
      <c r="AB314" s="56"/>
      <c r="AC314" s="24"/>
      <c r="AD314" s="113"/>
      <c r="AE314" s="270"/>
      <c r="AF314" s="271"/>
      <c r="AG314" s="245"/>
      <c r="AH314" s="24"/>
      <c r="AI314" s="113"/>
      <c r="AJ314" s="270"/>
      <c r="AK314" s="271"/>
      <c r="AL314" s="245"/>
      <c r="AM314" s="91"/>
      <c r="AN314" s="32"/>
      <c r="AO314" s="12"/>
      <c r="AP314" s="12"/>
      <c r="AQ314" s="12"/>
      <c r="AR314" s="12"/>
      <c r="AS314" s="12"/>
      <c r="AT314" s="12"/>
      <c r="AU314" s="12"/>
      <c r="AV314" s="42"/>
      <c r="AW314" s="44"/>
      <c r="AX314" s="13"/>
      <c r="AY314" s="4"/>
      <c r="AZ314" s="1"/>
      <c r="BA314" s="1"/>
      <c r="BB314" s="4"/>
    </row>
    <row r="315" spans="1:54" s="25" customFormat="1" x14ac:dyDescent="0.25">
      <c r="A315" s="261"/>
      <c r="B315" s="260"/>
      <c r="C315" s="259"/>
      <c r="D315" s="241">
        <v>0.05</v>
      </c>
      <c r="E315" s="7" t="s">
        <v>172</v>
      </c>
      <c r="F315" s="113"/>
      <c r="G315" s="260"/>
      <c r="H315" s="259"/>
      <c r="I315" s="240"/>
      <c r="J315" s="113"/>
      <c r="K315" s="260"/>
      <c r="L315" s="259"/>
      <c r="M315" s="241"/>
      <c r="N315" s="246"/>
      <c r="O315" s="113"/>
      <c r="P315" s="260"/>
      <c r="Q315" s="259"/>
      <c r="R315" s="241"/>
      <c r="S315" s="246"/>
      <c r="T315" s="113"/>
      <c r="U315" s="260"/>
      <c r="V315" s="259"/>
      <c r="W315" s="241"/>
      <c r="X315" s="24"/>
      <c r="Y315" s="113"/>
      <c r="Z315" s="260"/>
      <c r="AA315" s="259"/>
      <c r="AB315" s="56"/>
      <c r="AC315" s="24"/>
      <c r="AD315" s="113"/>
      <c r="AE315" s="270"/>
      <c r="AF315" s="271"/>
      <c r="AG315" s="245"/>
      <c r="AH315" s="24"/>
      <c r="AI315" s="113"/>
      <c r="AJ315" s="270"/>
      <c r="AK315" s="271"/>
      <c r="AL315" s="245"/>
      <c r="AM315" s="91"/>
      <c r="AN315" s="32"/>
      <c r="AO315" s="12"/>
      <c r="AP315" s="12"/>
      <c r="AQ315" s="12"/>
      <c r="AR315" s="12"/>
      <c r="AS315" s="12"/>
      <c r="AT315" s="12"/>
      <c r="AU315" s="12"/>
      <c r="AV315" s="42"/>
      <c r="AW315" s="44"/>
      <c r="AX315" s="13"/>
      <c r="AY315" s="4"/>
      <c r="AZ315" s="1"/>
      <c r="BA315" s="1"/>
      <c r="BB315" s="4"/>
    </row>
    <row r="316" spans="1:54" s="25" customFormat="1" x14ac:dyDescent="0.25">
      <c r="A316" s="261"/>
      <c r="B316" s="260"/>
      <c r="C316" s="259"/>
      <c r="D316" s="258">
        <f>B310-D317-D320-D319-D318-D315-D324</f>
        <v>0.61999999999999988</v>
      </c>
      <c r="E316" s="7" t="s">
        <v>77</v>
      </c>
      <c r="F316" s="113"/>
      <c r="G316" s="260"/>
      <c r="H316" s="259"/>
      <c r="I316" s="240"/>
      <c r="J316" s="113"/>
      <c r="K316" s="260"/>
      <c r="L316" s="259"/>
      <c r="M316" s="241">
        <f>K312-M320-M319-M314-M317</f>
        <v>0.96</v>
      </c>
      <c r="N316" s="75" t="s">
        <v>167</v>
      </c>
      <c r="O316" s="113"/>
      <c r="P316" s="260"/>
      <c r="Q316" s="259"/>
      <c r="R316" s="241">
        <f>P312-R320-R319-R314</f>
        <v>0.93999999999999972</v>
      </c>
      <c r="S316" s="75" t="s">
        <v>167</v>
      </c>
      <c r="T316" s="113"/>
      <c r="U316" s="260"/>
      <c r="V316" s="259"/>
      <c r="W316" s="241"/>
      <c r="X316" s="24"/>
      <c r="Y316" s="113"/>
      <c r="Z316" s="260"/>
      <c r="AA316" s="259"/>
      <c r="AB316" s="56"/>
      <c r="AC316" s="24"/>
      <c r="AD316" s="113"/>
      <c r="AE316" s="270"/>
      <c r="AF316" s="271"/>
      <c r="AG316" s="245"/>
      <c r="AH316" s="24"/>
      <c r="AI316" s="113"/>
      <c r="AJ316" s="270"/>
      <c r="AK316" s="271"/>
      <c r="AL316" s="245"/>
      <c r="AM316" s="91"/>
      <c r="AN316" s="32"/>
      <c r="AO316" s="12"/>
      <c r="AP316" s="12"/>
      <c r="AQ316" s="12"/>
      <c r="AR316" s="12"/>
      <c r="AS316" s="12"/>
      <c r="AT316" s="12"/>
      <c r="AU316" s="12"/>
      <c r="AV316" s="42"/>
      <c r="AW316" s="44"/>
      <c r="AX316" s="13"/>
      <c r="AY316" s="4"/>
      <c r="AZ316" s="1"/>
      <c r="BA316" s="1"/>
      <c r="BB316" s="4"/>
    </row>
    <row r="317" spans="1:54" s="25" customFormat="1" x14ac:dyDescent="0.25">
      <c r="A317" s="261"/>
      <c r="B317" s="260"/>
      <c r="C317" s="259"/>
      <c r="D317" s="241">
        <v>0.01</v>
      </c>
      <c r="E317" s="249" t="s">
        <v>91</v>
      </c>
      <c r="F317" s="113"/>
      <c r="G317" s="260"/>
      <c r="H317" s="259"/>
      <c r="I317" s="240"/>
      <c r="J317" s="113"/>
      <c r="K317" s="260"/>
      <c r="L317" s="259"/>
      <c r="M317" s="241">
        <v>0.01</v>
      </c>
      <c r="N317" s="249" t="s">
        <v>91</v>
      </c>
      <c r="O317" s="113"/>
      <c r="P317" s="260"/>
      <c r="Q317" s="259"/>
      <c r="R317" s="241"/>
      <c r="S317" s="246"/>
      <c r="T317" s="113"/>
      <c r="U317" s="260"/>
      <c r="V317" s="259"/>
      <c r="W317" s="241"/>
      <c r="X317" s="24"/>
      <c r="Y317" s="113"/>
      <c r="Z317" s="260"/>
      <c r="AA317" s="259"/>
      <c r="AB317" s="56"/>
      <c r="AC317" s="24"/>
      <c r="AD317" s="113"/>
      <c r="AE317" s="270"/>
      <c r="AF317" s="271"/>
      <c r="AG317" s="245"/>
      <c r="AH317" s="24"/>
      <c r="AI317" s="113"/>
      <c r="AJ317" s="270"/>
      <c r="AK317" s="271"/>
      <c r="AL317" s="245"/>
      <c r="AM317" s="91"/>
      <c r="AN317" s="32"/>
      <c r="AO317" s="12"/>
      <c r="AP317" s="12"/>
      <c r="AQ317" s="12"/>
      <c r="AR317" s="12"/>
      <c r="AS317" s="12"/>
      <c r="AT317" s="12"/>
      <c r="AU317" s="12"/>
      <c r="AV317" s="42"/>
      <c r="AW317" s="44"/>
      <c r="AX317" s="4"/>
      <c r="AY317" s="4"/>
      <c r="AZ317" s="1"/>
      <c r="BA317" s="1"/>
      <c r="BB317" s="4"/>
    </row>
    <row r="318" spans="1:54" s="25" customFormat="1" x14ac:dyDescent="0.25">
      <c r="A318" s="261"/>
      <c r="B318" s="260"/>
      <c r="C318" s="259"/>
      <c r="D318" s="241">
        <f>R263</f>
        <v>0.19999999999999996</v>
      </c>
      <c r="E318" s="70" t="s">
        <v>157</v>
      </c>
      <c r="F318" s="113"/>
      <c r="G318" s="260"/>
      <c r="H318" s="259"/>
      <c r="I318" s="240"/>
      <c r="J318" s="113"/>
      <c r="K318" s="260"/>
      <c r="L318" s="259"/>
      <c r="M318" s="56"/>
      <c r="N318" s="24"/>
      <c r="O318" s="113"/>
      <c r="P318" s="260"/>
      <c r="Q318" s="259"/>
      <c r="R318" s="24"/>
      <c r="S318" s="24"/>
      <c r="T318" s="113"/>
      <c r="U318" s="260"/>
      <c r="V318" s="259"/>
      <c r="W318" s="24"/>
      <c r="X318" s="24"/>
      <c r="Y318" s="113"/>
      <c r="Z318" s="260"/>
      <c r="AA318" s="259"/>
      <c r="AB318" s="56"/>
      <c r="AC318" s="24"/>
      <c r="AD318" s="113"/>
      <c r="AE318" s="270"/>
      <c r="AF318" s="271"/>
      <c r="AG318" s="245"/>
      <c r="AH318" s="24"/>
      <c r="AI318" s="113"/>
      <c r="AJ318" s="270"/>
      <c r="AK318" s="271"/>
      <c r="AL318" s="245"/>
      <c r="AM318" s="91"/>
      <c r="AN318" s="32"/>
      <c r="AO318" s="12"/>
      <c r="AP318" s="12"/>
      <c r="AQ318" s="12"/>
      <c r="AR318" s="12"/>
      <c r="AS318" s="12"/>
      <c r="AT318" s="12"/>
      <c r="AU318" s="12"/>
      <c r="AV318" s="42"/>
      <c r="AW318" s="44"/>
      <c r="AX318" s="11"/>
      <c r="AY318" s="4"/>
      <c r="AZ318" s="1"/>
      <c r="BA318" s="1"/>
      <c r="BB318" s="4"/>
    </row>
    <row r="319" spans="1:54" s="25" customFormat="1" x14ac:dyDescent="0.25">
      <c r="A319" s="261"/>
      <c r="B319" s="260"/>
      <c r="C319" s="259"/>
      <c r="D319" s="241">
        <v>0.3</v>
      </c>
      <c r="E319" s="70" t="s">
        <v>437</v>
      </c>
      <c r="F319" s="113"/>
      <c r="G319" s="260"/>
      <c r="H319" s="259"/>
      <c r="I319" s="240"/>
      <c r="J319" s="113"/>
      <c r="K319" s="260"/>
      <c r="L319" s="259"/>
      <c r="M319" s="241">
        <f>R319</f>
        <v>0.3</v>
      </c>
      <c r="N319" s="70" t="s">
        <v>437</v>
      </c>
      <c r="O319" s="113"/>
      <c r="P319" s="260"/>
      <c r="Q319" s="259"/>
      <c r="R319" s="241">
        <v>0.3</v>
      </c>
      <c r="S319" s="70" t="s">
        <v>499</v>
      </c>
      <c r="T319" s="113"/>
      <c r="U319" s="260"/>
      <c r="V319" s="259"/>
      <c r="W319" s="241">
        <v>0.21</v>
      </c>
      <c r="X319" s="70" t="s">
        <v>143</v>
      </c>
      <c r="Y319" s="113"/>
      <c r="Z319" s="260"/>
      <c r="AA319" s="259"/>
      <c r="AB319" s="241"/>
      <c r="AC319" s="19"/>
      <c r="AD319" s="113"/>
      <c r="AE319" s="270"/>
      <c r="AF319" s="271"/>
      <c r="AG319" s="245"/>
      <c r="AH319" s="19"/>
      <c r="AI319" s="113"/>
      <c r="AJ319" s="270"/>
      <c r="AK319" s="271"/>
      <c r="AL319" s="245"/>
      <c r="AM319" s="16"/>
      <c r="AN319" s="32"/>
      <c r="AO319" s="12"/>
      <c r="AP319" s="12"/>
      <c r="AQ319" s="12"/>
      <c r="AR319" s="12"/>
      <c r="AS319" s="12"/>
      <c r="AT319" s="12"/>
      <c r="AU319" s="12"/>
      <c r="AV319" s="42"/>
      <c r="AW319" s="44"/>
      <c r="AX319" s="69"/>
      <c r="AY319" s="4"/>
      <c r="AZ319" s="1"/>
      <c r="BA319" s="1"/>
      <c r="BB319" s="4"/>
    </row>
    <row r="320" spans="1:54" s="25" customFormat="1" x14ac:dyDescent="0.25">
      <c r="A320" s="261"/>
      <c r="B320" s="260"/>
      <c r="C320" s="259"/>
      <c r="D320" s="257">
        <f>0.37</f>
        <v>0.37</v>
      </c>
      <c r="E320" s="81" t="s">
        <v>411</v>
      </c>
      <c r="F320" s="113"/>
      <c r="G320" s="260"/>
      <c r="H320" s="259"/>
      <c r="I320" s="240"/>
      <c r="J320" s="113"/>
      <c r="K320" s="260"/>
      <c r="L320" s="259"/>
      <c r="M320" s="241">
        <f>R320</f>
        <v>0.37</v>
      </c>
      <c r="N320" s="81" t="s">
        <v>411</v>
      </c>
      <c r="O320" s="113"/>
      <c r="P320" s="260"/>
      <c r="Q320" s="259"/>
      <c r="R320" s="241">
        <v>0.37</v>
      </c>
      <c r="S320" s="81" t="s">
        <v>525</v>
      </c>
      <c r="T320" s="113"/>
      <c r="U320" s="260"/>
      <c r="V320" s="259"/>
      <c r="W320" s="241">
        <v>0.21</v>
      </c>
      <c r="X320" s="81" t="s">
        <v>144</v>
      </c>
      <c r="Y320" s="113"/>
      <c r="Z320" s="260"/>
      <c r="AA320" s="259"/>
      <c r="AB320" s="19"/>
      <c r="AC320" s="241"/>
      <c r="AD320" s="113"/>
      <c r="AE320" s="270"/>
      <c r="AF320" s="271"/>
      <c r="AG320" s="245"/>
      <c r="AH320" s="241"/>
      <c r="AI320" s="113"/>
      <c r="AJ320" s="270"/>
      <c r="AK320" s="271"/>
      <c r="AL320" s="245"/>
      <c r="AM320" s="245"/>
      <c r="AN320" s="32"/>
      <c r="AO320" s="12"/>
      <c r="AP320" s="12"/>
      <c r="AQ320" s="12"/>
      <c r="AR320" s="12"/>
      <c r="AS320" s="12"/>
      <c r="AT320" s="12"/>
      <c r="AU320" s="12"/>
      <c r="AV320" s="42"/>
      <c r="AW320" s="44"/>
      <c r="AX320" s="13"/>
      <c r="AY320" s="4"/>
      <c r="AZ320" s="1"/>
      <c r="BA320" s="1"/>
      <c r="BB320" s="4"/>
    </row>
    <row r="321" spans="1:54" s="25" customFormat="1" x14ac:dyDescent="0.25">
      <c r="A321" s="261"/>
      <c r="B321" s="260"/>
      <c r="C321" s="259"/>
      <c r="D321" s="241"/>
      <c r="E321" s="241"/>
      <c r="F321" s="113"/>
      <c r="G321" s="260"/>
      <c r="H321" s="259"/>
      <c r="I321" s="240"/>
      <c r="J321" s="113"/>
      <c r="K321" s="260"/>
      <c r="L321" s="259"/>
      <c r="M321" s="241"/>
      <c r="N321" s="241"/>
      <c r="O321" s="113"/>
      <c r="P321" s="260"/>
      <c r="Q321" s="259"/>
      <c r="R321" s="56"/>
      <c r="S321" s="24"/>
      <c r="T321" s="113"/>
      <c r="U321" s="260"/>
      <c r="V321" s="259"/>
      <c r="W321" s="56"/>
      <c r="X321" s="24"/>
      <c r="Y321" s="113"/>
      <c r="Z321" s="260"/>
      <c r="AA321" s="259"/>
      <c r="AB321" s="241"/>
      <c r="AC321" s="241"/>
      <c r="AD321" s="113"/>
      <c r="AE321" s="270"/>
      <c r="AF321" s="271"/>
      <c r="AG321" s="245"/>
      <c r="AH321" s="241"/>
      <c r="AI321" s="113"/>
      <c r="AJ321" s="270"/>
      <c r="AK321" s="271"/>
      <c r="AL321" s="245"/>
      <c r="AM321" s="245"/>
      <c r="AN321" s="32"/>
      <c r="AO321" s="12"/>
      <c r="AP321" s="12"/>
      <c r="AQ321" s="12"/>
      <c r="AR321" s="12"/>
      <c r="AS321" s="12"/>
      <c r="AT321" s="12"/>
      <c r="AU321" s="12"/>
      <c r="AV321" s="42"/>
      <c r="AW321" s="44"/>
      <c r="AX321" s="11"/>
      <c r="AY321" s="4"/>
      <c r="AZ321" s="1"/>
      <c r="BA321" s="1"/>
      <c r="BB321" s="4"/>
    </row>
    <row r="322" spans="1:54" s="25" customFormat="1" x14ac:dyDescent="0.25">
      <c r="A322" s="261"/>
      <c r="B322" s="260"/>
      <c r="C322" s="259"/>
      <c r="D322" s="241"/>
      <c r="E322" s="241"/>
      <c r="F322" s="113"/>
      <c r="G322" s="260"/>
      <c r="H322" s="259"/>
      <c r="I322" s="240"/>
      <c r="J322" s="113"/>
      <c r="K322" s="260"/>
      <c r="L322" s="259"/>
      <c r="M322" s="241"/>
      <c r="N322" s="241"/>
      <c r="O322" s="113"/>
      <c r="P322" s="260"/>
      <c r="Q322" s="259"/>
      <c r="R322" s="241"/>
      <c r="S322" s="241"/>
      <c r="T322" s="113"/>
      <c r="U322" s="260"/>
      <c r="V322" s="259"/>
      <c r="W322" s="241"/>
      <c r="X322" s="241"/>
      <c r="Y322" s="113"/>
      <c r="Z322" s="260"/>
      <c r="AA322" s="259"/>
      <c r="AB322" s="241"/>
      <c r="AC322" s="241"/>
      <c r="AD322" s="113"/>
      <c r="AE322" s="270"/>
      <c r="AF322" s="271"/>
      <c r="AG322" s="245"/>
      <c r="AH322" s="241"/>
      <c r="AI322" s="113"/>
      <c r="AJ322" s="270"/>
      <c r="AK322" s="271"/>
      <c r="AL322" s="245"/>
      <c r="AM322" s="245"/>
      <c r="AN322" s="32"/>
      <c r="AO322" s="12"/>
      <c r="AP322" s="12"/>
      <c r="AQ322" s="12"/>
      <c r="AR322" s="12"/>
      <c r="AS322" s="12"/>
      <c r="AT322" s="12"/>
      <c r="AU322" s="12"/>
      <c r="AV322" s="42"/>
      <c r="AW322" s="44"/>
      <c r="AX322" s="11"/>
      <c r="AY322" s="4"/>
      <c r="AZ322" s="1"/>
      <c r="BA322" s="1"/>
      <c r="BB322" s="4"/>
    </row>
    <row r="323" spans="1:54" s="25" customFormat="1" x14ac:dyDescent="0.25">
      <c r="A323" s="261"/>
      <c r="B323" s="260"/>
      <c r="C323" s="259"/>
      <c r="D323" s="240"/>
      <c r="E323" s="241"/>
      <c r="F323" s="113"/>
      <c r="G323" s="260"/>
      <c r="H323" s="259"/>
      <c r="I323" s="240"/>
      <c r="J323" s="113"/>
      <c r="K323" s="260"/>
      <c r="L323" s="259"/>
      <c r="M323" s="241"/>
      <c r="N323" s="241"/>
      <c r="O323" s="113"/>
      <c r="P323" s="260"/>
      <c r="Q323" s="259"/>
      <c r="R323" s="241"/>
      <c r="S323" s="241"/>
      <c r="T323" s="113"/>
      <c r="U323" s="260"/>
      <c r="V323" s="259"/>
      <c r="W323" s="241"/>
      <c r="X323" s="241"/>
      <c r="Y323" s="113"/>
      <c r="Z323" s="260"/>
      <c r="AA323" s="259"/>
      <c r="AB323" s="241"/>
      <c r="AC323" s="241"/>
      <c r="AD323" s="113"/>
      <c r="AE323" s="270"/>
      <c r="AF323" s="271"/>
      <c r="AG323" s="245"/>
      <c r="AH323" s="241"/>
      <c r="AI323" s="113"/>
      <c r="AJ323" s="270"/>
      <c r="AK323" s="271"/>
      <c r="AL323" s="245"/>
      <c r="AM323" s="245"/>
      <c r="AN323" s="32"/>
      <c r="AO323" s="12"/>
      <c r="AP323" s="12"/>
      <c r="AQ323" s="12"/>
      <c r="AR323" s="12"/>
      <c r="AS323" s="12"/>
      <c r="AT323" s="12"/>
      <c r="AU323" s="12"/>
      <c r="AV323" s="42"/>
      <c r="AW323" s="44"/>
      <c r="AX323" s="13"/>
      <c r="AY323" s="4"/>
      <c r="AZ323" s="1"/>
      <c r="BA323" s="1"/>
      <c r="BB323" s="4"/>
    </row>
    <row r="324" spans="1:54" s="25" customFormat="1" x14ac:dyDescent="0.25">
      <c r="A324" s="261"/>
      <c r="B324" s="260"/>
      <c r="C324" s="259"/>
      <c r="D324" s="241"/>
      <c r="E324" s="246"/>
      <c r="F324" s="113"/>
      <c r="G324" s="260"/>
      <c r="H324" s="259"/>
      <c r="I324" s="240"/>
      <c r="J324" s="113"/>
      <c r="K324" s="260"/>
      <c r="L324" s="259"/>
      <c r="M324" s="56"/>
      <c r="N324" s="24"/>
      <c r="O324" s="113"/>
      <c r="P324" s="260"/>
      <c r="Q324" s="259"/>
      <c r="R324" s="56"/>
      <c r="S324" s="24"/>
      <c r="T324" s="113"/>
      <c r="U324" s="260"/>
      <c r="V324" s="259"/>
      <c r="W324" s="56"/>
      <c r="X324" s="24"/>
      <c r="Y324" s="113"/>
      <c r="Z324" s="260"/>
      <c r="AA324" s="259"/>
      <c r="AB324" s="241"/>
      <c r="AC324" s="19"/>
      <c r="AD324" s="113"/>
      <c r="AE324" s="270"/>
      <c r="AF324" s="271"/>
      <c r="AG324" s="245"/>
      <c r="AH324" s="19"/>
      <c r="AI324" s="113"/>
      <c r="AJ324" s="245">
        <v>0.08</v>
      </c>
      <c r="AK324" s="246">
        <v>10.34</v>
      </c>
      <c r="AL324" s="245"/>
      <c r="AM324" s="16"/>
      <c r="AN324" s="32"/>
      <c r="AO324" s="12"/>
      <c r="AP324" s="12"/>
      <c r="AQ324" s="12"/>
      <c r="AR324" s="12"/>
      <c r="AS324" s="12"/>
      <c r="AT324" s="12"/>
      <c r="AU324" s="12"/>
      <c r="AV324" s="42"/>
      <c r="AW324" s="44"/>
      <c r="AX324" s="13"/>
      <c r="AY324" s="1"/>
      <c r="AZ324" s="1"/>
      <c r="BA324" s="2"/>
      <c r="BB324" s="3"/>
    </row>
    <row r="325" spans="1:54" s="25" customFormat="1" x14ac:dyDescent="0.25">
      <c r="A325" s="261">
        <v>48</v>
      </c>
      <c r="B325" s="260">
        <v>2.2999999999999998</v>
      </c>
      <c r="C325" s="259">
        <v>10.18</v>
      </c>
      <c r="D325" s="240"/>
      <c r="E325" s="19"/>
      <c r="F325" s="113"/>
      <c r="G325" s="260">
        <v>2.44</v>
      </c>
      <c r="H325" s="259">
        <v>9.77</v>
      </c>
      <c r="I325" s="240"/>
      <c r="J325" s="113"/>
      <c r="K325" s="260">
        <v>2.1</v>
      </c>
      <c r="L325" s="259">
        <v>10.26</v>
      </c>
      <c r="M325" s="241"/>
      <c r="N325" s="19"/>
      <c r="O325" s="113"/>
      <c r="P325" s="260">
        <v>2.23</v>
      </c>
      <c r="Q325" s="259">
        <v>10.25</v>
      </c>
      <c r="R325" s="241"/>
      <c r="S325" s="19"/>
      <c r="T325" s="113"/>
      <c r="U325" s="260">
        <v>0.95</v>
      </c>
      <c r="V325" s="259">
        <v>10.23</v>
      </c>
      <c r="W325" s="241"/>
      <c r="X325" s="19"/>
      <c r="Y325" s="113"/>
      <c r="Z325" s="260">
        <v>1.23</v>
      </c>
      <c r="AA325" s="259">
        <v>10.29</v>
      </c>
      <c r="AB325" s="241"/>
      <c r="AC325" s="19"/>
      <c r="AD325" s="113"/>
      <c r="AE325" s="270"/>
      <c r="AF325" s="271"/>
      <c r="AG325" s="245"/>
      <c r="AH325" s="19"/>
      <c r="AI325" s="113"/>
      <c r="AJ325" s="270">
        <v>7.0000000000000007E-2</v>
      </c>
      <c r="AK325" s="271">
        <v>10.4</v>
      </c>
      <c r="AL325" s="245"/>
      <c r="AM325" s="16"/>
      <c r="AN325" s="32"/>
      <c r="AO325" s="12"/>
      <c r="AP325" s="12"/>
      <c r="AQ325" s="12"/>
      <c r="AR325" s="12"/>
      <c r="AS325" s="12"/>
      <c r="AT325" s="12"/>
      <c r="AU325" s="12"/>
      <c r="AV325" s="42"/>
      <c r="AW325" s="44"/>
      <c r="AX325" s="13"/>
      <c r="AY325" s="1"/>
      <c r="AZ325" s="1"/>
      <c r="BA325" s="2"/>
      <c r="BB325" s="3"/>
    </row>
    <row r="326" spans="1:54" s="25" customFormat="1" x14ac:dyDescent="0.25">
      <c r="A326" s="261"/>
      <c r="B326" s="260"/>
      <c r="C326" s="259"/>
      <c r="D326" s="240"/>
      <c r="E326" s="19"/>
      <c r="F326" s="113"/>
      <c r="G326" s="260"/>
      <c r="H326" s="259"/>
      <c r="I326" s="240"/>
      <c r="J326" s="113"/>
      <c r="K326" s="260"/>
      <c r="L326" s="259"/>
      <c r="M326" s="241"/>
      <c r="N326" s="19"/>
      <c r="O326" s="113"/>
      <c r="P326" s="260"/>
      <c r="Q326" s="259"/>
      <c r="R326" s="241"/>
      <c r="S326" s="19"/>
      <c r="T326" s="113"/>
      <c r="U326" s="260"/>
      <c r="V326" s="259"/>
      <c r="W326" s="241"/>
      <c r="X326" s="19"/>
      <c r="Y326" s="113"/>
      <c r="Z326" s="260"/>
      <c r="AA326" s="259"/>
      <c r="AB326" s="241"/>
      <c r="AC326" s="19"/>
      <c r="AD326" s="113"/>
      <c r="AE326" s="270"/>
      <c r="AF326" s="271"/>
      <c r="AG326" s="245"/>
      <c r="AH326" s="19"/>
      <c r="AI326" s="113"/>
      <c r="AJ326" s="270"/>
      <c r="AK326" s="271"/>
      <c r="AL326" s="245"/>
      <c r="AM326" s="16"/>
      <c r="AN326" s="32"/>
      <c r="AO326" s="12"/>
      <c r="AP326" s="12"/>
      <c r="AQ326" s="12"/>
      <c r="AR326" s="12"/>
      <c r="AS326" s="12"/>
      <c r="AT326" s="12"/>
      <c r="AU326" s="12"/>
      <c r="AV326" s="42"/>
      <c r="AW326" s="44"/>
      <c r="AX326" s="13"/>
      <c r="AY326" s="1"/>
      <c r="AZ326" s="1"/>
      <c r="BA326" s="2"/>
      <c r="BB326" s="3"/>
    </row>
    <row r="327" spans="1:54" s="25" customFormat="1" x14ac:dyDescent="0.25">
      <c r="A327" s="261"/>
      <c r="B327" s="260"/>
      <c r="C327" s="259"/>
      <c r="D327" s="240"/>
      <c r="E327" s="241"/>
      <c r="F327" s="113"/>
      <c r="G327" s="260"/>
      <c r="H327" s="259"/>
      <c r="I327" s="240"/>
      <c r="J327" s="113"/>
      <c r="K327" s="260"/>
      <c r="L327" s="259"/>
      <c r="M327" s="241"/>
      <c r="N327" s="241"/>
      <c r="O327" s="113"/>
      <c r="P327" s="260"/>
      <c r="Q327" s="259"/>
      <c r="R327" s="241"/>
      <c r="S327" s="241"/>
      <c r="T327" s="113"/>
      <c r="U327" s="260"/>
      <c r="V327" s="259"/>
      <c r="W327" s="241"/>
      <c r="X327" s="8"/>
      <c r="Y327" s="113"/>
      <c r="Z327" s="260"/>
      <c r="AA327" s="259"/>
      <c r="AB327" s="241"/>
      <c r="AC327" s="8"/>
      <c r="AD327" s="113"/>
      <c r="AE327" s="270"/>
      <c r="AF327" s="271"/>
      <c r="AG327" s="245">
        <v>0.2</v>
      </c>
      <c r="AH327" s="15" t="s">
        <v>100</v>
      </c>
      <c r="AI327" s="113"/>
      <c r="AJ327" s="270"/>
      <c r="AK327" s="271"/>
      <c r="AL327" s="245">
        <f>AJ324</f>
        <v>0.08</v>
      </c>
      <c r="AM327" s="15" t="s">
        <v>100</v>
      </c>
      <c r="AN327" s="32"/>
      <c r="AO327" s="12"/>
      <c r="AP327" s="12"/>
      <c r="AQ327" s="12"/>
      <c r="AR327" s="12"/>
      <c r="AS327" s="12"/>
      <c r="AT327" s="12"/>
      <c r="AU327" s="12"/>
      <c r="AV327" s="42"/>
      <c r="AW327" s="44"/>
      <c r="AX327" s="4"/>
      <c r="AY327" s="1"/>
      <c r="AZ327" s="1"/>
      <c r="BA327" s="2"/>
      <c r="BB327" s="3"/>
    </row>
    <row r="328" spans="1:54" s="25" customFormat="1" x14ac:dyDescent="0.25">
      <c r="A328" s="261"/>
      <c r="B328" s="260"/>
      <c r="C328" s="259"/>
      <c r="D328" s="240"/>
      <c r="E328" s="241"/>
      <c r="F328" s="113"/>
      <c r="G328" s="260"/>
      <c r="H328" s="259"/>
      <c r="I328" s="240"/>
      <c r="J328" s="113"/>
      <c r="K328" s="260"/>
      <c r="L328" s="259"/>
      <c r="M328" s="241">
        <f>K325-M337-M339</f>
        <v>0.70000000000000018</v>
      </c>
      <c r="N328" s="249" t="s">
        <v>69</v>
      </c>
      <c r="O328" s="113"/>
      <c r="P328" s="260"/>
      <c r="Q328" s="259"/>
      <c r="R328" s="241">
        <f>AB328</f>
        <v>0.9</v>
      </c>
      <c r="S328" s="249" t="s">
        <v>69</v>
      </c>
      <c r="T328" s="113"/>
      <c r="U328" s="260"/>
      <c r="V328" s="259"/>
      <c r="W328" s="241">
        <f>U325</f>
        <v>0.95</v>
      </c>
      <c r="X328" s="249" t="s">
        <v>69</v>
      </c>
      <c r="Y328" s="113"/>
      <c r="Z328" s="260"/>
      <c r="AA328" s="259"/>
      <c r="AB328" s="241">
        <v>0.9</v>
      </c>
      <c r="AC328" s="249" t="s">
        <v>69</v>
      </c>
      <c r="AD328" s="113"/>
      <c r="AE328" s="270"/>
      <c r="AF328" s="271"/>
      <c r="AG328" s="245">
        <f>AE312-AG327</f>
        <v>0.84000000000000008</v>
      </c>
      <c r="AH328" s="249" t="s">
        <v>69</v>
      </c>
      <c r="AI328" s="113"/>
      <c r="AJ328" s="270"/>
      <c r="AK328" s="271"/>
      <c r="AL328" s="245">
        <f>AJ325</f>
        <v>7.0000000000000007E-2</v>
      </c>
      <c r="AM328" s="249" t="s">
        <v>69</v>
      </c>
      <c r="AN328" s="32"/>
      <c r="AO328" s="12"/>
      <c r="AP328" s="12"/>
      <c r="AQ328" s="12"/>
      <c r="AR328" s="12"/>
      <c r="AS328" s="12"/>
      <c r="AT328" s="12"/>
      <c r="AU328" s="12"/>
      <c r="AV328" s="42"/>
      <c r="AW328" s="44"/>
      <c r="AX328" s="11"/>
      <c r="AY328" s="1"/>
      <c r="AZ328" s="1"/>
      <c r="BA328" s="2"/>
      <c r="BB328" s="3"/>
    </row>
    <row r="329" spans="1:54" s="25" customFormat="1" x14ac:dyDescent="0.25">
      <c r="A329" s="261"/>
      <c r="B329" s="260"/>
      <c r="C329" s="259"/>
      <c r="D329" s="240"/>
      <c r="E329" s="241"/>
      <c r="F329" s="113"/>
      <c r="G329" s="260"/>
      <c r="H329" s="259"/>
      <c r="I329" s="240"/>
      <c r="J329" s="113"/>
      <c r="K329" s="260"/>
      <c r="L329" s="259"/>
      <c r="M329" s="241"/>
      <c r="N329" s="241"/>
      <c r="O329" s="113"/>
      <c r="P329" s="260"/>
      <c r="Q329" s="259"/>
      <c r="R329" s="241"/>
      <c r="S329" s="241"/>
      <c r="T329" s="113"/>
      <c r="U329" s="260"/>
      <c r="V329" s="259"/>
      <c r="W329" s="241"/>
      <c r="X329" s="24"/>
      <c r="Y329" s="113"/>
      <c r="Z329" s="260"/>
      <c r="AA329" s="259"/>
      <c r="AB329" s="56"/>
      <c r="AC329" s="24"/>
      <c r="AD329" s="113"/>
      <c r="AE329" s="245"/>
      <c r="AF329" s="246"/>
      <c r="AG329" s="245"/>
      <c r="AH329" s="24"/>
      <c r="AI329" s="113"/>
      <c r="AJ329" s="270"/>
      <c r="AK329" s="271"/>
      <c r="AL329" s="245"/>
      <c r="AM329" s="91"/>
      <c r="AN329" s="32"/>
      <c r="AO329" s="12"/>
      <c r="AP329" s="12"/>
      <c r="AQ329" s="12"/>
      <c r="AR329" s="12"/>
      <c r="AS329" s="12"/>
      <c r="AT329" s="12"/>
      <c r="AU329" s="12"/>
      <c r="AV329" s="42"/>
      <c r="AW329" s="44"/>
      <c r="AX329" s="11"/>
      <c r="AY329" s="1"/>
      <c r="AZ329" s="1"/>
      <c r="BA329" s="2"/>
      <c r="BB329" s="3"/>
    </row>
    <row r="330" spans="1:54" s="25" customFormat="1" x14ac:dyDescent="0.25">
      <c r="A330" s="261"/>
      <c r="B330" s="260"/>
      <c r="C330" s="259"/>
      <c r="D330" s="240"/>
      <c r="E330" s="19"/>
      <c r="F330" s="113"/>
      <c r="G330" s="260"/>
      <c r="H330" s="259"/>
      <c r="I330" s="240"/>
      <c r="J330" s="113"/>
      <c r="K330" s="260"/>
      <c r="L330" s="259"/>
      <c r="M330" s="241"/>
      <c r="N330" s="8"/>
      <c r="O330" s="113"/>
      <c r="P330" s="260"/>
      <c r="Q330" s="259"/>
      <c r="R330" s="241"/>
      <c r="S330" s="240"/>
      <c r="T330" s="113"/>
      <c r="U330" s="260"/>
      <c r="V330" s="259"/>
      <c r="W330" s="241"/>
      <c r="X330" s="24"/>
      <c r="Y330" s="113"/>
      <c r="Z330" s="260"/>
      <c r="AA330" s="259"/>
      <c r="AB330" s="56"/>
      <c r="AC330" s="24"/>
      <c r="AD330" s="113"/>
      <c r="AE330" s="245"/>
      <c r="AF330" s="246"/>
      <c r="AG330" s="245"/>
      <c r="AH330" s="24"/>
      <c r="AI330" s="113"/>
      <c r="AJ330" s="270"/>
      <c r="AK330" s="271"/>
      <c r="AL330" s="245"/>
      <c r="AM330" s="91"/>
      <c r="AN330" s="32"/>
      <c r="AO330" s="12"/>
      <c r="AP330" s="12"/>
      <c r="AQ330" s="12"/>
      <c r="AR330" s="12"/>
      <c r="AS330" s="12"/>
      <c r="AT330" s="12"/>
      <c r="AU330" s="12"/>
      <c r="AV330" s="42"/>
      <c r="AW330" s="44"/>
      <c r="AX330" s="11"/>
      <c r="AY330" s="1"/>
      <c r="AZ330" s="1"/>
      <c r="BA330" s="2"/>
      <c r="BB330" s="3"/>
    </row>
    <row r="331" spans="1:54" s="25" customFormat="1" ht="14.25" customHeight="1" x14ac:dyDescent="0.25">
      <c r="A331" s="261"/>
      <c r="B331" s="260"/>
      <c r="C331" s="259"/>
      <c r="D331" s="240"/>
      <c r="E331" s="82"/>
      <c r="F331" s="113"/>
      <c r="G331" s="260"/>
      <c r="H331" s="259"/>
      <c r="I331" s="240"/>
      <c r="J331" s="113"/>
      <c r="K331" s="260"/>
      <c r="L331" s="259"/>
      <c r="M331" s="241"/>
      <c r="N331" s="24"/>
      <c r="O331" s="113"/>
      <c r="P331" s="260"/>
      <c r="Q331" s="259"/>
      <c r="R331" s="241"/>
      <c r="S331" s="8"/>
      <c r="T331" s="113"/>
      <c r="U331" s="260"/>
      <c r="V331" s="259"/>
      <c r="W331" s="241"/>
      <c r="X331" s="8"/>
      <c r="Y331" s="113"/>
      <c r="Z331" s="260"/>
      <c r="AA331" s="259"/>
      <c r="AB331" s="241"/>
      <c r="AC331" s="8"/>
      <c r="AD331" s="113"/>
      <c r="AE331" s="245"/>
      <c r="AF331" s="246"/>
      <c r="AG331" s="245"/>
      <c r="AH331" s="8"/>
      <c r="AI331" s="113"/>
      <c r="AJ331" s="270"/>
      <c r="AK331" s="271"/>
      <c r="AL331" s="245"/>
      <c r="AM331" s="18"/>
      <c r="AN331" s="32"/>
      <c r="AO331" s="12"/>
      <c r="AP331" s="12"/>
      <c r="AQ331" s="12"/>
      <c r="AR331" s="12"/>
      <c r="AS331" s="12"/>
      <c r="AT331" s="12"/>
      <c r="AU331" s="12"/>
      <c r="AV331" s="42"/>
      <c r="AW331" s="44"/>
      <c r="AX331" s="13"/>
      <c r="AY331" s="1"/>
      <c r="AZ331" s="1"/>
      <c r="BA331" s="2"/>
      <c r="BB331" s="3"/>
    </row>
    <row r="332" spans="1:54" s="25" customFormat="1" x14ac:dyDescent="0.25">
      <c r="A332" s="261"/>
      <c r="B332" s="260"/>
      <c r="C332" s="259"/>
      <c r="D332" s="240"/>
      <c r="E332" s="82"/>
      <c r="F332" s="113"/>
      <c r="G332" s="260"/>
      <c r="H332" s="259"/>
      <c r="I332" s="240"/>
      <c r="J332" s="113"/>
      <c r="K332" s="260"/>
      <c r="L332" s="259"/>
      <c r="M332" s="241"/>
      <c r="N332" s="24"/>
      <c r="O332" s="113"/>
      <c r="P332" s="260"/>
      <c r="Q332" s="259"/>
      <c r="R332" s="241"/>
      <c r="S332" s="240"/>
      <c r="T332" s="113"/>
      <c r="U332" s="260"/>
      <c r="V332" s="259"/>
      <c r="W332" s="241"/>
      <c r="X332" s="240"/>
      <c r="Y332" s="113"/>
      <c r="Z332" s="260"/>
      <c r="AA332" s="259"/>
      <c r="AB332" s="241"/>
      <c r="AC332" s="240"/>
      <c r="AD332" s="113"/>
      <c r="AE332" s="245"/>
      <c r="AF332" s="246"/>
      <c r="AG332" s="245"/>
      <c r="AH332" s="240"/>
      <c r="AI332" s="113"/>
      <c r="AJ332" s="270"/>
      <c r="AK332" s="271"/>
      <c r="AL332" s="245"/>
      <c r="AM332" s="246"/>
      <c r="AN332" s="32"/>
      <c r="AO332" s="12"/>
      <c r="AP332" s="12"/>
      <c r="AQ332" s="12"/>
      <c r="AR332" s="12"/>
      <c r="AS332" s="12"/>
      <c r="AT332" s="12"/>
      <c r="AU332" s="12"/>
      <c r="AV332" s="42"/>
      <c r="AW332" s="44"/>
      <c r="AX332" s="13"/>
      <c r="AY332" s="1"/>
      <c r="AZ332" s="1"/>
      <c r="BA332" s="2"/>
      <c r="BB332" s="3"/>
    </row>
    <row r="333" spans="1:54" s="25" customFormat="1" x14ac:dyDescent="0.25">
      <c r="A333" s="261"/>
      <c r="B333" s="260"/>
      <c r="C333" s="259"/>
      <c r="D333" s="240"/>
      <c r="E333" s="241"/>
      <c r="F333" s="113"/>
      <c r="G333" s="260"/>
      <c r="H333" s="259"/>
      <c r="I333" s="240"/>
      <c r="J333" s="113"/>
      <c r="K333" s="260"/>
      <c r="L333" s="259"/>
      <c r="M333" s="241"/>
      <c r="N333" s="24"/>
      <c r="O333" s="113"/>
      <c r="P333" s="260"/>
      <c r="Q333" s="259"/>
      <c r="R333" s="56"/>
      <c r="S333" s="24"/>
      <c r="T333" s="113"/>
      <c r="U333" s="260"/>
      <c r="V333" s="259"/>
      <c r="W333" s="241"/>
      <c r="X333" s="8"/>
      <c r="Y333" s="113"/>
      <c r="Z333" s="260"/>
      <c r="AA333" s="259"/>
      <c r="AB333" s="241"/>
      <c r="AC333" s="8"/>
      <c r="AD333" s="113"/>
      <c r="AE333" s="245"/>
      <c r="AF333" s="246"/>
      <c r="AG333" s="245"/>
      <c r="AH333" s="8"/>
      <c r="AI333" s="113"/>
      <c r="AJ333" s="270"/>
      <c r="AK333" s="271"/>
      <c r="AL333" s="245"/>
      <c r="AM333" s="18"/>
      <c r="AN333" s="32"/>
      <c r="AO333" s="12"/>
      <c r="AP333" s="12"/>
      <c r="AQ333" s="12"/>
      <c r="AR333" s="12"/>
      <c r="AS333" s="12"/>
      <c r="AT333" s="12"/>
      <c r="AU333" s="12"/>
      <c r="AV333" s="42"/>
      <c r="AW333" s="44"/>
      <c r="AX333" s="13"/>
      <c r="AY333" s="1"/>
      <c r="AZ333" s="1"/>
      <c r="BA333" s="2"/>
      <c r="BB333" s="3"/>
    </row>
    <row r="334" spans="1:54" s="25" customFormat="1" x14ac:dyDescent="0.25">
      <c r="A334" s="261"/>
      <c r="B334" s="260"/>
      <c r="C334" s="259"/>
      <c r="D334" s="240"/>
      <c r="E334" s="19"/>
      <c r="F334" s="113"/>
      <c r="G334" s="260"/>
      <c r="H334" s="259"/>
      <c r="I334" s="240"/>
      <c r="J334" s="113"/>
      <c r="K334" s="260"/>
      <c r="L334" s="259"/>
      <c r="M334" s="241"/>
      <c r="N334" s="24"/>
      <c r="O334" s="113"/>
      <c r="P334" s="260"/>
      <c r="Q334" s="259"/>
      <c r="R334" s="241"/>
      <c r="S334" s="24"/>
      <c r="T334" s="113"/>
      <c r="U334" s="260"/>
      <c r="V334" s="259"/>
      <c r="W334" s="241"/>
      <c r="X334" s="8"/>
      <c r="Y334" s="113"/>
      <c r="Z334" s="260"/>
      <c r="AA334" s="259"/>
      <c r="AB334" s="241"/>
      <c r="AC334" s="8"/>
      <c r="AD334" s="113"/>
      <c r="AE334" s="245"/>
      <c r="AF334" s="246"/>
      <c r="AG334" s="245"/>
      <c r="AH334" s="8"/>
      <c r="AI334" s="113"/>
      <c r="AJ334" s="270"/>
      <c r="AK334" s="271"/>
      <c r="AL334" s="245"/>
      <c r="AM334" s="18"/>
      <c r="AN334" s="32"/>
      <c r="AO334" s="12"/>
      <c r="AP334" s="12"/>
      <c r="AQ334" s="12"/>
      <c r="AR334" s="12"/>
      <c r="AS334" s="12"/>
      <c r="AT334" s="12"/>
      <c r="AU334" s="12"/>
      <c r="AV334" s="42"/>
      <c r="AW334" s="44"/>
      <c r="AX334" s="4"/>
      <c r="AY334" s="1"/>
      <c r="AZ334" s="1"/>
      <c r="BA334" s="2"/>
      <c r="BB334" s="3"/>
    </row>
    <row r="335" spans="1:54" s="25" customFormat="1" x14ac:dyDescent="0.25">
      <c r="A335" s="261"/>
      <c r="B335" s="260"/>
      <c r="C335" s="259"/>
      <c r="D335" s="240"/>
      <c r="E335" s="241"/>
      <c r="F335" s="113"/>
      <c r="G335" s="260"/>
      <c r="H335" s="259"/>
      <c r="I335" s="240"/>
      <c r="J335" s="113"/>
      <c r="K335" s="260"/>
      <c r="L335" s="259"/>
      <c r="M335" s="241"/>
      <c r="N335" s="24"/>
      <c r="O335" s="113"/>
      <c r="P335" s="260"/>
      <c r="Q335" s="259"/>
      <c r="R335" s="241"/>
      <c r="S335" s="24"/>
      <c r="T335" s="113"/>
      <c r="U335" s="260"/>
      <c r="V335" s="259"/>
      <c r="W335" s="241"/>
      <c r="X335" s="8"/>
      <c r="Y335" s="113"/>
      <c r="Z335" s="260"/>
      <c r="AA335" s="259"/>
      <c r="AB335" s="241"/>
      <c r="AC335" s="8"/>
      <c r="AD335" s="113"/>
      <c r="AE335" s="245"/>
      <c r="AF335" s="246"/>
      <c r="AG335" s="245"/>
      <c r="AH335" s="8"/>
      <c r="AI335" s="113"/>
      <c r="AJ335" s="270"/>
      <c r="AK335" s="271"/>
      <c r="AL335" s="245"/>
      <c r="AM335" s="18"/>
      <c r="AN335" s="32"/>
      <c r="AO335" s="12"/>
      <c r="AP335" s="12"/>
      <c r="AQ335" s="12"/>
      <c r="AR335" s="12"/>
      <c r="AS335" s="12"/>
      <c r="AT335" s="12"/>
      <c r="AU335" s="12"/>
      <c r="AV335" s="42"/>
      <c r="AW335" s="44"/>
      <c r="AX335" s="4"/>
      <c r="AY335" s="1"/>
      <c r="AZ335" s="1"/>
      <c r="BA335" s="2"/>
      <c r="BB335" s="3"/>
    </row>
    <row r="336" spans="1:54" s="25" customFormat="1" x14ac:dyDescent="0.25">
      <c r="A336" s="261"/>
      <c r="B336" s="260"/>
      <c r="C336" s="259"/>
      <c r="D336" s="240"/>
      <c r="E336" s="82"/>
      <c r="F336" s="113"/>
      <c r="G336" s="260"/>
      <c r="H336" s="259"/>
      <c r="I336" s="240"/>
      <c r="J336" s="113"/>
      <c r="K336" s="260"/>
      <c r="L336" s="259"/>
      <c r="M336" s="241"/>
      <c r="N336" s="24"/>
      <c r="O336" s="113"/>
      <c r="P336" s="260"/>
      <c r="Q336" s="259"/>
      <c r="R336" s="241"/>
      <c r="S336" s="24"/>
      <c r="T336" s="113"/>
      <c r="U336" s="260"/>
      <c r="V336" s="259"/>
      <c r="W336" s="241"/>
      <c r="X336" s="8"/>
      <c r="Y336" s="113"/>
      <c r="Z336" s="260"/>
      <c r="AA336" s="259"/>
      <c r="AB336" s="241"/>
      <c r="AC336" s="8"/>
      <c r="AD336" s="113"/>
      <c r="AE336" s="245"/>
      <c r="AF336" s="246"/>
      <c r="AG336" s="245"/>
      <c r="AH336" s="8"/>
      <c r="AI336" s="113"/>
      <c r="AJ336" s="270"/>
      <c r="AK336" s="271"/>
      <c r="AL336" s="245"/>
      <c r="AM336" s="18"/>
      <c r="AN336" s="32"/>
      <c r="AO336" s="12"/>
      <c r="AP336" s="12"/>
      <c r="AQ336" s="12"/>
      <c r="AR336" s="12"/>
      <c r="AS336" s="12"/>
      <c r="AT336" s="12"/>
      <c r="AU336" s="12"/>
      <c r="AV336" s="12"/>
      <c r="AW336" s="44"/>
      <c r="AX336" s="13"/>
      <c r="AY336" s="1"/>
      <c r="AZ336" s="1"/>
      <c r="BA336" s="2"/>
      <c r="BB336" s="3"/>
    </row>
    <row r="337" spans="1:54" s="25" customFormat="1" x14ac:dyDescent="0.25">
      <c r="A337" s="261"/>
      <c r="B337" s="260"/>
      <c r="C337" s="259"/>
      <c r="D337" s="241">
        <f>M337</f>
        <v>0.7</v>
      </c>
      <c r="E337" s="249" t="s">
        <v>214</v>
      </c>
      <c r="F337" s="113"/>
      <c r="G337" s="260"/>
      <c r="H337" s="259"/>
      <c r="I337" s="240"/>
      <c r="J337" s="113"/>
      <c r="K337" s="260"/>
      <c r="L337" s="259"/>
      <c r="M337" s="241">
        <v>0.7</v>
      </c>
      <c r="N337" s="249" t="s">
        <v>214</v>
      </c>
      <c r="O337" s="113"/>
      <c r="P337" s="260"/>
      <c r="Q337" s="259"/>
      <c r="R337" s="241">
        <f>M337</f>
        <v>0.7</v>
      </c>
      <c r="S337" s="249" t="s">
        <v>214</v>
      </c>
      <c r="T337" s="113"/>
      <c r="U337" s="260"/>
      <c r="V337" s="259"/>
      <c r="W337" s="241"/>
      <c r="X337" s="240"/>
      <c r="Y337" s="113"/>
      <c r="Z337" s="260"/>
      <c r="AA337" s="259"/>
      <c r="AB337" s="241"/>
      <c r="AC337" s="240"/>
      <c r="AD337" s="113"/>
      <c r="AE337" s="245"/>
      <c r="AF337" s="246"/>
      <c r="AG337" s="245"/>
      <c r="AH337" s="240"/>
      <c r="AI337" s="113"/>
      <c r="AJ337" s="270"/>
      <c r="AK337" s="271"/>
      <c r="AL337" s="245"/>
      <c r="AM337" s="246"/>
      <c r="AN337" s="32"/>
      <c r="AO337" s="12"/>
      <c r="AP337" s="12"/>
      <c r="AQ337" s="12"/>
      <c r="AR337" s="12"/>
      <c r="AS337" s="12"/>
      <c r="AT337" s="12"/>
      <c r="AU337" s="12"/>
      <c r="AV337" s="12"/>
      <c r="AW337" s="44"/>
      <c r="AX337" s="11"/>
      <c r="AY337" s="1"/>
      <c r="AZ337" s="1"/>
      <c r="BA337" s="2"/>
      <c r="BB337" s="3"/>
    </row>
    <row r="338" spans="1:54" s="25" customFormat="1" x14ac:dyDescent="0.25">
      <c r="A338" s="261"/>
      <c r="B338" s="260"/>
      <c r="C338" s="259"/>
      <c r="D338" s="240">
        <f>B325-D337-D339</f>
        <v>0.89999999999999991</v>
      </c>
      <c r="E338" s="249" t="s">
        <v>206</v>
      </c>
      <c r="F338" s="113"/>
      <c r="G338" s="260"/>
      <c r="H338" s="259"/>
      <c r="I338" s="240"/>
      <c r="J338" s="113"/>
      <c r="K338" s="260"/>
      <c r="L338" s="259"/>
      <c r="M338" s="56"/>
      <c r="N338" s="24"/>
      <c r="O338" s="113"/>
      <c r="P338" s="260"/>
      <c r="Q338" s="259"/>
      <c r="R338" s="241"/>
      <c r="S338" s="24"/>
      <c r="T338" s="113"/>
      <c r="U338" s="260"/>
      <c r="V338" s="259"/>
      <c r="W338" s="241"/>
      <c r="X338" s="8"/>
      <c r="Y338" s="113"/>
      <c r="Z338" s="260"/>
      <c r="AA338" s="259"/>
      <c r="AB338" s="241"/>
      <c r="AC338" s="8"/>
      <c r="AD338" s="113"/>
      <c r="AE338" s="245"/>
      <c r="AF338" s="246"/>
      <c r="AG338" s="245"/>
      <c r="AH338" s="8"/>
      <c r="AI338" s="113"/>
      <c r="AJ338" s="270"/>
      <c r="AK338" s="271"/>
      <c r="AL338" s="245"/>
      <c r="AM338" s="18"/>
      <c r="AN338" s="32"/>
      <c r="AO338" s="12"/>
      <c r="AP338" s="12"/>
      <c r="AQ338" s="12"/>
      <c r="AR338" s="12"/>
      <c r="AS338" s="12"/>
      <c r="AT338" s="12"/>
      <c r="AU338" s="12"/>
      <c r="AV338" s="42"/>
      <c r="AW338" s="44"/>
      <c r="AX338" s="13"/>
      <c r="AY338" s="1"/>
      <c r="AZ338" s="1"/>
      <c r="BA338" s="2"/>
      <c r="BB338" s="3"/>
    </row>
    <row r="339" spans="1:54" s="25" customFormat="1" x14ac:dyDescent="0.25">
      <c r="A339" s="261"/>
      <c r="B339" s="260"/>
      <c r="C339" s="259"/>
      <c r="D339" s="241">
        <f>M339</f>
        <v>0.7</v>
      </c>
      <c r="E339" s="249" t="s">
        <v>85</v>
      </c>
      <c r="F339" s="113"/>
      <c r="G339" s="260"/>
      <c r="H339" s="259"/>
      <c r="I339" s="240"/>
      <c r="J339" s="113"/>
      <c r="K339" s="260"/>
      <c r="L339" s="259"/>
      <c r="M339" s="241">
        <v>0.7</v>
      </c>
      <c r="N339" s="249" t="s">
        <v>85</v>
      </c>
      <c r="O339" s="113"/>
      <c r="P339" s="260"/>
      <c r="Q339" s="259"/>
      <c r="R339" s="241"/>
      <c r="S339" s="24"/>
      <c r="T339" s="113"/>
      <c r="U339" s="260"/>
      <c r="V339" s="259"/>
      <c r="W339" s="241"/>
      <c r="X339" s="8"/>
      <c r="Y339" s="113"/>
      <c r="Z339" s="260"/>
      <c r="AA339" s="259"/>
      <c r="AB339" s="241"/>
      <c r="AC339" s="8"/>
      <c r="AD339" s="113"/>
      <c r="AE339" s="245"/>
      <c r="AF339" s="246"/>
      <c r="AG339" s="245"/>
      <c r="AH339" s="18"/>
      <c r="AI339" s="113"/>
      <c r="AJ339" s="270"/>
      <c r="AK339" s="271"/>
      <c r="AL339" s="245"/>
      <c r="AM339" s="18"/>
      <c r="AN339" s="32"/>
      <c r="AO339" s="12"/>
      <c r="AP339" s="12"/>
      <c r="AQ339" s="12"/>
      <c r="AR339" s="12"/>
      <c r="AS339" s="12"/>
      <c r="AT339" s="12"/>
      <c r="AU339" s="12"/>
      <c r="AV339" s="12"/>
      <c r="AW339" s="44"/>
      <c r="AX339" s="4"/>
      <c r="AY339" s="1"/>
      <c r="AZ339" s="1"/>
      <c r="BA339" s="2"/>
      <c r="BB339" s="3"/>
    </row>
    <row r="340" spans="1:54" s="25" customFormat="1" x14ac:dyDescent="0.25">
      <c r="A340" s="261"/>
      <c r="B340" s="260"/>
      <c r="C340" s="259"/>
      <c r="D340" s="49"/>
      <c r="E340" s="24"/>
      <c r="F340" s="113"/>
      <c r="G340" s="241">
        <v>0.76</v>
      </c>
      <c r="H340" s="240">
        <v>9.89</v>
      </c>
      <c r="I340" s="240"/>
      <c r="J340" s="113"/>
      <c r="K340" s="260"/>
      <c r="L340" s="259"/>
      <c r="M340" s="241"/>
      <c r="N340" s="24"/>
      <c r="O340" s="113"/>
      <c r="P340" s="260"/>
      <c r="Q340" s="259"/>
      <c r="R340" s="241"/>
      <c r="S340" s="24"/>
      <c r="T340" s="113"/>
      <c r="U340" s="260"/>
      <c r="V340" s="259"/>
      <c r="W340" s="241"/>
      <c r="X340" s="8"/>
      <c r="Y340" s="113"/>
      <c r="Z340" s="260"/>
      <c r="AA340" s="259"/>
      <c r="AB340" s="241"/>
      <c r="AC340" s="8"/>
      <c r="AD340" s="113"/>
      <c r="AE340" s="245"/>
      <c r="AF340" s="246"/>
      <c r="AG340" s="245"/>
      <c r="AH340" s="18"/>
      <c r="AI340" s="113"/>
      <c r="AJ340" s="245">
        <v>0.42</v>
      </c>
      <c r="AK340" s="246">
        <v>10.47</v>
      </c>
      <c r="AL340" s="245"/>
      <c r="AM340" s="18"/>
      <c r="AN340" s="32"/>
      <c r="AO340" s="12"/>
      <c r="AP340" s="12"/>
      <c r="AQ340" s="12"/>
      <c r="AR340" s="12"/>
      <c r="AS340" s="12"/>
      <c r="AT340" s="12"/>
      <c r="AU340" s="12"/>
      <c r="AV340" s="12"/>
      <c r="AW340" s="12"/>
      <c r="AX340" s="65"/>
      <c r="AY340" s="1"/>
      <c r="AZ340" s="1"/>
      <c r="BA340" s="2"/>
      <c r="BB340" s="3"/>
    </row>
    <row r="341" spans="1:54" s="25" customFormat="1" x14ac:dyDescent="0.25">
      <c r="A341" s="261">
        <v>49</v>
      </c>
      <c r="B341" s="260">
        <v>0.32</v>
      </c>
      <c r="C341" s="259">
        <v>10.38</v>
      </c>
      <c r="D341" s="240"/>
      <c r="E341" s="24"/>
      <c r="F341" s="113"/>
      <c r="G341" s="260">
        <v>0.52</v>
      </c>
      <c r="H341" s="259">
        <v>9.98</v>
      </c>
      <c r="I341" s="240"/>
      <c r="J341" s="113"/>
      <c r="K341" s="241">
        <v>0.16</v>
      </c>
      <c r="L341" s="240">
        <v>10.4</v>
      </c>
      <c r="M341" s="241"/>
      <c r="N341" s="241"/>
      <c r="O341" s="113"/>
      <c r="P341" s="260"/>
      <c r="Q341" s="259"/>
      <c r="R341" s="241"/>
      <c r="S341" s="241"/>
      <c r="T341" s="113"/>
      <c r="U341" s="241">
        <v>0.06</v>
      </c>
      <c r="V341" s="240">
        <v>10.39</v>
      </c>
      <c r="W341" s="241"/>
      <c r="X341" s="8"/>
      <c r="Y341" s="113"/>
      <c r="Z341" s="260"/>
      <c r="AA341" s="259"/>
      <c r="AB341" s="241"/>
      <c r="AC341" s="8"/>
      <c r="AD341" s="113"/>
      <c r="AE341" s="245"/>
      <c r="AF341" s="246"/>
      <c r="AG341" s="245"/>
      <c r="AH341" s="18"/>
      <c r="AI341" s="113"/>
      <c r="AJ341" s="270">
        <v>0.1</v>
      </c>
      <c r="AK341" s="271">
        <v>10.66</v>
      </c>
      <c r="AL341" s="245"/>
      <c r="AM341" s="18"/>
      <c r="AN341" s="32"/>
      <c r="AO341" s="12"/>
      <c r="AP341" s="12"/>
      <c r="AQ341" s="12"/>
      <c r="AR341" s="12"/>
      <c r="AS341" s="12"/>
      <c r="AT341" s="12"/>
      <c r="AU341" s="12"/>
      <c r="AV341" s="12"/>
      <c r="AW341" s="12"/>
      <c r="AX341" s="65"/>
      <c r="AY341" s="1"/>
      <c r="AZ341" s="1"/>
      <c r="BA341" s="1"/>
      <c r="BB341" s="1"/>
    </row>
    <row r="342" spans="1:54" s="25" customFormat="1" x14ac:dyDescent="0.25">
      <c r="A342" s="261"/>
      <c r="B342" s="260"/>
      <c r="C342" s="259"/>
      <c r="D342" s="240"/>
      <c r="E342" s="78"/>
      <c r="F342" s="113"/>
      <c r="G342" s="260"/>
      <c r="H342" s="259"/>
      <c r="I342" s="240"/>
      <c r="J342" s="113"/>
      <c r="K342" s="241">
        <v>0.15</v>
      </c>
      <c r="L342" s="240">
        <v>10.45</v>
      </c>
      <c r="M342" s="241"/>
      <c r="N342" s="24"/>
      <c r="O342" s="113"/>
      <c r="P342" s="260"/>
      <c r="Q342" s="259"/>
      <c r="R342" s="241"/>
      <c r="S342" s="24"/>
      <c r="T342" s="113"/>
      <c r="U342" s="241">
        <v>0.06</v>
      </c>
      <c r="V342" s="240">
        <v>10.44</v>
      </c>
      <c r="W342" s="241"/>
      <c r="X342" s="8"/>
      <c r="Y342" s="113"/>
      <c r="Z342" s="260"/>
      <c r="AA342" s="259"/>
      <c r="AB342" s="241"/>
      <c r="AC342" s="8"/>
      <c r="AD342" s="113"/>
      <c r="AE342" s="245"/>
      <c r="AF342" s="246"/>
      <c r="AG342" s="245"/>
      <c r="AH342" s="18"/>
      <c r="AI342" s="113"/>
      <c r="AJ342" s="270"/>
      <c r="AK342" s="271"/>
      <c r="AL342" s="245"/>
      <c r="AM342" s="18"/>
      <c r="AN342" s="32"/>
      <c r="AO342" s="12"/>
      <c r="AP342" s="12"/>
      <c r="AQ342" s="12"/>
      <c r="AR342" s="12"/>
      <c r="AS342" s="12"/>
      <c r="AT342" s="12"/>
      <c r="AU342" s="12"/>
      <c r="AV342" s="12"/>
      <c r="AW342" s="12"/>
      <c r="AX342" s="65"/>
      <c r="AY342" s="4"/>
      <c r="AZ342" s="1"/>
      <c r="BA342" s="1"/>
      <c r="BB342" s="1"/>
    </row>
    <row r="343" spans="1:54" s="25" customFormat="1" x14ac:dyDescent="0.25">
      <c r="A343" s="261">
        <v>50</v>
      </c>
      <c r="B343" s="260">
        <v>0.19</v>
      </c>
      <c r="C343" s="259">
        <v>10.46</v>
      </c>
      <c r="D343" s="240"/>
      <c r="E343" s="78"/>
      <c r="F343" s="113"/>
      <c r="G343" s="260"/>
      <c r="H343" s="259"/>
      <c r="I343" s="240"/>
      <c r="J343" s="113"/>
      <c r="K343" s="260">
        <v>0.28000000000000003</v>
      </c>
      <c r="L343" s="259">
        <v>10.49</v>
      </c>
      <c r="M343" s="241">
        <f>K343-M344+K341+K342</f>
        <v>0.4</v>
      </c>
      <c r="N343" s="75" t="s">
        <v>442</v>
      </c>
      <c r="O343" s="113"/>
      <c r="P343" s="263">
        <v>0.36</v>
      </c>
      <c r="Q343" s="266">
        <v>10.47</v>
      </c>
      <c r="R343" s="241">
        <f>P343+0.33</f>
        <v>0.69</v>
      </c>
      <c r="S343" s="75" t="s">
        <v>141</v>
      </c>
      <c r="T343" s="113"/>
      <c r="U343" s="260">
        <v>0.21</v>
      </c>
      <c r="V343" s="259">
        <v>10.54</v>
      </c>
      <c r="W343" s="241"/>
      <c r="X343" s="8"/>
      <c r="Y343" s="113"/>
      <c r="Z343" s="260"/>
      <c r="AA343" s="259"/>
      <c r="AB343" s="241"/>
      <c r="AC343" s="8"/>
      <c r="AD343" s="113"/>
      <c r="AE343" s="245"/>
      <c r="AF343" s="246"/>
      <c r="AG343" s="245"/>
      <c r="AH343" s="18"/>
      <c r="AI343" s="113"/>
      <c r="AJ343" s="270"/>
      <c r="AK343" s="271"/>
      <c r="AL343" s="245"/>
      <c r="AM343" s="18"/>
      <c r="AN343" s="32"/>
      <c r="AO343" s="12"/>
      <c r="AP343" s="12"/>
      <c r="AQ343" s="12"/>
      <c r="AR343" s="12"/>
      <c r="AS343" s="12"/>
      <c r="AT343" s="12"/>
      <c r="AU343" s="12"/>
      <c r="AV343" s="44"/>
      <c r="AW343" s="44"/>
      <c r="AX343" s="65"/>
      <c r="AY343" s="4"/>
      <c r="AZ343" s="1"/>
      <c r="BA343" s="1"/>
      <c r="BB343" s="1"/>
    </row>
    <row r="344" spans="1:54" s="25" customFormat="1" x14ac:dyDescent="0.25">
      <c r="A344" s="261"/>
      <c r="B344" s="260"/>
      <c r="C344" s="259"/>
      <c r="D344" s="240">
        <f>B343+B341</f>
        <v>0.51</v>
      </c>
      <c r="E344" s="249" t="s">
        <v>474</v>
      </c>
      <c r="F344" s="113"/>
      <c r="G344" s="260"/>
      <c r="H344" s="259"/>
      <c r="I344" s="240"/>
      <c r="J344" s="113"/>
      <c r="K344" s="260"/>
      <c r="L344" s="259"/>
      <c r="M344" s="241">
        <v>0.19</v>
      </c>
      <c r="N344" s="249" t="s">
        <v>337</v>
      </c>
      <c r="O344" s="113"/>
      <c r="P344" s="264"/>
      <c r="Q344" s="267"/>
      <c r="R344" s="56"/>
      <c r="S344" s="24"/>
      <c r="T344" s="113"/>
      <c r="U344" s="260"/>
      <c r="V344" s="259"/>
      <c r="W344" s="241"/>
      <c r="X344" s="8"/>
      <c r="Y344" s="113"/>
      <c r="Z344" s="260"/>
      <c r="AA344" s="259"/>
      <c r="AB344" s="241"/>
      <c r="AC344" s="8"/>
      <c r="AD344" s="113"/>
      <c r="AE344" s="245"/>
      <c r="AF344" s="246"/>
      <c r="AG344" s="245"/>
      <c r="AH344" s="18"/>
      <c r="AI344" s="113"/>
      <c r="AJ344" s="270"/>
      <c r="AK344" s="271"/>
      <c r="AL344" s="245">
        <f>AJ341+AJ340</f>
        <v>0.52</v>
      </c>
      <c r="AM344" s="15" t="s">
        <v>99</v>
      </c>
      <c r="AN344" s="32"/>
      <c r="AO344" s="12"/>
      <c r="AP344" s="12"/>
      <c r="AQ344" s="12"/>
      <c r="AR344" s="12"/>
      <c r="AS344" s="12"/>
      <c r="AT344" s="12"/>
      <c r="AU344" s="12"/>
      <c r="AV344" s="12"/>
      <c r="AW344" s="12"/>
      <c r="AX344" s="65"/>
      <c r="AY344" s="4"/>
      <c r="AZ344" s="1"/>
      <c r="BA344" s="1"/>
      <c r="BB344" s="1"/>
    </row>
    <row r="345" spans="1:54" s="25" customFormat="1" x14ac:dyDescent="0.25">
      <c r="A345" s="261">
        <v>51</v>
      </c>
      <c r="B345" s="260">
        <v>1.27</v>
      </c>
      <c r="C345" s="259">
        <v>10.68</v>
      </c>
      <c r="D345" s="240">
        <f>B345</f>
        <v>1.27</v>
      </c>
      <c r="E345" s="249" t="s">
        <v>430</v>
      </c>
      <c r="F345" s="113"/>
      <c r="G345" s="260">
        <v>1.64</v>
      </c>
      <c r="H345" s="259">
        <v>10.27</v>
      </c>
      <c r="I345" s="240"/>
      <c r="J345" s="113"/>
      <c r="K345" s="241">
        <v>0.14000000000000001</v>
      </c>
      <c r="L345" s="240">
        <v>10.64</v>
      </c>
      <c r="M345" s="241">
        <f>K345+K347+K348</f>
        <v>0.94</v>
      </c>
      <c r="N345" s="249" t="s">
        <v>85</v>
      </c>
      <c r="O345" s="113"/>
      <c r="P345" s="264"/>
      <c r="Q345" s="267"/>
      <c r="R345" s="60"/>
      <c r="S345" s="24"/>
      <c r="T345" s="113"/>
      <c r="U345" s="241">
        <v>0.11</v>
      </c>
      <c r="V345" s="240">
        <v>10.67</v>
      </c>
      <c r="W345" s="241">
        <f>U345+U343+U342+U341</f>
        <v>0.44</v>
      </c>
      <c r="X345" s="15" t="s">
        <v>99</v>
      </c>
      <c r="Y345" s="113"/>
      <c r="Z345" s="260"/>
      <c r="AA345" s="259"/>
      <c r="AB345" s="241">
        <f>Z325-AB328</f>
        <v>0.32999999999999996</v>
      </c>
      <c r="AC345" s="15" t="s">
        <v>99</v>
      </c>
      <c r="AD345" s="113"/>
      <c r="AE345" s="245"/>
      <c r="AF345" s="246"/>
      <c r="AG345" s="245"/>
      <c r="AH345" s="246"/>
      <c r="AI345" s="113"/>
      <c r="AJ345" s="245"/>
      <c r="AK345" s="246"/>
      <c r="AL345" s="245"/>
      <c r="AM345" s="246"/>
      <c r="AN345" s="3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3"/>
      <c r="AY345" s="4"/>
      <c r="AZ345" s="1"/>
      <c r="BA345" s="1"/>
      <c r="BB345" s="4"/>
    </row>
    <row r="346" spans="1:54" s="25" customFormat="1" x14ac:dyDescent="0.25">
      <c r="A346" s="261"/>
      <c r="B346" s="260"/>
      <c r="C346" s="259"/>
      <c r="D346" s="240"/>
      <c r="E346" s="19"/>
      <c r="F346" s="113"/>
      <c r="G346" s="260"/>
      <c r="H346" s="259"/>
      <c r="I346" s="240"/>
      <c r="J346" s="113"/>
      <c r="K346" s="241"/>
      <c r="L346" s="240"/>
      <c r="M346" s="241"/>
      <c r="N346" s="240"/>
      <c r="O346" s="113"/>
      <c r="P346" s="264"/>
      <c r="Q346" s="267"/>
      <c r="R346" s="60"/>
      <c r="S346" s="24"/>
      <c r="T346" s="113"/>
      <c r="U346" s="241"/>
      <c r="V346" s="240"/>
      <c r="W346" s="241"/>
      <c r="X346" s="240"/>
      <c r="Y346" s="113"/>
      <c r="Z346" s="241"/>
      <c r="AA346" s="240"/>
      <c r="AB346" s="241"/>
      <c r="AC346" s="8"/>
      <c r="AD346" s="113"/>
      <c r="AE346" s="245"/>
      <c r="AF346" s="246"/>
      <c r="AG346" s="245"/>
      <c r="AH346" s="18"/>
      <c r="AI346" s="113"/>
      <c r="AJ346" s="245"/>
      <c r="AK346" s="246"/>
      <c r="AL346" s="245"/>
      <c r="AM346" s="18"/>
      <c r="AN346" s="3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3"/>
      <c r="AY346" s="4"/>
      <c r="AZ346" s="1"/>
      <c r="BA346" s="1"/>
      <c r="BB346" s="4"/>
    </row>
    <row r="347" spans="1:54" s="25" customFormat="1" x14ac:dyDescent="0.25">
      <c r="A347" s="261"/>
      <c r="B347" s="260"/>
      <c r="C347" s="259"/>
      <c r="D347" s="240"/>
      <c r="E347" s="241"/>
      <c r="F347" s="113"/>
      <c r="G347" s="260"/>
      <c r="H347" s="259"/>
      <c r="I347" s="240"/>
      <c r="J347" s="113"/>
      <c r="K347" s="241">
        <v>0.2</v>
      </c>
      <c r="L347" s="240">
        <v>10.67</v>
      </c>
      <c r="M347" s="241"/>
      <c r="N347" s="240"/>
      <c r="O347" s="113"/>
      <c r="P347" s="264"/>
      <c r="Q347" s="267"/>
      <c r="R347" s="60"/>
      <c r="S347" s="24"/>
      <c r="T347" s="113"/>
      <c r="U347" s="241"/>
      <c r="V347" s="240"/>
      <c r="W347" s="241"/>
      <c r="X347" s="240"/>
      <c r="Y347" s="113"/>
      <c r="Z347" s="241"/>
      <c r="AA347" s="240"/>
      <c r="AB347" s="241"/>
      <c r="AC347" s="24"/>
      <c r="AD347" s="113"/>
      <c r="AE347" s="245"/>
      <c r="AF347" s="246"/>
      <c r="AG347" s="245"/>
      <c r="AH347" s="91"/>
      <c r="AI347" s="113"/>
      <c r="AJ347" s="245"/>
      <c r="AK347" s="246"/>
      <c r="AL347" s="245"/>
      <c r="AM347" s="91"/>
      <c r="AN347" s="3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3"/>
      <c r="AY347" s="4"/>
      <c r="AZ347" s="1"/>
      <c r="BA347" s="1"/>
      <c r="BB347" s="4"/>
    </row>
    <row r="348" spans="1:54" s="25" customFormat="1" x14ac:dyDescent="0.25">
      <c r="A348" s="261"/>
      <c r="B348" s="260"/>
      <c r="C348" s="259"/>
      <c r="D348" s="240"/>
      <c r="E348" s="241"/>
      <c r="F348" s="113"/>
      <c r="G348" s="260"/>
      <c r="H348" s="259"/>
      <c r="I348" s="240"/>
      <c r="J348" s="113"/>
      <c r="K348" s="241">
        <v>0.6</v>
      </c>
      <c r="L348" s="240">
        <v>10.79</v>
      </c>
      <c r="M348" s="60"/>
      <c r="N348" s="55"/>
      <c r="O348" s="113"/>
      <c r="P348" s="264"/>
      <c r="Q348" s="267"/>
      <c r="R348" s="60"/>
      <c r="S348" s="56"/>
      <c r="T348" s="113"/>
      <c r="U348" s="241"/>
      <c r="V348" s="240"/>
      <c r="W348" s="241"/>
      <c r="X348" s="240"/>
      <c r="Y348" s="113"/>
      <c r="Z348" s="241"/>
      <c r="AA348" s="240"/>
      <c r="AB348" s="241"/>
      <c r="AC348" s="24"/>
      <c r="AD348" s="113"/>
      <c r="AE348" s="245"/>
      <c r="AF348" s="246"/>
      <c r="AG348" s="245"/>
      <c r="AH348" s="91"/>
      <c r="AI348" s="113"/>
      <c r="AJ348" s="245"/>
      <c r="AK348" s="246"/>
      <c r="AL348" s="245"/>
      <c r="AM348" s="91"/>
      <c r="AN348" s="32"/>
      <c r="AO348" s="12"/>
      <c r="AP348" s="12"/>
      <c r="AQ348" s="12"/>
      <c r="AR348" s="12"/>
      <c r="AS348" s="12"/>
      <c r="AT348" s="12"/>
      <c r="AU348" s="12"/>
      <c r="AV348" s="42"/>
      <c r="AW348" s="44"/>
      <c r="AX348" s="4"/>
      <c r="AY348" s="4"/>
      <c r="AZ348" s="1"/>
      <c r="BA348" s="1"/>
      <c r="BB348" s="4"/>
    </row>
    <row r="349" spans="1:54" s="25" customFormat="1" x14ac:dyDescent="0.25">
      <c r="A349" s="261">
        <v>52</v>
      </c>
      <c r="B349" s="260">
        <v>0.72</v>
      </c>
      <c r="C349" s="259">
        <v>10.83</v>
      </c>
      <c r="D349" s="240"/>
      <c r="E349" s="82"/>
      <c r="F349" s="113"/>
      <c r="G349" s="260">
        <v>1.08</v>
      </c>
      <c r="H349" s="259">
        <v>10.44</v>
      </c>
      <c r="I349" s="240"/>
      <c r="J349" s="113"/>
      <c r="K349" s="260">
        <v>0.33</v>
      </c>
      <c r="L349" s="259">
        <v>10.89</v>
      </c>
      <c r="M349" s="241"/>
      <c r="N349" s="240"/>
      <c r="O349" s="113"/>
      <c r="P349" s="264"/>
      <c r="Q349" s="267"/>
      <c r="R349" s="60"/>
      <c r="S349" s="240"/>
      <c r="T349" s="113"/>
      <c r="U349" s="241"/>
      <c r="V349" s="240"/>
      <c r="W349" s="241"/>
      <c r="X349" s="240"/>
      <c r="Y349" s="113"/>
      <c r="Z349" s="241"/>
      <c r="AA349" s="240"/>
      <c r="AB349" s="241"/>
      <c r="AC349" s="24"/>
      <c r="AD349" s="113"/>
      <c r="AE349" s="245"/>
      <c r="AF349" s="246"/>
      <c r="AG349" s="245"/>
      <c r="AH349" s="91"/>
      <c r="AI349" s="113"/>
      <c r="AJ349" s="245"/>
      <c r="AK349" s="246"/>
      <c r="AL349" s="245"/>
      <c r="AM349" s="91"/>
      <c r="AN349" s="32"/>
      <c r="AO349" s="12"/>
      <c r="AP349" s="12"/>
      <c r="AQ349" s="12"/>
      <c r="AR349" s="12"/>
      <c r="AS349" s="12"/>
      <c r="AT349" s="12"/>
      <c r="AU349" s="12"/>
      <c r="AV349" s="42"/>
      <c r="AW349" s="44"/>
      <c r="AX349" s="13"/>
      <c r="AY349" s="4"/>
      <c r="AZ349" s="1"/>
      <c r="BA349" s="1"/>
      <c r="BB349" s="4"/>
    </row>
    <row r="350" spans="1:54" s="25" customFormat="1" x14ac:dyDescent="0.25">
      <c r="A350" s="261"/>
      <c r="B350" s="260"/>
      <c r="C350" s="259"/>
      <c r="D350" s="240">
        <f>B349-D351</f>
        <v>0.42</v>
      </c>
      <c r="E350" s="249" t="s">
        <v>341</v>
      </c>
      <c r="F350" s="113"/>
      <c r="G350" s="260"/>
      <c r="H350" s="259"/>
      <c r="I350" s="240"/>
      <c r="J350" s="113"/>
      <c r="K350" s="260"/>
      <c r="L350" s="259"/>
      <c r="M350" s="241"/>
      <c r="N350" s="240"/>
      <c r="O350" s="113"/>
      <c r="P350" s="264"/>
      <c r="Q350" s="267"/>
      <c r="R350" s="60"/>
      <c r="S350" s="240"/>
      <c r="T350" s="113"/>
      <c r="U350" s="241"/>
      <c r="V350" s="240"/>
      <c r="W350" s="241"/>
      <c r="X350" s="240"/>
      <c r="Y350" s="113"/>
      <c r="Z350" s="241"/>
      <c r="AA350" s="240"/>
      <c r="AB350" s="241"/>
      <c r="AC350" s="24"/>
      <c r="AD350" s="113"/>
      <c r="AE350" s="245"/>
      <c r="AF350" s="246"/>
      <c r="AG350" s="245"/>
      <c r="AH350" s="24"/>
      <c r="AI350" s="113"/>
      <c r="AJ350" s="245"/>
      <c r="AK350" s="246"/>
      <c r="AL350" s="245"/>
      <c r="AM350" s="91"/>
      <c r="AN350" s="32"/>
      <c r="AO350" s="12"/>
      <c r="AP350" s="12"/>
      <c r="AQ350" s="12"/>
      <c r="AR350" s="12"/>
      <c r="AS350" s="12"/>
      <c r="AT350" s="12"/>
      <c r="AU350" s="12"/>
      <c r="AV350" s="42"/>
      <c r="AW350" s="44"/>
      <c r="AX350" s="13"/>
      <c r="AY350" s="4"/>
      <c r="AZ350" s="1"/>
      <c r="BA350" s="1"/>
      <c r="BB350" s="4"/>
    </row>
    <row r="351" spans="1:54" s="25" customFormat="1" x14ac:dyDescent="0.25">
      <c r="A351" s="261"/>
      <c r="B351" s="260"/>
      <c r="C351" s="259"/>
      <c r="D351" s="241">
        <v>0.3</v>
      </c>
      <c r="E351" s="15" t="s">
        <v>236</v>
      </c>
      <c r="F351" s="113"/>
      <c r="G351" s="260"/>
      <c r="H351" s="259"/>
      <c r="I351" s="240"/>
      <c r="J351" s="113"/>
      <c r="K351" s="260"/>
      <c r="L351" s="259"/>
      <c r="M351" s="241">
        <f>K349+K354</f>
        <v>0.35000000000000003</v>
      </c>
      <c r="N351" s="15" t="s">
        <v>236</v>
      </c>
      <c r="O351" s="113"/>
      <c r="P351" s="264"/>
      <c r="Q351" s="267"/>
      <c r="R351" s="60"/>
      <c r="S351" s="240"/>
      <c r="T351" s="113"/>
      <c r="U351" s="241"/>
      <c r="V351" s="240"/>
      <c r="W351" s="241"/>
      <c r="X351" s="240"/>
      <c r="Y351" s="113"/>
      <c r="Z351" s="241"/>
      <c r="AA351" s="240"/>
      <c r="AB351" s="241"/>
      <c r="AC351" s="24"/>
      <c r="AD351" s="113"/>
      <c r="AE351" s="245"/>
      <c r="AF351" s="246"/>
      <c r="AG351" s="245"/>
      <c r="AH351" s="24"/>
      <c r="AI351" s="113"/>
      <c r="AJ351" s="245"/>
      <c r="AK351" s="246"/>
      <c r="AL351" s="245"/>
      <c r="AM351" s="91"/>
      <c r="AN351" s="32"/>
      <c r="AO351" s="12"/>
      <c r="AP351" s="12"/>
      <c r="AQ351" s="12"/>
      <c r="AR351" s="12"/>
      <c r="AS351" s="12"/>
      <c r="AT351" s="12"/>
      <c r="AU351" s="12"/>
      <c r="AV351" s="42"/>
      <c r="AW351" s="44"/>
      <c r="AX351" s="13"/>
      <c r="AY351" s="4"/>
      <c r="AZ351" s="1"/>
      <c r="BA351" s="1"/>
      <c r="BB351" s="4"/>
    </row>
    <row r="352" spans="1:54" s="25" customFormat="1" x14ac:dyDescent="0.25">
      <c r="A352" s="261"/>
      <c r="B352" s="260"/>
      <c r="C352" s="259"/>
      <c r="D352" s="240"/>
      <c r="E352" s="241"/>
      <c r="F352" s="113"/>
      <c r="G352" s="260"/>
      <c r="H352" s="259"/>
      <c r="I352" s="240"/>
      <c r="J352" s="113"/>
      <c r="K352" s="260"/>
      <c r="L352" s="259"/>
      <c r="M352" s="241"/>
      <c r="N352" s="240"/>
      <c r="O352" s="113"/>
      <c r="P352" s="264"/>
      <c r="Q352" s="267"/>
      <c r="R352" s="60"/>
      <c r="S352" s="240"/>
      <c r="T352" s="113"/>
      <c r="U352" s="241"/>
      <c r="V352" s="240"/>
      <c r="W352" s="241"/>
      <c r="X352" s="240"/>
      <c r="Y352" s="113"/>
      <c r="Z352" s="241"/>
      <c r="AA352" s="240"/>
      <c r="AB352" s="241"/>
      <c r="AC352" s="24"/>
      <c r="AD352" s="113"/>
      <c r="AE352" s="245"/>
      <c r="AF352" s="246"/>
      <c r="AG352" s="245"/>
      <c r="AH352" s="24"/>
      <c r="AI352" s="113"/>
      <c r="AJ352" s="245"/>
      <c r="AK352" s="246"/>
      <c r="AL352" s="245"/>
      <c r="AM352" s="91"/>
      <c r="AN352" s="32"/>
      <c r="AO352" s="12"/>
      <c r="AP352" s="12"/>
      <c r="AQ352" s="12"/>
      <c r="AR352" s="12"/>
      <c r="AS352" s="12"/>
      <c r="AT352" s="12"/>
      <c r="AU352" s="12"/>
      <c r="AV352" s="42"/>
      <c r="AW352" s="44"/>
      <c r="AX352" s="13"/>
      <c r="AY352" s="4"/>
      <c r="AZ352" s="1"/>
      <c r="BA352" s="1"/>
      <c r="BB352" s="4"/>
    </row>
    <row r="353" spans="1:54" s="25" customFormat="1" x14ac:dyDescent="0.25">
      <c r="A353" s="261"/>
      <c r="B353" s="260"/>
      <c r="C353" s="259"/>
      <c r="D353" s="56"/>
      <c r="E353" s="24"/>
      <c r="F353" s="113"/>
      <c r="G353" s="260"/>
      <c r="H353" s="259"/>
      <c r="I353" s="240"/>
      <c r="J353" s="113"/>
      <c r="K353" s="260"/>
      <c r="L353" s="259"/>
      <c r="M353" s="241"/>
      <c r="N353" s="240"/>
      <c r="O353" s="113"/>
      <c r="P353" s="264"/>
      <c r="Q353" s="267"/>
      <c r="R353" s="60"/>
      <c r="S353" s="240"/>
      <c r="T353" s="113"/>
      <c r="U353" s="241"/>
      <c r="V353" s="240"/>
      <c r="W353" s="241"/>
      <c r="X353" s="240"/>
      <c r="Y353" s="113"/>
      <c r="Z353" s="241"/>
      <c r="AA353" s="240"/>
      <c r="AB353" s="241"/>
      <c r="AC353" s="24"/>
      <c r="AD353" s="113"/>
      <c r="AE353" s="245"/>
      <c r="AF353" s="246"/>
      <c r="AG353" s="245"/>
      <c r="AH353" s="24"/>
      <c r="AI353" s="113"/>
      <c r="AJ353" s="245"/>
      <c r="AK353" s="246"/>
      <c r="AL353" s="245"/>
      <c r="AM353" s="91"/>
      <c r="AN353" s="32"/>
      <c r="AO353" s="12"/>
      <c r="AP353" s="12"/>
      <c r="AQ353" s="12"/>
      <c r="AR353" s="12"/>
      <c r="AS353" s="12"/>
      <c r="AT353" s="12"/>
      <c r="AU353" s="12"/>
      <c r="AV353" s="42"/>
      <c r="AW353" s="44"/>
      <c r="AX353" s="4"/>
      <c r="AY353" s="4"/>
      <c r="AZ353" s="1"/>
      <c r="BA353" s="1"/>
      <c r="BB353" s="4"/>
    </row>
    <row r="354" spans="1:54" s="25" customFormat="1" x14ac:dyDescent="0.25">
      <c r="A354" s="261"/>
      <c r="B354" s="260"/>
      <c r="C354" s="259"/>
      <c r="D354" s="240"/>
      <c r="E354" s="19"/>
      <c r="F354" s="113"/>
      <c r="G354" s="260"/>
      <c r="H354" s="259"/>
      <c r="I354" s="240"/>
      <c r="J354" s="113"/>
      <c r="K354" s="241">
        <v>0.02</v>
      </c>
      <c r="L354" s="240">
        <v>10.99</v>
      </c>
      <c r="M354" s="241"/>
      <c r="N354" s="240"/>
      <c r="O354" s="113"/>
      <c r="P354" s="264"/>
      <c r="Q354" s="267"/>
      <c r="R354" s="60"/>
      <c r="S354" s="240"/>
      <c r="T354" s="113"/>
      <c r="U354" s="241"/>
      <c r="V354" s="240"/>
      <c r="W354" s="241"/>
      <c r="X354" s="240"/>
      <c r="Y354" s="113"/>
      <c r="Z354" s="241"/>
      <c r="AA354" s="240"/>
      <c r="AB354" s="241"/>
      <c r="AC354" s="240"/>
      <c r="AD354" s="113"/>
      <c r="AE354" s="245"/>
      <c r="AF354" s="246"/>
      <c r="AG354" s="245"/>
      <c r="AH354" s="240"/>
      <c r="AI354" s="113"/>
      <c r="AJ354" s="245"/>
      <c r="AK354" s="246"/>
      <c r="AL354" s="245"/>
      <c r="AM354" s="246"/>
      <c r="AN354" s="32"/>
      <c r="AO354" s="12"/>
      <c r="AP354" s="12"/>
      <c r="AQ354" s="12"/>
      <c r="AR354" s="12"/>
      <c r="AS354" s="12"/>
      <c r="AT354" s="12"/>
      <c r="AU354" s="12"/>
      <c r="AV354" s="42"/>
      <c r="AW354" s="44"/>
      <c r="AX354" s="4"/>
      <c r="AY354" s="4"/>
      <c r="AZ354" s="1"/>
      <c r="BA354" s="1"/>
      <c r="BB354" s="1"/>
    </row>
    <row r="355" spans="1:54" s="25" customFormat="1" x14ac:dyDescent="0.25">
      <c r="A355" s="261">
        <v>53</v>
      </c>
      <c r="B355" s="260">
        <v>0.31</v>
      </c>
      <c r="C355" s="259">
        <v>10.98</v>
      </c>
      <c r="D355" s="240"/>
      <c r="E355" s="241"/>
      <c r="F355" s="113"/>
      <c r="G355" s="241"/>
      <c r="H355" s="240"/>
      <c r="I355" s="240"/>
      <c r="J355" s="113"/>
      <c r="K355" s="260">
        <v>0.15</v>
      </c>
      <c r="L355" s="259">
        <v>11.08</v>
      </c>
      <c r="M355" s="241"/>
      <c r="N355" s="240"/>
      <c r="O355" s="113"/>
      <c r="P355" s="264"/>
      <c r="Q355" s="267"/>
      <c r="R355" s="60"/>
      <c r="S355" s="240"/>
      <c r="T355" s="113"/>
      <c r="U355" s="241"/>
      <c r="V355" s="240"/>
      <c r="W355" s="241"/>
      <c r="X355" s="240"/>
      <c r="Y355" s="113"/>
      <c r="Z355" s="241"/>
      <c r="AA355" s="240"/>
      <c r="AB355" s="241"/>
      <c r="AC355" s="240"/>
      <c r="AD355" s="113"/>
      <c r="AE355" s="245"/>
      <c r="AF355" s="246"/>
      <c r="AG355" s="245"/>
      <c r="AH355" s="246"/>
      <c r="AI355" s="113"/>
      <c r="AJ355" s="245"/>
      <c r="AK355" s="246"/>
      <c r="AL355" s="245"/>
      <c r="AM355" s="246"/>
      <c r="AN355" s="32"/>
      <c r="AO355" s="12"/>
      <c r="AP355" s="12"/>
      <c r="AQ355" s="12"/>
      <c r="AR355" s="12"/>
      <c r="AS355" s="12"/>
      <c r="AT355" s="12"/>
      <c r="AU355" s="12"/>
      <c r="AV355" s="12"/>
      <c r="AW355" s="44"/>
      <c r="AX355" s="13"/>
      <c r="AY355" s="4"/>
      <c r="AZ355" s="1"/>
      <c r="BA355" s="1"/>
      <c r="BB355" s="1"/>
    </row>
    <row r="356" spans="1:54" s="25" customFormat="1" x14ac:dyDescent="0.25">
      <c r="A356" s="261"/>
      <c r="B356" s="260"/>
      <c r="C356" s="259"/>
      <c r="D356" s="240">
        <f>B355-D358</f>
        <v>0.16</v>
      </c>
      <c r="E356" s="249" t="s">
        <v>93</v>
      </c>
      <c r="F356" s="113"/>
      <c r="G356" s="241"/>
      <c r="H356" s="240"/>
      <c r="I356" s="240"/>
      <c r="J356" s="113"/>
      <c r="K356" s="260"/>
      <c r="L356" s="259"/>
      <c r="M356" s="241"/>
      <c r="N356" s="240"/>
      <c r="O356" s="113"/>
      <c r="P356" s="264"/>
      <c r="Q356" s="267"/>
      <c r="R356" s="60"/>
      <c r="S356" s="240"/>
      <c r="T356" s="113"/>
      <c r="U356" s="241"/>
      <c r="V356" s="240"/>
      <c r="W356" s="241"/>
      <c r="X356" s="240"/>
      <c r="Y356" s="113"/>
      <c r="Z356" s="241"/>
      <c r="AA356" s="240"/>
      <c r="AB356" s="241"/>
      <c r="AC356" s="240"/>
      <c r="AD356" s="113"/>
      <c r="AE356" s="245"/>
      <c r="AF356" s="246"/>
      <c r="AG356" s="245"/>
      <c r="AH356" s="246"/>
      <c r="AI356" s="113"/>
      <c r="AJ356" s="245"/>
      <c r="AK356" s="246"/>
      <c r="AL356" s="245"/>
      <c r="AM356" s="246"/>
      <c r="AN356" s="32"/>
      <c r="AO356" s="12"/>
      <c r="AP356" s="12"/>
      <c r="AQ356" s="12"/>
      <c r="AR356" s="12"/>
      <c r="AS356" s="12"/>
      <c r="AT356" s="12"/>
      <c r="AU356" s="12"/>
      <c r="AV356" s="12"/>
      <c r="AW356" s="44"/>
      <c r="AX356" s="13"/>
      <c r="AY356" s="4"/>
      <c r="AZ356" s="1"/>
      <c r="BA356" s="1"/>
      <c r="BB356" s="1"/>
    </row>
    <row r="357" spans="1:54" s="25" customFormat="1" x14ac:dyDescent="0.25">
      <c r="A357" s="261"/>
      <c r="B357" s="260"/>
      <c r="C357" s="259"/>
      <c r="D357" s="240"/>
      <c r="E357" s="241"/>
      <c r="F357" s="113"/>
      <c r="G357" s="241"/>
      <c r="H357" s="240"/>
      <c r="I357" s="240"/>
      <c r="J357" s="113"/>
      <c r="K357" s="260"/>
      <c r="L357" s="259"/>
      <c r="M357" s="241"/>
      <c r="N357" s="240"/>
      <c r="O357" s="113"/>
      <c r="P357" s="264"/>
      <c r="Q357" s="267"/>
      <c r="R357" s="60"/>
      <c r="S357" s="240"/>
      <c r="T357" s="113"/>
      <c r="U357" s="241"/>
      <c r="V357" s="240"/>
      <c r="W357" s="241"/>
      <c r="X357" s="240"/>
      <c r="Y357" s="113"/>
      <c r="Z357" s="241"/>
      <c r="AA357" s="240"/>
      <c r="AB357" s="241"/>
      <c r="AC357" s="240"/>
      <c r="AD357" s="113"/>
      <c r="AE357" s="245"/>
      <c r="AF357" s="246"/>
      <c r="AG357" s="245"/>
      <c r="AH357" s="246"/>
      <c r="AI357" s="113"/>
      <c r="AJ357" s="245"/>
      <c r="AK357" s="246"/>
      <c r="AL357" s="245"/>
      <c r="AM357" s="246"/>
      <c r="AN357" s="32"/>
      <c r="AO357" s="12"/>
      <c r="AP357" s="12"/>
      <c r="AQ357" s="12"/>
      <c r="AR357" s="12"/>
      <c r="AS357" s="12"/>
      <c r="AT357" s="12"/>
      <c r="AU357" s="12"/>
      <c r="AV357" s="42"/>
      <c r="AW357" s="44"/>
      <c r="AX357" s="4"/>
      <c r="AY357" s="4"/>
      <c r="AZ357" s="1"/>
      <c r="BA357" s="1"/>
      <c r="BB357" s="1"/>
    </row>
    <row r="358" spans="1:54" s="25" customFormat="1" x14ac:dyDescent="0.25">
      <c r="A358" s="261"/>
      <c r="B358" s="260"/>
      <c r="C358" s="259"/>
      <c r="D358" s="241">
        <v>0.15</v>
      </c>
      <c r="E358" s="75" t="s">
        <v>195</v>
      </c>
      <c r="F358" s="113"/>
      <c r="G358" s="260">
        <v>0.42</v>
      </c>
      <c r="H358" s="259">
        <v>10.63</v>
      </c>
      <c r="I358" s="240"/>
      <c r="J358" s="113"/>
      <c r="K358" s="260"/>
      <c r="L358" s="259"/>
      <c r="M358" s="241">
        <f>K355+K359</f>
        <v>0.24</v>
      </c>
      <c r="N358" s="75" t="s">
        <v>195</v>
      </c>
      <c r="O358" s="113"/>
      <c r="P358" s="264"/>
      <c r="Q358" s="267"/>
      <c r="R358" s="60"/>
      <c r="S358" s="240"/>
      <c r="T358" s="113"/>
      <c r="U358" s="241"/>
      <c r="V358" s="240"/>
      <c r="W358" s="241"/>
      <c r="X358" s="240"/>
      <c r="Y358" s="113"/>
      <c r="Z358" s="241"/>
      <c r="AA358" s="240"/>
      <c r="AB358" s="241"/>
      <c r="AC358" s="240"/>
      <c r="AD358" s="113"/>
      <c r="AE358" s="245"/>
      <c r="AF358" s="246"/>
      <c r="AG358" s="245"/>
      <c r="AH358" s="246"/>
      <c r="AI358" s="113"/>
      <c r="AJ358" s="245"/>
      <c r="AK358" s="246"/>
      <c r="AL358" s="245"/>
      <c r="AM358" s="246"/>
      <c r="AN358" s="32"/>
      <c r="AO358" s="12"/>
      <c r="AP358" s="12"/>
      <c r="AQ358" s="12"/>
      <c r="AR358" s="12"/>
      <c r="AS358" s="12"/>
      <c r="AT358" s="12"/>
      <c r="AU358" s="12"/>
      <c r="AV358" s="42"/>
      <c r="AW358" s="44"/>
      <c r="AX358" s="4"/>
      <c r="AY358" s="4"/>
      <c r="AZ358" s="1"/>
      <c r="BA358" s="1"/>
      <c r="BB358" s="1"/>
    </row>
    <row r="359" spans="1:54" s="25" customFormat="1" x14ac:dyDescent="0.25">
      <c r="A359" s="261"/>
      <c r="B359" s="260"/>
      <c r="C359" s="259"/>
      <c r="D359" s="240"/>
      <c r="E359" s="19"/>
      <c r="F359" s="113"/>
      <c r="G359" s="260"/>
      <c r="H359" s="259"/>
      <c r="I359" s="240"/>
      <c r="J359" s="113"/>
      <c r="K359" s="241">
        <v>0.09</v>
      </c>
      <c r="L359" s="240">
        <v>11.14</v>
      </c>
      <c r="M359" s="241"/>
      <c r="N359" s="240"/>
      <c r="O359" s="113"/>
      <c r="P359" s="265"/>
      <c r="Q359" s="268"/>
      <c r="R359" s="60"/>
      <c r="S359" s="240"/>
      <c r="T359" s="113"/>
      <c r="U359" s="241"/>
      <c r="V359" s="240"/>
      <c r="W359" s="241"/>
      <c r="X359" s="240"/>
      <c r="Y359" s="113"/>
      <c r="Z359" s="241"/>
      <c r="AA359" s="240"/>
      <c r="AB359" s="241"/>
      <c r="AC359" s="240"/>
      <c r="AD359" s="113"/>
      <c r="AE359" s="245"/>
      <c r="AF359" s="246"/>
      <c r="AG359" s="245"/>
      <c r="AH359" s="246"/>
      <c r="AI359" s="113"/>
      <c r="AJ359" s="245"/>
      <c r="AK359" s="246"/>
      <c r="AL359" s="245"/>
      <c r="AM359" s="246"/>
      <c r="AN359" s="32"/>
      <c r="AO359" s="12"/>
      <c r="AP359" s="12"/>
      <c r="AQ359" s="12"/>
      <c r="AR359" s="12"/>
      <c r="AS359" s="12"/>
      <c r="AT359" s="12"/>
      <c r="AU359" s="12"/>
      <c r="AV359" s="44"/>
      <c r="AW359" s="44"/>
      <c r="AX359" s="4"/>
      <c r="AY359" s="4"/>
      <c r="AZ359" s="1"/>
      <c r="BA359" s="1"/>
      <c r="BB359" s="1"/>
    </row>
    <row r="360" spans="1:54" s="25" customFormat="1" x14ac:dyDescent="0.25">
      <c r="A360" s="261">
        <v>54</v>
      </c>
      <c r="B360" s="260">
        <v>1.4</v>
      </c>
      <c r="C360" s="259">
        <v>11.12</v>
      </c>
      <c r="D360" s="240"/>
      <c r="E360" s="241"/>
      <c r="F360" s="113"/>
      <c r="G360" s="260">
        <v>1.72</v>
      </c>
      <c r="H360" s="259">
        <v>10.71</v>
      </c>
      <c r="I360" s="240"/>
      <c r="J360" s="113"/>
      <c r="K360" s="260">
        <v>0.56000000000000005</v>
      </c>
      <c r="L360" s="259">
        <v>11.24</v>
      </c>
      <c r="M360" s="241"/>
      <c r="N360" s="240"/>
      <c r="O360" s="113"/>
      <c r="P360" s="260">
        <v>0.56999999999999995</v>
      </c>
      <c r="Q360" s="259">
        <v>11.15</v>
      </c>
      <c r="R360" s="60"/>
      <c r="S360" s="8"/>
      <c r="T360" s="113"/>
      <c r="U360" s="241"/>
      <c r="V360" s="240"/>
      <c r="W360" s="241"/>
      <c r="X360" s="240"/>
      <c r="Y360" s="113"/>
      <c r="Z360" s="241"/>
      <c r="AA360" s="240"/>
      <c r="AB360" s="241"/>
      <c r="AC360" s="240"/>
      <c r="AD360" s="113"/>
      <c r="AE360" s="245"/>
      <c r="AF360" s="246"/>
      <c r="AG360" s="245"/>
      <c r="AH360" s="246"/>
      <c r="AI360" s="113"/>
      <c r="AJ360" s="245"/>
      <c r="AK360" s="246"/>
      <c r="AL360" s="245"/>
      <c r="AM360" s="246"/>
      <c r="AN360" s="32"/>
      <c r="AO360" s="12"/>
      <c r="AP360" s="12"/>
      <c r="AQ360" s="12"/>
      <c r="AR360" s="12"/>
      <c r="AS360" s="12"/>
      <c r="AT360" s="12"/>
      <c r="AU360" s="12"/>
      <c r="AV360" s="42"/>
      <c r="AW360" s="44"/>
      <c r="AX360" s="13"/>
      <c r="AY360" s="4"/>
      <c r="AZ360" s="1"/>
      <c r="BA360" s="1"/>
      <c r="BB360" s="4"/>
    </row>
    <row r="361" spans="1:54" s="25" customFormat="1" x14ac:dyDescent="0.25">
      <c r="A361" s="261"/>
      <c r="B361" s="260"/>
      <c r="C361" s="259"/>
      <c r="D361" s="240"/>
      <c r="E361" s="19"/>
      <c r="F361" s="113"/>
      <c r="G361" s="260"/>
      <c r="H361" s="259"/>
      <c r="I361" s="240"/>
      <c r="J361" s="113"/>
      <c r="K361" s="260"/>
      <c r="L361" s="259"/>
      <c r="M361" s="241"/>
      <c r="N361" s="240"/>
      <c r="O361" s="113"/>
      <c r="P361" s="260"/>
      <c r="Q361" s="259"/>
      <c r="R361" s="60"/>
      <c r="S361" s="8"/>
      <c r="T361" s="113"/>
      <c r="U361" s="241"/>
      <c r="V361" s="240"/>
      <c r="W361" s="241"/>
      <c r="X361" s="240"/>
      <c r="Y361" s="113"/>
      <c r="Z361" s="241"/>
      <c r="AA361" s="240"/>
      <c r="AB361" s="241"/>
      <c r="AC361" s="240"/>
      <c r="AD361" s="113"/>
      <c r="AE361" s="245"/>
      <c r="AF361" s="246"/>
      <c r="AG361" s="245"/>
      <c r="AH361" s="246"/>
      <c r="AI361" s="113"/>
      <c r="AJ361" s="245"/>
      <c r="AK361" s="246"/>
      <c r="AL361" s="245"/>
      <c r="AM361" s="246"/>
      <c r="AN361" s="32"/>
      <c r="AO361" s="12"/>
      <c r="AP361" s="12"/>
      <c r="AQ361" s="12"/>
      <c r="AR361" s="12"/>
      <c r="AS361" s="12"/>
      <c r="AT361" s="12"/>
      <c r="AU361" s="12"/>
      <c r="AV361" s="42"/>
      <c r="AW361" s="44"/>
      <c r="AX361" s="13"/>
      <c r="AY361" s="4"/>
      <c r="AZ361" s="1"/>
      <c r="BA361" s="1"/>
      <c r="BB361" s="4"/>
    </row>
    <row r="362" spans="1:54" s="25" customFormat="1" x14ac:dyDescent="0.25">
      <c r="A362" s="261"/>
      <c r="B362" s="260"/>
      <c r="C362" s="259"/>
      <c r="D362" s="240"/>
      <c r="E362" s="19"/>
      <c r="F362" s="113"/>
      <c r="G362" s="260"/>
      <c r="H362" s="259"/>
      <c r="I362" s="240"/>
      <c r="J362" s="113"/>
      <c r="K362" s="260"/>
      <c r="L362" s="259"/>
      <c r="M362" s="241"/>
      <c r="N362" s="240"/>
      <c r="O362" s="113"/>
      <c r="P362" s="260"/>
      <c r="Q362" s="259"/>
      <c r="R362" s="60"/>
      <c r="S362" s="8"/>
      <c r="T362" s="113"/>
      <c r="U362" s="241"/>
      <c r="V362" s="240"/>
      <c r="W362" s="241"/>
      <c r="X362" s="240"/>
      <c r="Y362" s="113"/>
      <c r="Z362" s="241"/>
      <c r="AA362" s="240"/>
      <c r="AB362" s="241"/>
      <c r="AC362" s="240"/>
      <c r="AD362" s="113"/>
      <c r="AE362" s="245"/>
      <c r="AF362" s="246"/>
      <c r="AG362" s="245"/>
      <c r="AH362" s="246"/>
      <c r="AI362" s="113"/>
      <c r="AJ362" s="245"/>
      <c r="AK362" s="246"/>
      <c r="AL362" s="245"/>
      <c r="AM362" s="246"/>
      <c r="AN362" s="32"/>
      <c r="AO362" s="12"/>
      <c r="AP362" s="12"/>
      <c r="AQ362" s="12"/>
      <c r="AR362" s="12"/>
      <c r="AS362" s="12"/>
      <c r="AT362" s="12"/>
      <c r="AU362" s="12"/>
      <c r="AV362" s="42"/>
      <c r="AW362" s="44"/>
      <c r="AX362" s="13"/>
      <c r="AY362" s="4"/>
      <c r="AZ362" s="1"/>
      <c r="BA362" s="1"/>
      <c r="BB362" s="4"/>
    </row>
    <row r="363" spans="1:54" s="25" customFormat="1" x14ac:dyDescent="0.25">
      <c r="A363" s="261"/>
      <c r="B363" s="260"/>
      <c r="C363" s="259"/>
      <c r="D363" s="56"/>
      <c r="E363" s="24"/>
      <c r="F363" s="113"/>
      <c r="G363" s="260"/>
      <c r="H363" s="259"/>
      <c r="I363" s="240"/>
      <c r="J363" s="113"/>
      <c r="K363" s="260"/>
      <c r="L363" s="259"/>
      <c r="M363" s="241"/>
      <c r="N363" s="240"/>
      <c r="O363" s="113"/>
      <c r="P363" s="260"/>
      <c r="Q363" s="259"/>
      <c r="R363" s="60"/>
      <c r="S363" s="8"/>
      <c r="T363" s="113"/>
      <c r="U363" s="241"/>
      <c r="V363" s="240"/>
      <c r="W363" s="241"/>
      <c r="X363" s="240"/>
      <c r="Y363" s="113"/>
      <c r="Z363" s="241"/>
      <c r="AA363" s="240"/>
      <c r="AB363" s="241"/>
      <c r="AC363" s="240"/>
      <c r="AD363" s="113"/>
      <c r="AE363" s="245"/>
      <c r="AF363" s="246"/>
      <c r="AG363" s="245"/>
      <c r="AH363" s="246"/>
      <c r="AI363" s="113"/>
      <c r="AJ363" s="245"/>
      <c r="AK363" s="246"/>
      <c r="AL363" s="245"/>
      <c r="AM363" s="246"/>
      <c r="AN363" s="32"/>
      <c r="AO363" s="12"/>
      <c r="AP363" s="12"/>
      <c r="AQ363" s="12"/>
      <c r="AR363" s="12"/>
      <c r="AS363" s="12"/>
      <c r="AT363" s="12"/>
      <c r="AU363" s="12"/>
      <c r="AV363" s="42"/>
      <c r="AW363" s="44"/>
      <c r="AX363" s="13"/>
      <c r="AY363" s="4"/>
      <c r="AZ363" s="1"/>
      <c r="BA363" s="1"/>
      <c r="BB363" s="4"/>
    </row>
    <row r="364" spans="1:54" s="25" customFormat="1" x14ac:dyDescent="0.25">
      <c r="A364" s="261"/>
      <c r="B364" s="260"/>
      <c r="C364" s="259"/>
      <c r="D364" s="241"/>
      <c r="E364" s="246"/>
      <c r="F364" s="113"/>
      <c r="G364" s="260"/>
      <c r="H364" s="259"/>
      <c r="I364" s="240"/>
      <c r="J364" s="113"/>
      <c r="K364" s="260"/>
      <c r="L364" s="259"/>
      <c r="M364" s="241"/>
      <c r="N364" s="240"/>
      <c r="O364" s="113"/>
      <c r="P364" s="260"/>
      <c r="Q364" s="259"/>
      <c r="R364" s="60"/>
      <c r="S364" s="8"/>
      <c r="T364" s="113"/>
      <c r="U364" s="241"/>
      <c r="V364" s="240"/>
      <c r="W364" s="241"/>
      <c r="X364" s="240"/>
      <c r="Y364" s="113"/>
      <c r="Z364" s="241"/>
      <c r="AA364" s="240"/>
      <c r="AB364" s="241"/>
      <c r="AC364" s="240"/>
      <c r="AD364" s="113"/>
      <c r="AE364" s="245"/>
      <c r="AF364" s="246"/>
      <c r="AG364" s="245"/>
      <c r="AH364" s="246"/>
      <c r="AI364" s="113"/>
      <c r="AJ364" s="245"/>
      <c r="AK364" s="246"/>
      <c r="AL364" s="245"/>
      <c r="AM364" s="246"/>
      <c r="AN364" s="32"/>
      <c r="AO364" s="12"/>
      <c r="AP364" s="12"/>
      <c r="AQ364" s="12"/>
      <c r="AR364" s="12"/>
      <c r="AS364" s="12"/>
      <c r="AT364" s="12"/>
      <c r="AU364" s="12"/>
      <c r="AV364" s="42"/>
      <c r="AW364" s="44"/>
      <c r="AX364" s="4"/>
      <c r="AY364" s="4"/>
      <c r="AZ364" s="1"/>
      <c r="BA364" s="1"/>
      <c r="BB364" s="4"/>
    </row>
    <row r="365" spans="1:54" s="25" customFormat="1" x14ac:dyDescent="0.25">
      <c r="A365" s="261"/>
      <c r="B365" s="260"/>
      <c r="C365" s="259"/>
      <c r="D365" s="240">
        <v>0.7</v>
      </c>
      <c r="E365" s="22" t="s">
        <v>194</v>
      </c>
      <c r="F365" s="113"/>
      <c r="G365" s="260"/>
      <c r="H365" s="259"/>
      <c r="I365" s="240"/>
      <c r="J365" s="113"/>
      <c r="K365" s="260"/>
      <c r="L365" s="259"/>
      <c r="M365" s="241"/>
      <c r="N365" s="73"/>
      <c r="O365" s="113"/>
      <c r="P365" s="260"/>
      <c r="Q365" s="259"/>
      <c r="R365" s="60"/>
      <c r="S365" s="8"/>
      <c r="T365" s="113"/>
      <c r="U365" s="241"/>
      <c r="V365" s="240"/>
      <c r="W365" s="241"/>
      <c r="X365" s="240"/>
      <c r="Y365" s="113"/>
      <c r="Z365" s="241"/>
      <c r="AA365" s="240"/>
      <c r="AB365" s="241"/>
      <c r="AC365" s="240"/>
      <c r="AD365" s="113"/>
      <c r="AE365" s="245"/>
      <c r="AF365" s="246"/>
      <c r="AG365" s="245"/>
      <c r="AH365" s="246"/>
      <c r="AI365" s="113"/>
      <c r="AJ365" s="245"/>
      <c r="AK365" s="246"/>
      <c r="AL365" s="245"/>
      <c r="AM365" s="246"/>
      <c r="AN365" s="32"/>
      <c r="AO365" s="12"/>
      <c r="AP365" s="12"/>
      <c r="AQ365" s="12"/>
      <c r="AR365" s="12"/>
      <c r="AS365" s="12"/>
      <c r="AT365" s="12"/>
      <c r="AU365" s="12"/>
      <c r="AV365" s="42"/>
      <c r="AW365" s="44"/>
      <c r="AX365" s="4"/>
      <c r="AY365" s="4"/>
      <c r="AZ365" s="1"/>
      <c r="BA365" s="1"/>
      <c r="BB365" s="4"/>
    </row>
    <row r="366" spans="1:54" s="25" customFormat="1" x14ac:dyDescent="0.25">
      <c r="A366" s="261"/>
      <c r="B366" s="260"/>
      <c r="C366" s="259"/>
      <c r="D366" s="241">
        <v>0.01</v>
      </c>
      <c r="E366" s="63" t="s">
        <v>90</v>
      </c>
      <c r="F366" s="113"/>
      <c r="G366" s="260"/>
      <c r="H366" s="259"/>
      <c r="I366" s="240"/>
      <c r="J366" s="113"/>
      <c r="K366" s="260"/>
      <c r="L366" s="259"/>
      <c r="M366" s="241">
        <f>K359</f>
        <v>0.09</v>
      </c>
      <c r="N366" s="63" t="s">
        <v>90</v>
      </c>
      <c r="O366" s="113"/>
      <c r="P366" s="260"/>
      <c r="Q366" s="259"/>
      <c r="R366" s="60"/>
      <c r="S366" s="8"/>
      <c r="T366" s="113"/>
      <c r="U366" s="241"/>
      <c r="V366" s="240"/>
      <c r="W366" s="241"/>
      <c r="X366" s="240"/>
      <c r="Y366" s="113"/>
      <c r="Z366" s="241"/>
      <c r="AA366" s="240"/>
      <c r="AB366" s="241"/>
      <c r="AC366" s="240"/>
      <c r="AD366" s="113"/>
      <c r="AE366" s="245"/>
      <c r="AF366" s="246"/>
      <c r="AG366" s="245"/>
      <c r="AH366" s="246"/>
      <c r="AI366" s="113"/>
      <c r="AJ366" s="245"/>
      <c r="AK366" s="246"/>
      <c r="AL366" s="245"/>
      <c r="AM366" s="246"/>
      <c r="AN366" s="32"/>
      <c r="AO366" s="12"/>
      <c r="AP366" s="12"/>
      <c r="AQ366" s="12"/>
      <c r="AR366" s="12"/>
      <c r="AS366" s="12"/>
      <c r="AT366" s="12"/>
      <c r="AU366" s="12"/>
      <c r="AV366" s="42"/>
      <c r="AW366" s="44"/>
      <c r="AX366" s="4"/>
      <c r="AY366" s="4"/>
      <c r="AZ366" s="1"/>
      <c r="BA366" s="1"/>
      <c r="BB366" s="4"/>
    </row>
    <row r="367" spans="1:54" s="25" customFormat="1" x14ac:dyDescent="0.25">
      <c r="A367" s="261"/>
      <c r="B367" s="260"/>
      <c r="C367" s="259"/>
      <c r="D367" s="240"/>
      <c r="E367" s="241"/>
      <c r="F367" s="113"/>
      <c r="G367" s="260"/>
      <c r="H367" s="259"/>
      <c r="I367" s="240"/>
      <c r="J367" s="113"/>
      <c r="K367" s="260"/>
      <c r="L367" s="259"/>
      <c r="M367" s="241"/>
      <c r="N367" s="240"/>
      <c r="O367" s="113"/>
      <c r="P367" s="260"/>
      <c r="Q367" s="259"/>
      <c r="R367" s="60"/>
      <c r="S367" s="8"/>
      <c r="T367" s="113"/>
      <c r="U367" s="241"/>
      <c r="V367" s="240"/>
      <c r="W367" s="241"/>
      <c r="X367" s="240"/>
      <c r="Y367" s="113"/>
      <c r="Z367" s="241"/>
      <c r="AA367" s="240"/>
      <c r="AB367" s="241"/>
      <c r="AC367" s="240"/>
      <c r="AD367" s="113"/>
      <c r="AE367" s="245"/>
      <c r="AF367" s="246"/>
      <c r="AG367" s="245"/>
      <c r="AH367" s="246"/>
      <c r="AI367" s="113"/>
      <c r="AJ367" s="245"/>
      <c r="AK367" s="246"/>
      <c r="AL367" s="245"/>
      <c r="AM367" s="246"/>
      <c r="AN367" s="32"/>
      <c r="AO367" s="12"/>
      <c r="AP367" s="12"/>
      <c r="AQ367" s="12"/>
      <c r="AR367" s="12"/>
      <c r="AS367" s="12"/>
      <c r="AT367" s="12"/>
      <c r="AU367" s="12"/>
      <c r="AV367" s="42"/>
      <c r="AW367" s="44"/>
      <c r="AX367" s="66"/>
      <c r="AY367" s="4"/>
      <c r="AZ367" s="1"/>
      <c r="BA367" s="1"/>
      <c r="BB367" s="4"/>
    </row>
    <row r="368" spans="1:54" s="25" customFormat="1" x14ac:dyDescent="0.25">
      <c r="A368" s="261"/>
      <c r="B368" s="260"/>
      <c r="C368" s="259"/>
      <c r="D368" s="241">
        <v>0.01</v>
      </c>
      <c r="E368" s="249" t="s">
        <v>251</v>
      </c>
      <c r="F368" s="113"/>
      <c r="G368" s="260"/>
      <c r="H368" s="259"/>
      <c r="I368" s="240"/>
      <c r="J368" s="113"/>
      <c r="K368" s="260"/>
      <c r="L368" s="259"/>
      <c r="M368" s="241">
        <v>0.01</v>
      </c>
      <c r="N368" s="249" t="s">
        <v>251</v>
      </c>
      <c r="O368" s="113"/>
      <c r="P368" s="260"/>
      <c r="Q368" s="259"/>
      <c r="R368" s="60"/>
      <c r="S368" s="8"/>
      <c r="T368" s="113"/>
      <c r="U368" s="241"/>
      <c r="V368" s="240"/>
      <c r="W368" s="241"/>
      <c r="X368" s="240"/>
      <c r="Y368" s="113"/>
      <c r="Z368" s="241"/>
      <c r="AA368" s="240"/>
      <c r="AB368" s="241"/>
      <c r="AC368" s="240"/>
      <c r="AD368" s="113"/>
      <c r="AE368" s="245"/>
      <c r="AF368" s="246"/>
      <c r="AG368" s="245"/>
      <c r="AH368" s="246"/>
      <c r="AI368" s="113"/>
      <c r="AJ368" s="245"/>
      <c r="AK368" s="246"/>
      <c r="AL368" s="245"/>
      <c r="AM368" s="246"/>
      <c r="AN368" s="32"/>
      <c r="AO368" s="12"/>
      <c r="AP368" s="12"/>
      <c r="AQ368" s="12"/>
      <c r="AR368" s="12"/>
      <c r="AS368" s="12"/>
      <c r="AT368" s="12"/>
      <c r="AU368" s="12"/>
      <c r="AV368" s="12"/>
      <c r="AW368" s="44"/>
      <c r="AX368" s="4"/>
      <c r="AY368" s="4"/>
      <c r="AZ368" s="1"/>
      <c r="BA368" s="1"/>
      <c r="BB368" s="4"/>
    </row>
    <row r="369" spans="1:54" s="25" customFormat="1" x14ac:dyDescent="0.25">
      <c r="A369" s="261"/>
      <c r="B369" s="260"/>
      <c r="C369" s="259"/>
      <c r="D369" s="240"/>
      <c r="E369" s="241"/>
      <c r="F369" s="113"/>
      <c r="G369" s="260"/>
      <c r="H369" s="259"/>
      <c r="I369" s="240"/>
      <c r="J369" s="113"/>
      <c r="K369" s="260"/>
      <c r="L369" s="259"/>
      <c r="M369" s="241"/>
      <c r="N369" s="240"/>
      <c r="O369" s="113"/>
      <c r="P369" s="260"/>
      <c r="Q369" s="259"/>
      <c r="R369" s="60"/>
      <c r="S369" s="8"/>
      <c r="T369" s="113"/>
      <c r="U369" s="241"/>
      <c r="V369" s="240"/>
      <c r="W369" s="241"/>
      <c r="X369" s="240"/>
      <c r="Y369" s="113"/>
      <c r="Z369" s="241"/>
      <c r="AA369" s="240"/>
      <c r="AB369" s="241"/>
      <c r="AC369" s="240"/>
      <c r="AD369" s="113"/>
      <c r="AE369" s="245"/>
      <c r="AF369" s="246"/>
      <c r="AG369" s="245"/>
      <c r="AH369" s="246"/>
      <c r="AI369" s="113"/>
      <c r="AJ369" s="245"/>
      <c r="AK369" s="246"/>
      <c r="AL369" s="245"/>
      <c r="AM369" s="246"/>
      <c r="AN369" s="32"/>
      <c r="AO369" s="12"/>
      <c r="AP369" s="12"/>
      <c r="AQ369" s="12"/>
      <c r="AR369" s="12"/>
      <c r="AS369" s="12"/>
      <c r="AT369" s="12"/>
      <c r="AU369" s="12"/>
      <c r="AV369" s="42"/>
      <c r="AW369" s="44"/>
      <c r="AX369" s="13"/>
      <c r="AY369" s="4"/>
      <c r="AZ369" s="1"/>
      <c r="BA369" s="1"/>
      <c r="BB369" s="4"/>
    </row>
    <row r="370" spans="1:54" s="25" customFormat="1" x14ac:dyDescent="0.25">
      <c r="A370" s="261"/>
      <c r="B370" s="260"/>
      <c r="C370" s="259"/>
      <c r="D370" s="241">
        <f>B360-D368-D364-D365-D366</f>
        <v>0.67999999999999994</v>
      </c>
      <c r="E370" s="249" t="s">
        <v>450</v>
      </c>
      <c r="F370" s="113"/>
      <c r="G370" s="260"/>
      <c r="H370" s="259"/>
      <c r="I370" s="240"/>
      <c r="J370" s="113"/>
      <c r="K370" s="260"/>
      <c r="L370" s="259"/>
      <c r="M370" s="241">
        <f>K360-M390</f>
        <v>0.17000000000000004</v>
      </c>
      <c r="N370" s="249" t="s">
        <v>161</v>
      </c>
      <c r="O370" s="113"/>
      <c r="P370" s="260"/>
      <c r="Q370" s="259"/>
      <c r="R370" s="60"/>
      <c r="S370" s="8"/>
      <c r="T370" s="113"/>
      <c r="U370" s="241"/>
      <c r="V370" s="240"/>
      <c r="W370" s="241"/>
      <c r="X370" s="240"/>
      <c r="Y370" s="113"/>
      <c r="Z370" s="241"/>
      <c r="AA370" s="240"/>
      <c r="AB370" s="241"/>
      <c r="AC370" s="240"/>
      <c r="AD370" s="113"/>
      <c r="AE370" s="245"/>
      <c r="AF370" s="246"/>
      <c r="AG370" s="245"/>
      <c r="AH370" s="246"/>
      <c r="AI370" s="113"/>
      <c r="AJ370" s="245"/>
      <c r="AK370" s="246"/>
      <c r="AL370" s="245"/>
      <c r="AM370" s="246"/>
      <c r="AN370" s="32"/>
      <c r="AO370" s="12"/>
      <c r="AP370" s="12"/>
      <c r="AQ370" s="12"/>
      <c r="AR370" s="12"/>
      <c r="AS370" s="12"/>
      <c r="AT370" s="12"/>
      <c r="AU370" s="12"/>
      <c r="AV370" s="42"/>
      <c r="AW370" s="44"/>
      <c r="AX370" s="13"/>
      <c r="AY370" s="4"/>
      <c r="AZ370" s="1"/>
      <c r="BA370" s="1"/>
      <c r="BB370" s="4"/>
    </row>
    <row r="371" spans="1:54" s="25" customFormat="1" x14ac:dyDescent="0.25">
      <c r="A371" s="261"/>
      <c r="B371" s="260"/>
      <c r="C371" s="259"/>
      <c r="D371" s="240"/>
      <c r="E371" s="241"/>
      <c r="F371" s="113"/>
      <c r="G371" s="260"/>
      <c r="H371" s="259"/>
      <c r="I371" s="240"/>
      <c r="J371" s="113"/>
      <c r="K371" s="260"/>
      <c r="L371" s="259"/>
      <c r="M371" s="241"/>
      <c r="N371" s="240"/>
      <c r="O371" s="113"/>
      <c r="P371" s="260"/>
      <c r="Q371" s="259"/>
      <c r="R371" s="60"/>
      <c r="S371" s="8"/>
      <c r="T371" s="113"/>
      <c r="U371" s="241"/>
      <c r="V371" s="240"/>
      <c r="W371" s="241"/>
      <c r="X371" s="240"/>
      <c r="Y371" s="113"/>
      <c r="Z371" s="241"/>
      <c r="AA371" s="240"/>
      <c r="AB371" s="241"/>
      <c r="AC371" s="240"/>
      <c r="AD371" s="113"/>
      <c r="AE371" s="245"/>
      <c r="AF371" s="246"/>
      <c r="AG371" s="245"/>
      <c r="AH371" s="246"/>
      <c r="AI371" s="113"/>
      <c r="AJ371" s="245"/>
      <c r="AK371" s="246"/>
      <c r="AL371" s="245"/>
      <c r="AM371" s="246"/>
      <c r="AN371" s="32"/>
      <c r="AO371" s="12"/>
      <c r="AP371" s="12"/>
      <c r="AQ371" s="12"/>
      <c r="AR371" s="12"/>
      <c r="AS371" s="12"/>
      <c r="AT371" s="12"/>
      <c r="AU371" s="12"/>
      <c r="AV371" s="42"/>
      <c r="AW371" s="44"/>
      <c r="AX371" s="13"/>
      <c r="AY371" s="4"/>
      <c r="AZ371" s="1"/>
      <c r="BA371" s="1"/>
      <c r="BB371" s="4"/>
    </row>
    <row r="372" spans="1:54" s="25" customFormat="1" x14ac:dyDescent="0.25">
      <c r="A372" s="261"/>
      <c r="B372" s="260"/>
      <c r="C372" s="259"/>
      <c r="D372" s="240"/>
      <c r="E372" s="82"/>
      <c r="F372" s="113"/>
      <c r="G372" s="260"/>
      <c r="H372" s="259"/>
      <c r="I372" s="240"/>
      <c r="J372" s="113"/>
      <c r="K372" s="260"/>
      <c r="L372" s="259"/>
      <c r="M372" s="56"/>
      <c r="N372" s="24"/>
      <c r="O372" s="113"/>
      <c r="P372" s="260"/>
      <c r="Q372" s="259"/>
      <c r="R372" s="56"/>
      <c r="S372" s="24"/>
      <c r="T372" s="113"/>
      <c r="U372" s="241"/>
      <c r="V372" s="240"/>
      <c r="W372" s="241"/>
      <c r="X372" s="240"/>
      <c r="Y372" s="113"/>
      <c r="Z372" s="241"/>
      <c r="AA372" s="240"/>
      <c r="AB372" s="241"/>
      <c r="AC372" s="240"/>
      <c r="AD372" s="113"/>
      <c r="AE372" s="245"/>
      <c r="AF372" s="246"/>
      <c r="AG372" s="245"/>
      <c r="AH372" s="246"/>
      <c r="AI372" s="113"/>
      <c r="AJ372" s="245"/>
      <c r="AK372" s="246"/>
      <c r="AL372" s="245"/>
      <c r="AM372" s="246"/>
      <c r="AN372" s="32"/>
      <c r="AO372" s="12"/>
      <c r="AP372" s="12"/>
      <c r="AQ372" s="12"/>
      <c r="AR372" s="12"/>
      <c r="AS372" s="12"/>
      <c r="AT372" s="12"/>
      <c r="AU372" s="12"/>
      <c r="AV372" s="42"/>
      <c r="AW372" s="44"/>
      <c r="AX372" s="13"/>
      <c r="AY372" s="4"/>
      <c r="AZ372" s="1"/>
      <c r="BA372" s="1"/>
      <c r="BB372" s="4"/>
    </row>
    <row r="373" spans="1:54" s="25" customFormat="1" x14ac:dyDescent="0.25">
      <c r="A373" s="261"/>
      <c r="B373" s="260"/>
      <c r="C373" s="259"/>
      <c r="D373" s="240"/>
      <c r="E373" s="241"/>
      <c r="F373" s="113"/>
      <c r="G373" s="260"/>
      <c r="H373" s="259"/>
      <c r="I373" s="240"/>
      <c r="J373" s="113"/>
      <c r="K373" s="260"/>
      <c r="L373" s="259"/>
      <c r="M373" s="241"/>
      <c r="N373" s="240"/>
      <c r="O373" s="113"/>
      <c r="P373" s="260"/>
      <c r="Q373" s="259"/>
      <c r="R373" s="60"/>
      <c r="S373" s="49"/>
      <c r="T373" s="113"/>
      <c r="U373" s="241"/>
      <c r="V373" s="240"/>
      <c r="W373" s="241"/>
      <c r="X373" s="240"/>
      <c r="Y373" s="113"/>
      <c r="Z373" s="241"/>
      <c r="AA373" s="240"/>
      <c r="AB373" s="241"/>
      <c r="AC373" s="240"/>
      <c r="AD373" s="113"/>
      <c r="AE373" s="245"/>
      <c r="AF373" s="246"/>
      <c r="AG373" s="245"/>
      <c r="AH373" s="246"/>
      <c r="AI373" s="113"/>
      <c r="AJ373" s="245"/>
      <c r="AK373" s="246"/>
      <c r="AL373" s="245"/>
      <c r="AM373" s="246"/>
      <c r="AN373" s="32"/>
      <c r="AO373" s="12"/>
      <c r="AP373" s="12"/>
      <c r="AQ373" s="12"/>
      <c r="AR373" s="12"/>
      <c r="AS373" s="12"/>
      <c r="AT373" s="12"/>
      <c r="AU373" s="12"/>
      <c r="AV373" s="42"/>
      <c r="AW373" s="44"/>
      <c r="AX373" s="4"/>
      <c r="AY373" s="4"/>
      <c r="AZ373" s="1"/>
      <c r="BA373" s="1"/>
      <c r="BB373" s="4"/>
    </row>
    <row r="374" spans="1:54" s="25" customFormat="1" x14ac:dyDescent="0.25">
      <c r="A374" s="261">
        <v>55</v>
      </c>
      <c r="B374" s="260">
        <v>1.02</v>
      </c>
      <c r="C374" s="259">
        <v>11.39</v>
      </c>
      <c r="D374" s="240"/>
      <c r="E374" s="19"/>
      <c r="F374" s="113"/>
      <c r="G374" s="260">
        <v>1.1000000000000001</v>
      </c>
      <c r="H374" s="259">
        <v>10.98</v>
      </c>
      <c r="I374" s="240"/>
      <c r="J374" s="113"/>
      <c r="K374" s="260">
        <v>0.36</v>
      </c>
      <c r="L374" s="259">
        <v>11.4</v>
      </c>
      <c r="M374" s="241"/>
      <c r="N374" s="240"/>
      <c r="O374" s="113"/>
      <c r="P374" s="260">
        <v>0.88</v>
      </c>
      <c r="Q374" s="259">
        <v>11.39</v>
      </c>
      <c r="R374" s="60"/>
      <c r="S374" s="49"/>
      <c r="T374" s="113"/>
      <c r="U374" s="241"/>
      <c r="V374" s="240"/>
      <c r="W374" s="241"/>
      <c r="X374" s="240"/>
      <c r="Y374" s="113"/>
      <c r="Z374" s="241"/>
      <c r="AA374" s="240"/>
      <c r="AB374" s="241"/>
      <c r="AC374" s="240"/>
      <c r="AD374" s="113"/>
      <c r="AE374" s="245"/>
      <c r="AF374" s="246"/>
      <c r="AG374" s="245"/>
      <c r="AH374" s="246"/>
      <c r="AI374" s="113"/>
      <c r="AJ374" s="245"/>
      <c r="AK374" s="246"/>
      <c r="AL374" s="245"/>
      <c r="AM374" s="246"/>
      <c r="AN374" s="32"/>
      <c r="AO374" s="12"/>
      <c r="AP374" s="12"/>
      <c r="AQ374" s="12"/>
      <c r="AR374" s="12"/>
      <c r="AS374" s="12"/>
      <c r="AT374" s="12"/>
      <c r="AU374" s="12"/>
      <c r="AV374" s="42"/>
      <c r="AW374" s="44"/>
      <c r="AX374" s="66"/>
      <c r="AY374" s="4"/>
      <c r="AZ374" s="1"/>
      <c r="BA374" s="1"/>
      <c r="BB374" s="4"/>
    </row>
    <row r="375" spans="1:54" s="25" customFormat="1" x14ac:dyDescent="0.25">
      <c r="A375" s="261"/>
      <c r="B375" s="260"/>
      <c r="C375" s="259"/>
      <c r="D375" s="240"/>
      <c r="E375" s="241"/>
      <c r="F375" s="113"/>
      <c r="G375" s="260"/>
      <c r="H375" s="259"/>
      <c r="I375" s="240"/>
      <c r="J375" s="113"/>
      <c r="K375" s="260"/>
      <c r="L375" s="259"/>
      <c r="M375" s="241"/>
      <c r="N375" s="240"/>
      <c r="O375" s="113"/>
      <c r="P375" s="260"/>
      <c r="Q375" s="259"/>
      <c r="R375" s="60"/>
      <c r="S375" s="49"/>
      <c r="T375" s="113"/>
      <c r="U375" s="241"/>
      <c r="V375" s="240"/>
      <c r="W375" s="241"/>
      <c r="X375" s="240"/>
      <c r="Y375" s="113"/>
      <c r="Z375" s="241"/>
      <c r="AA375" s="240"/>
      <c r="AB375" s="241"/>
      <c r="AC375" s="240"/>
      <c r="AD375" s="113"/>
      <c r="AE375" s="245"/>
      <c r="AF375" s="246"/>
      <c r="AG375" s="245"/>
      <c r="AH375" s="246"/>
      <c r="AI375" s="113"/>
      <c r="AJ375" s="245"/>
      <c r="AK375" s="246"/>
      <c r="AL375" s="245"/>
      <c r="AM375" s="246"/>
      <c r="AN375" s="32"/>
      <c r="AO375" s="12"/>
      <c r="AP375" s="12"/>
      <c r="AQ375" s="12"/>
      <c r="AR375" s="12"/>
      <c r="AS375" s="12"/>
      <c r="AT375" s="12"/>
      <c r="AU375" s="12"/>
      <c r="AV375" s="42"/>
      <c r="AW375" s="44"/>
      <c r="AX375" s="4"/>
      <c r="AY375" s="4"/>
      <c r="AZ375" s="1"/>
      <c r="BA375" s="1"/>
      <c r="BB375" s="4"/>
    </row>
    <row r="376" spans="1:54" s="25" customFormat="1" x14ac:dyDescent="0.25">
      <c r="A376" s="261"/>
      <c r="B376" s="260"/>
      <c r="C376" s="259"/>
      <c r="D376" s="240"/>
      <c r="E376" s="19"/>
      <c r="F376" s="113"/>
      <c r="G376" s="260"/>
      <c r="H376" s="259"/>
      <c r="I376" s="240"/>
      <c r="J376" s="113"/>
      <c r="K376" s="260"/>
      <c r="L376" s="259"/>
      <c r="M376" s="241"/>
      <c r="N376" s="240"/>
      <c r="O376" s="113"/>
      <c r="P376" s="260"/>
      <c r="Q376" s="259"/>
      <c r="R376" s="60"/>
      <c r="S376" s="49"/>
      <c r="T376" s="113"/>
      <c r="U376" s="241"/>
      <c r="V376" s="240"/>
      <c r="W376" s="241"/>
      <c r="X376" s="240"/>
      <c r="Y376" s="113"/>
      <c r="Z376" s="241"/>
      <c r="AA376" s="240"/>
      <c r="AB376" s="241"/>
      <c r="AC376" s="240"/>
      <c r="AD376" s="113"/>
      <c r="AE376" s="245"/>
      <c r="AF376" s="246"/>
      <c r="AG376" s="245"/>
      <c r="AH376" s="246"/>
      <c r="AI376" s="113"/>
      <c r="AJ376" s="245"/>
      <c r="AK376" s="246"/>
      <c r="AL376" s="245"/>
      <c r="AM376" s="246"/>
      <c r="AN376" s="32"/>
      <c r="AO376" s="12"/>
      <c r="AP376" s="12"/>
      <c r="AQ376" s="12"/>
      <c r="AR376" s="12"/>
      <c r="AS376" s="12"/>
      <c r="AT376" s="12"/>
      <c r="AU376" s="12"/>
      <c r="AV376" s="42"/>
      <c r="AW376" s="44"/>
      <c r="AX376" s="4"/>
      <c r="AY376" s="4"/>
      <c r="AZ376" s="1"/>
      <c r="BA376" s="1"/>
      <c r="BB376" s="4"/>
    </row>
    <row r="377" spans="1:54" s="25" customFormat="1" x14ac:dyDescent="0.25">
      <c r="A377" s="261"/>
      <c r="B377" s="260"/>
      <c r="C377" s="259"/>
      <c r="D377" s="240"/>
      <c r="E377" s="241"/>
      <c r="F377" s="113"/>
      <c r="G377" s="260"/>
      <c r="H377" s="259"/>
      <c r="I377" s="240"/>
      <c r="J377" s="113"/>
      <c r="K377" s="260"/>
      <c r="L377" s="259"/>
      <c r="M377" s="241"/>
      <c r="N377" s="240"/>
      <c r="O377" s="113"/>
      <c r="P377" s="260"/>
      <c r="Q377" s="259"/>
      <c r="R377" s="60"/>
      <c r="S377" s="49"/>
      <c r="T377" s="113"/>
      <c r="U377" s="241"/>
      <c r="V377" s="240"/>
      <c r="W377" s="241"/>
      <c r="X377" s="240"/>
      <c r="Y377" s="113"/>
      <c r="Z377" s="241"/>
      <c r="AA377" s="240"/>
      <c r="AB377" s="241"/>
      <c r="AC377" s="240"/>
      <c r="AD377" s="113"/>
      <c r="AE377" s="245"/>
      <c r="AF377" s="246"/>
      <c r="AG377" s="245"/>
      <c r="AH377" s="246"/>
      <c r="AI377" s="113"/>
      <c r="AJ377" s="245"/>
      <c r="AK377" s="246"/>
      <c r="AL377" s="245"/>
      <c r="AM377" s="246"/>
      <c r="AN377" s="32"/>
      <c r="AO377" s="12"/>
      <c r="AP377" s="12"/>
      <c r="AQ377" s="12"/>
      <c r="AR377" s="12"/>
      <c r="AS377" s="12"/>
      <c r="AT377" s="12"/>
      <c r="AU377" s="12"/>
      <c r="AV377" s="42"/>
      <c r="AW377" s="44"/>
      <c r="AX377" s="4"/>
      <c r="AY377" s="4"/>
      <c r="AZ377" s="1"/>
      <c r="BA377" s="1"/>
      <c r="BB377" s="4"/>
    </row>
    <row r="378" spans="1:54" s="25" customFormat="1" x14ac:dyDescent="0.25">
      <c r="A378" s="261"/>
      <c r="B378" s="260"/>
      <c r="C378" s="259"/>
      <c r="D378" s="240"/>
      <c r="E378" s="241"/>
      <c r="F378" s="113"/>
      <c r="G378" s="260"/>
      <c r="H378" s="259"/>
      <c r="I378" s="240"/>
      <c r="J378" s="113"/>
      <c r="K378" s="260"/>
      <c r="L378" s="259"/>
      <c r="M378" s="241"/>
      <c r="N378" s="240"/>
      <c r="O378" s="113"/>
      <c r="P378" s="260"/>
      <c r="Q378" s="259"/>
      <c r="R378" s="60"/>
      <c r="S378" s="49"/>
      <c r="T378" s="113"/>
      <c r="U378" s="241"/>
      <c r="V378" s="240"/>
      <c r="W378" s="241"/>
      <c r="X378" s="240"/>
      <c r="Y378" s="113"/>
      <c r="Z378" s="241"/>
      <c r="AA378" s="240"/>
      <c r="AB378" s="241"/>
      <c r="AC378" s="240"/>
      <c r="AD378" s="113"/>
      <c r="AE378" s="245"/>
      <c r="AF378" s="246"/>
      <c r="AG378" s="245"/>
      <c r="AH378" s="246"/>
      <c r="AI378" s="113"/>
      <c r="AJ378" s="245"/>
      <c r="AK378" s="246"/>
      <c r="AL378" s="245"/>
      <c r="AM378" s="246"/>
      <c r="AN378" s="32"/>
      <c r="AO378" s="12"/>
      <c r="AP378" s="12"/>
      <c r="AQ378" s="12"/>
      <c r="AR378" s="12"/>
      <c r="AS378" s="12"/>
      <c r="AT378" s="12"/>
      <c r="AU378" s="12"/>
      <c r="AV378" s="12"/>
      <c r="AW378" s="44"/>
      <c r="AX378" s="4"/>
      <c r="AY378" s="4"/>
      <c r="AZ378" s="1"/>
      <c r="BA378" s="1"/>
      <c r="BB378" s="4"/>
    </row>
    <row r="379" spans="1:54" s="25" customFormat="1" x14ac:dyDescent="0.25">
      <c r="A379" s="261"/>
      <c r="B379" s="260"/>
      <c r="C379" s="259"/>
      <c r="D379" s="240"/>
      <c r="E379" s="241"/>
      <c r="F379" s="113"/>
      <c r="G379" s="260"/>
      <c r="H379" s="259"/>
      <c r="I379" s="240"/>
      <c r="J379" s="113"/>
      <c r="K379" s="260"/>
      <c r="L379" s="259"/>
      <c r="M379" s="241"/>
      <c r="N379" s="240"/>
      <c r="O379" s="113"/>
      <c r="P379" s="260"/>
      <c r="Q379" s="259"/>
      <c r="R379" s="60"/>
      <c r="S379" s="49"/>
      <c r="T379" s="113"/>
      <c r="U379" s="241"/>
      <c r="V379" s="240"/>
      <c r="W379" s="241"/>
      <c r="X379" s="240"/>
      <c r="Y379" s="113"/>
      <c r="Z379" s="241"/>
      <c r="AA379" s="240"/>
      <c r="AB379" s="241"/>
      <c r="AC379" s="240"/>
      <c r="AD379" s="113"/>
      <c r="AE379" s="245"/>
      <c r="AF379" s="246"/>
      <c r="AG379" s="245"/>
      <c r="AH379" s="246"/>
      <c r="AI379" s="113"/>
      <c r="AJ379" s="245"/>
      <c r="AK379" s="246"/>
      <c r="AL379" s="245"/>
      <c r="AM379" s="246"/>
      <c r="AN379" s="32"/>
      <c r="AO379" s="12"/>
      <c r="AP379" s="12"/>
      <c r="AQ379" s="12"/>
      <c r="AR379" s="12"/>
      <c r="AS379" s="12"/>
      <c r="AT379" s="12"/>
      <c r="AU379" s="12"/>
      <c r="AV379" s="42"/>
      <c r="AW379" s="44"/>
      <c r="AX379" s="4"/>
      <c r="AY379" s="4"/>
      <c r="AZ379" s="1"/>
      <c r="BA379" s="1"/>
      <c r="BB379" s="4"/>
    </row>
    <row r="380" spans="1:54" s="25" customFormat="1" x14ac:dyDescent="0.25">
      <c r="A380" s="261"/>
      <c r="B380" s="260"/>
      <c r="C380" s="259"/>
      <c r="D380" s="240">
        <f>B374</f>
        <v>1.02</v>
      </c>
      <c r="E380" s="75" t="s">
        <v>35</v>
      </c>
      <c r="F380" s="113"/>
      <c r="G380" s="260"/>
      <c r="H380" s="259"/>
      <c r="I380" s="240"/>
      <c r="J380" s="113"/>
      <c r="K380" s="260"/>
      <c r="L380" s="259"/>
      <c r="M380" s="241">
        <f>K374+K381</f>
        <v>0.92</v>
      </c>
      <c r="N380" s="75" t="s">
        <v>35</v>
      </c>
      <c r="O380" s="113"/>
      <c r="P380" s="260"/>
      <c r="Q380" s="259"/>
      <c r="R380" s="241">
        <f>P374</f>
        <v>0.88</v>
      </c>
      <c r="S380" s="75" t="s">
        <v>35</v>
      </c>
      <c r="T380" s="113"/>
      <c r="U380" s="241"/>
      <c r="V380" s="240"/>
      <c r="W380" s="241"/>
      <c r="X380" s="240"/>
      <c r="Y380" s="113"/>
      <c r="Z380" s="241"/>
      <c r="AA380" s="240"/>
      <c r="AB380" s="241"/>
      <c r="AC380" s="240"/>
      <c r="AD380" s="113"/>
      <c r="AE380" s="245"/>
      <c r="AF380" s="246"/>
      <c r="AG380" s="245"/>
      <c r="AH380" s="246"/>
      <c r="AI380" s="113"/>
      <c r="AJ380" s="245"/>
      <c r="AK380" s="246"/>
      <c r="AL380" s="245"/>
      <c r="AM380" s="246"/>
      <c r="AN380" s="32"/>
      <c r="AO380" s="12"/>
      <c r="AP380" s="12"/>
      <c r="AQ380" s="12"/>
      <c r="AR380" s="12"/>
      <c r="AS380" s="12"/>
      <c r="AT380" s="12"/>
      <c r="AU380" s="12"/>
      <c r="AV380" s="42"/>
      <c r="AW380" s="44"/>
      <c r="AX380" s="4"/>
      <c r="AY380" s="4"/>
      <c r="AZ380" s="1"/>
      <c r="BA380" s="1"/>
      <c r="BB380" s="4"/>
    </row>
    <row r="381" spans="1:54" s="25" customFormat="1" x14ac:dyDescent="0.25">
      <c r="A381" s="261"/>
      <c r="B381" s="260"/>
      <c r="C381" s="259"/>
      <c r="D381" s="240"/>
      <c r="E381" s="241"/>
      <c r="F381" s="113"/>
      <c r="G381" s="260"/>
      <c r="H381" s="259"/>
      <c r="I381" s="240"/>
      <c r="J381" s="113"/>
      <c r="K381" s="241">
        <v>0.56000000000000005</v>
      </c>
      <c r="L381" s="240">
        <v>11.43</v>
      </c>
      <c r="M381" s="241"/>
      <c r="N381" s="240"/>
      <c r="O381" s="113"/>
      <c r="P381" s="260"/>
      <c r="Q381" s="259"/>
      <c r="R381" s="60"/>
      <c r="S381" s="55"/>
      <c r="T381" s="113"/>
      <c r="U381" s="241"/>
      <c r="V381" s="240"/>
      <c r="W381" s="241"/>
      <c r="X381" s="240"/>
      <c r="Y381" s="113"/>
      <c r="Z381" s="241"/>
      <c r="AA381" s="240"/>
      <c r="AB381" s="241"/>
      <c r="AC381" s="240"/>
      <c r="AD381" s="113"/>
      <c r="AE381" s="245"/>
      <c r="AF381" s="246"/>
      <c r="AG381" s="245"/>
      <c r="AH381" s="246"/>
      <c r="AI381" s="113"/>
      <c r="AJ381" s="245"/>
      <c r="AK381" s="246"/>
      <c r="AL381" s="245"/>
      <c r="AM381" s="246"/>
      <c r="AN381" s="32"/>
      <c r="AO381" s="12"/>
      <c r="AP381" s="12"/>
      <c r="AQ381" s="12"/>
      <c r="AR381" s="12"/>
      <c r="AS381" s="12"/>
      <c r="AT381" s="12"/>
      <c r="AU381" s="12"/>
      <c r="AV381" s="12"/>
      <c r="AW381" s="44"/>
      <c r="AX381" s="13"/>
      <c r="AY381" s="4"/>
      <c r="AZ381" s="1"/>
      <c r="BA381" s="1"/>
      <c r="BB381" s="4"/>
    </row>
    <row r="382" spans="1:54" s="25" customFormat="1" x14ac:dyDescent="0.25">
      <c r="A382" s="261">
        <v>56</v>
      </c>
      <c r="B382" s="260">
        <v>2.21</v>
      </c>
      <c r="C382" s="259">
        <v>11.53</v>
      </c>
      <c r="D382" s="240"/>
      <c r="E382" s="241"/>
      <c r="F382" s="113"/>
      <c r="G382" s="260">
        <v>2.6</v>
      </c>
      <c r="H382" s="259">
        <v>11.1</v>
      </c>
      <c r="I382" s="240"/>
      <c r="J382" s="113"/>
      <c r="K382" s="260">
        <v>0.44</v>
      </c>
      <c r="L382" s="259">
        <v>11.59</v>
      </c>
      <c r="M382" s="241"/>
      <c r="N382" s="240"/>
      <c r="O382" s="113"/>
      <c r="P382" s="260">
        <v>0.92</v>
      </c>
      <c r="Q382" s="259">
        <v>11.57</v>
      </c>
      <c r="R382" s="60"/>
      <c r="S382" s="55"/>
      <c r="T382" s="113"/>
      <c r="U382" s="241"/>
      <c r="V382" s="240"/>
      <c r="W382" s="241"/>
      <c r="X382" s="240"/>
      <c r="Y382" s="113"/>
      <c r="Z382" s="241"/>
      <c r="AA382" s="240"/>
      <c r="AB382" s="241"/>
      <c r="AC382" s="240"/>
      <c r="AD382" s="113"/>
      <c r="AE382" s="245"/>
      <c r="AF382" s="246"/>
      <c r="AG382" s="245"/>
      <c r="AH382" s="246"/>
      <c r="AI382" s="113"/>
      <c r="AJ382" s="245"/>
      <c r="AK382" s="246"/>
      <c r="AL382" s="245"/>
      <c r="AM382" s="246"/>
      <c r="AN382" s="32"/>
      <c r="AO382" s="12"/>
      <c r="AP382" s="12"/>
      <c r="AQ382" s="12"/>
      <c r="AR382" s="12"/>
      <c r="AS382" s="12"/>
      <c r="AT382" s="12"/>
      <c r="AU382" s="12"/>
      <c r="AV382" s="42"/>
      <c r="AW382" s="44"/>
      <c r="AX382" s="13"/>
      <c r="AY382" s="1"/>
      <c r="AZ382" s="1"/>
      <c r="BA382" s="1"/>
      <c r="BB382" s="4"/>
    </row>
    <row r="383" spans="1:54" s="25" customFormat="1" x14ac:dyDescent="0.25">
      <c r="A383" s="261"/>
      <c r="B383" s="260"/>
      <c r="C383" s="259"/>
      <c r="D383" s="241">
        <f>B382-D389-D388</f>
        <v>0.6100000000000001</v>
      </c>
      <c r="E383" s="249" t="s">
        <v>160</v>
      </c>
      <c r="F383" s="113"/>
      <c r="G383" s="260"/>
      <c r="H383" s="259"/>
      <c r="I383" s="240"/>
      <c r="J383" s="113"/>
      <c r="K383" s="260"/>
      <c r="L383" s="259"/>
      <c r="M383" s="241"/>
      <c r="N383" s="240"/>
      <c r="O383" s="113"/>
      <c r="P383" s="260"/>
      <c r="Q383" s="259"/>
      <c r="R383" s="60"/>
      <c r="S383" s="55"/>
      <c r="T383" s="113"/>
      <c r="U383" s="241"/>
      <c r="V383" s="240"/>
      <c r="W383" s="241"/>
      <c r="X383" s="240"/>
      <c r="Y383" s="113"/>
      <c r="Z383" s="241"/>
      <c r="AA383" s="240"/>
      <c r="AB383" s="241"/>
      <c r="AC383" s="240"/>
      <c r="AD383" s="113"/>
      <c r="AE383" s="245"/>
      <c r="AF383" s="246"/>
      <c r="AG383" s="245"/>
      <c r="AH383" s="246"/>
      <c r="AI383" s="113"/>
      <c r="AJ383" s="245"/>
      <c r="AK383" s="246"/>
      <c r="AL383" s="245"/>
      <c r="AM383" s="246"/>
      <c r="AN383" s="32"/>
      <c r="AO383" s="12"/>
      <c r="AP383" s="12"/>
      <c r="AQ383" s="12"/>
      <c r="AR383" s="12"/>
      <c r="AS383" s="12"/>
      <c r="AT383" s="12"/>
      <c r="AU383" s="12"/>
      <c r="AV383" s="42"/>
      <c r="AW383" s="44"/>
      <c r="AX383" s="13"/>
      <c r="AY383" s="1"/>
      <c r="AZ383" s="1"/>
      <c r="BA383" s="1"/>
      <c r="BB383" s="4"/>
    </row>
    <row r="384" spans="1:54" s="25" customFormat="1" x14ac:dyDescent="0.25">
      <c r="A384" s="261"/>
      <c r="B384" s="260"/>
      <c r="C384" s="259"/>
      <c r="D384" s="241"/>
      <c r="E384" s="241"/>
      <c r="F384" s="113"/>
      <c r="G384" s="260"/>
      <c r="H384" s="259"/>
      <c r="I384" s="240"/>
      <c r="J384" s="113"/>
      <c r="K384" s="260"/>
      <c r="L384" s="259"/>
      <c r="M384" s="241"/>
      <c r="N384" s="240"/>
      <c r="O384" s="113"/>
      <c r="P384" s="260"/>
      <c r="Q384" s="259"/>
      <c r="R384" s="60"/>
      <c r="S384" s="55"/>
      <c r="T384" s="113"/>
      <c r="U384" s="241"/>
      <c r="V384" s="240"/>
      <c r="W384" s="241"/>
      <c r="X384" s="240"/>
      <c r="Y384" s="113"/>
      <c r="Z384" s="241"/>
      <c r="AA384" s="240"/>
      <c r="AB384" s="241"/>
      <c r="AC384" s="240"/>
      <c r="AD384" s="113"/>
      <c r="AE384" s="245"/>
      <c r="AF384" s="246"/>
      <c r="AG384" s="245"/>
      <c r="AH384" s="246"/>
      <c r="AI384" s="113"/>
      <c r="AJ384" s="245"/>
      <c r="AK384" s="246"/>
      <c r="AL384" s="245"/>
      <c r="AM384" s="246"/>
      <c r="AN384" s="32"/>
      <c r="AO384" s="12"/>
      <c r="AP384" s="12"/>
      <c r="AQ384" s="12"/>
      <c r="AR384" s="12"/>
      <c r="AS384" s="12"/>
      <c r="AT384" s="12"/>
      <c r="AU384" s="12"/>
      <c r="AV384" s="42"/>
      <c r="AW384" s="44"/>
      <c r="AX384" s="13"/>
      <c r="AY384" s="1"/>
      <c r="AZ384" s="1"/>
      <c r="BA384" s="1"/>
      <c r="BB384" s="4"/>
    </row>
    <row r="385" spans="1:54" s="25" customFormat="1" x14ac:dyDescent="0.25">
      <c r="A385" s="261"/>
      <c r="B385" s="260"/>
      <c r="C385" s="259"/>
      <c r="D385" s="241"/>
      <c r="E385" s="241"/>
      <c r="F385" s="113"/>
      <c r="G385" s="260"/>
      <c r="H385" s="259"/>
      <c r="I385" s="240"/>
      <c r="J385" s="113"/>
      <c r="K385" s="260"/>
      <c r="L385" s="259"/>
      <c r="M385" s="241"/>
      <c r="N385" s="240"/>
      <c r="O385" s="113"/>
      <c r="P385" s="260"/>
      <c r="Q385" s="259"/>
      <c r="R385" s="60"/>
      <c r="S385" s="55"/>
      <c r="T385" s="113"/>
      <c r="U385" s="241"/>
      <c r="V385" s="240"/>
      <c r="W385" s="241"/>
      <c r="X385" s="240"/>
      <c r="Y385" s="113"/>
      <c r="Z385" s="241"/>
      <c r="AA385" s="240"/>
      <c r="AB385" s="241"/>
      <c r="AC385" s="240"/>
      <c r="AD385" s="113"/>
      <c r="AE385" s="245"/>
      <c r="AF385" s="246"/>
      <c r="AG385" s="245"/>
      <c r="AH385" s="246"/>
      <c r="AI385" s="113"/>
      <c r="AJ385" s="245"/>
      <c r="AK385" s="246"/>
      <c r="AL385" s="245"/>
      <c r="AM385" s="246"/>
      <c r="AN385" s="32"/>
      <c r="AO385" s="12"/>
      <c r="AP385" s="12"/>
      <c r="AQ385" s="12"/>
      <c r="AR385" s="12"/>
      <c r="AS385" s="12"/>
      <c r="AT385" s="12"/>
      <c r="AU385" s="12"/>
      <c r="AV385" s="42"/>
      <c r="AW385" s="44"/>
      <c r="AX385" s="13"/>
      <c r="AY385" s="1"/>
      <c r="AZ385" s="1"/>
      <c r="BA385" s="1"/>
      <c r="BB385" s="4"/>
    </row>
    <row r="386" spans="1:54" s="25" customFormat="1" x14ac:dyDescent="0.25">
      <c r="A386" s="261"/>
      <c r="B386" s="260"/>
      <c r="C386" s="259"/>
      <c r="D386" s="56"/>
      <c r="E386" s="24"/>
      <c r="F386" s="113"/>
      <c r="G386" s="260"/>
      <c r="H386" s="259"/>
      <c r="I386" s="240"/>
      <c r="J386" s="113"/>
      <c r="K386" s="260"/>
      <c r="L386" s="259"/>
      <c r="M386" s="56"/>
      <c r="N386" s="24"/>
      <c r="O386" s="113"/>
      <c r="P386" s="260"/>
      <c r="Q386" s="259"/>
      <c r="R386" s="60"/>
      <c r="S386" s="246"/>
      <c r="T386" s="113"/>
      <c r="U386" s="241"/>
      <c r="V386" s="240"/>
      <c r="W386" s="241"/>
      <c r="X386" s="240"/>
      <c r="Y386" s="113"/>
      <c r="Z386" s="241"/>
      <c r="AA386" s="240"/>
      <c r="AB386" s="241"/>
      <c r="AC386" s="240"/>
      <c r="AD386" s="113"/>
      <c r="AE386" s="245"/>
      <c r="AF386" s="246"/>
      <c r="AG386" s="245"/>
      <c r="AH386" s="246"/>
      <c r="AI386" s="113"/>
      <c r="AJ386" s="245"/>
      <c r="AK386" s="246"/>
      <c r="AL386" s="245"/>
      <c r="AM386" s="246"/>
      <c r="AN386" s="32"/>
      <c r="AO386" s="12"/>
      <c r="AP386" s="12"/>
      <c r="AQ386" s="12"/>
      <c r="AR386" s="12"/>
      <c r="AS386" s="12"/>
      <c r="AT386" s="12"/>
      <c r="AU386" s="12"/>
      <c r="AV386" s="42"/>
      <c r="AW386" s="44"/>
      <c r="AX386" s="13"/>
      <c r="AY386" s="1"/>
      <c r="AZ386" s="1"/>
      <c r="BA386" s="1"/>
      <c r="BB386" s="4"/>
    </row>
    <row r="387" spans="1:54" s="25" customFormat="1" x14ac:dyDescent="0.25">
      <c r="A387" s="261"/>
      <c r="B387" s="260"/>
      <c r="C387" s="259"/>
      <c r="D387" s="241"/>
      <c r="E387" s="245"/>
      <c r="F387" s="113"/>
      <c r="G387" s="260"/>
      <c r="H387" s="259"/>
      <c r="I387" s="240"/>
      <c r="J387" s="113"/>
      <c r="K387" s="260"/>
      <c r="L387" s="259"/>
      <c r="M387" s="241"/>
      <c r="N387" s="240"/>
      <c r="O387" s="113"/>
      <c r="P387" s="260"/>
      <c r="Q387" s="259"/>
      <c r="R387" s="60"/>
      <c r="S387" s="55"/>
      <c r="T387" s="113"/>
      <c r="U387" s="241"/>
      <c r="V387" s="240"/>
      <c r="W387" s="241"/>
      <c r="X387" s="240"/>
      <c r="Y387" s="113"/>
      <c r="Z387" s="241"/>
      <c r="AA387" s="240"/>
      <c r="AB387" s="241"/>
      <c r="AC387" s="240"/>
      <c r="AD387" s="113"/>
      <c r="AE387" s="245"/>
      <c r="AF387" s="246"/>
      <c r="AG387" s="245"/>
      <c r="AH387" s="246"/>
      <c r="AI387" s="113"/>
      <c r="AJ387" s="245"/>
      <c r="AK387" s="246"/>
      <c r="AL387" s="245"/>
      <c r="AM387" s="246"/>
      <c r="AN387" s="32"/>
      <c r="AO387" s="12"/>
      <c r="AP387" s="12"/>
      <c r="AQ387" s="12"/>
      <c r="AR387" s="12"/>
      <c r="AS387" s="12"/>
      <c r="AT387" s="12"/>
      <c r="AU387" s="12"/>
      <c r="AV387" s="42"/>
      <c r="AW387" s="44"/>
      <c r="AX387" s="13"/>
      <c r="AY387" s="1"/>
      <c r="AZ387" s="1"/>
      <c r="BA387" s="1"/>
      <c r="BB387" s="4"/>
    </row>
    <row r="388" spans="1:54" s="25" customFormat="1" x14ac:dyDescent="0.25">
      <c r="A388" s="261"/>
      <c r="B388" s="260"/>
      <c r="C388" s="259"/>
      <c r="D388" s="241">
        <v>0.7</v>
      </c>
      <c r="E388" s="249" t="s">
        <v>94</v>
      </c>
      <c r="F388" s="113"/>
      <c r="G388" s="260"/>
      <c r="H388" s="259"/>
      <c r="I388" s="240"/>
      <c r="J388" s="113"/>
      <c r="K388" s="260"/>
      <c r="L388" s="259"/>
      <c r="M388" s="241"/>
      <c r="N388" s="240"/>
      <c r="O388" s="113"/>
      <c r="P388" s="260"/>
      <c r="Q388" s="259"/>
      <c r="R388" s="60"/>
      <c r="S388" s="55"/>
      <c r="T388" s="113"/>
      <c r="U388" s="241"/>
      <c r="V388" s="240"/>
      <c r="W388" s="241"/>
      <c r="X388" s="240"/>
      <c r="Y388" s="113"/>
      <c r="Z388" s="241"/>
      <c r="AA388" s="240"/>
      <c r="AB388" s="241"/>
      <c r="AC388" s="240"/>
      <c r="AD388" s="113"/>
      <c r="AE388" s="245"/>
      <c r="AF388" s="246"/>
      <c r="AG388" s="245"/>
      <c r="AH388" s="246"/>
      <c r="AI388" s="113"/>
      <c r="AJ388" s="245"/>
      <c r="AK388" s="246"/>
      <c r="AL388" s="245"/>
      <c r="AM388" s="246"/>
      <c r="AN388" s="32"/>
      <c r="AO388" s="12"/>
      <c r="AP388" s="12"/>
      <c r="AQ388" s="12"/>
      <c r="AR388" s="12"/>
      <c r="AS388" s="12"/>
      <c r="AT388" s="12"/>
      <c r="AU388" s="12"/>
      <c r="AV388" s="42"/>
      <c r="AW388" s="44"/>
      <c r="AX388" s="4"/>
      <c r="AY388" s="1"/>
      <c r="AZ388" s="1"/>
      <c r="BA388" s="1"/>
      <c r="BB388" s="4"/>
    </row>
    <row r="389" spans="1:54" s="25" customFormat="1" x14ac:dyDescent="0.25">
      <c r="A389" s="261"/>
      <c r="B389" s="260"/>
      <c r="C389" s="259"/>
      <c r="D389" s="240">
        <v>0.9</v>
      </c>
      <c r="E389" s="15" t="s">
        <v>120</v>
      </c>
      <c r="F389" s="113"/>
      <c r="G389" s="260"/>
      <c r="H389" s="259"/>
      <c r="I389" s="240"/>
      <c r="J389" s="113"/>
      <c r="K389" s="260">
        <v>0.39</v>
      </c>
      <c r="L389" s="259">
        <v>11.67</v>
      </c>
      <c r="M389" s="241">
        <f>K382</f>
        <v>0.44</v>
      </c>
      <c r="N389" s="15" t="s">
        <v>120</v>
      </c>
      <c r="O389" s="113"/>
      <c r="P389" s="260"/>
      <c r="Q389" s="259"/>
      <c r="R389" s="241">
        <f>P382-R390</f>
        <v>0.62000000000000011</v>
      </c>
      <c r="S389" s="15" t="s">
        <v>120</v>
      </c>
      <c r="T389" s="113"/>
      <c r="U389" s="241"/>
      <c r="V389" s="240"/>
      <c r="W389" s="241"/>
      <c r="X389" s="240"/>
      <c r="Y389" s="113"/>
      <c r="Z389" s="241"/>
      <c r="AA389" s="240"/>
      <c r="AB389" s="241"/>
      <c r="AC389" s="240"/>
      <c r="AD389" s="113"/>
      <c r="AE389" s="245"/>
      <c r="AF389" s="246"/>
      <c r="AG389" s="245"/>
      <c r="AH389" s="246"/>
      <c r="AI389" s="113"/>
      <c r="AJ389" s="245"/>
      <c r="AK389" s="246"/>
      <c r="AL389" s="245"/>
      <c r="AM389" s="246"/>
      <c r="AN389" s="32"/>
      <c r="AO389" s="12"/>
      <c r="AP389" s="12"/>
      <c r="AQ389" s="12"/>
      <c r="AR389" s="12"/>
      <c r="AS389" s="12"/>
      <c r="AT389" s="12"/>
      <c r="AU389" s="12"/>
      <c r="AV389" s="42"/>
      <c r="AW389" s="44"/>
      <c r="AX389" s="4"/>
      <c r="AY389" s="1"/>
      <c r="AZ389" s="1"/>
      <c r="BA389" s="1"/>
      <c r="BB389" s="4"/>
    </row>
    <row r="390" spans="1:54" s="25" customFormat="1" x14ac:dyDescent="0.25">
      <c r="A390" s="261">
        <v>57</v>
      </c>
      <c r="B390" s="260">
        <v>0.56999999999999995</v>
      </c>
      <c r="C390" s="259">
        <v>11.85</v>
      </c>
      <c r="D390" s="240">
        <f>B390-D392-D393</f>
        <v>0.28999999999999992</v>
      </c>
      <c r="E390" s="75" t="s">
        <v>36</v>
      </c>
      <c r="F390" s="113"/>
      <c r="G390" s="260">
        <v>0.76</v>
      </c>
      <c r="H390" s="259">
        <v>11.44</v>
      </c>
      <c r="I390" s="240"/>
      <c r="J390" s="113"/>
      <c r="K390" s="260"/>
      <c r="L390" s="259"/>
      <c r="M390" s="241">
        <f>K389</f>
        <v>0.39</v>
      </c>
      <c r="N390" s="75" t="s">
        <v>36</v>
      </c>
      <c r="O390" s="113"/>
      <c r="P390" s="260"/>
      <c r="Q390" s="259"/>
      <c r="R390" s="241">
        <v>0.3</v>
      </c>
      <c r="S390" s="75" t="s">
        <v>36</v>
      </c>
      <c r="T390" s="113"/>
      <c r="U390" s="241"/>
      <c r="V390" s="240"/>
      <c r="W390" s="241"/>
      <c r="X390" s="240"/>
      <c r="Y390" s="113"/>
      <c r="Z390" s="241"/>
      <c r="AA390" s="240"/>
      <c r="AB390" s="241"/>
      <c r="AC390" s="240"/>
      <c r="AD390" s="113"/>
      <c r="AE390" s="245"/>
      <c r="AF390" s="246"/>
      <c r="AG390" s="245"/>
      <c r="AH390" s="246"/>
      <c r="AI390" s="113"/>
      <c r="AJ390" s="245"/>
      <c r="AK390" s="246"/>
      <c r="AL390" s="245"/>
      <c r="AM390" s="246"/>
      <c r="AN390" s="32"/>
      <c r="AO390" s="12"/>
      <c r="AP390" s="12"/>
      <c r="AQ390" s="12"/>
      <c r="AR390" s="12"/>
      <c r="AS390" s="12"/>
      <c r="AT390" s="12"/>
      <c r="AU390" s="12"/>
      <c r="AV390" s="42"/>
      <c r="AW390" s="44"/>
      <c r="AX390" s="13"/>
      <c r="AY390" s="1"/>
      <c r="AZ390" s="1"/>
      <c r="BA390" s="1"/>
      <c r="BB390" s="4"/>
    </row>
    <row r="391" spans="1:54" s="25" customFormat="1" x14ac:dyDescent="0.25">
      <c r="A391" s="261"/>
      <c r="B391" s="260"/>
      <c r="C391" s="259"/>
      <c r="D391" s="240"/>
      <c r="E391" s="241"/>
      <c r="F391" s="113"/>
      <c r="G391" s="260"/>
      <c r="H391" s="259"/>
      <c r="I391" s="240"/>
      <c r="J391" s="113"/>
      <c r="K391" s="241"/>
      <c r="L391" s="240"/>
      <c r="M391" s="241"/>
      <c r="N391" s="240"/>
      <c r="O391" s="113"/>
      <c r="P391" s="60"/>
      <c r="Q391" s="55"/>
      <c r="R391" s="60"/>
      <c r="S391" s="49"/>
      <c r="T391" s="113"/>
      <c r="U391" s="241"/>
      <c r="V391" s="240"/>
      <c r="W391" s="241"/>
      <c r="X391" s="240"/>
      <c r="Y391" s="113"/>
      <c r="Z391" s="241"/>
      <c r="AA391" s="240"/>
      <c r="AB391" s="241"/>
      <c r="AC391" s="240"/>
      <c r="AD391" s="113"/>
      <c r="AE391" s="245"/>
      <c r="AF391" s="246"/>
      <c r="AG391" s="245"/>
      <c r="AH391" s="246"/>
      <c r="AI391" s="113"/>
      <c r="AJ391" s="245"/>
      <c r="AK391" s="246"/>
      <c r="AL391" s="245"/>
      <c r="AM391" s="246"/>
      <c r="AN391" s="32"/>
      <c r="AO391" s="12"/>
      <c r="AP391" s="12"/>
      <c r="AQ391" s="12"/>
      <c r="AR391" s="12"/>
      <c r="AS391" s="12"/>
      <c r="AT391" s="12"/>
      <c r="AU391" s="12"/>
      <c r="AV391" s="42"/>
      <c r="AW391" s="44"/>
      <c r="AX391" s="4"/>
      <c r="AY391" s="1"/>
      <c r="AZ391" s="1"/>
      <c r="BA391" s="1"/>
      <c r="BB391" s="4"/>
    </row>
    <row r="392" spans="1:54" s="25" customFormat="1" x14ac:dyDescent="0.25">
      <c r="A392" s="261"/>
      <c r="B392" s="260"/>
      <c r="C392" s="259"/>
      <c r="D392" s="240"/>
      <c r="E392" s="240"/>
      <c r="F392" s="113"/>
      <c r="G392" s="260"/>
      <c r="H392" s="259"/>
      <c r="I392" s="240"/>
      <c r="J392" s="113"/>
      <c r="K392" s="241"/>
      <c r="L392" s="240"/>
      <c r="M392" s="241"/>
      <c r="N392" s="240"/>
      <c r="O392" s="113"/>
      <c r="P392" s="60"/>
      <c r="Q392" s="55"/>
      <c r="R392" s="60"/>
      <c r="S392" s="49"/>
      <c r="T392" s="113"/>
      <c r="U392" s="241"/>
      <c r="V392" s="240"/>
      <c r="W392" s="241"/>
      <c r="X392" s="240"/>
      <c r="Y392" s="113"/>
      <c r="Z392" s="241"/>
      <c r="AA392" s="240"/>
      <c r="AB392" s="241"/>
      <c r="AC392" s="240"/>
      <c r="AD392" s="113"/>
      <c r="AE392" s="245"/>
      <c r="AF392" s="246"/>
      <c r="AG392" s="245"/>
      <c r="AH392" s="246"/>
      <c r="AI392" s="113"/>
      <c r="AJ392" s="245"/>
      <c r="AK392" s="246"/>
      <c r="AL392" s="245"/>
      <c r="AM392" s="246"/>
      <c r="AN392" s="32"/>
      <c r="AO392" s="12"/>
      <c r="AP392" s="12"/>
      <c r="AQ392" s="12"/>
      <c r="AR392" s="12"/>
      <c r="AS392" s="12"/>
      <c r="AT392" s="12"/>
      <c r="AU392" s="12"/>
      <c r="AV392" s="42"/>
      <c r="AW392" s="44"/>
      <c r="AX392" s="4"/>
      <c r="AY392" s="1"/>
      <c r="AZ392" s="1"/>
      <c r="BA392" s="1"/>
      <c r="BB392" s="4"/>
    </row>
    <row r="393" spans="1:54" s="25" customFormat="1" x14ac:dyDescent="0.25">
      <c r="A393" s="261"/>
      <c r="B393" s="260"/>
      <c r="C393" s="259"/>
      <c r="D393" s="241">
        <v>0.28000000000000003</v>
      </c>
      <c r="E393" s="249" t="s">
        <v>256</v>
      </c>
      <c r="F393" s="113"/>
      <c r="G393" s="260"/>
      <c r="H393" s="259"/>
      <c r="I393" s="240"/>
      <c r="J393" s="113"/>
      <c r="K393" s="56"/>
      <c r="L393" s="56"/>
      <c r="M393" s="56"/>
      <c r="N393" s="56"/>
      <c r="O393" s="113"/>
      <c r="P393" s="241"/>
      <c r="Q393" s="240"/>
      <c r="R393" s="241"/>
      <c r="S393" s="240"/>
      <c r="T393" s="113"/>
      <c r="U393" s="241"/>
      <c r="V393" s="240"/>
      <c r="W393" s="241"/>
      <c r="X393" s="240"/>
      <c r="Y393" s="113"/>
      <c r="Z393" s="241"/>
      <c r="AA393" s="240"/>
      <c r="AB393" s="241"/>
      <c r="AC393" s="240"/>
      <c r="AD393" s="113"/>
      <c r="AE393" s="245"/>
      <c r="AF393" s="246"/>
      <c r="AG393" s="245"/>
      <c r="AH393" s="246"/>
      <c r="AI393" s="113"/>
      <c r="AJ393" s="245"/>
      <c r="AK393" s="246"/>
      <c r="AL393" s="245"/>
      <c r="AM393" s="246"/>
      <c r="AN393" s="32"/>
      <c r="AO393" s="12"/>
      <c r="AP393" s="12"/>
      <c r="AQ393" s="12"/>
      <c r="AR393" s="12"/>
      <c r="AS393" s="12"/>
      <c r="AT393" s="12"/>
      <c r="AU393" s="12"/>
      <c r="AV393" s="12"/>
      <c r="AW393" s="44"/>
      <c r="AX393" s="13"/>
      <c r="AY393" s="1"/>
      <c r="AZ393" s="1"/>
      <c r="BA393" s="1"/>
      <c r="BB393" s="4"/>
    </row>
    <row r="394" spans="1:54" s="25" customFormat="1" x14ac:dyDescent="0.25">
      <c r="A394" s="261">
        <v>58</v>
      </c>
      <c r="B394" s="260">
        <v>1.85</v>
      </c>
      <c r="C394" s="259">
        <v>12.09</v>
      </c>
      <c r="D394" s="56"/>
      <c r="E394" s="24"/>
      <c r="F394" s="113"/>
      <c r="G394" s="260">
        <v>2.34</v>
      </c>
      <c r="H394" s="259">
        <v>11.67</v>
      </c>
      <c r="I394" s="240"/>
      <c r="J394" s="113"/>
      <c r="K394" s="56"/>
      <c r="L394" s="56"/>
      <c r="M394" s="56"/>
      <c r="N394" s="56"/>
      <c r="O394" s="113"/>
      <c r="P394" s="241"/>
      <c r="Q394" s="240"/>
      <c r="R394" s="241"/>
      <c r="S394" s="240"/>
      <c r="T394" s="113"/>
      <c r="U394" s="241"/>
      <c r="V394" s="240"/>
      <c r="W394" s="241"/>
      <c r="X394" s="240"/>
      <c r="Y394" s="113"/>
      <c r="Z394" s="241"/>
      <c r="AA394" s="240"/>
      <c r="AB394" s="241"/>
      <c r="AC394" s="240"/>
      <c r="AD394" s="113"/>
      <c r="AE394" s="245"/>
      <c r="AF394" s="246"/>
      <c r="AG394" s="245"/>
      <c r="AH394" s="246"/>
      <c r="AI394" s="113"/>
      <c r="AJ394" s="245"/>
      <c r="AK394" s="246"/>
      <c r="AL394" s="245"/>
      <c r="AM394" s="246"/>
      <c r="AN394" s="32"/>
      <c r="AO394" s="12"/>
      <c r="AP394" s="12"/>
      <c r="AQ394" s="12"/>
      <c r="AR394" s="12"/>
      <c r="AS394" s="12"/>
      <c r="AT394" s="12"/>
      <c r="AU394" s="12"/>
      <c r="AV394" s="42"/>
      <c r="AW394" s="44"/>
      <c r="AX394" s="13"/>
      <c r="AY394" s="1"/>
      <c r="AZ394" s="1"/>
      <c r="BA394" s="1"/>
      <c r="BB394" s="4"/>
    </row>
    <row r="395" spans="1:54" s="25" customFormat="1" x14ac:dyDescent="0.25">
      <c r="A395" s="261"/>
      <c r="B395" s="260"/>
      <c r="C395" s="259"/>
      <c r="D395" s="241">
        <v>0.05</v>
      </c>
      <c r="E395" s="249" t="s">
        <v>246</v>
      </c>
      <c r="F395" s="113"/>
      <c r="G395" s="260"/>
      <c r="H395" s="259"/>
      <c r="I395" s="240"/>
      <c r="J395" s="113"/>
      <c r="K395" s="56"/>
      <c r="L395" s="56"/>
      <c r="M395" s="56"/>
      <c r="N395" s="56"/>
      <c r="O395" s="113"/>
      <c r="P395" s="241"/>
      <c r="Q395" s="240"/>
      <c r="R395" s="241"/>
      <c r="S395" s="240"/>
      <c r="T395" s="113"/>
      <c r="U395" s="241"/>
      <c r="V395" s="240"/>
      <c r="W395" s="241"/>
      <c r="X395" s="240"/>
      <c r="Y395" s="113"/>
      <c r="Z395" s="241"/>
      <c r="AA395" s="240"/>
      <c r="AB395" s="241"/>
      <c r="AC395" s="240"/>
      <c r="AD395" s="113"/>
      <c r="AE395" s="245"/>
      <c r="AF395" s="246"/>
      <c r="AG395" s="245"/>
      <c r="AH395" s="246"/>
      <c r="AI395" s="113"/>
      <c r="AJ395" s="245"/>
      <c r="AK395" s="246"/>
      <c r="AL395" s="245"/>
      <c r="AM395" s="246"/>
      <c r="AN395" s="32"/>
      <c r="AO395" s="12"/>
      <c r="AP395" s="12"/>
      <c r="AQ395" s="12"/>
      <c r="AR395" s="12"/>
      <c r="AS395" s="12"/>
      <c r="AT395" s="12"/>
      <c r="AU395" s="12"/>
      <c r="AV395" s="42"/>
      <c r="AW395" s="44"/>
      <c r="AX395" s="13"/>
      <c r="AY395" s="1"/>
      <c r="AZ395" s="1"/>
      <c r="BA395" s="1"/>
      <c r="BB395" s="4"/>
    </row>
    <row r="396" spans="1:54" s="25" customFormat="1" x14ac:dyDescent="0.25">
      <c r="A396" s="261"/>
      <c r="B396" s="260"/>
      <c r="C396" s="259"/>
      <c r="D396" s="56"/>
      <c r="E396" s="24"/>
      <c r="F396" s="113"/>
      <c r="G396" s="260"/>
      <c r="H396" s="259"/>
      <c r="I396" s="240"/>
      <c r="J396" s="113"/>
      <c r="K396" s="56"/>
      <c r="L396" s="56"/>
      <c r="M396" s="56"/>
      <c r="N396" s="56"/>
      <c r="O396" s="113"/>
      <c r="P396" s="241"/>
      <c r="Q396" s="240"/>
      <c r="R396" s="241"/>
      <c r="S396" s="240"/>
      <c r="T396" s="113"/>
      <c r="U396" s="241"/>
      <c r="V396" s="240"/>
      <c r="W396" s="241"/>
      <c r="X396" s="240"/>
      <c r="Y396" s="113"/>
      <c r="Z396" s="241"/>
      <c r="AA396" s="240"/>
      <c r="AB396" s="241"/>
      <c r="AC396" s="240"/>
      <c r="AD396" s="113"/>
      <c r="AE396" s="245"/>
      <c r="AF396" s="246"/>
      <c r="AG396" s="245"/>
      <c r="AH396" s="246"/>
      <c r="AI396" s="113"/>
      <c r="AJ396" s="245"/>
      <c r="AK396" s="246"/>
      <c r="AL396" s="245"/>
      <c r="AM396" s="246"/>
      <c r="AN396" s="32"/>
      <c r="AO396" s="12"/>
      <c r="AP396" s="12"/>
      <c r="AQ396" s="12"/>
      <c r="AR396" s="12"/>
      <c r="AS396" s="12"/>
      <c r="AT396" s="12"/>
      <c r="AU396" s="12"/>
      <c r="AV396" s="42"/>
      <c r="AW396" s="44"/>
      <c r="AX396" s="4"/>
      <c r="AY396" s="1"/>
      <c r="AZ396" s="1"/>
      <c r="BA396" s="1"/>
      <c r="BB396" s="4"/>
    </row>
    <row r="397" spans="1:54" s="25" customFormat="1" x14ac:dyDescent="0.25">
      <c r="A397" s="261"/>
      <c r="B397" s="260"/>
      <c r="C397" s="259"/>
      <c r="D397" s="240">
        <f>B394-D395-D398</f>
        <v>0.9</v>
      </c>
      <c r="E397" s="249" t="s">
        <v>259</v>
      </c>
      <c r="F397" s="113"/>
      <c r="G397" s="260"/>
      <c r="H397" s="259"/>
      <c r="I397" s="240"/>
      <c r="J397" s="113"/>
      <c r="K397" s="56"/>
      <c r="L397" s="56"/>
      <c r="M397" s="56"/>
      <c r="N397" s="56"/>
      <c r="O397" s="113"/>
      <c r="P397" s="241"/>
      <c r="Q397" s="240"/>
      <c r="R397" s="241"/>
      <c r="S397" s="240"/>
      <c r="T397" s="113"/>
      <c r="U397" s="241"/>
      <c r="V397" s="240"/>
      <c r="W397" s="241"/>
      <c r="X397" s="240"/>
      <c r="Y397" s="113"/>
      <c r="Z397" s="241"/>
      <c r="AA397" s="240"/>
      <c r="AB397" s="241"/>
      <c r="AC397" s="240"/>
      <c r="AD397" s="113"/>
      <c r="AE397" s="245"/>
      <c r="AF397" s="246"/>
      <c r="AG397" s="245"/>
      <c r="AH397" s="246"/>
      <c r="AI397" s="113"/>
      <c r="AJ397" s="245"/>
      <c r="AK397" s="246"/>
      <c r="AL397" s="245"/>
      <c r="AM397" s="246"/>
      <c r="AN397" s="32"/>
      <c r="AO397" s="12"/>
      <c r="AP397" s="12"/>
      <c r="AQ397" s="12"/>
      <c r="AR397" s="12"/>
      <c r="AS397" s="12"/>
      <c r="AT397" s="12"/>
      <c r="AU397" s="12"/>
      <c r="AV397" s="42"/>
      <c r="AW397" s="44"/>
      <c r="AX397" s="4"/>
      <c r="AY397" s="1"/>
      <c r="AZ397" s="1"/>
      <c r="BA397" s="1"/>
      <c r="BB397" s="4"/>
    </row>
    <row r="398" spans="1:54" s="25" customFormat="1" x14ac:dyDescent="0.25">
      <c r="A398" s="261"/>
      <c r="B398" s="260"/>
      <c r="C398" s="259"/>
      <c r="D398" s="240">
        <v>0.9</v>
      </c>
      <c r="E398" s="249" t="s">
        <v>258</v>
      </c>
      <c r="F398" s="113"/>
      <c r="G398" s="260"/>
      <c r="H398" s="259"/>
      <c r="I398" s="240"/>
      <c r="J398" s="113"/>
      <c r="K398" s="56"/>
      <c r="L398" s="56"/>
      <c r="M398" s="56"/>
      <c r="N398" s="56"/>
      <c r="O398" s="113"/>
      <c r="P398" s="241"/>
      <c r="Q398" s="240"/>
      <c r="R398" s="241"/>
      <c r="S398" s="240"/>
      <c r="T398" s="113"/>
      <c r="U398" s="241"/>
      <c r="V398" s="240"/>
      <c r="W398" s="241"/>
      <c r="X398" s="240"/>
      <c r="Y398" s="113"/>
      <c r="Z398" s="241"/>
      <c r="AA398" s="240"/>
      <c r="AB398" s="241"/>
      <c r="AC398" s="240"/>
      <c r="AD398" s="113"/>
      <c r="AE398" s="245"/>
      <c r="AF398" s="246"/>
      <c r="AG398" s="245"/>
      <c r="AH398" s="246"/>
      <c r="AI398" s="113"/>
      <c r="AJ398" s="245"/>
      <c r="AK398" s="246"/>
      <c r="AL398" s="245"/>
      <c r="AM398" s="246"/>
      <c r="AN398" s="32"/>
      <c r="AO398" s="12"/>
      <c r="AP398" s="12"/>
      <c r="AQ398" s="12"/>
      <c r="AR398" s="12"/>
      <c r="AS398" s="12"/>
      <c r="AT398" s="12"/>
      <c r="AU398" s="12"/>
      <c r="AV398" s="42"/>
      <c r="AW398" s="44"/>
      <c r="AX398" s="66"/>
      <c r="AY398" s="1"/>
      <c r="AZ398" s="1"/>
      <c r="BA398" s="1"/>
      <c r="BB398" s="4"/>
    </row>
    <row r="399" spans="1:54" s="25" customFormat="1" x14ac:dyDescent="0.25">
      <c r="A399" s="261"/>
      <c r="B399" s="260"/>
      <c r="C399" s="259"/>
      <c r="D399" s="240"/>
      <c r="E399" s="19"/>
      <c r="F399" s="113"/>
      <c r="G399" s="260"/>
      <c r="H399" s="259"/>
      <c r="I399" s="240"/>
      <c r="J399" s="113"/>
      <c r="K399" s="56"/>
      <c r="L399" s="56"/>
      <c r="M399" s="56"/>
      <c r="N399" s="56"/>
      <c r="O399" s="113"/>
      <c r="P399" s="241"/>
      <c r="Q399" s="240"/>
      <c r="R399" s="241"/>
      <c r="S399" s="240"/>
      <c r="T399" s="113"/>
      <c r="U399" s="241"/>
      <c r="V399" s="240"/>
      <c r="W399" s="241"/>
      <c r="X399" s="240"/>
      <c r="Y399" s="113"/>
      <c r="Z399" s="241"/>
      <c r="AA399" s="240"/>
      <c r="AB399" s="241"/>
      <c r="AC399" s="240"/>
      <c r="AD399" s="113"/>
      <c r="AE399" s="245"/>
      <c r="AF399" s="246"/>
      <c r="AG399" s="245"/>
      <c r="AH399" s="246"/>
      <c r="AI399" s="113"/>
      <c r="AJ399" s="245"/>
      <c r="AK399" s="246"/>
      <c r="AL399" s="245"/>
      <c r="AM399" s="246"/>
      <c r="AN399" s="32"/>
      <c r="AO399" s="12"/>
      <c r="AP399" s="12"/>
      <c r="AQ399" s="12"/>
      <c r="AR399" s="12"/>
      <c r="AS399" s="12"/>
      <c r="AT399" s="12"/>
      <c r="AU399" s="12"/>
      <c r="AV399" s="42"/>
      <c r="AW399" s="44"/>
      <c r="AX399" s="66"/>
      <c r="AY399" s="1"/>
      <c r="AZ399" s="1"/>
      <c r="BA399" s="1"/>
      <c r="BB399" s="4"/>
    </row>
    <row r="400" spans="1:54" s="25" customFormat="1" x14ac:dyDescent="0.25">
      <c r="A400" s="261"/>
      <c r="B400" s="260"/>
      <c r="C400" s="259"/>
      <c r="D400" s="240"/>
      <c r="E400" s="19"/>
      <c r="F400" s="113"/>
      <c r="G400" s="260"/>
      <c r="H400" s="259"/>
      <c r="I400" s="240"/>
      <c r="J400" s="113"/>
      <c r="K400" s="56"/>
      <c r="L400" s="56"/>
      <c r="M400" s="56"/>
      <c r="N400" s="56"/>
      <c r="O400" s="113"/>
      <c r="P400" s="241"/>
      <c r="Q400" s="240"/>
      <c r="R400" s="241"/>
      <c r="S400" s="240"/>
      <c r="T400" s="113"/>
      <c r="U400" s="241"/>
      <c r="V400" s="240"/>
      <c r="W400" s="241"/>
      <c r="X400" s="240"/>
      <c r="Y400" s="113"/>
      <c r="Z400" s="241"/>
      <c r="AA400" s="240"/>
      <c r="AB400" s="241"/>
      <c r="AC400" s="240"/>
      <c r="AD400" s="113"/>
      <c r="AE400" s="245"/>
      <c r="AF400" s="246"/>
      <c r="AG400" s="245"/>
      <c r="AH400" s="246"/>
      <c r="AI400" s="113"/>
      <c r="AJ400" s="245"/>
      <c r="AK400" s="246"/>
      <c r="AL400" s="245"/>
      <c r="AM400" s="246"/>
      <c r="AN400" s="32"/>
      <c r="AO400" s="12"/>
      <c r="AP400" s="12"/>
      <c r="AQ400" s="12"/>
      <c r="AR400" s="12"/>
      <c r="AS400" s="12"/>
      <c r="AT400" s="12"/>
      <c r="AU400" s="12"/>
      <c r="AV400" s="42"/>
      <c r="AW400" s="44"/>
      <c r="AX400" s="66"/>
      <c r="AY400" s="1"/>
      <c r="AZ400" s="1"/>
      <c r="BA400" s="1"/>
      <c r="BB400" s="4"/>
    </row>
    <row r="401" spans="1:56" s="25" customFormat="1" x14ac:dyDescent="0.25">
      <c r="A401" s="261"/>
      <c r="B401" s="260"/>
      <c r="C401" s="259"/>
      <c r="D401" s="240"/>
      <c r="E401" s="19"/>
      <c r="F401" s="113"/>
      <c r="G401" s="260"/>
      <c r="H401" s="259"/>
      <c r="I401" s="240"/>
      <c r="J401" s="113"/>
      <c r="K401" s="56"/>
      <c r="L401" s="56"/>
      <c r="M401" s="56"/>
      <c r="N401" s="56"/>
      <c r="O401" s="113"/>
      <c r="P401" s="241"/>
      <c r="Q401" s="240"/>
      <c r="R401" s="241"/>
      <c r="S401" s="49"/>
      <c r="T401" s="113"/>
      <c r="U401" s="241"/>
      <c r="V401" s="240"/>
      <c r="W401" s="241"/>
      <c r="X401" s="240"/>
      <c r="Y401" s="113"/>
      <c r="Z401" s="241"/>
      <c r="AA401" s="240"/>
      <c r="AB401" s="241"/>
      <c r="AC401" s="240"/>
      <c r="AD401" s="113"/>
      <c r="AE401" s="245"/>
      <c r="AF401" s="246"/>
      <c r="AG401" s="245"/>
      <c r="AH401" s="246"/>
      <c r="AI401" s="113"/>
      <c r="AJ401" s="245"/>
      <c r="AK401" s="246"/>
      <c r="AL401" s="245"/>
      <c r="AM401" s="246"/>
      <c r="AN401" s="32"/>
      <c r="AO401" s="12"/>
      <c r="AP401" s="12"/>
      <c r="AQ401" s="12"/>
      <c r="AR401" s="12"/>
      <c r="AS401" s="12"/>
      <c r="AT401" s="12"/>
      <c r="AU401" s="12"/>
      <c r="AV401" s="42"/>
      <c r="AW401" s="44"/>
      <c r="AX401" s="4"/>
      <c r="AY401" s="4"/>
      <c r="AZ401" s="1"/>
      <c r="BA401" s="1"/>
      <c r="BB401" s="4"/>
    </row>
    <row r="402" spans="1:56" s="25" customFormat="1" x14ac:dyDescent="0.25">
      <c r="A402" s="261">
        <v>59</v>
      </c>
      <c r="B402" s="260">
        <v>0.7</v>
      </c>
      <c r="C402" s="259">
        <v>12.3</v>
      </c>
      <c r="D402" s="240"/>
      <c r="E402" s="241"/>
      <c r="F402" s="113"/>
      <c r="G402" s="260">
        <v>0.69</v>
      </c>
      <c r="H402" s="259">
        <v>11.9</v>
      </c>
      <c r="I402" s="240"/>
      <c r="J402" s="113"/>
      <c r="K402" s="56"/>
      <c r="L402" s="56"/>
      <c r="M402" s="56"/>
      <c r="N402" s="56"/>
      <c r="O402" s="113"/>
      <c r="P402" s="241"/>
      <c r="Q402" s="240"/>
      <c r="R402" s="241"/>
      <c r="S402" s="49"/>
      <c r="T402" s="113"/>
      <c r="U402" s="241"/>
      <c r="V402" s="240"/>
      <c r="W402" s="241"/>
      <c r="X402" s="240"/>
      <c r="Y402" s="113"/>
      <c r="Z402" s="241"/>
      <c r="AA402" s="240"/>
      <c r="AB402" s="241"/>
      <c r="AC402" s="240"/>
      <c r="AD402" s="113"/>
      <c r="AE402" s="245"/>
      <c r="AF402" s="246"/>
      <c r="AG402" s="245"/>
      <c r="AH402" s="246"/>
      <c r="AI402" s="113"/>
      <c r="AJ402" s="245"/>
      <c r="AK402" s="246"/>
      <c r="AL402" s="245"/>
      <c r="AM402" s="246"/>
      <c r="AN402" s="32"/>
      <c r="AO402" s="12"/>
      <c r="AP402" s="12"/>
      <c r="AQ402" s="12"/>
      <c r="AR402" s="12"/>
      <c r="AS402" s="12"/>
      <c r="AT402" s="12"/>
      <c r="AU402" s="12"/>
      <c r="AV402" s="42"/>
      <c r="AW402" s="44"/>
      <c r="AX402" s="4"/>
      <c r="AY402" s="4"/>
      <c r="AZ402" s="1"/>
      <c r="BA402" s="1"/>
      <c r="BB402" s="4"/>
    </row>
    <row r="403" spans="1:56" s="25" customFormat="1" x14ac:dyDescent="0.25">
      <c r="A403" s="261"/>
      <c r="B403" s="260"/>
      <c r="C403" s="259"/>
      <c r="D403" s="240">
        <f>B402</f>
        <v>0.7</v>
      </c>
      <c r="E403" s="61" t="s">
        <v>257</v>
      </c>
      <c r="F403" s="113"/>
      <c r="G403" s="260"/>
      <c r="H403" s="259"/>
      <c r="I403" s="240"/>
      <c r="J403" s="113"/>
      <c r="K403" s="56"/>
      <c r="L403" s="56"/>
      <c r="M403" s="56"/>
      <c r="N403" s="56"/>
      <c r="O403" s="113"/>
      <c r="P403" s="241"/>
      <c r="Q403" s="240"/>
      <c r="R403" s="241"/>
      <c r="S403" s="49"/>
      <c r="T403" s="113"/>
      <c r="U403" s="241"/>
      <c r="V403" s="240"/>
      <c r="W403" s="241"/>
      <c r="X403" s="240"/>
      <c r="Y403" s="113"/>
      <c r="Z403" s="241"/>
      <c r="AA403" s="240"/>
      <c r="AB403" s="241"/>
      <c r="AC403" s="240"/>
      <c r="AD403" s="113"/>
      <c r="AE403" s="245"/>
      <c r="AF403" s="246"/>
      <c r="AG403" s="245"/>
      <c r="AH403" s="246"/>
      <c r="AI403" s="113"/>
      <c r="AJ403" s="245"/>
      <c r="AK403" s="246"/>
      <c r="AL403" s="245"/>
      <c r="AM403" s="246"/>
      <c r="AN403" s="32"/>
      <c r="AO403" s="12"/>
      <c r="AP403" s="12"/>
      <c r="AQ403" s="12"/>
      <c r="AR403" s="12"/>
      <c r="AS403" s="12"/>
      <c r="AT403" s="12"/>
      <c r="AU403" s="12"/>
      <c r="AV403" s="42"/>
      <c r="AW403" s="44"/>
      <c r="AX403" s="4"/>
      <c r="AY403" s="4"/>
      <c r="AZ403" s="1"/>
      <c r="BA403" s="1"/>
      <c r="BB403" s="4"/>
    </row>
    <row r="404" spans="1:56" s="25" customFormat="1" x14ac:dyDescent="0.25">
      <c r="A404" s="261"/>
      <c r="B404" s="260"/>
      <c r="C404" s="259"/>
      <c r="D404" s="240"/>
      <c r="E404" s="241"/>
      <c r="F404" s="113"/>
      <c r="G404" s="260"/>
      <c r="H404" s="259"/>
      <c r="I404" s="240"/>
      <c r="J404" s="113"/>
      <c r="K404" s="56"/>
      <c r="L404" s="56"/>
      <c r="M404" s="56"/>
      <c r="N404" s="56"/>
      <c r="O404" s="113"/>
      <c r="P404" s="241"/>
      <c r="Q404" s="240"/>
      <c r="R404" s="241"/>
      <c r="S404" s="49"/>
      <c r="T404" s="113"/>
      <c r="U404" s="241"/>
      <c r="V404" s="240"/>
      <c r="W404" s="241"/>
      <c r="X404" s="240"/>
      <c r="Y404" s="113"/>
      <c r="Z404" s="241"/>
      <c r="AA404" s="240"/>
      <c r="AB404" s="241"/>
      <c r="AC404" s="240"/>
      <c r="AD404" s="113"/>
      <c r="AE404" s="245"/>
      <c r="AF404" s="246"/>
      <c r="AG404" s="245"/>
      <c r="AH404" s="246"/>
      <c r="AI404" s="113"/>
      <c r="AJ404" s="245"/>
      <c r="AK404" s="246"/>
      <c r="AL404" s="245"/>
      <c r="AM404" s="246"/>
      <c r="AN404" s="32"/>
      <c r="AO404" s="12"/>
      <c r="AP404" s="12"/>
      <c r="AQ404" s="12"/>
      <c r="AR404" s="12"/>
      <c r="AS404" s="12"/>
      <c r="AT404" s="12"/>
      <c r="AU404" s="12"/>
      <c r="AV404" s="42"/>
      <c r="AW404" s="44"/>
      <c r="AX404" s="66"/>
      <c r="AY404" s="4"/>
      <c r="AZ404" s="1"/>
      <c r="BA404" s="1"/>
      <c r="BB404" s="4"/>
      <c r="BD404" s="25" t="s">
        <v>202</v>
      </c>
    </row>
    <row r="405" spans="1:56" s="25" customFormat="1" x14ac:dyDescent="0.25">
      <c r="A405" s="261"/>
      <c r="B405" s="260"/>
      <c r="C405" s="259"/>
      <c r="D405" s="240"/>
      <c r="E405" s="241"/>
      <c r="F405" s="113"/>
      <c r="G405" s="260"/>
      <c r="H405" s="259"/>
      <c r="I405" s="240"/>
      <c r="J405" s="113"/>
      <c r="K405" s="241"/>
      <c r="L405" s="240"/>
      <c r="M405" s="241"/>
      <c r="N405" s="240"/>
      <c r="O405" s="113"/>
      <c r="P405" s="241"/>
      <c r="Q405" s="240"/>
      <c r="R405" s="241"/>
      <c r="S405" s="49"/>
      <c r="T405" s="113"/>
      <c r="U405" s="241"/>
      <c r="V405" s="240"/>
      <c r="W405" s="241"/>
      <c r="X405" s="240"/>
      <c r="Y405" s="113"/>
      <c r="Z405" s="241"/>
      <c r="AA405" s="240"/>
      <c r="AB405" s="241"/>
      <c r="AC405" s="241"/>
      <c r="AD405" s="113"/>
      <c r="AE405" s="245"/>
      <c r="AF405" s="246"/>
      <c r="AG405" s="245"/>
      <c r="AH405" s="246"/>
      <c r="AI405" s="113"/>
      <c r="AJ405" s="245"/>
      <c r="AK405" s="246"/>
      <c r="AL405" s="245"/>
      <c r="AM405" s="246"/>
      <c r="AN405" s="32"/>
      <c r="AO405" s="12"/>
      <c r="AP405" s="12"/>
      <c r="AQ405" s="12"/>
      <c r="AR405" s="12"/>
      <c r="AS405" s="12"/>
      <c r="AT405" s="12"/>
      <c r="AU405" s="12"/>
      <c r="AV405" s="42"/>
      <c r="AW405" s="44"/>
      <c r="AX405" s="13"/>
      <c r="AY405" s="4"/>
      <c r="AZ405" s="1"/>
      <c r="BA405" s="1"/>
      <c r="BB405" s="4"/>
    </row>
    <row r="406" spans="1:56" s="25" customFormat="1" x14ac:dyDescent="0.25">
      <c r="A406" s="261">
        <v>60</v>
      </c>
      <c r="B406" s="260">
        <v>0.45</v>
      </c>
      <c r="C406" s="259">
        <v>12.53</v>
      </c>
      <c r="D406" s="56"/>
      <c r="E406" s="24"/>
      <c r="F406" s="113"/>
      <c r="G406" s="260">
        <v>0.95</v>
      </c>
      <c r="H406" s="259">
        <v>12.03</v>
      </c>
      <c r="I406" s="240"/>
      <c r="J406" s="113"/>
      <c r="K406" s="241"/>
      <c r="L406" s="240"/>
      <c r="M406" s="241"/>
      <c r="N406" s="240"/>
      <c r="O406" s="113"/>
      <c r="P406" s="241"/>
      <c r="Q406" s="240"/>
      <c r="R406" s="241"/>
      <c r="S406" s="49"/>
      <c r="T406" s="113"/>
      <c r="U406" s="241"/>
      <c r="V406" s="240"/>
      <c r="W406" s="241"/>
      <c r="X406" s="240"/>
      <c r="Y406" s="113"/>
      <c r="Z406" s="241"/>
      <c r="AA406" s="240"/>
      <c r="AB406" s="241"/>
      <c r="AC406" s="241"/>
      <c r="AD406" s="113"/>
      <c r="AE406" s="245"/>
      <c r="AF406" s="246"/>
      <c r="AG406" s="245"/>
      <c r="AH406" s="246"/>
      <c r="AI406" s="113"/>
      <c r="AJ406" s="245"/>
      <c r="AK406" s="246"/>
      <c r="AL406" s="245"/>
      <c r="AM406" s="246"/>
      <c r="AN406" s="32"/>
      <c r="AO406" s="12"/>
      <c r="AP406" s="12"/>
      <c r="AQ406" s="12"/>
      <c r="AR406" s="12"/>
      <c r="AS406" s="12"/>
      <c r="AT406" s="12"/>
      <c r="AU406" s="12"/>
      <c r="AV406" s="42"/>
      <c r="AW406" s="44"/>
      <c r="AX406" s="13"/>
      <c r="AY406" s="4"/>
      <c r="AZ406" s="1"/>
      <c r="BA406" s="1"/>
      <c r="BB406" s="4"/>
    </row>
    <row r="407" spans="1:56" s="25" customFormat="1" x14ac:dyDescent="0.25">
      <c r="A407" s="261"/>
      <c r="B407" s="260"/>
      <c r="C407" s="259"/>
      <c r="D407" s="240"/>
      <c r="E407" s="19"/>
      <c r="F407" s="113"/>
      <c r="G407" s="260"/>
      <c r="H407" s="259"/>
      <c r="I407" s="240"/>
      <c r="J407" s="113"/>
      <c r="K407" s="241"/>
      <c r="L407" s="240"/>
      <c r="M407" s="241"/>
      <c r="N407" s="240"/>
      <c r="O407" s="113"/>
      <c r="P407" s="241"/>
      <c r="Q407" s="240"/>
      <c r="R407" s="241"/>
      <c r="S407" s="49"/>
      <c r="T407" s="113"/>
      <c r="U407" s="241"/>
      <c r="V407" s="240"/>
      <c r="W407" s="241"/>
      <c r="X407" s="240"/>
      <c r="Y407" s="113"/>
      <c r="Z407" s="241"/>
      <c r="AA407" s="240"/>
      <c r="AB407" s="241"/>
      <c r="AC407" s="241"/>
      <c r="AD407" s="113"/>
      <c r="AE407" s="245"/>
      <c r="AF407" s="246"/>
      <c r="AG407" s="245"/>
      <c r="AH407" s="246"/>
      <c r="AI407" s="113"/>
      <c r="AJ407" s="245"/>
      <c r="AK407" s="246"/>
      <c r="AL407" s="245"/>
      <c r="AM407" s="246"/>
      <c r="AN407" s="32"/>
      <c r="AO407" s="12"/>
      <c r="AP407" s="12"/>
      <c r="AQ407" s="12"/>
      <c r="AR407" s="12"/>
      <c r="AS407" s="12"/>
      <c r="AT407" s="12"/>
      <c r="AU407" s="12"/>
      <c r="AV407" s="42"/>
      <c r="AW407" s="44"/>
      <c r="AX407" s="13"/>
      <c r="AY407" s="4"/>
      <c r="AZ407" s="1"/>
      <c r="BA407" s="1"/>
      <c r="BB407" s="4"/>
    </row>
    <row r="408" spans="1:56" s="25" customFormat="1" x14ac:dyDescent="0.25">
      <c r="A408" s="261"/>
      <c r="B408" s="260"/>
      <c r="C408" s="259"/>
      <c r="D408" s="240"/>
      <c r="E408" s="241"/>
      <c r="F408" s="113"/>
      <c r="G408" s="260"/>
      <c r="H408" s="259"/>
      <c r="I408" s="240"/>
      <c r="J408" s="113"/>
      <c r="K408" s="241"/>
      <c r="L408" s="240"/>
      <c r="M408" s="241"/>
      <c r="N408" s="240"/>
      <c r="O408" s="113"/>
      <c r="P408" s="241"/>
      <c r="Q408" s="240"/>
      <c r="R408" s="241"/>
      <c r="S408" s="49"/>
      <c r="T408" s="113"/>
      <c r="U408" s="241"/>
      <c r="V408" s="240"/>
      <c r="W408" s="241"/>
      <c r="X408" s="240"/>
      <c r="Y408" s="113"/>
      <c r="Z408" s="241"/>
      <c r="AA408" s="240"/>
      <c r="AB408" s="241"/>
      <c r="AC408" s="241"/>
      <c r="AD408" s="113"/>
      <c r="AE408" s="245"/>
      <c r="AF408" s="246"/>
      <c r="AG408" s="245"/>
      <c r="AH408" s="246"/>
      <c r="AI408" s="113"/>
      <c r="AJ408" s="245"/>
      <c r="AK408" s="246"/>
      <c r="AL408" s="245"/>
      <c r="AM408" s="246"/>
      <c r="AN408" s="32"/>
      <c r="AO408" s="12"/>
      <c r="AP408" s="12"/>
      <c r="AQ408" s="12"/>
      <c r="AR408" s="12"/>
      <c r="AS408" s="12"/>
      <c r="AT408" s="12"/>
      <c r="AU408" s="12"/>
      <c r="AV408" s="12"/>
      <c r="AW408" s="44"/>
      <c r="AX408" s="13"/>
      <c r="AY408" s="4"/>
      <c r="AZ408" s="1"/>
      <c r="BA408" s="1"/>
      <c r="BB408" s="4"/>
    </row>
    <row r="409" spans="1:56" s="25" customFormat="1" x14ac:dyDescent="0.25">
      <c r="A409" s="261"/>
      <c r="B409" s="260"/>
      <c r="C409" s="259"/>
      <c r="D409" s="240"/>
      <c r="E409" s="241"/>
      <c r="F409" s="113"/>
      <c r="G409" s="260"/>
      <c r="H409" s="259"/>
      <c r="I409" s="240"/>
      <c r="J409" s="113"/>
      <c r="K409" s="241"/>
      <c r="L409" s="240"/>
      <c r="M409" s="241"/>
      <c r="N409" s="240"/>
      <c r="O409" s="113"/>
      <c r="P409" s="241"/>
      <c r="Q409" s="240"/>
      <c r="R409" s="241"/>
      <c r="S409" s="19"/>
      <c r="T409" s="113"/>
      <c r="U409" s="241"/>
      <c r="V409" s="240"/>
      <c r="W409" s="241"/>
      <c r="X409" s="240"/>
      <c r="Y409" s="113"/>
      <c r="Z409" s="241"/>
      <c r="AA409" s="240"/>
      <c r="AB409" s="241"/>
      <c r="AC409" s="241"/>
      <c r="AD409" s="113"/>
      <c r="AE409" s="245"/>
      <c r="AF409" s="246"/>
      <c r="AG409" s="245"/>
      <c r="AH409" s="246"/>
      <c r="AI409" s="113"/>
      <c r="AJ409" s="245"/>
      <c r="AK409" s="246"/>
      <c r="AL409" s="245"/>
      <c r="AM409" s="246"/>
      <c r="AN409" s="32"/>
      <c r="AO409" s="12"/>
      <c r="AP409" s="12"/>
      <c r="AQ409" s="12"/>
      <c r="AR409" s="12"/>
      <c r="AS409" s="12"/>
      <c r="AT409" s="12"/>
      <c r="AU409" s="12"/>
      <c r="AV409" s="12"/>
      <c r="AW409" s="44"/>
      <c r="AX409" s="13"/>
      <c r="AY409" s="4"/>
      <c r="AZ409" s="1"/>
      <c r="BA409" s="1"/>
      <c r="BB409" s="4"/>
    </row>
    <row r="410" spans="1:56" s="25" customFormat="1" x14ac:dyDescent="0.25">
      <c r="A410" s="242">
        <v>61</v>
      </c>
      <c r="B410" s="241">
        <v>0.45</v>
      </c>
      <c r="C410" s="240">
        <v>12.74</v>
      </c>
      <c r="D410" s="240"/>
      <c r="E410" s="56"/>
      <c r="F410" s="113"/>
      <c r="G410" s="241">
        <v>0.46</v>
      </c>
      <c r="H410" s="240">
        <v>12.31</v>
      </c>
      <c r="I410" s="240"/>
      <c r="J410" s="113"/>
      <c r="K410" s="241"/>
      <c r="L410" s="240"/>
      <c r="M410" s="241"/>
      <c r="N410" s="240"/>
      <c r="O410" s="113"/>
      <c r="P410" s="241"/>
      <c r="Q410" s="240"/>
      <c r="R410" s="241"/>
      <c r="S410" s="19"/>
      <c r="T410" s="113"/>
      <c r="U410" s="241"/>
      <c r="V410" s="240"/>
      <c r="W410" s="241"/>
      <c r="X410" s="240"/>
      <c r="Y410" s="113"/>
      <c r="Z410" s="241"/>
      <c r="AA410" s="240"/>
      <c r="AB410" s="241"/>
      <c r="AC410" s="241"/>
      <c r="AD410" s="113"/>
      <c r="AE410" s="245"/>
      <c r="AF410" s="246"/>
      <c r="AG410" s="245"/>
      <c r="AH410" s="94"/>
      <c r="AI410" s="113"/>
      <c r="AJ410" s="245"/>
      <c r="AK410" s="246"/>
      <c r="AL410" s="245"/>
      <c r="AM410" s="246"/>
      <c r="AN410" s="32"/>
      <c r="AO410" s="12"/>
      <c r="AP410" s="12"/>
      <c r="AQ410" s="12"/>
      <c r="AR410" s="12"/>
      <c r="AS410" s="12"/>
      <c r="AT410" s="12"/>
      <c r="AU410" s="12"/>
      <c r="AV410" s="12"/>
      <c r="AW410" s="44"/>
      <c r="AX410" s="13"/>
      <c r="AY410" s="4"/>
      <c r="AZ410" s="1"/>
      <c r="BA410" s="1"/>
      <c r="BB410" s="4"/>
    </row>
    <row r="411" spans="1:56" s="25" customFormat="1" x14ac:dyDescent="0.25">
      <c r="A411" s="261">
        <v>62</v>
      </c>
      <c r="B411" s="260">
        <v>0.59</v>
      </c>
      <c r="C411" s="259">
        <v>12.94</v>
      </c>
      <c r="D411" s="240"/>
      <c r="E411" s="241"/>
      <c r="F411" s="113"/>
      <c r="G411" s="241">
        <v>0.38</v>
      </c>
      <c r="H411" s="240">
        <v>12.52</v>
      </c>
      <c r="I411" s="240"/>
      <c r="J411" s="113"/>
      <c r="K411" s="241"/>
      <c r="L411" s="240"/>
      <c r="M411" s="241"/>
      <c r="N411" s="240"/>
      <c r="O411" s="113"/>
      <c r="P411" s="60"/>
      <c r="Q411" s="55"/>
      <c r="R411" s="60"/>
      <c r="S411" s="49"/>
      <c r="T411" s="113"/>
      <c r="U411" s="241"/>
      <c r="V411" s="240"/>
      <c r="W411" s="241"/>
      <c r="X411" s="240"/>
      <c r="Y411" s="113"/>
      <c r="Z411" s="241"/>
      <c r="AA411" s="240"/>
      <c r="AB411" s="241"/>
      <c r="AC411" s="241"/>
      <c r="AD411" s="113"/>
      <c r="AE411" s="245"/>
      <c r="AF411" s="246"/>
      <c r="AG411" s="245"/>
      <c r="AH411" s="94"/>
      <c r="AI411" s="113"/>
      <c r="AJ411" s="245"/>
      <c r="AK411" s="246"/>
      <c r="AL411" s="245"/>
      <c r="AM411" s="246"/>
      <c r="AN411" s="32"/>
      <c r="AO411" s="12"/>
      <c r="AP411" s="12"/>
      <c r="AQ411" s="12"/>
      <c r="AR411" s="12"/>
      <c r="AS411" s="12"/>
      <c r="AT411" s="12"/>
      <c r="AU411" s="12"/>
      <c r="AV411" s="42"/>
      <c r="AW411" s="44"/>
      <c r="AX411" s="13"/>
      <c r="AY411" s="4"/>
      <c r="AZ411" s="1"/>
      <c r="BA411" s="1"/>
      <c r="BB411" s="4"/>
    </row>
    <row r="412" spans="1:56" s="25" customFormat="1" x14ac:dyDescent="0.25">
      <c r="A412" s="261"/>
      <c r="B412" s="260"/>
      <c r="C412" s="259"/>
      <c r="D412" s="240"/>
      <c r="E412" s="19"/>
      <c r="F412" s="113"/>
      <c r="G412" s="241">
        <v>0.9</v>
      </c>
      <c r="H412" s="240">
        <v>12.61</v>
      </c>
      <c r="I412" s="240"/>
      <c r="J412" s="113"/>
      <c r="K412" s="241"/>
      <c r="L412" s="240"/>
      <c r="M412" s="241"/>
      <c r="N412" s="240"/>
      <c r="O412" s="113"/>
      <c r="P412" s="60"/>
      <c r="Q412" s="55"/>
      <c r="R412" s="60"/>
      <c r="S412" s="49"/>
      <c r="T412" s="113"/>
      <c r="U412" s="241"/>
      <c r="V412" s="240"/>
      <c r="W412" s="241"/>
      <c r="X412" s="240"/>
      <c r="Y412" s="113"/>
      <c r="Z412" s="241"/>
      <c r="AA412" s="240"/>
      <c r="AB412" s="241"/>
      <c r="AC412" s="241"/>
      <c r="AD412" s="113"/>
      <c r="AE412" s="245"/>
      <c r="AF412" s="246"/>
      <c r="AG412" s="245"/>
      <c r="AH412" s="94"/>
      <c r="AI412" s="113"/>
      <c r="AJ412" s="245"/>
      <c r="AK412" s="246"/>
      <c r="AL412" s="245"/>
      <c r="AM412" s="246"/>
      <c r="AN412" s="32"/>
      <c r="AO412" s="12"/>
      <c r="AP412" s="12"/>
      <c r="AQ412" s="12"/>
      <c r="AR412" s="12"/>
      <c r="AS412" s="12"/>
      <c r="AT412" s="12"/>
      <c r="AU412" s="12"/>
      <c r="AV412" s="42"/>
      <c r="AW412" s="44"/>
      <c r="AX412" s="4"/>
      <c r="AY412" s="4"/>
      <c r="AZ412" s="1"/>
      <c r="BA412" s="1"/>
      <c r="BB412" s="4"/>
    </row>
    <row r="413" spans="1:56" s="25" customFormat="1" x14ac:dyDescent="0.25">
      <c r="A413" s="242">
        <v>63</v>
      </c>
      <c r="B413" s="241">
        <v>0.63</v>
      </c>
      <c r="C413" s="240">
        <v>13.48</v>
      </c>
      <c r="D413" s="240"/>
      <c r="E413" s="24"/>
      <c r="F413" s="113"/>
      <c r="G413" s="241">
        <v>1.18</v>
      </c>
      <c r="H413" s="240">
        <v>13.05</v>
      </c>
      <c r="I413" s="240"/>
      <c r="J413" s="113"/>
      <c r="K413" s="241"/>
      <c r="L413" s="240"/>
      <c r="M413" s="241"/>
      <c r="N413" s="240"/>
      <c r="O413" s="113"/>
      <c r="P413" s="241"/>
      <c r="Q413" s="240"/>
      <c r="R413" s="241"/>
      <c r="S413" s="49"/>
      <c r="T413" s="113"/>
      <c r="U413" s="241"/>
      <c r="V413" s="240"/>
      <c r="W413" s="241"/>
      <c r="X413" s="240"/>
      <c r="Y413" s="113"/>
      <c r="Z413" s="241"/>
      <c r="AA413" s="240"/>
      <c r="AB413" s="241"/>
      <c r="AC413" s="19"/>
      <c r="AD413" s="113"/>
      <c r="AE413" s="245"/>
      <c r="AF413" s="246"/>
      <c r="AG413" s="245"/>
      <c r="AH413" s="94"/>
      <c r="AI413" s="113"/>
      <c r="AJ413" s="245"/>
      <c r="AK413" s="246"/>
      <c r="AL413" s="245"/>
      <c r="AM413" s="246"/>
      <c r="AN413" s="32"/>
      <c r="AO413" s="12"/>
      <c r="AP413" s="12"/>
      <c r="AQ413" s="12"/>
      <c r="AR413" s="12"/>
      <c r="AS413" s="12"/>
      <c r="AT413" s="12"/>
      <c r="AU413" s="12"/>
      <c r="AV413" s="42"/>
      <c r="AW413" s="44"/>
      <c r="AX413" s="4"/>
      <c r="AY413" s="4"/>
      <c r="AZ413" s="1"/>
      <c r="BA413" s="1"/>
      <c r="BB413" s="4"/>
    </row>
    <row r="414" spans="1:56" s="25" customFormat="1" x14ac:dyDescent="0.25">
      <c r="A414" s="242">
        <v>64</v>
      </c>
      <c r="B414" s="241">
        <v>0.47</v>
      </c>
      <c r="C414" s="240">
        <v>14.09</v>
      </c>
      <c r="D414" s="240"/>
      <c r="E414" s="24"/>
      <c r="F414" s="113"/>
      <c r="G414" s="241">
        <v>0.73</v>
      </c>
      <c r="H414" s="240">
        <v>13.5</v>
      </c>
      <c r="I414" s="240"/>
      <c r="J414" s="113"/>
      <c r="K414" s="241"/>
      <c r="L414" s="240"/>
      <c r="M414" s="241"/>
      <c r="N414" s="240"/>
      <c r="O414" s="113"/>
      <c r="P414" s="241"/>
      <c r="Q414" s="240"/>
      <c r="R414" s="241"/>
      <c r="S414" s="49"/>
      <c r="T414" s="113"/>
      <c r="U414" s="241"/>
      <c r="V414" s="240"/>
      <c r="W414" s="241"/>
      <c r="X414" s="240"/>
      <c r="Y414" s="113"/>
      <c r="Z414" s="241"/>
      <c r="AA414" s="240"/>
      <c r="AB414" s="241"/>
      <c r="AC414" s="19"/>
      <c r="AD414" s="113"/>
      <c r="AE414" s="245"/>
      <c r="AF414" s="246"/>
      <c r="AG414" s="245"/>
      <c r="AH414" s="94"/>
      <c r="AI414" s="113"/>
      <c r="AJ414" s="245"/>
      <c r="AK414" s="246"/>
      <c r="AL414" s="245"/>
      <c r="AM414" s="246"/>
      <c r="AN414" s="32"/>
      <c r="AO414" s="36"/>
      <c r="AP414" s="36"/>
      <c r="AQ414" s="36"/>
      <c r="AR414" s="36"/>
      <c r="AS414" s="36"/>
      <c r="AT414" s="36"/>
      <c r="AU414" s="36"/>
      <c r="AV414" s="36"/>
      <c r="AY414" s="4"/>
      <c r="AZ414" s="1"/>
      <c r="BA414" s="1"/>
      <c r="BB414" s="4"/>
    </row>
    <row r="415" spans="1:56" x14ac:dyDescent="0.25">
      <c r="A415" s="85" t="s">
        <v>224</v>
      </c>
      <c r="B415" s="27">
        <f>SUM(B1:B414)</f>
        <v>99.989999999999952</v>
      </c>
      <c r="C415" s="5"/>
      <c r="D415" s="27">
        <f>SUM(D1:D414)</f>
        <v>96.590000000000117</v>
      </c>
      <c r="E415" s="5"/>
      <c r="G415" s="27">
        <f>SUM(G1:G414)</f>
        <v>100.04000000000003</v>
      </c>
      <c r="H415" s="5"/>
      <c r="I415" s="48"/>
      <c r="K415" s="27">
        <f>SUM(K1:K414)</f>
        <v>99.990000000000023</v>
      </c>
      <c r="L415" s="5"/>
      <c r="M415" s="27">
        <f>SUM(M1:M414)</f>
        <v>98.370000000000061</v>
      </c>
      <c r="N415" s="29"/>
      <c r="P415" s="29">
        <f>SUM(P1:P414)</f>
        <v>100.01</v>
      </c>
      <c r="Q415" s="29"/>
      <c r="R415" s="27">
        <f>SUM(R1:R414)</f>
        <v>96.080000000000027</v>
      </c>
      <c r="S415" s="29"/>
      <c r="U415" s="29">
        <f>SUM(U1:U414)</f>
        <v>100.07000000000001</v>
      </c>
      <c r="V415" s="29"/>
      <c r="W415" s="27">
        <f>SUM(W3:W414)</f>
        <v>100.92000000000002</v>
      </c>
      <c r="X415" s="29"/>
      <c r="Z415" s="23">
        <f>SUM(Z1:Z414)</f>
        <v>100.03999999999998</v>
      </c>
      <c r="AA415" s="46"/>
      <c r="AB415" s="53">
        <f>SUM(AB3:AB414)</f>
        <v>98.310000000000031</v>
      </c>
      <c r="AC415" s="3"/>
      <c r="AE415" s="29">
        <f>SUM(AE1:AE414)</f>
        <v>100.01000000000003</v>
      </c>
      <c r="AF415" s="29"/>
      <c r="AG415" s="29">
        <f>SUM(AG1:AG414)</f>
        <v>92.415000000000049</v>
      </c>
      <c r="AH415" s="29"/>
      <c r="AJ415" s="29">
        <f>SUM(AJ1:AJ414)</f>
        <v>99.989999999999966</v>
      </c>
      <c r="AK415" s="29"/>
      <c r="AL415" s="25">
        <f>SUM(AL1:AL414)</f>
        <v>98.009999999999991</v>
      </c>
      <c r="AM415" s="29"/>
      <c r="AY415" s="29"/>
      <c r="AZ415" s="29"/>
      <c r="BA415" s="29"/>
      <c r="BB415" s="29"/>
    </row>
    <row r="416" spans="1:56" x14ac:dyDescent="0.25">
      <c r="C416" s="5"/>
      <c r="G416" s="28"/>
      <c r="H416" s="48"/>
      <c r="I416" s="48"/>
      <c r="K416" s="27"/>
      <c r="L416" s="5"/>
      <c r="N416" s="29"/>
      <c r="P416" s="29"/>
      <c r="Q416" s="29"/>
      <c r="S416" s="29"/>
      <c r="U416" s="29"/>
      <c r="V416" s="29"/>
      <c r="W416" s="27"/>
      <c r="X416" s="29"/>
      <c r="AA416" s="5"/>
      <c r="AC416" s="4"/>
      <c r="AE416" s="29"/>
      <c r="AF416" s="29"/>
      <c r="AG416" s="29"/>
      <c r="AH416" s="29"/>
      <c r="AJ416" s="29"/>
      <c r="AK416" s="29"/>
      <c r="AL416" s="29"/>
      <c r="AM416" s="29"/>
    </row>
    <row r="417" spans="1:39" x14ac:dyDescent="0.25">
      <c r="A417" s="121" t="s">
        <v>399</v>
      </c>
      <c r="C417" s="5"/>
      <c r="G417" s="28"/>
      <c r="H417" s="48"/>
      <c r="I417" s="48"/>
      <c r="K417" s="27"/>
      <c r="L417" s="5"/>
      <c r="N417" s="29"/>
      <c r="P417" s="29"/>
      <c r="Q417" s="29"/>
      <c r="S417" s="29"/>
      <c r="U417" s="29"/>
      <c r="V417" s="29"/>
      <c r="W417" s="27"/>
      <c r="X417" s="29"/>
      <c r="AA417" s="5"/>
      <c r="AC417" s="4"/>
      <c r="AE417" s="29"/>
      <c r="AF417" s="29"/>
      <c r="AG417" s="29"/>
      <c r="AH417" s="29"/>
      <c r="AJ417" s="29"/>
      <c r="AK417" s="29"/>
      <c r="AL417" s="29"/>
      <c r="AM417" s="29"/>
    </row>
    <row r="418" spans="1:39" x14ac:dyDescent="0.25">
      <c r="C418" s="5"/>
      <c r="D418" s="50"/>
      <c r="G418" s="28"/>
      <c r="H418" s="48"/>
      <c r="I418" s="48"/>
      <c r="K418" s="27"/>
      <c r="L418" s="5"/>
      <c r="N418" s="29"/>
      <c r="P418" s="29"/>
      <c r="Q418" s="29"/>
      <c r="S418" s="29"/>
      <c r="U418" s="29"/>
      <c r="V418" s="29"/>
      <c r="W418" s="27"/>
      <c r="X418" s="29"/>
      <c r="AA418" s="5"/>
      <c r="AC418" s="4"/>
      <c r="AE418" s="29"/>
      <c r="AF418" s="29"/>
      <c r="AG418" s="29"/>
      <c r="AH418" s="29"/>
      <c r="AJ418" s="29"/>
      <c r="AK418" s="29"/>
      <c r="AL418" s="29"/>
      <c r="AM418" s="29"/>
    </row>
    <row r="419" spans="1:39" x14ac:dyDescent="0.25">
      <c r="G419" s="86"/>
      <c r="H419" s="87"/>
      <c r="I419" s="87"/>
      <c r="N419" s="29"/>
      <c r="P419" s="29"/>
      <c r="Q419" s="29"/>
      <c r="S419" s="29"/>
      <c r="U419" s="29"/>
      <c r="V419" s="29"/>
      <c r="W419" s="27"/>
      <c r="X419" s="29"/>
      <c r="AC419" s="4"/>
      <c r="AE419" s="29"/>
      <c r="AF419" s="29"/>
      <c r="AG419" s="29"/>
      <c r="AH419" s="29"/>
      <c r="AJ419" s="29"/>
      <c r="AK419" s="29"/>
      <c r="AL419" s="29"/>
      <c r="AM419" s="29"/>
    </row>
    <row r="420" spans="1:39" x14ac:dyDescent="0.25">
      <c r="G420" s="86"/>
      <c r="H420" s="87"/>
      <c r="I420" s="87"/>
      <c r="N420" s="29"/>
      <c r="P420" s="29"/>
      <c r="Q420" s="29"/>
      <c r="S420" s="29"/>
      <c r="U420" s="29"/>
      <c r="V420" s="29"/>
      <c r="W420" s="27"/>
      <c r="X420" s="29"/>
      <c r="AC420" s="4"/>
      <c r="AE420" s="29"/>
      <c r="AF420" s="29"/>
      <c r="AG420" s="29"/>
      <c r="AH420" s="29"/>
      <c r="AJ420" s="29"/>
      <c r="AK420" s="29"/>
      <c r="AL420" s="29"/>
      <c r="AM420" s="29"/>
    </row>
    <row r="421" spans="1:39" x14ac:dyDescent="0.25">
      <c r="I421" s="87"/>
      <c r="N421" s="29"/>
      <c r="P421" s="29"/>
      <c r="Q421" s="29"/>
      <c r="S421" s="29"/>
      <c r="U421" s="29"/>
      <c r="V421" s="29"/>
      <c r="W421" s="27"/>
      <c r="X421" s="29"/>
      <c r="AC421" s="4"/>
      <c r="AE421" s="29"/>
      <c r="AF421" s="29"/>
      <c r="AG421" s="29"/>
      <c r="AH421" s="29"/>
      <c r="AJ421" s="29"/>
      <c r="AK421" s="29"/>
      <c r="AL421" s="29"/>
      <c r="AM421" s="29"/>
    </row>
    <row r="422" spans="1:39" x14ac:dyDescent="0.25">
      <c r="I422" s="87"/>
      <c r="S422" s="3"/>
      <c r="AC422" s="4"/>
      <c r="AE422" s="29"/>
      <c r="AF422" s="29"/>
      <c r="AG422" s="29"/>
      <c r="AH422" s="29"/>
      <c r="AJ422" s="29"/>
      <c r="AK422" s="29"/>
      <c r="AL422" s="29"/>
      <c r="AM422" s="29"/>
    </row>
    <row r="423" spans="1:39" x14ac:dyDescent="0.25">
      <c r="I423" s="87"/>
      <c r="S423" s="3"/>
      <c r="AC423" s="4"/>
      <c r="AE423" s="29"/>
      <c r="AF423" s="29"/>
      <c r="AG423" s="29"/>
      <c r="AH423" s="29"/>
      <c r="AJ423" s="29"/>
      <c r="AK423" s="29"/>
      <c r="AL423" s="29"/>
      <c r="AM423" s="29"/>
    </row>
    <row r="424" spans="1:39" x14ac:dyDescent="0.25">
      <c r="I424" s="87"/>
      <c r="S424" s="4"/>
      <c r="AC424" s="4"/>
      <c r="AE424" s="29"/>
      <c r="AF424" s="29"/>
      <c r="AG424" s="29"/>
      <c r="AH424" s="29"/>
      <c r="AJ424" s="29"/>
      <c r="AK424" s="29"/>
      <c r="AL424" s="29"/>
      <c r="AM424" s="29"/>
    </row>
    <row r="425" spans="1:39" x14ac:dyDescent="0.25">
      <c r="I425" s="87"/>
      <c r="S425" s="84"/>
      <c r="AC425" s="4"/>
      <c r="AE425" s="29"/>
      <c r="AF425" s="29"/>
      <c r="AG425" s="29"/>
      <c r="AH425" s="29"/>
      <c r="AJ425" s="29"/>
      <c r="AK425" s="29"/>
      <c r="AL425" s="29"/>
      <c r="AM425" s="29"/>
    </row>
    <row r="426" spans="1:39" x14ac:dyDescent="0.25">
      <c r="I426" s="87"/>
      <c r="S426" s="3"/>
      <c r="AC426" s="4"/>
      <c r="AE426" s="29"/>
      <c r="AF426" s="29"/>
      <c r="AG426" s="29"/>
      <c r="AH426" s="29"/>
      <c r="AJ426" s="29"/>
      <c r="AK426" s="29"/>
      <c r="AL426" s="29"/>
      <c r="AM426" s="29"/>
    </row>
    <row r="427" spans="1:39" x14ac:dyDescent="0.25">
      <c r="I427" s="87"/>
      <c r="S427" s="84"/>
      <c r="AC427" s="4"/>
      <c r="AE427" s="29"/>
      <c r="AF427" s="29"/>
      <c r="AG427" s="29"/>
      <c r="AH427" s="29"/>
      <c r="AJ427" s="29"/>
      <c r="AK427" s="29"/>
      <c r="AL427" s="29"/>
      <c r="AM427" s="29"/>
    </row>
    <row r="428" spans="1:39" x14ac:dyDescent="0.25">
      <c r="I428" s="87"/>
      <c r="S428" s="84"/>
      <c r="AC428" s="4"/>
      <c r="AE428" s="29"/>
      <c r="AF428" s="29"/>
      <c r="AG428" s="29"/>
      <c r="AH428" s="29"/>
      <c r="AJ428" s="29"/>
      <c r="AK428" s="29"/>
      <c r="AL428" s="29"/>
      <c r="AM428" s="29"/>
    </row>
    <row r="429" spans="1:39" x14ac:dyDescent="0.25">
      <c r="I429" s="87"/>
      <c r="S429" s="4"/>
      <c r="AC429" s="4"/>
      <c r="AE429" s="29"/>
      <c r="AF429" s="29"/>
      <c r="AG429" s="29"/>
      <c r="AH429" s="29"/>
      <c r="AJ429" s="29"/>
      <c r="AK429" s="29"/>
      <c r="AL429" s="29"/>
      <c r="AM429" s="29"/>
    </row>
    <row r="430" spans="1:39" x14ac:dyDescent="0.25">
      <c r="I430" s="87"/>
      <c r="S430" s="84"/>
      <c r="AC430" s="4"/>
      <c r="AE430" s="29"/>
      <c r="AF430" s="29"/>
      <c r="AG430" s="29"/>
      <c r="AH430" s="29"/>
      <c r="AJ430" s="29"/>
      <c r="AK430" s="29"/>
      <c r="AL430" s="29"/>
      <c r="AM430" s="29"/>
    </row>
    <row r="431" spans="1:39" x14ac:dyDescent="0.25">
      <c r="I431" s="87"/>
      <c r="S431" s="84"/>
      <c r="AC431" s="4"/>
      <c r="AE431" s="29"/>
      <c r="AF431" s="29"/>
      <c r="AG431" s="29"/>
      <c r="AH431" s="29"/>
      <c r="AJ431" s="29"/>
      <c r="AK431" s="29"/>
      <c r="AL431" s="29"/>
      <c r="AM431" s="29"/>
    </row>
    <row r="432" spans="1:39" x14ac:dyDescent="0.25">
      <c r="I432" s="87"/>
      <c r="AC432" s="4"/>
      <c r="AE432" s="29"/>
      <c r="AF432" s="29"/>
      <c r="AG432" s="29"/>
      <c r="AH432" s="29"/>
      <c r="AJ432" s="29"/>
      <c r="AK432" s="29"/>
      <c r="AL432" s="29"/>
      <c r="AM432" s="29"/>
    </row>
    <row r="433" spans="5:39" x14ac:dyDescent="0.25">
      <c r="I433" s="87"/>
      <c r="AC433" s="4"/>
      <c r="AE433" s="29"/>
      <c r="AF433" s="29"/>
      <c r="AG433" s="29"/>
      <c r="AH433" s="29"/>
      <c r="AJ433" s="29"/>
      <c r="AK433" s="29"/>
      <c r="AL433" s="29"/>
      <c r="AM433" s="29"/>
    </row>
    <row r="434" spans="5:39" x14ac:dyDescent="0.25">
      <c r="I434" s="87"/>
      <c r="AE434" s="29"/>
      <c r="AF434" s="29"/>
      <c r="AG434" s="29"/>
      <c r="AH434" s="29"/>
      <c r="AJ434" s="29"/>
      <c r="AK434" s="29"/>
      <c r="AL434" s="29"/>
      <c r="AM434" s="29"/>
    </row>
    <row r="435" spans="5:39" x14ac:dyDescent="0.25">
      <c r="I435" s="87"/>
      <c r="AE435" s="29"/>
      <c r="AF435" s="29"/>
      <c r="AG435" s="29"/>
      <c r="AH435" s="29"/>
      <c r="AJ435" s="29"/>
      <c r="AK435" s="29"/>
      <c r="AL435" s="29"/>
      <c r="AM435" s="29"/>
    </row>
    <row r="436" spans="5:39" x14ac:dyDescent="0.25">
      <c r="I436" s="87"/>
      <c r="AE436" s="29"/>
      <c r="AF436" s="29"/>
      <c r="AG436" s="29"/>
      <c r="AH436" s="29"/>
      <c r="AJ436" s="29"/>
      <c r="AK436" s="29"/>
      <c r="AL436" s="29"/>
      <c r="AM436" s="29"/>
    </row>
    <row r="437" spans="5:39" x14ac:dyDescent="0.25">
      <c r="I437" s="87"/>
      <c r="AE437" s="29"/>
      <c r="AF437" s="29"/>
      <c r="AG437" s="29"/>
      <c r="AH437" s="29"/>
      <c r="AJ437" s="29"/>
      <c r="AK437" s="29"/>
      <c r="AL437" s="29"/>
      <c r="AM437" s="29"/>
    </row>
    <row r="438" spans="5:39" x14ac:dyDescent="0.25">
      <c r="I438" s="87"/>
      <c r="AE438" s="29"/>
      <c r="AF438" s="29"/>
      <c r="AG438" s="29"/>
      <c r="AH438" s="29"/>
      <c r="AJ438" s="29"/>
      <c r="AK438" s="29"/>
      <c r="AL438" s="29"/>
      <c r="AM438" s="29"/>
    </row>
    <row r="439" spans="5:39" x14ac:dyDescent="0.25">
      <c r="I439" s="87"/>
      <c r="AE439" s="29"/>
      <c r="AF439" s="29"/>
      <c r="AG439" s="29"/>
      <c r="AH439" s="29"/>
      <c r="AJ439" s="29"/>
      <c r="AK439" s="29"/>
      <c r="AL439" s="29"/>
      <c r="AM439" s="29"/>
    </row>
    <row r="440" spans="5:39" x14ac:dyDescent="0.25">
      <c r="I440" s="87"/>
      <c r="AE440" s="29"/>
      <c r="AF440" s="29"/>
      <c r="AG440" s="29"/>
      <c r="AH440" s="29"/>
      <c r="AJ440" s="29"/>
      <c r="AK440" s="29"/>
      <c r="AL440" s="29"/>
      <c r="AM440" s="29"/>
    </row>
    <row r="441" spans="5:39" x14ac:dyDescent="0.25">
      <c r="E441" s="4"/>
      <c r="I441" s="87"/>
      <c r="AE441" s="29"/>
      <c r="AF441" s="29"/>
      <c r="AG441" s="29"/>
      <c r="AH441" s="29"/>
      <c r="AJ441" s="29"/>
      <c r="AK441" s="29"/>
      <c r="AL441" s="29"/>
      <c r="AM441" s="29"/>
    </row>
    <row r="442" spans="5:39" x14ac:dyDescent="0.25">
      <c r="E442" s="4"/>
      <c r="I442" s="87"/>
      <c r="AE442" s="29"/>
      <c r="AF442" s="29"/>
      <c r="AG442" s="29"/>
      <c r="AH442" s="29"/>
      <c r="AJ442" s="29"/>
      <c r="AK442" s="29"/>
      <c r="AL442" s="29"/>
      <c r="AM442" s="29"/>
    </row>
    <row r="443" spans="5:39" x14ac:dyDescent="0.25">
      <c r="E443" s="4"/>
      <c r="I443" s="87"/>
      <c r="AE443" s="29"/>
      <c r="AF443" s="29"/>
      <c r="AG443" s="29"/>
      <c r="AH443" s="29"/>
      <c r="AJ443" s="29"/>
      <c r="AK443" s="29"/>
      <c r="AL443" s="29"/>
      <c r="AM443" s="29"/>
    </row>
    <row r="444" spans="5:39" x14ac:dyDescent="0.25">
      <c r="E444" s="4"/>
      <c r="I444" s="87"/>
    </row>
    <row r="445" spans="5:39" x14ac:dyDescent="0.25">
      <c r="E445" s="4"/>
      <c r="I445" s="87"/>
    </row>
    <row r="446" spans="5:39" x14ac:dyDescent="0.25">
      <c r="I446" s="87"/>
    </row>
    <row r="447" spans="5:39" x14ac:dyDescent="0.25">
      <c r="I447" s="87"/>
    </row>
    <row r="448" spans="5:39" x14ac:dyDescent="0.25">
      <c r="I448" s="87"/>
    </row>
    <row r="449" spans="9:9" x14ac:dyDescent="0.25">
      <c r="I449" s="87"/>
    </row>
    <row r="450" spans="9:9" x14ac:dyDescent="0.25">
      <c r="I450" s="87"/>
    </row>
    <row r="451" spans="9:9" x14ac:dyDescent="0.25">
      <c r="I451" s="87"/>
    </row>
    <row r="452" spans="9:9" x14ac:dyDescent="0.25">
      <c r="I452" s="87"/>
    </row>
    <row r="453" spans="9:9" x14ac:dyDescent="0.25">
      <c r="I453" s="87"/>
    </row>
    <row r="483" spans="41:50" x14ac:dyDescent="0.25">
      <c r="AO483" s="12"/>
      <c r="AP483" s="12"/>
      <c r="AQ483" s="12"/>
      <c r="AR483" s="12"/>
      <c r="AS483" s="12"/>
      <c r="AT483" s="12"/>
      <c r="AU483" s="12"/>
      <c r="AV483" s="12"/>
      <c r="AW483" s="90"/>
      <c r="AX483" s="13"/>
    </row>
    <row r="484" spans="41:50" x14ac:dyDescent="0.25">
      <c r="AO484" s="12"/>
      <c r="AP484" s="12"/>
      <c r="AQ484" s="12"/>
      <c r="AR484" s="12"/>
      <c r="AS484" s="12"/>
      <c r="AT484" s="12"/>
      <c r="AU484" s="12"/>
      <c r="AV484" s="42"/>
      <c r="AW484" s="90"/>
      <c r="AX484" s="13"/>
    </row>
    <row r="485" spans="41:50" x14ac:dyDescent="0.25">
      <c r="AO485" s="12"/>
      <c r="AP485" s="12"/>
      <c r="AQ485" s="12"/>
      <c r="AR485" s="12"/>
      <c r="AS485" s="12"/>
      <c r="AT485" s="12"/>
      <c r="AU485" s="12"/>
      <c r="AV485" s="42"/>
      <c r="AW485" s="90"/>
      <c r="AX485" s="13"/>
    </row>
    <row r="486" spans="41:50" x14ac:dyDescent="0.25">
      <c r="AO486" s="12"/>
      <c r="AP486" s="12"/>
      <c r="AQ486" s="12"/>
      <c r="AR486" s="12"/>
      <c r="AS486" s="12"/>
      <c r="AT486" s="12"/>
      <c r="AU486" s="12"/>
      <c r="AV486" s="42"/>
      <c r="AW486" s="90"/>
      <c r="AX486" s="13"/>
    </row>
    <row r="487" spans="41:50" x14ac:dyDescent="0.25">
      <c r="AO487" s="12"/>
      <c r="AP487" s="12"/>
      <c r="AQ487" s="12"/>
      <c r="AR487" s="12"/>
      <c r="AS487" s="12"/>
      <c r="AT487" s="12"/>
      <c r="AU487" s="12"/>
      <c r="AV487" s="42"/>
      <c r="AW487" s="90"/>
      <c r="AX487" s="13"/>
    </row>
    <row r="488" spans="41:50" x14ac:dyDescent="0.25">
      <c r="AO488" s="12"/>
      <c r="AP488" s="12"/>
      <c r="AQ488" s="12"/>
      <c r="AR488" s="12"/>
      <c r="AS488" s="12"/>
      <c r="AT488" s="12"/>
      <c r="AU488" s="12"/>
      <c r="AV488" s="12"/>
      <c r="AW488" s="90"/>
      <c r="AX488" s="13"/>
    </row>
    <row r="489" spans="41:50" x14ac:dyDescent="0.25">
      <c r="AO489" s="12"/>
      <c r="AP489" s="12"/>
      <c r="AQ489" s="12"/>
      <c r="AR489" s="12"/>
      <c r="AS489" s="12"/>
      <c r="AT489" s="12"/>
      <c r="AU489" s="12"/>
      <c r="AV489" s="42"/>
      <c r="AW489" s="44"/>
      <c r="AX489" s="65"/>
    </row>
    <row r="490" spans="41:50" x14ac:dyDescent="0.25">
      <c r="AO490" s="12"/>
      <c r="AP490" s="12"/>
      <c r="AQ490" s="12"/>
      <c r="AR490" s="12"/>
      <c r="AS490" s="12"/>
      <c r="AT490" s="12"/>
      <c r="AU490" s="12"/>
      <c r="AV490" s="12"/>
      <c r="AW490" s="90"/>
      <c r="AX490" s="13"/>
    </row>
    <row r="491" spans="41:50" x14ac:dyDescent="0.25">
      <c r="AO491" s="12"/>
      <c r="AP491" s="12"/>
      <c r="AQ491" s="12"/>
      <c r="AR491" s="12"/>
      <c r="AS491" s="12"/>
      <c r="AT491" s="12"/>
      <c r="AU491" s="12"/>
      <c r="AV491" s="12"/>
      <c r="AW491" s="90"/>
      <c r="AX491" s="13"/>
    </row>
    <row r="492" spans="41:50" x14ac:dyDescent="0.25">
      <c r="AO492" s="12"/>
      <c r="AP492" s="12"/>
      <c r="AQ492" s="12"/>
      <c r="AR492" s="12"/>
      <c r="AS492" s="12"/>
      <c r="AT492" s="12"/>
      <c r="AU492" s="12"/>
      <c r="AV492" s="12"/>
      <c r="AW492" s="12"/>
      <c r="AX492" s="65"/>
    </row>
    <row r="493" spans="41:50" x14ac:dyDescent="0.25">
      <c r="AO493" s="12"/>
      <c r="AP493" s="12"/>
      <c r="AQ493" s="12"/>
      <c r="AR493" s="12"/>
      <c r="AS493" s="12"/>
      <c r="AT493" s="12"/>
      <c r="AU493" s="12"/>
      <c r="AV493" s="12"/>
      <c r="AW493" s="12"/>
      <c r="AX493" s="65"/>
    </row>
    <row r="494" spans="41:50" x14ac:dyDescent="0.25">
      <c r="AO494" s="12"/>
      <c r="AP494" s="12"/>
      <c r="AQ494" s="12"/>
      <c r="AR494" s="12"/>
      <c r="AS494" s="12"/>
      <c r="AT494" s="12"/>
      <c r="AU494" s="12"/>
      <c r="AV494" s="12"/>
      <c r="AW494" s="12"/>
      <c r="AX494" s="65"/>
    </row>
  </sheetData>
  <mergeCells count="812">
    <mergeCell ref="AE3:AE4"/>
    <mergeCell ref="AF6:AF7"/>
    <mergeCell ref="AE57:AE63"/>
    <mergeCell ref="AF90:AF97"/>
    <mergeCell ref="AF64:AF67"/>
    <mergeCell ref="AE90:AE97"/>
    <mergeCell ref="AF86:AF89"/>
    <mergeCell ref="AE86:AE89"/>
    <mergeCell ref="AF36:AF53"/>
    <mergeCell ref="AE36:AE53"/>
    <mergeCell ref="AF8:AF9"/>
    <mergeCell ref="AE8:AE9"/>
    <mergeCell ref="AE6:AE7"/>
    <mergeCell ref="AE10:AE12"/>
    <mergeCell ref="AF10:AF12"/>
    <mergeCell ref="AF22:AF24"/>
    <mergeCell ref="AE54:AE56"/>
    <mergeCell ref="AF54:AF56"/>
    <mergeCell ref="AE26:AE30"/>
    <mergeCell ref="AE22:AE24"/>
    <mergeCell ref="A1:B1"/>
    <mergeCell ref="AF312:AF328"/>
    <mergeCell ref="AE312:AE328"/>
    <mergeCell ref="AF161:AF165"/>
    <mergeCell ref="AE161:AE165"/>
    <mergeCell ref="Z222:Z230"/>
    <mergeCell ref="AF68:AF75"/>
    <mergeCell ref="AE68:AE75"/>
    <mergeCell ref="AE98:AE105"/>
    <mergeCell ref="AF150:AF160"/>
    <mergeCell ref="AA312:AA324"/>
    <mergeCell ref="AF231:AF252"/>
    <mergeCell ref="AF288:AF293"/>
    <mergeCell ref="AA222:AA230"/>
    <mergeCell ref="Z191:Z195"/>
    <mergeCell ref="Z196:Z221"/>
    <mergeCell ref="AF113:AF132"/>
    <mergeCell ref="AA325:AA345"/>
    <mergeCell ref="Z325:Z345"/>
    <mergeCell ref="AF3:AF4"/>
    <mergeCell ref="AF98:AF105"/>
    <mergeCell ref="U310:U324"/>
    <mergeCell ref="V294:V309"/>
    <mergeCell ref="V288:V293"/>
    <mergeCell ref="AE1:AH1"/>
    <mergeCell ref="AJ1:AM1"/>
    <mergeCell ref="AK289:AK293"/>
    <mergeCell ref="AJ289:AJ293"/>
    <mergeCell ref="V153:V155"/>
    <mergeCell ref="V161:V187"/>
    <mergeCell ref="U258:U287"/>
    <mergeCell ref="Z231:Z252"/>
    <mergeCell ref="AE150:AE160"/>
    <mergeCell ref="AE139:AE149"/>
    <mergeCell ref="AF188:AF190"/>
    <mergeCell ref="AF196:AF221"/>
    <mergeCell ref="AE196:AE221"/>
    <mergeCell ref="AK188:AK190"/>
    <mergeCell ref="Z139:Z149"/>
    <mergeCell ref="AA139:AA149"/>
    <mergeCell ref="AA113:AA132"/>
    <mergeCell ref="AF32:AF35"/>
    <mergeCell ref="Z57:Z63"/>
    <mergeCell ref="AA57:AA63"/>
    <mergeCell ref="AA90:AA97"/>
    <mergeCell ref="AF57:AF63"/>
    <mergeCell ref="AA36:AA53"/>
    <mergeCell ref="Z32:Z35"/>
    <mergeCell ref="V310:V324"/>
    <mergeCell ref="V139:V152"/>
    <mergeCell ref="AA15:AA19"/>
    <mergeCell ref="Z15:Z19"/>
    <mergeCell ref="AA22:AA24"/>
    <mergeCell ref="AA161:AA165"/>
    <mergeCell ref="Z161:Z165"/>
    <mergeCell ref="AA253:AA257"/>
    <mergeCell ref="Z253:Z257"/>
    <mergeCell ref="AA288:AA293"/>
    <mergeCell ref="Z288:Z293"/>
    <mergeCell ref="AA20:AA21"/>
    <mergeCell ref="Z20:Z21"/>
    <mergeCell ref="Z26:Z30"/>
    <mergeCell ref="Z113:Z132"/>
    <mergeCell ref="AA32:AA35"/>
    <mergeCell ref="Z54:Z56"/>
    <mergeCell ref="AA54:AA56"/>
    <mergeCell ref="Z86:Z89"/>
    <mergeCell ref="AA86:AA89"/>
    <mergeCell ref="Z166:Z176"/>
    <mergeCell ref="AA166:AA176"/>
    <mergeCell ref="AA268:AA287"/>
    <mergeCell ref="Z268:Z287"/>
    <mergeCell ref="K229:K244"/>
    <mergeCell ref="G32:G35"/>
    <mergeCell ref="G45:G48"/>
    <mergeCell ref="H45:H48"/>
    <mergeCell ref="Q22:Q24"/>
    <mergeCell ref="P22:P24"/>
    <mergeCell ref="U22:U24"/>
    <mergeCell ref="K44:K45"/>
    <mergeCell ref="K16:K17"/>
    <mergeCell ref="L16:L17"/>
    <mergeCell ref="G18:G19"/>
    <mergeCell ref="H18:H19"/>
    <mergeCell ref="G27:G30"/>
    <mergeCell ref="L18:L19"/>
    <mergeCell ref="Q26:Q30"/>
    <mergeCell ref="P31:P34"/>
    <mergeCell ref="Q76:Q85"/>
    <mergeCell ref="P191:P195"/>
    <mergeCell ref="Q191:Q195"/>
    <mergeCell ref="K18:K19"/>
    <mergeCell ref="H15:H16"/>
    <mergeCell ref="K58:K63"/>
    <mergeCell ref="L58:L63"/>
    <mergeCell ref="H98:H103"/>
    <mergeCell ref="C1:E1"/>
    <mergeCell ref="G1:I1"/>
    <mergeCell ref="K1:N1"/>
    <mergeCell ref="P1:S1"/>
    <mergeCell ref="U1:X1"/>
    <mergeCell ref="G163:G176"/>
    <mergeCell ref="Z1:AC1"/>
    <mergeCell ref="Z3:Z4"/>
    <mergeCell ref="AA3:AA4"/>
    <mergeCell ref="Z10:Z12"/>
    <mergeCell ref="Q98:Q105"/>
    <mergeCell ref="Q90:Q97"/>
    <mergeCell ref="U90:U97"/>
    <mergeCell ref="U64:U67"/>
    <mergeCell ref="V64:V67"/>
    <mergeCell ref="R86:R87"/>
    <mergeCell ref="Q45:Q49"/>
    <mergeCell ref="Q54:Q56"/>
    <mergeCell ref="Q50:Q53"/>
    <mergeCell ref="U41:U49"/>
    <mergeCell ref="U50:U56"/>
    <mergeCell ref="U57:U63"/>
    <mergeCell ref="G15:G16"/>
    <mergeCell ref="L13:L14"/>
    <mergeCell ref="AF177:AF187"/>
    <mergeCell ref="Z150:Z160"/>
    <mergeCell ref="Q41:Q43"/>
    <mergeCell ref="AE288:AE293"/>
    <mergeCell ref="Q113:Q132"/>
    <mergeCell ref="AE106:AE112"/>
    <mergeCell ref="Z106:Z112"/>
    <mergeCell ref="V133:V138"/>
    <mergeCell ref="U133:U138"/>
    <mergeCell ref="Q133:Q138"/>
    <mergeCell ref="V99:V107"/>
    <mergeCell ref="U139:U152"/>
    <mergeCell ref="Q108:Q112"/>
    <mergeCell ref="Q86:Q89"/>
    <mergeCell ref="Z64:Z67"/>
    <mergeCell ref="AA64:AA67"/>
    <mergeCell ref="Z68:Z75"/>
    <mergeCell ref="AA68:AA75"/>
    <mergeCell ref="AE64:AE67"/>
    <mergeCell ref="Q139:Q149"/>
    <mergeCell ref="Q153:Q155"/>
    <mergeCell ref="Z133:Z138"/>
    <mergeCell ref="AF139:AF149"/>
    <mergeCell ref="AF166:AF176"/>
    <mergeCell ref="K312:K324"/>
    <mergeCell ref="K310:K311"/>
    <mergeCell ref="U325:U340"/>
    <mergeCell ref="Q325:Q342"/>
    <mergeCell ref="Z177:Z187"/>
    <mergeCell ref="V156:V160"/>
    <mergeCell ref="AE177:AE187"/>
    <mergeCell ref="P177:P187"/>
    <mergeCell ref="AF268:AF287"/>
    <mergeCell ref="AF258:AF267"/>
    <mergeCell ref="AF253:AF257"/>
    <mergeCell ref="AE231:AE252"/>
    <mergeCell ref="AE268:AE287"/>
    <mergeCell ref="Q156:Q160"/>
    <mergeCell ref="AE222:AE230"/>
    <mergeCell ref="AA196:AA221"/>
    <mergeCell ref="Q245:Q252"/>
    <mergeCell ref="AE258:AE267"/>
    <mergeCell ref="Q161:Q165"/>
    <mergeCell ref="AE188:AE190"/>
    <mergeCell ref="AE191:AE195"/>
    <mergeCell ref="Z188:Z190"/>
    <mergeCell ref="AA150:AA160"/>
    <mergeCell ref="AA188:AA190"/>
    <mergeCell ref="L312:L324"/>
    <mergeCell ref="L310:L311"/>
    <mergeCell ref="L288:L293"/>
    <mergeCell ref="K268:K278"/>
    <mergeCell ref="P196:P205"/>
    <mergeCell ref="P325:P342"/>
    <mergeCell ref="Q294:Q309"/>
    <mergeCell ref="K295:K309"/>
    <mergeCell ref="AK341:AK344"/>
    <mergeCell ref="AJ341:AJ344"/>
    <mergeCell ref="AJ311:AJ312"/>
    <mergeCell ref="AK311:AK312"/>
    <mergeCell ref="V325:V340"/>
    <mergeCell ref="AK296:AK309"/>
    <mergeCell ref="AJ296:AJ309"/>
    <mergeCell ref="AK325:AK339"/>
    <mergeCell ref="AJ325:AJ339"/>
    <mergeCell ref="AK313:AK323"/>
    <mergeCell ref="AJ313:AJ323"/>
    <mergeCell ref="AF294:AF311"/>
    <mergeCell ref="Z294:Z311"/>
    <mergeCell ref="AE294:AE311"/>
    <mergeCell ref="Z312:Z324"/>
    <mergeCell ref="AA294:AA311"/>
    <mergeCell ref="L295:L309"/>
    <mergeCell ref="K288:K293"/>
    <mergeCell ref="P245:P252"/>
    <mergeCell ref="P268:P287"/>
    <mergeCell ref="P206:P221"/>
    <mergeCell ref="L253:L257"/>
    <mergeCell ref="Q222:Q244"/>
    <mergeCell ref="Q206:Q221"/>
    <mergeCell ref="G288:G293"/>
    <mergeCell ref="P294:P309"/>
    <mergeCell ref="P288:P293"/>
    <mergeCell ref="L279:L287"/>
    <mergeCell ref="Q253:Q267"/>
    <mergeCell ref="L268:L278"/>
    <mergeCell ref="H245:H252"/>
    <mergeCell ref="L258:L267"/>
    <mergeCell ref="K258:K267"/>
    <mergeCell ref="K253:K257"/>
    <mergeCell ref="H253:H257"/>
    <mergeCell ref="G268:G287"/>
    <mergeCell ref="G253:G257"/>
    <mergeCell ref="H268:H287"/>
    <mergeCell ref="P222:P244"/>
    <mergeCell ref="L229:L244"/>
    <mergeCell ref="L245:L252"/>
    <mergeCell ref="K245:K252"/>
    <mergeCell ref="P98:P105"/>
    <mergeCell ref="G230:G244"/>
    <mergeCell ref="Q150:Q152"/>
    <mergeCell ref="H133:H138"/>
    <mergeCell ref="G245:G252"/>
    <mergeCell ref="G188:G190"/>
    <mergeCell ref="P188:P190"/>
    <mergeCell ref="P139:P149"/>
    <mergeCell ref="P133:P138"/>
    <mergeCell ref="Q106:Q107"/>
    <mergeCell ref="K177:K187"/>
    <mergeCell ref="L133:L138"/>
    <mergeCell ref="K133:K138"/>
    <mergeCell ref="P161:P165"/>
    <mergeCell ref="P156:P160"/>
    <mergeCell ref="P108:P112"/>
    <mergeCell ref="H230:H244"/>
    <mergeCell ref="L191:L195"/>
    <mergeCell ref="K189:K190"/>
    <mergeCell ref="L222:L228"/>
    <mergeCell ref="K98:K104"/>
    <mergeCell ref="L98:L104"/>
    <mergeCell ref="G76:G85"/>
    <mergeCell ref="H76:H85"/>
    <mergeCell ref="G37:G40"/>
    <mergeCell ref="H37:H40"/>
    <mergeCell ref="G68:G75"/>
    <mergeCell ref="G50:G53"/>
    <mergeCell ref="H50:H53"/>
    <mergeCell ref="K90:K96"/>
    <mergeCell ref="G41:G43"/>
    <mergeCell ref="H68:H75"/>
    <mergeCell ref="AK50:AK52"/>
    <mergeCell ref="AK54:AK56"/>
    <mergeCell ref="AJ69:AJ70"/>
    <mergeCell ref="K106:K107"/>
    <mergeCell ref="L106:L107"/>
    <mergeCell ref="Q64:Q68"/>
    <mergeCell ref="L44:L45"/>
    <mergeCell ref="L41:L43"/>
    <mergeCell ref="K46:K48"/>
    <mergeCell ref="L46:L48"/>
    <mergeCell ref="K77:K85"/>
    <mergeCell ref="K68:K69"/>
    <mergeCell ref="K54:K56"/>
    <mergeCell ref="L54:L56"/>
    <mergeCell ref="L90:L96"/>
    <mergeCell ref="P90:P97"/>
    <mergeCell ref="P106:P107"/>
    <mergeCell ref="P50:P53"/>
    <mergeCell ref="P45:P49"/>
    <mergeCell ref="P54:P56"/>
    <mergeCell ref="P57:P63"/>
    <mergeCell ref="V41:V49"/>
    <mergeCell ref="V50:V56"/>
    <mergeCell ref="V57:V63"/>
    <mergeCell ref="AJ50:AJ52"/>
    <mergeCell ref="Q20:Q21"/>
    <mergeCell ref="P20:P21"/>
    <mergeCell ref="Q16:Q19"/>
    <mergeCell ref="P16:P19"/>
    <mergeCell ref="Z36:Z53"/>
    <mergeCell ref="K13:K14"/>
    <mergeCell ref="L22:L24"/>
    <mergeCell ref="K22:K24"/>
    <mergeCell ref="V32:V40"/>
    <mergeCell ref="U32:U40"/>
    <mergeCell ref="Q36:Q40"/>
    <mergeCell ref="Q31:Q34"/>
    <mergeCell ref="P36:P40"/>
    <mergeCell ref="P41:P43"/>
    <mergeCell ref="AK26:AK30"/>
    <mergeCell ref="AJ26:AJ30"/>
    <mergeCell ref="AA26:AA30"/>
    <mergeCell ref="Z22:Z24"/>
    <mergeCell ref="AA10:AA12"/>
    <mergeCell ref="AA6:AA7"/>
    <mergeCell ref="Z6:Z7"/>
    <mergeCell ref="AK14:AK17"/>
    <mergeCell ref="AJ14:AJ17"/>
    <mergeCell ref="AK18:AK20"/>
    <mergeCell ref="AJ18:AJ20"/>
    <mergeCell ref="AF15:AF19"/>
    <mergeCell ref="AE15:AE19"/>
    <mergeCell ref="AF26:AF30"/>
    <mergeCell ref="AK191:AK195"/>
    <mergeCell ref="AK161:AK164"/>
    <mergeCell ref="AJ166:AJ175"/>
    <mergeCell ref="AJ161:AJ164"/>
    <mergeCell ref="AK139:AK149"/>
    <mergeCell ref="AK117:AK131"/>
    <mergeCell ref="AJ117:AJ131"/>
    <mergeCell ref="AK113:AK116"/>
    <mergeCell ref="AJ113:AJ116"/>
    <mergeCell ref="AK155:AK160"/>
    <mergeCell ref="B13:B14"/>
    <mergeCell ref="C13:C14"/>
    <mergeCell ref="H3:H4"/>
    <mergeCell ref="G3:G4"/>
    <mergeCell ref="C3:C5"/>
    <mergeCell ref="B3:B5"/>
    <mergeCell ref="B7:B8"/>
    <mergeCell ref="C7:C8"/>
    <mergeCell ref="B9:B12"/>
    <mergeCell ref="C9:C12"/>
    <mergeCell ref="G7:G8"/>
    <mergeCell ref="H7:H8"/>
    <mergeCell ref="V3:V6"/>
    <mergeCell ref="U3:U6"/>
    <mergeCell ref="V7:V8"/>
    <mergeCell ref="U7:U8"/>
    <mergeCell ref="V9:V12"/>
    <mergeCell ref="U9:U12"/>
    <mergeCell ref="V20:V21"/>
    <mergeCell ref="U20:U21"/>
    <mergeCell ref="AK43:AK49"/>
    <mergeCell ref="AJ43:AJ49"/>
    <mergeCell ref="AK37:AK42"/>
    <mergeCell ref="AJ37:AJ42"/>
    <mergeCell ref="AE20:AE21"/>
    <mergeCell ref="AF20:AF21"/>
    <mergeCell ref="AE32:AE35"/>
    <mergeCell ref="V26:V30"/>
    <mergeCell ref="U26:U30"/>
    <mergeCell ref="V22:V24"/>
    <mergeCell ref="V14:V19"/>
    <mergeCell ref="U14:U19"/>
    <mergeCell ref="AJ7:AJ8"/>
    <mergeCell ref="AK7:AK8"/>
    <mergeCell ref="AJ10:AJ12"/>
    <mergeCell ref="AK10:AK12"/>
    <mergeCell ref="C71:C75"/>
    <mergeCell ref="B108:B112"/>
    <mergeCell ref="C108:C112"/>
    <mergeCell ref="H86:H88"/>
    <mergeCell ref="G86:G88"/>
    <mergeCell ref="H90:H97"/>
    <mergeCell ref="Q71:Q75"/>
    <mergeCell ref="C41:C43"/>
    <mergeCell ref="B64:B67"/>
    <mergeCell ref="C64:C67"/>
    <mergeCell ref="B68:B69"/>
    <mergeCell ref="C68:C69"/>
    <mergeCell ref="C57:C63"/>
    <mergeCell ref="B57:B63"/>
    <mergeCell ref="C54:C56"/>
    <mergeCell ref="B54:B56"/>
    <mergeCell ref="B71:B75"/>
    <mergeCell ref="C90:C97"/>
    <mergeCell ref="C76:C85"/>
    <mergeCell ref="C86:C89"/>
    <mergeCell ref="B86:B89"/>
    <mergeCell ref="B76:B85"/>
    <mergeCell ref="B90:B97"/>
    <mergeCell ref="L71:L75"/>
    <mergeCell ref="B156:B160"/>
    <mergeCell ref="AA106:AA112"/>
    <mergeCell ref="U99:U107"/>
    <mergeCell ref="V108:V112"/>
    <mergeCell ref="U108:U112"/>
    <mergeCell ref="Z98:Z105"/>
    <mergeCell ref="AA98:AA105"/>
    <mergeCell ref="U153:U155"/>
    <mergeCell ref="U156:U160"/>
    <mergeCell ref="G113:G132"/>
    <mergeCell ref="AA133:AA138"/>
    <mergeCell ref="C106:C107"/>
    <mergeCell ref="C150:C152"/>
    <mergeCell ref="B150:B152"/>
    <mergeCell ref="L113:L132"/>
    <mergeCell ref="L150:L152"/>
    <mergeCell ref="L153:L155"/>
    <mergeCell ref="K113:K132"/>
    <mergeCell ref="G108:G112"/>
    <mergeCell ref="H108:H112"/>
    <mergeCell ref="B98:B105"/>
    <mergeCell ref="C98:C105"/>
    <mergeCell ref="C113:C132"/>
    <mergeCell ref="B113:B132"/>
    <mergeCell ref="C15:C17"/>
    <mergeCell ref="B18:B25"/>
    <mergeCell ref="C18:C25"/>
    <mergeCell ref="B26:B30"/>
    <mergeCell ref="C26:C30"/>
    <mergeCell ref="B37:B40"/>
    <mergeCell ref="C37:C40"/>
    <mergeCell ref="B50:B53"/>
    <mergeCell ref="B31:B35"/>
    <mergeCell ref="C31:C35"/>
    <mergeCell ref="B41:B43"/>
    <mergeCell ref="C50:C53"/>
    <mergeCell ref="B133:B138"/>
    <mergeCell ref="C133:C138"/>
    <mergeCell ref="B139:B149"/>
    <mergeCell ref="C139:C149"/>
    <mergeCell ref="B106:B107"/>
    <mergeCell ref="B196:B221"/>
    <mergeCell ref="C245:C252"/>
    <mergeCell ref="B245:B252"/>
    <mergeCell ref="B253:B257"/>
    <mergeCell ref="C253:C257"/>
    <mergeCell ref="C156:C160"/>
    <mergeCell ref="C191:C195"/>
    <mergeCell ref="C161:C176"/>
    <mergeCell ref="B161:B176"/>
    <mergeCell ref="C177:C187"/>
    <mergeCell ref="B177:B187"/>
    <mergeCell ref="B153:B155"/>
    <mergeCell ref="C153:C155"/>
    <mergeCell ref="B188:B190"/>
    <mergeCell ref="C188:C190"/>
    <mergeCell ref="B191:B195"/>
    <mergeCell ref="C196:C221"/>
    <mergeCell ref="B222:B229"/>
    <mergeCell ref="C230:C244"/>
    <mergeCell ref="L196:L205"/>
    <mergeCell ref="L206:L221"/>
    <mergeCell ref="L177:L187"/>
    <mergeCell ref="L156:L160"/>
    <mergeCell ref="K161:K176"/>
    <mergeCell ref="L161:L176"/>
    <mergeCell ref="H163:H176"/>
    <mergeCell ref="G196:G221"/>
    <mergeCell ref="K156:K160"/>
    <mergeCell ref="B230:B244"/>
    <mergeCell ref="C222:C229"/>
    <mergeCell ref="K279:K287"/>
    <mergeCell ref="H41:H43"/>
    <mergeCell ref="K41:K43"/>
    <mergeCell ref="K20:K21"/>
    <mergeCell ref="L20:L21"/>
    <mergeCell ref="K150:K152"/>
    <mergeCell ref="K196:K205"/>
    <mergeCell ref="K206:K221"/>
    <mergeCell ref="K139:K149"/>
    <mergeCell ref="L50:L53"/>
    <mergeCell ref="K71:K75"/>
    <mergeCell ref="H64:H67"/>
    <mergeCell ref="L68:L69"/>
    <mergeCell ref="K64:K67"/>
    <mergeCell ref="K153:K155"/>
    <mergeCell ref="H196:H221"/>
    <mergeCell ref="H191:H195"/>
    <mergeCell ref="H188:H190"/>
    <mergeCell ref="K191:K195"/>
    <mergeCell ref="L139:L149"/>
    <mergeCell ref="K110:K112"/>
    <mergeCell ref="K108:K109"/>
    <mergeCell ref="K360:K373"/>
    <mergeCell ref="K222:K228"/>
    <mergeCell ref="G258:G267"/>
    <mergeCell ref="K325:K340"/>
    <mergeCell ref="H288:H293"/>
    <mergeCell ref="P3:P4"/>
    <mergeCell ref="G54:G56"/>
    <mergeCell ref="H54:H56"/>
    <mergeCell ref="G64:G67"/>
    <mergeCell ref="P26:P30"/>
    <mergeCell ref="P113:P132"/>
    <mergeCell ref="G153:G155"/>
    <mergeCell ref="H153:H155"/>
    <mergeCell ref="H113:H132"/>
    <mergeCell ref="G133:G138"/>
    <mergeCell ref="H32:H35"/>
    <mergeCell ref="K31:K35"/>
    <mergeCell ref="L31:L35"/>
    <mergeCell ref="L108:L109"/>
    <mergeCell ref="L110:L112"/>
    <mergeCell ref="G20:G25"/>
    <mergeCell ref="H57:H61"/>
    <mergeCell ref="G57:G61"/>
    <mergeCell ref="G98:G103"/>
    <mergeCell ref="Q3:Q4"/>
    <mergeCell ref="P7:P8"/>
    <mergeCell ref="Q7:Q8"/>
    <mergeCell ref="P10:P12"/>
    <mergeCell ref="Q10:Q12"/>
    <mergeCell ref="L64:L67"/>
    <mergeCell ref="K86:K89"/>
    <mergeCell ref="L86:L89"/>
    <mergeCell ref="K10:K12"/>
    <mergeCell ref="L10:L12"/>
    <mergeCell ref="K7:K8"/>
    <mergeCell ref="L7:L8"/>
    <mergeCell ref="K36:K40"/>
    <mergeCell ref="L36:L40"/>
    <mergeCell ref="K27:K30"/>
    <mergeCell ref="L27:L30"/>
    <mergeCell ref="M86:M87"/>
    <mergeCell ref="P71:P75"/>
    <mergeCell ref="K50:K53"/>
    <mergeCell ref="Q57:Q63"/>
    <mergeCell ref="P86:P89"/>
    <mergeCell ref="P64:P68"/>
    <mergeCell ref="L77:L85"/>
    <mergeCell ref="P76:P85"/>
    <mergeCell ref="B411:B412"/>
    <mergeCell ref="C411:C412"/>
    <mergeCell ref="B349:B354"/>
    <mergeCell ref="C349:C354"/>
    <mergeCell ref="G349:G354"/>
    <mergeCell ref="H349:H354"/>
    <mergeCell ref="B382:B389"/>
    <mergeCell ref="C382:C389"/>
    <mergeCell ref="G382:G389"/>
    <mergeCell ref="H382:H389"/>
    <mergeCell ref="B402:B405"/>
    <mergeCell ref="C406:C409"/>
    <mergeCell ref="B406:B409"/>
    <mergeCell ref="C402:C405"/>
    <mergeCell ref="C374:C381"/>
    <mergeCell ref="B394:B401"/>
    <mergeCell ref="C394:C401"/>
    <mergeCell ref="H406:H409"/>
    <mergeCell ref="G406:G409"/>
    <mergeCell ref="H374:H381"/>
    <mergeCell ref="H394:H401"/>
    <mergeCell ref="U68:U75"/>
    <mergeCell ref="V76:V85"/>
    <mergeCell ref="U76:U85"/>
    <mergeCell ref="V86:V89"/>
    <mergeCell ref="U86:U89"/>
    <mergeCell ref="V90:V97"/>
    <mergeCell ref="V68:V75"/>
    <mergeCell ref="AE76:AE85"/>
    <mergeCell ref="AB86:AB87"/>
    <mergeCell ref="Z76:Z85"/>
    <mergeCell ref="AA76:AA85"/>
    <mergeCell ref="W86:W87"/>
    <mergeCell ref="Z90:Z97"/>
    <mergeCell ref="AE113:AE132"/>
    <mergeCell ref="AE133:AE138"/>
    <mergeCell ref="AJ268:AJ287"/>
    <mergeCell ref="AK245:AK252"/>
    <mergeCell ref="AJ245:AJ252"/>
    <mergeCell ref="AK222:AK244"/>
    <mergeCell ref="AJ222:AJ244"/>
    <mergeCell ref="AK258:AK266"/>
    <mergeCell ref="AJ258:AJ266"/>
    <mergeCell ref="AK254:AK257"/>
    <mergeCell ref="AJ254:AJ257"/>
    <mergeCell ref="AK268:AK287"/>
    <mergeCell ref="AJ133:AJ138"/>
    <mergeCell ref="AJ155:AJ160"/>
    <mergeCell ref="AK133:AK138"/>
    <mergeCell ref="AJ191:AJ195"/>
    <mergeCell ref="AK177:AK187"/>
    <mergeCell ref="AJ177:AJ187"/>
    <mergeCell ref="AK166:AK175"/>
    <mergeCell ref="AK150:AK152"/>
    <mergeCell ref="AJ188:AJ190"/>
    <mergeCell ref="AJ196:AJ221"/>
    <mergeCell ref="AK196:AK221"/>
    <mergeCell ref="AF222:AF230"/>
    <mergeCell ref="AK57:AK63"/>
    <mergeCell ref="AJ54:AJ56"/>
    <mergeCell ref="AJ64:AJ68"/>
    <mergeCell ref="AJ57:AJ63"/>
    <mergeCell ref="AK69:AK70"/>
    <mergeCell ref="AJ71:AJ74"/>
    <mergeCell ref="AK71:AK74"/>
    <mergeCell ref="AL86:AL87"/>
    <mergeCell ref="AF133:AF138"/>
    <mergeCell ref="AJ108:AJ112"/>
    <mergeCell ref="AK98:AK103"/>
    <mergeCell ref="AG86:AG87"/>
    <mergeCell ref="AK86:AK97"/>
    <mergeCell ref="AF76:AF85"/>
    <mergeCell ref="AJ86:AJ97"/>
    <mergeCell ref="AK76:AK85"/>
    <mergeCell ref="AJ76:AJ85"/>
    <mergeCell ref="AK64:AK68"/>
    <mergeCell ref="AF106:AF112"/>
    <mergeCell ref="AK108:AK112"/>
    <mergeCell ref="AF191:AF195"/>
    <mergeCell ref="AJ150:AJ152"/>
    <mergeCell ref="AJ139:AJ149"/>
    <mergeCell ref="AJ98:AJ103"/>
    <mergeCell ref="L382:L388"/>
    <mergeCell ref="K382:K388"/>
    <mergeCell ref="L355:L358"/>
    <mergeCell ref="K355:K358"/>
    <mergeCell ref="L349:L353"/>
    <mergeCell ref="K349:K353"/>
    <mergeCell ref="L343:L344"/>
    <mergeCell ref="K343:K344"/>
    <mergeCell ref="AE166:AE176"/>
    <mergeCell ref="V343:V344"/>
    <mergeCell ref="U343:U344"/>
    <mergeCell ref="L374:L380"/>
    <mergeCell ref="K374:K380"/>
    <mergeCell ref="L360:L373"/>
    <mergeCell ref="L189:L190"/>
    <mergeCell ref="L325:L340"/>
    <mergeCell ref="Z258:Z267"/>
    <mergeCell ref="AA258:AA267"/>
    <mergeCell ref="AA231:AA252"/>
    <mergeCell ref="AE253:AE257"/>
    <mergeCell ref="Q196:Q205"/>
    <mergeCell ref="Q177:Q187"/>
    <mergeCell ref="U288:U293"/>
    <mergeCell ref="V258:V287"/>
    <mergeCell ref="V188:V190"/>
    <mergeCell ref="U191:U195"/>
    <mergeCell ref="U294:U309"/>
    <mergeCell ref="U245:U252"/>
    <mergeCell ref="V253:V257"/>
    <mergeCell ref="U253:U257"/>
    <mergeCell ref="V191:V195"/>
    <mergeCell ref="U188:U190"/>
    <mergeCell ref="AA191:AA195"/>
    <mergeCell ref="AA177:AA187"/>
    <mergeCell ref="Q343:Q359"/>
    <mergeCell ref="A41:A43"/>
    <mergeCell ref="A50:A53"/>
    <mergeCell ref="A54:A56"/>
    <mergeCell ref="A57:A63"/>
    <mergeCell ref="A64:A67"/>
    <mergeCell ref="A68:A69"/>
    <mergeCell ref="A71:A75"/>
    <mergeCell ref="A76:A85"/>
    <mergeCell ref="A177:A187"/>
    <mergeCell ref="A188:A190"/>
    <mergeCell ref="A191:A195"/>
    <mergeCell ref="A196:A221"/>
    <mergeCell ref="A222:A229"/>
    <mergeCell ref="A230:A244"/>
    <mergeCell ref="A279:A287"/>
    <mergeCell ref="A268:A278"/>
    <mergeCell ref="A86:A89"/>
    <mergeCell ref="A90:A97"/>
    <mergeCell ref="A98:A105"/>
    <mergeCell ref="A106:A107"/>
    <mergeCell ref="A108:A112"/>
    <mergeCell ref="A113:A132"/>
    <mergeCell ref="H222:H228"/>
    <mergeCell ref="A3:A5"/>
    <mergeCell ref="A7:A8"/>
    <mergeCell ref="A9:A12"/>
    <mergeCell ref="A13:A14"/>
    <mergeCell ref="A15:A17"/>
    <mergeCell ref="A18:A25"/>
    <mergeCell ref="A26:A30"/>
    <mergeCell ref="A31:A35"/>
    <mergeCell ref="A37:A40"/>
    <mergeCell ref="A133:A138"/>
    <mergeCell ref="A139:A149"/>
    <mergeCell ref="A150:A152"/>
    <mergeCell ref="G222:G228"/>
    <mergeCell ref="G177:G187"/>
    <mergeCell ref="H10:H11"/>
    <mergeCell ref="G10:G11"/>
    <mergeCell ref="G90:G97"/>
    <mergeCell ref="H20:H25"/>
    <mergeCell ref="H27:H30"/>
    <mergeCell ref="D86:D87"/>
    <mergeCell ref="G191:G195"/>
    <mergeCell ref="B15:B17"/>
    <mergeCell ref="A406:A409"/>
    <mergeCell ref="A411:A412"/>
    <mergeCell ref="C44:C49"/>
    <mergeCell ref="B44:B49"/>
    <mergeCell ref="A44:A49"/>
    <mergeCell ref="A341:A342"/>
    <mergeCell ref="A343:A344"/>
    <mergeCell ref="A345:A348"/>
    <mergeCell ref="A349:A354"/>
    <mergeCell ref="A355:A359"/>
    <mergeCell ref="A360:A373"/>
    <mergeCell ref="A374:A381"/>
    <mergeCell ref="A382:A389"/>
    <mergeCell ref="A390:A393"/>
    <mergeCell ref="A245:A252"/>
    <mergeCell ref="A253:A257"/>
    <mergeCell ref="A258:A267"/>
    <mergeCell ref="A288:A293"/>
    <mergeCell ref="A294:A309"/>
    <mergeCell ref="A310:A324"/>
    <mergeCell ref="A325:A340"/>
    <mergeCell ref="A153:A155"/>
    <mergeCell ref="A156:A160"/>
    <mergeCell ref="A161:A176"/>
    <mergeCell ref="A402:A405"/>
    <mergeCell ref="G374:G381"/>
    <mergeCell ref="G310:G324"/>
    <mergeCell ref="G294:G309"/>
    <mergeCell ref="B360:B373"/>
    <mergeCell ref="C360:C373"/>
    <mergeCell ref="B341:B342"/>
    <mergeCell ref="C341:C342"/>
    <mergeCell ref="G358:G359"/>
    <mergeCell ref="G360:G373"/>
    <mergeCell ref="G341:G344"/>
    <mergeCell ref="B310:B324"/>
    <mergeCell ref="C310:C324"/>
    <mergeCell ref="A394:A401"/>
    <mergeCell ref="B345:B348"/>
    <mergeCell ref="C345:C348"/>
    <mergeCell ref="G345:G348"/>
    <mergeCell ref="B343:B344"/>
    <mergeCell ref="C343:C344"/>
    <mergeCell ref="G325:G339"/>
    <mergeCell ref="B374:B381"/>
    <mergeCell ref="B390:B393"/>
    <mergeCell ref="C355:C359"/>
    <mergeCell ref="B355:B359"/>
    <mergeCell ref="Q382:Q390"/>
    <mergeCell ref="P382:P390"/>
    <mergeCell ref="L389:L390"/>
    <mergeCell ref="K389:K390"/>
    <mergeCell ref="H139:H145"/>
    <mergeCell ref="G139:G145"/>
    <mergeCell ref="H146:H148"/>
    <mergeCell ref="G146:G148"/>
    <mergeCell ref="G150:G152"/>
    <mergeCell ref="H150:H152"/>
    <mergeCell ref="H156:H159"/>
    <mergeCell ref="G156:G159"/>
    <mergeCell ref="H161:H162"/>
    <mergeCell ref="G161:G162"/>
    <mergeCell ref="H177:H187"/>
    <mergeCell ref="H294:H309"/>
    <mergeCell ref="P312:P324"/>
    <mergeCell ref="P166:P176"/>
    <mergeCell ref="Q166:Q176"/>
    <mergeCell ref="Q188:Q190"/>
    <mergeCell ref="P153:P155"/>
    <mergeCell ref="P150:P152"/>
    <mergeCell ref="P360:P373"/>
    <mergeCell ref="Q374:Q381"/>
    <mergeCell ref="P374:P381"/>
    <mergeCell ref="P253:P267"/>
    <mergeCell ref="Q312:Q324"/>
    <mergeCell ref="AJ104:AJ105"/>
    <mergeCell ref="AK104:AK105"/>
    <mergeCell ref="Q360:Q373"/>
    <mergeCell ref="H310:H324"/>
    <mergeCell ref="H341:H344"/>
    <mergeCell ref="V113:V132"/>
    <mergeCell ref="U113:U132"/>
    <mergeCell ref="U222:U229"/>
    <mergeCell ref="U230:U244"/>
    <mergeCell ref="V196:V221"/>
    <mergeCell ref="U196:U221"/>
    <mergeCell ref="H345:H348"/>
    <mergeCell ref="H358:H359"/>
    <mergeCell ref="H360:H373"/>
    <mergeCell ref="U161:U187"/>
    <mergeCell ref="V245:V252"/>
    <mergeCell ref="V230:V244"/>
    <mergeCell ref="V222:V229"/>
    <mergeCell ref="P343:P359"/>
    <mergeCell ref="Q288:Q293"/>
    <mergeCell ref="Q268:Q287"/>
    <mergeCell ref="H325:H339"/>
    <mergeCell ref="H390:H393"/>
    <mergeCell ref="G390:G393"/>
    <mergeCell ref="H402:H405"/>
    <mergeCell ref="H258:H267"/>
    <mergeCell ref="B279:B287"/>
    <mergeCell ref="C279:C287"/>
    <mergeCell ref="B268:B278"/>
    <mergeCell ref="B288:B293"/>
    <mergeCell ref="C288:C293"/>
    <mergeCell ref="C325:C340"/>
    <mergeCell ref="B325:B340"/>
    <mergeCell ref="B258:B267"/>
    <mergeCell ref="C258:C267"/>
    <mergeCell ref="B294:B309"/>
    <mergeCell ref="C294:C309"/>
    <mergeCell ref="G402:G405"/>
    <mergeCell ref="G394:G401"/>
    <mergeCell ref="C390:C393"/>
    <mergeCell ref="C268:C278"/>
  </mergeCells>
  <pageMargins left="0.7" right="0.7" top="0.75" bottom="0.75" header="0.3" footer="0.3"/>
  <pageSetup paperSize="8" scale="33" fitToHeight="0" orientation="portrait" r:id="rId1"/>
  <ignoredErrors>
    <ignoredError sqref="D338 AT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I246"/>
  <sheetViews>
    <sheetView topLeftCell="Y1" zoomScale="84" zoomScaleNormal="84" workbookViewId="0">
      <pane ySplit="1" topLeftCell="A53" activePane="bottomLeft" state="frozen"/>
      <selection pane="bottomLeft" activeCell="AJ66" sqref="AJ64:AJ66"/>
    </sheetView>
  </sheetViews>
  <sheetFormatPr defaultColWidth="9.140625" defaultRowHeight="15" x14ac:dyDescent="0.25"/>
  <cols>
    <col min="1" max="1" width="16.7109375" style="85" bestFit="1" customWidth="1"/>
    <col min="2" max="2" width="9.7109375" style="138" bestFit="1" customWidth="1"/>
    <col min="3" max="3" width="7.85546875" style="154" bestFit="1" customWidth="1"/>
    <col min="4" max="4" width="8.85546875" style="154" bestFit="1" customWidth="1"/>
    <col min="5" max="5" width="23.85546875" style="154" bestFit="1" customWidth="1"/>
    <col min="6" max="6" width="2.140625" style="113" customWidth="1"/>
    <col min="7" max="7" width="9.7109375" style="27" bestFit="1" customWidth="1"/>
    <col min="8" max="8" width="7.85546875" style="5" customWidth="1"/>
    <col min="9" max="9" width="9.7109375" style="5" bestFit="1" customWidth="1"/>
    <col min="10" max="10" width="2.140625" style="113" customWidth="1"/>
    <col min="11" max="11" width="9.7109375" style="27" bestFit="1" customWidth="1"/>
    <col min="12" max="12" width="7.85546875" style="5" bestFit="1" customWidth="1"/>
    <col min="13" max="13" width="8.85546875" style="27" bestFit="1" customWidth="1"/>
    <col min="14" max="14" width="23.85546875" style="5" bestFit="1" customWidth="1"/>
    <col min="15" max="15" width="2.140625" style="113" customWidth="1"/>
    <col min="16" max="16" width="9.7109375" style="27" bestFit="1" customWidth="1"/>
    <col min="17" max="17" width="7.85546875" style="5" bestFit="1" customWidth="1"/>
    <col min="18" max="18" width="8.85546875" style="27" bestFit="1" customWidth="1"/>
    <col min="19" max="19" width="22.5703125" style="5" bestFit="1" customWidth="1"/>
    <col min="20" max="20" width="2.140625" style="113" customWidth="1"/>
    <col min="21" max="21" width="9.7109375" style="147" bestFit="1" customWidth="1"/>
    <col min="22" max="22" width="7.85546875" style="211" bestFit="1" customWidth="1"/>
    <col min="23" max="23" width="8.85546875" style="147" bestFit="1" customWidth="1"/>
    <col min="24" max="24" width="22.42578125" style="211" bestFit="1" customWidth="1"/>
    <col min="25" max="25" width="2.140625" style="113" customWidth="1"/>
    <col min="26" max="26" width="9.7109375" style="147" bestFit="1" customWidth="1"/>
    <col min="27" max="27" width="6.85546875" style="211" bestFit="1" customWidth="1"/>
    <col min="28" max="28" width="8.85546875" style="147" bestFit="1" customWidth="1"/>
    <col min="29" max="29" width="22.42578125" style="211" bestFit="1" customWidth="1"/>
    <col min="30" max="30" width="2.140625" style="113" customWidth="1"/>
    <col min="31" max="31" width="9.7109375" style="147" bestFit="1" customWidth="1"/>
    <col min="32" max="32" width="6.85546875" style="211" bestFit="1" customWidth="1"/>
    <col min="33" max="33" width="8.85546875" style="147" bestFit="1" customWidth="1"/>
    <col min="34" max="34" width="20.5703125" style="211" customWidth="1"/>
    <col min="35" max="35" width="2.42578125" style="155" customWidth="1"/>
    <col min="36" max="36" width="26.7109375" style="29" bestFit="1" customWidth="1"/>
    <col min="37" max="39" width="6.85546875" style="29" bestFit="1" customWidth="1"/>
    <col min="40" max="40" width="11.42578125" style="29" bestFit="1" customWidth="1"/>
    <col min="41" max="41" width="11.140625" style="29" bestFit="1" customWidth="1"/>
    <col min="42" max="42" width="17.140625" style="29" bestFit="1" customWidth="1"/>
    <col min="43" max="16384" width="9.140625" style="29"/>
  </cols>
  <sheetData>
    <row r="1" spans="1:49" x14ac:dyDescent="0.25">
      <c r="A1" s="290" t="s">
        <v>12</v>
      </c>
      <c r="B1" s="290"/>
      <c r="C1" s="291" t="s">
        <v>1</v>
      </c>
      <c r="D1" s="291"/>
      <c r="E1" s="291"/>
      <c r="G1" s="276" t="s">
        <v>3</v>
      </c>
      <c r="H1" s="276"/>
      <c r="I1" s="276"/>
      <c r="K1" s="279" t="s">
        <v>2</v>
      </c>
      <c r="L1" s="279"/>
      <c r="M1" s="279"/>
      <c r="N1" s="279"/>
      <c r="P1" s="279" t="s">
        <v>4</v>
      </c>
      <c r="Q1" s="279"/>
      <c r="R1" s="279"/>
      <c r="S1" s="279"/>
      <c r="U1" s="272" t="s">
        <v>16</v>
      </c>
      <c r="V1" s="272"/>
      <c r="W1" s="272"/>
      <c r="X1" s="272"/>
      <c r="Z1" s="291" t="s">
        <v>5</v>
      </c>
      <c r="AA1" s="291"/>
      <c r="AB1" s="291"/>
      <c r="AC1" s="291"/>
      <c r="AE1" s="272" t="s">
        <v>6</v>
      </c>
      <c r="AF1" s="272"/>
      <c r="AG1" s="272"/>
      <c r="AH1" s="272"/>
      <c r="AI1" s="210"/>
      <c r="AJ1" s="46"/>
    </row>
    <row r="2" spans="1:49" x14ac:dyDescent="0.25">
      <c r="A2" s="207" t="s">
        <v>55</v>
      </c>
      <c r="B2" s="45" t="s">
        <v>7</v>
      </c>
      <c r="C2" s="45" t="s">
        <v>8</v>
      </c>
      <c r="D2" s="18" t="s">
        <v>213</v>
      </c>
      <c r="E2" s="8" t="s">
        <v>17</v>
      </c>
      <c r="G2" s="134" t="s">
        <v>7</v>
      </c>
      <c r="H2" s="134" t="s">
        <v>8</v>
      </c>
      <c r="I2" s="49" t="s">
        <v>17</v>
      </c>
      <c r="K2" s="134" t="s">
        <v>7</v>
      </c>
      <c r="L2" s="134" t="s">
        <v>8</v>
      </c>
      <c r="M2" s="18" t="s">
        <v>213</v>
      </c>
      <c r="N2" s="8" t="s">
        <v>17</v>
      </c>
      <c r="P2" s="134" t="s">
        <v>7</v>
      </c>
      <c r="Q2" s="134" t="s">
        <v>8</v>
      </c>
      <c r="R2" s="18" t="s">
        <v>213</v>
      </c>
      <c r="S2" s="8" t="s">
        <v>17</v>
      </c>
      <c r="U2" s="45" t="s">
        <v>7</v>
      </c>
      <c r="V2" s="45" t="s">
        <v>8</v>
      </c>
      <c r="W2" s="18" t="s">
        <v>213</v>
      </c>
      <c r="X2" s="8" t="s">
        <v>17</v>
      </c>
      <c r="Z2" s="45" t="s">
        <v>7</v>
      </c>
      <c r="AA2" s="45" t="s">
        <v>8</v>
      </c>
      <c r="AB2" s="18" t="s">
        <v>213</v>
      </c>
      <c r="AC2" s="8" t="s">
        <v>17</v>
      </c>
      <c r="AE2" s="45" t="s">
        <v>7</v>
      </c>
      <c r="AF2" s="45" t="s">
        <v>8</v>
      </c>
      <c r="AG2" s="18" t="s">
        <v>213</v>
      </c>
      <c r="AH2" s="8" t="s">
        <v>17</v>
      </c>
      <c r="AI2" s="210"/>
      <c r="AJ2" s="84"/>
    </row>
    <row r="3" spans="1:49" s="21" customFormat="1" x14ac:dyDescent="0.25">
      <c r="A3" s="261">
        <v>1</v>
      </c>
      <c r="B3" s="260">
        <v>8.3800000000000008</v>
      </c>
      <c r="C3" s="259">
        <v>4.12</v>
      </c>
      <c r="D3" s="240"/>
      <c r="E3" s="240"/>
      <c r="F3" s="113"/>
      <c r="G3" s="260">
        <v>9.06</v>
      </c>
      <c r="H3" s="259">
        <v>4.1500000000000004</v>
      </c>
      <c r="I3" s="240"/>
      <c r="J3" s="113"/>
      <c r="K3" s="260">
        <v>8.2200000000000006</v>
      </c>
      <c r="L3" s="259">
        <v>4.1100000000000003</v>
      </c>
      <c r="M3" s="241"/>
      <c r="N3" s="240"/>
      <c r="O3" s="113"/>
      <c r="P3" s="241">
        <v>0.28999999999999998</v>
      </c>
      <c r="Q3" s="240">
        <v>4.0199999999999996</v>
      </c>
      <c r="R3" s="241"/>
      <c r="S3" s="240"/>
      <c r="T3" s="113"/>
      <c r="U3" s="260">
        <v>8.8800000000000008</v>
      </c>
      <c r="V3" s="259">
        <v>4.13</v>
      </c>
      <c r="W3" s="241"/>
      <c r="X3" s="240"/>
      <c r="Y3" s="113"/>
      <c r="Z3" s="260">
        <v>7.22</v>
      </c>
      <c r="AA3" s="259">
        <v>4.1500000000000004</v>
      </c>
      <c r="AB3" s="241"/>
      <c r="AC3" s="240"/>
      <c r="AD3" s="113"/>
      <c r="AE3" s="241">
        <v>0.2</v>
      </c>
      <c r="AF3" s="240">
        <v>4.03</v>
      </c>
      <c r="AG3" s="241"/>
      <c r="AH3" s="240"/>
      <c r="AI3" s="148"/>
      <c r="AJ3" s="241"/>
      <c r="AK3" s="222" t="s">
        <v>1</v>
      </c>
      <c r="AL3" s="105" t="s">
        <v>2</v>
      </c>
      <c r="AM3" s="222" t="s">
        <v>4</v>
      </c>
      <c r="AN3" s="105" t="s">
        <v>16</v>
      </c>
      <c r="AO3" s="222" t="s">
        <v>5</v>
      </c>
      <c r="AP3" s="222" t="s">
        <v>6</v>
      </c>
      <c r="AR3" s="25"/>
    </row>
    <row r="4" spans="1:49" s="21" customFormat="1" ht="15.75" thickBot="1" x14ac:dyDescent="0.3">
      <c r="A4" s="261"/>
      <c r="B4" s="260"/>
      <c r="C4" s="259"/>
      <c r="D4" s="240">
        <f>B3-D5</f>
        <v>8.15</v>
      </c>
      <c r="E4" s="54" t="s">
        <v>34</v>
      </c>
      <c r="F4" s="113"/>
      <c r="G4" s="260"/>
      <c r="H4" s="259"/>
      <c r="I4" s="240"/>
      <c r="J4" s="113"/>
      <c r="K4" s="260"/>
      <c r="L4" s="259"/>
      <c r="M4" s="241">
        <f>K3-M5</f>
        <v>7.99</v>
      </c>
      <c r="N4" s="54" t="s">
        <v>34</v>
      </c>
      <c r="O4" s="113"/>
      <c r="P4" s="260">
        <v>8.18</v>
      </c>
      <c r="Q4" s="259">
        <v>4.13</v>
      </c>
      <c r="R4" s="241">
        <f>P4+P3-R5</f>
        <v>8.2399999999999984</v>
      </c>
      <c r="S4" s="54" t="s">
        <v>34</v>
      </c>
      <c r="T4" s="113"/>
      <c r="U4" s="260"/>
      <c r="V4" s="259"/>
      <c r="W4" s="241">
        <f>U3-W5</f>
        <v>8.65</v>
      </c>
      <c r="X4" s="54" t="s">
        <v>34</v>
      </c>
      <c r="Y4" s="113"/>
      <c r="Z4" s="260"/>
      <c r="AA4" s="259"/>
      <c r="AB4" s="241">
        <f>Z3-AB5</f>
        <v>6.9899999999999993</v>
      </c>
      <c r="AC4" s="54" t="s">
        <v>34</v>
      </c>
      <c r="AD4" s="113"/>
      <c r="AE4" s="241">
        <v>6.99</v>
      </c>
      <c r="AF4" s="240">
        <v>4.1399999999999997</v>
      </c>
      <c r="AG4" s="241">
        <f>AE4</f>
        <v>6.99</v>
      </c>
      <c r="AH4" s="54" t="s">
        <v>34</v>
      </c>
      <c r="AI4" s="148"/>
      <c r="AJ4" s="160" t="s">
        <v>32</v>
      </c>
      <c r="AK4" s="16">
        <f>D5+D41+D66+D67+D84+D100+D104+D103+D138+D140+D168</f>
        <v>14.32</v>
      </c>
      <c r="AL4" s="16">
        <f>M5+M41+M66+M67+M84+M100+M104+M103+M138+M140+M168</f>
        <v>14.34</v>
      </c>
      <c r="AM4" s="16">
        <f>R5+R41+R66+R67+R100+R104+R140+R168+R64+R63+R84+R95</f>
        <v>14.39</v>
      </c>
      <c r="AN4" s="16">
        <f>W5+W41+W66+W67+W100+W104+W140+W168+W64+W63+W84+W95</f>
        <v>13.334999999999999</v>
      </c>
      <c r="AO4" s="16">
        <f>AB5+AB41+AB66+AB67+AB100+AB104+AB140+AB168+AB40+AB63+AB84</f>
        <v>14.829999999999998</v>
      </c>
      <c r="AP4" s="245">
        <f>AG5+AG12+AG19+AG41+AG66+AG67+AG100+AG104+AG140+AG168</f>
        <v>61.449999999999989</v>
      </c>
      <c r="AQ4" s="160">
        <f>AVERAGE(AK4:AP4)</f>
        <v>22.110833333333332</v>
      </c>
      <c r="AR4" s="111"/>
      <c r="AS4" s="25"/>
      <c r="AT4" s="25"/>
      <c r="AU4" s="25"/>
      <c r="AV4" s="25"/>
      <c r="AW4" s="25"/>
    </row>
    <row r="5" spans="1:49" s="21" customFormat="1" x14ac:dyDescent="0.25">
      <c r="A5" s="261"/>
      <c r="B5" s="260"/>
      <c r="C5" s="259"/>
      <c r="D5" s="241">
        <v>0.23</v>
      </c>
      <c r="E5" s="80" t="s">
        <v>28</v>
      </c>
      <c r="F5" s="113"/>
      <c r="G5" s="260"/>
      <c r="H5" s="259"/>
      <c r="I5" s="149"/>
      <c r="J5" s="113"/>
      <c r="K5" s="260"/>
      <c r="L5" s="259"/>
      <c r="M5" s="241">
        <f>D5</f>
        <v>0.23</v>
      </c>
      <c r="N5" s="80" t="s">
        <v>28</v>
      </c>
      <c r="O5" s="113"/>
      <c r="P5" s="260"/>
      <c r="Q5" s="259"/>
      <c r="R5" s="241">
        <v>0.23</v>
      </c>
      <c r="S5" s="80" t="s">
        <v>28</v>
      </c>
      <c r="T5" s="113"/>
      <c r="U5" s="260"/>
      <c r="V5" s="259"/>
      <c r="W5" s="241">
        <f>R5</f>
        <v>0.23</v>
      </c>
      <c r="X5" s="80" t="s">
        <v>28</v>
      </c>
      <c r="Y5" s="113"/>
      <c r="Z5" s="260"/>
      <c r="AA5" s="259"/>
      <c r="AB5" s="241">
        <f>R5</f>
        <v>0.23</v>
      </c>
      <c r="AC5" s="80" t="s">
        <v>28</v>
      </c>
      <c r="AD5" s="113"/>
      <c r="AE5" s="241">
        <v>40.549999999999997</v>
      </c>
      <c r="AF5" s="240">
        <v>4.25</v>
      </c>
      <c r="AG5" s="241">
        <f>AE5</f>
        <v>40.549999999999997</v>
      </c>
      <c r="AH5" s="80" t="s">
        <v>28</v>
      </c>
      <c r="AI5" s="148"/>
      <c r="AJ5" s="161" t="s">
        <v>97</v>
      </c>
      <c r="AK5" s="16">
        <f>D13+D92+D106</f>
        <v>1.1400000000000001</v>
      </c>
      <c r="AL5" s="16">
        <f>M13+M92+M106</f>
        <v>1.1000000000000001</v>
      </c>
      <c r="AM5" s="16">
        <f>R13+R92+R106</f>
        <v>1.2399999999999998</v>
      </c>
      <c r="AN5" s="16">
        <f>W13+W92+W106</f>
        <v>1.05</v>
      </c>
      <c r="AO5" s="16">
        <f>AB13+AB92</f>
        <v>1.42</v>
      </c>
      <c r="AP5" s="245">
        <f>AG13+AG50+AG92+AG18</f>
        <v>11.129999999999999</v>
      </c>
      <c r="AQ5" s="161">
        <f>AVERAGE(AK5:AO5)</f>
        <v>1.19</v>
      </c>
      <c r="AR5" s="168">
        <f>AQ4+AQ5</f>
        <v>23.300833333333333</v>
      </c>
      <c r="AS5" s="169" t="s">
        <v>292</v>
      </c>
      <c r="AT5" s="111"/>
      <c r="AU5" s="25"/>
      <c r="AV5" s="174" t="s">
        <v>287</v>
      </c>
      <c r="AW5" s="175"/>
    </row>
    <row r="6" spans="1:49" s="21" customFormat="1" x14ac:dyDescent="0.25">
      <c r="A6" s="261">
        <v>2</v>
      </c>
      <c r="B6" s="260">
        <v>0.05</v>
      </c>
      <c r="C6" s="259">
        <v>4.3600000000000003</v>
      </c>
      <c r="D6" s="240"/>
      <c r="E6" s="240"/>
      <c r="F6" s="113"/>
      <c r="G6" s="241">
        <v>0.12</v>
      </c>
      <c r="H6" s="240">
        <v>4.3099999999999996</v>
      </c>
      <c r="I6" s="240"/>
      <c r="J6" s="113"/>
      <c r="K6" s="260">
        <v>0.03</v>
      </c>
      <c r="L6" s="259">
        <v>4.29</v>
      </c>
      <c r="M6" s="241"/>
      <c r="N6" s="240"/>
      <c r="O6" s="113"/>
      <c r="P6" s="260">
        <v>0.04</v>
      </c>
      <c r="Q6" s="259">
        <v>4.3499999999999996</v>
      </c>
      <c r="R6" s="241"/>
      <c r="S6" s="240"/>
      <c r="T6" s="113"/>
      <c r="U6" s="260">
        <v>0.25</v>
      </c>
      <c r="V6" s="259">
        <v>4.45</v>
      </c>
      <c r="W6" s="241"/>
      <c r="X6" s="240"/>
      <c r="Y6" s="113"/>
      <c r="Z6" s="260">
        <v>0.15</v>
      </c>
      <c r="AA6" s="259">
        <v>4.4000000000000004</v>
      </c>
      <c r="AB6" s="241"/>
      <c r="AC6" s="240"/>
      <c r="AD6" s="113"/>
      <c r="AE6" s="260">
        <v>0.66</v>
      </c>
      <c r="AF6" s="259">
        <v>4.3600000000000003</v>
      </c>
      <c r="AG6" s="241"/>
      <c r="AH6" s="240"/>
      <c r="AI6" s="148"/>
      <c r="AJ6" s="162" t="s">
        <v>122</v>
      </c>
      <c r="AK6" s="16"/>
      <c r="AL6" s="16"/>
      <c r="AM6" s="16"/>
      <c r="AN6" s="16"/>
      <c r="AO6" s="16"/>
      <c r="AP6" s="16"/>
      <c r="AQ6" s="162">
        <v>0</v>
      </c>
      <c r="AR6" s="111"/>
      <c r="AS6" s="111"/>
      <c r="AT6" s="111"/>
      <c r="AU6" s="25"/>
      <c r="AV6" s="176" t="s">
        <v>288</v>
      </c>
      <c r="AW6" s="177"/>
    </row>
    <row r="7" spans="1:49" s="21" customFormat="1" x14ac:dyDescent="0.25">
      <c r="A7" s="261"/>
      <c r="B7" s="260"/>
      <c r="C7" s="259"/>
      <c r="D7" s="240"/>
      <c r="E7" s="240"/>
      <c r="F7" s="113"/>
      <c r="G7" s="241">
        <v>0.09</v>
      </c>
      <c r="H7" s="240">
        <v>4.3600000000000003</v>
      </c>
      <c r="I7" s="240"/>
      <c r="J7" s="113"/>
      <c r="K7" s="260"/>
      <c r="L7" s="259"/>
      <c r="M7" s="241"/>
      <c r="N7" s="240"/>
      <c r="O7" s="113"/>
      <c r="P7" s="260"/>
      <c r="Q7" s="259"/>
      <c r="R7" s="241"/>
      <c r="S7" s="240"/>
      <c r="T7" s="113"/>
      <c r="U7" s="260"/>
      <c r="V7" s="259"/>
      <c r="W7" s="241"/>
      <c r="X7" s="240"/>
      <c r="Y7" s="113"/>
      <c r="Z7" s="260"/>
      <c r="AA7" s="259"/>
      <c r="AB7" s="241"/>
      <c r="AC7" s="240"/>
      <c r="AD7" s="113"/>
      <c r="AE7" s="260"/>
      <c r="AF7" s="259"/>
      <c r="AG7" s="241"/>
      <c r="AH7" s="240"/>
      <c r="AI7" s="148"/>
      <c r="AJ7" s="162" t="s">
        <v>124</v>
      </c>
      <c r="AK7" s="16"/>
      <c r="AL7" s="16"/>
      <c r="AM7" s="16"/>
      <c r="AN7" s="16"/>
      <c r="AO7" s="16"/>
      <c r="AP7" s="245"/>
      <c r="AQ7" s="162">
        <v>0</v>
      </c>
      <c r="AR7" s="111"/>
      <c r="AS7" s="111"/>
      <c r="AT7" s="111"/>
      <c r="AU7" s="25"/>
      <c r="AV7" s="178" t="s">
        <v>289</v>
      </c>
      <c r="AW7" s="179"/>
    </row>
    <row r="8" spans="1:49" s="21" customFormat="1" x14ac:dyDescent="0.25">
      <c r="A8" s="261">
        <v>3</v>
      </c>
      <c r="B8" s="260">
        <v>0.17</v>
      </c>
      <c r="C8" s="259">
        <v>4.4400000000000004</v>
      </c>
      <c r="D8" s="240"/>
      <c r="E8" s="240"/>
      <c r="F8" s="113"/>
      <c r="G8" s="241">
        <v>0.12</v>
      </c>
      <c r="H8" s="240">
        <v>4.42</v>
      </c>
      <c r="I8" s="240"/>
      <c r="J8" s="113"/>
      <c r="K8" s="260">
        <v>0.21</v>
      </c>
      <c r="L8" s="259">
        <v>4.43</v>
      </c>
      <c r="M8" s="241"/>
      <c r="N8" s="240"/>
      <c r="O8" s="113"/>
      <c r="P8" s="260">
        <v>0.27</v>
      </c>
      <c r="Q8" s="259">
        <v>4.46</v>
      </c>
      <c r="R8" s="241"/>
      <c r="S8" s="240"/>
      <c r="T8" s="113"/>
      <c r="U8" s="260"/>
      <c r="V8" s="259"/>
      <c r="W8" s="241"/>
      <c r="X8" s="240"/>
      <c r="Y8" s="113"/>
      <c r="Z8" s="260">
        <v>0.2</v>
      </c>
      <c r="AA8" s="259">
        <v>4.4800000000000004</v>
      </c>
      <c r="AB8" s="241"/>
      <c r="AC8" s="240"/>
      <c r="AD8" s="113"/>
      <c r="AE8" s="260">
        <v>0.18</v>
      </c>
      <c r="AF8" s="259">
        <v>4.46</v>
      </c>
      <c r="AG8" s="241"/>
      <c r="AH8" s="240"/>
      <c r="AI8" s="148"/>
      <c r="AJ8" s="162" t="s">
        <v>31</v>
      </c>
      <c r="AK8" s="245">
        <f>D21+D42</f>
        <v>0.28000000000000003</v>
      </c>
      <c r="AL8" s="245">
        <f>M21+M42</f>
        <v>0.34</v>
      </c>
      <c r="AM8" s="245">
        <f>R21+R42</f>
        <v>0.47000000000000003</v>
      </c>
      <c r="AN8" s="245">
        <f>W21+W42</f>
        <v>0.28000000000000003</v>
      </c>
      <c r="AO8" s="245">
        <f>AB21</f>
        <v>0.21</v>
      </c>
      <c r="AP8" s="245"/>
      <c r="AQ8" s="162">
        <f t="shared" ref="AQ8:AQ20" si="0">AVERAGE(AK8:AO8)</f>
        <v>0.316</v>
      </c>
      <c r="AR8" s="111"/>
      <c r="AS8" s="169" t="s">
        <v>193</v>
      </c>
      <c r="AT8" s="111"/>
      <c r="AU8" s="25"/>
      <c r="AV8" s="180" t="s">
        <v>290</v>
      </c>
      <c r="AW8" s="181"/>
    </row>
    <row r="9" spans="1:49" s="21" customFormat="1" ht="15.75" thickBot="1" x14ac:dyDescent="0.3">
      <c r="A9" s="261"/>
      <c r="B9" s="260"/>
      <c r="C9" s="259"/>
      <c r="D9" s="240"/>
      <c r="E9" s="240"/>
      <c r="F9" s="113"/>
      <c r="G9" s="241">
        <v>0.24</v>
      </c>
      <c r="H9" s="240">
        <v>4.49</v>
      </c>
      <c r="I9" s="240"/>
      <c r="J9" s="113"/>
      <c r="K9" s="260"/>
      <c r="L9" s="259"/>
      <c r="M9" s="241"/>
      <c r="N9" s="240"/>
      <c r="O9" s="113"/>
      <c r="P9" s="260"/>
      <c r="Q9" s="259"/>
      <c r="R9" s="241"/>
      <c r="S9" s="240"/>
      <c r="T9" s="113"/>
      <c r="U9" s="260"/>
      <c r="V9" s="259"/>
      <c r="W9" s="241"/>
      <c r="X9" s="240"/>
      <c r="Y9" s="113"/>
      <c r="Z9" s="260"/>
      <c r="AA9" s="259"/>
      <c r="AB9" s="241"/>
      <c r="AC9" s="240"/>
      <c r="AD9" s="113"/>
      <c r="AE9" s="260"/>
      <c r="AF9" s="259"/>
      <c r="AG9" s="241"/>
      <c r="AH9" s="240"/>
      <c r="AI9" s="148"/>
      <c r="AJ9" s="162" t="s">
        <v>59</v>
      </c>
      <c r="AK9" s="16">
        <f>D28+D49</f>
        <v>0.38</v>
      </c>
      <c r="AL9" s="16">
        <f>M28+M49</f>
        <v>0.35</v>
      </c>
      <c r="AM9" s="245">
        <f>R28+R49</f>
        <v>0.62000000000000011</v>
      </c>
      <c r="AN9" s="245">
        <f>W28+W49</f>
        <v>0.62000000000000011</v>
      </c>
      <c r="AO9" s="245">
        <f>AB28</f>
        <v>0.62000000000000011</v>
      </c>
      <c r="AP9" s="245">
        <f>AG28</f>
        <v>0.21</v>
      </c>
      <c r="AQ9" s="162">
        <f t="shared" si="0"/>
        <v>0.51800000000000002</v>
      </c>
      <c r="AR9" s="170">
        <f>SUM(AQ6:AQ9)</f>
        <v>0.83400000000000007</v>
      </c>
      <c r="AS9" s="169" t="s">
        <v>293</v>
      </c>
      <c r="AT9" s="111"/>
      <c r="AU9" s="25"/>
      <c r="AV9" s="182" t="s">
        <v>291</v>
      </c>
      <c r="AW9" s="183"/>
    </row>
    <row r="10" spans="1:49" s="21" customFormat="1" x14ac:dyDescent="0.25">
      <c r="A10" s="261"/>
      <c r="B10" s="260"/>
      <c r="C10" s="259"/>
      <c r="D10" s="240"/>
      <c r="E10" s="240"/>
      <c r="F10" s="113"/>
      <c r="G10" s="241">
        <v>0.08</v>
      </c>
      <c r="H10" s="240">
        <v>4.57</v>
      </c>
      <c r="I10" s="240"/>
      <c r="J10" s="113"/>
      <c r="K10" s="260"/>
      <c r="L10" s="259"/>
      <c r="M10" s="241"/>
      <c r="N10" s="240"/>
      <c r="O10" s="113"/>
      <c r="P10" s="260"/>
      <c r="Q10" s="259"/>
      <c r="R10" s="241"/>
      <c r="S10" s="240"/>
      <c r="T10" s="113"/>
      <c r="U10" s="260"/>
      <c r="V10" s="259"/>
      <c r="W10" s="241"/>
      <c r="X10" s="240"/>
      <c r="Y10" s="113"/>
      <c r="Z10" s="260"/>
      <c r="AA10" s="259"/>
      <c r="AB10" s="241"/>
      <c r="AC10" s="240"/>
      <c r="AD10" s="113"/>
      <c r="AE10" s="260"/>
      <c r="AF10" s="259"/>
      <c r="AG10" s="241"/>
      <c r="AH10" s="240"/>
      <c r="AI10" s="148"/>
      <c r="AJ10" s="163" t="s">
        <v>29</v>
      </c>
      <c r="AK10" s="245">
        <f>D23+D43+D45+D71+D113+D122+D156+D174+D177+D153</f>
        <v>8.99</v>
      </c>
      <c r="AL10" s="245">
        <f>M23+M43+M45+M71+M113+M122+M156+M174+M177+M153</f>
        <v>7.8100000000000005</v>
      </c>
      <c r="AM10" s="245">
        <f>R23+R45+R71</f>
        <v>9.1</v>
      </c>
      <c r="AN10" s="245">
        <f>W23+W45+W71</f>
        <v>8.35</v>
      </c>
      <c r="AO10" s="245">
        <f>AB23</f>
        <v>8</v>
      </c>
      <c r="AP10" s="245"/>
      <c r="AQ10" s="163">
        <f t="shared" si="0"/>
        <v>8.4499999999999993</v>
      </c>
      <c r="AR10" s="111"/>
      <c r="AS10" s="111"/>
      <c r="AT10" s="111"/>
      <c r="AU10" s="25"/>
      <c r="AV10" s="25"/>
      <c r="AW10" s="25"/>
    </row>
    <row r="11" spans="1:49" s="21" customFormat="1" x14ac:dyDescent="0.25">
      <c r="A11" s="242">
        <v>4</v>
      </c>
      <c r="B11" s="241">
        <v>0.14000000000000001</v>
      </c>
      <c r="C11" s="240">
        <v>4.6100000000000003</v>
      </c>
      <c r="D11" s="240"/>
      <c r="E11" s="19"/>
      <c r="F11" s="113"/>
      <c r="G11" s="241">
        <v>0.2</v>
      </c>
      <c r="H11" s="240">
        <v>4.67</v>
      </c>
      <c r="I11" s="240"/>
      <c r="J11" s="113"/>
      <c r="K11" s="241">
        <v>0.16</v>
      </c>
      <c r="L11" s="240">
        <v>4.59</v>
      </c>
      <c r="M11" s="241"/>
      <c r="N11" s="19"/>
      <c r="O11" s="113"/>
      <c r="P11" s="241">
        <v>0.18</v>
      </c>
      <c r="Q11" s="240">
        <v>4.5999999999999996</v>
      </c>
      <c r="R11" s="241"/>
      <c r="S11" s="19"/>
      <c r="T11" s="113"/>
      <c r="U11" s="241">
        <v>0.1</v>
      </c>
      <c r="V11" s="240">
        <v>4.6100000000000003</v>
      </c>
      <c r="W11" s="241"/>
      <c r="X11" s="19"/>
      <c r="Y11" s="113"/>
      <c r="Z11" s="241">
        <v>0.37</v>
      </c>
      <c r="AA11" s="240">
        <v>4.6399999999999997</v>
      </c>
      <c r="AB11" s="241"/>
      <c r="AC11" s="19"/>
      <c r="AD11" s="113"/>
      <c r="AE11" s="260">
        <v>17.36</v>
      </c>
      <c r="AF11" s="259">
        <v>4.7</v>
      </c>
      <c r="AG11" s="241"/>
      <c r="AH11" s="240"/>
      <c r="AI11" s="148"/>
      <c r="AJ11" s="163" t="s">
        <v>58</v>
      </c>
      <c r="AK11" s="19">
        <f>D31+D58+D83+D114+D129+D157+D183+D36</f>
        <v>4.4124999999999996</v>
      </c>
      <c r="AL11" s="19">
        <f>M31+M58+M83+M114+M129+M157+M183+M36</f>
        <v>5.1324999999999994</v>
      </c>
      <c r="AM11" s="241">
        <f>R31+R58+R83</f>
        <v>4.34</v>
      </c>
      <c r="AN11" s="241">
        <f>W31+W58+W83</f>
        <v>4.07</v>
      </c>
      <c r="AO11" s="241">
        <f>AB31</f>
        <v>5.1100000000000003</v>
      </c>
      <c r="AP11" s="245">
        <f>AG31</f>
        <v>0.21</v>
      </c>
      <c r="AQ11" s="163">
        <f t="shared" si="0"/>
        <v>4.6129999999999995</v>
      </c>
      <c r="AR11" s="111"/>
      <c r="AS11" s="111"/>
      <c r="AT11" s="111"/>
      <c r="AU11" s="25"/>
      <c r="AV11" s="25"/>
      <c r="AW11" s="25"/>
    </row>
    <row r="12" spans="1:49" s="21" customFormat="1" x14ac:dyDescent="0.25">
      <c r="A12" s="261">
        <v>5</v>
      </c>
      <c r="B12" s="260">
        <v>0.39</v>
      </c>
      <c r="C12" s="259">
        <v>4.6900000000000004</v>
      </c>
      <c r="D12" s="56"/>
      <c r="E12" s="56"/>
      <c r="F12" s="113"/>
      <c r="G12" s="263">
        <v>0.15</v>
      </c>
      <c r="H12" s="266">
        <v>4.7699999999999996</v>
      </c>
      <c r="I12" s="240"/>
      <c r="J12" s="113"/>
      <c r="K12" s="241"/>
      <c r="L12" s="240"/>
      <c r="M12" s="241"/>
      <c r="N12" s="56"/>
      <c r="O12" s="113"/>
      <c r="P12" s="260">
        <v>0.56999999999999995</v>
      </c>
      <c r="Q12" s="259">
        <v>4.6900000000000004</v>
      </c>
      <c r="R12" s="56"/>
      <c r="S12" s="56"/>
      <c r="T12" s="113"/>
      <c r="U12" s="260">
        <v>0.39</v>
      </c>
      <c r="V12" s="259">
        <v>4.6900000000000004</v>
      </c>
      <c r="W12" s="241"/>
      <c r="X12" s="56"/>
      <c r="Y12" s="113"/>
      <c r="Z12" s="260">
        <v>0.55000000000000004</v>
      </c>
      <c r="AA12" s="259">
        <v>4.74</v>
      </c>
      <c r="AB12" s="56"/>
      <c r="AC12" s="56"/>
      <c r="AD12" s="113"/>
      <c r="AE12" s="260"/>
      <c r="AF12" s="259"/>
      <c r="AG12" s="241">
        <f>AE11-AG13</f>
        <v>7.3599999999999994</v>
      </c>
      <c r="AH12" s="109" t="s">
        <v>225</v>
      </c>
      <c r="AI12" s="148"/>
      <c r="AJ12" s="163" t="s">
        <v>18</v>
      </c>
      <c r="AK12" s="19">
        <f>D55+D178+D75</f>
        <v>0.56999999999999995</v>
      </c>
      <c r="AL12" s="19">
        <f>M55+M178+M75</f>
        <v>1.0900000000000001</v>
      </c>
      <c r="AM12" s="19">
        <f>R55+R75</f>
        <v>0.78</v>
      </c>
      <c r="AN12" s="19">
        <f>W55+W75</f>
        <v>0.57000000000000006</v>
      </c>
      <c r="AO12" s="19">
        <f>AB29</f>
        <v>0.22</v>
      </c>
      <c r="AP12" s="245">
        <f>AG29</f>
        <v>0.01</v>
      </c>
      <c r="AQ12" s="163">
        <f t="shared" si="0"/>
        <v>0.64600000000000013</v>
      </c>
      <c r="AR12" s="111"/>
      <c r="AS12" s="111"/>
      <c r="AT12" s="111"/>
      <c r="AU12" s="25"/>
      <c r="AV12" s="25"/>
      <c r="AW12" s="25"/>
    </row>
    <row r="13" spans="1:49" s="21" customFormat="1" x14ac:dyDescent="0.25">
      <c r="A13" s="261"/>
      <c r="B13" s="260"/>
      <c r="C13" s="259"/>
      <c r="D13" s="240">
        <f>B12</f>
        <v>0.39</v>
      </c>
      <c r="E13" s="15" t="s">
        <v>19</v>
      </c>
      <c r="F13" s="113"/>
      <c r="G13" s="265"/>
      <c r="H13" s="268"/>
      <c r="I13" s="240"/>
      <c r="J13" s="113"/>
      <c r="K13" s="241">
        <v>0.48</v>
      </c>
      <c r="L13" s="240">
        <v>4.67</v>
      </c>
      <c r="M13" s="241">
        <f>K13</f>
        <v>0.48</v>
      </c>
      <c r="N13" s="15" t="s">
        <v>19</v>
      </c>
      <c r="O13" s="113"/>
      <c r="P13" s="260"/>
      <c r="Q13" s="259"/>
      <c r="R13" s="241">
        <f>P12</f>
        <v>0.56999999999999995</v>
      </c>
      <c r="S13" s="15" t="s">
        <v>19</v>
      </c>
      <c r="T13" s="113"/>
      <c r="U13" s="260"/>
      <c r="V13" s="259"/>
      <c r="W13" s="241">
        <f>U12</f>
        <v>0.39</v>
      </c>
      <c r="X13" s="15" t="s">
        <v>19</v>
      </c>
      <c r="Y13" s="113"/>
      <c r="Z13" s="260"/>
      <c r="AA13" s="259"/>
      <c r="AB13" s="241">
        <f>Z12</f>
        <v>0.55000000000000004</v>
      </c>
      <c r="AC13" s="15" t="s">
        <v>19</v>
      </c>
      <c r="AD13" s="113"/>
      <c r="AE13" s="260"/>
      <c r="AF13" s="259"/>
      <c r="AG13" s="241">
        <v>10</v>
      </c>
      <c r="AH13" s="15" t="s">
        <v>19</v>
      </c>
      <c r="AI13" s="148"/>
      <c r="AJ13" s="163" t="s">
        <v>60</v>
      </c>
      <c r="AK13" s="19">
        <f>D89+D97+D121+D131+D171</f>
        <v>0.8091666666666667</v>
      </c>
      <c r="AL13" s="19">
        <f>M89+M97+M121+M131+M171</f>
        <v>0.8091666666666667</v>
      </c>
      <c r="AM13" s="19">
        <f>R32+R59+R89+R97</f>
        <v>0.53333333333333333</v>
      </c>
      <c r="AN13" s="19">
        <f>W32+W59+W89+W97</f>
        <v>0.53333333333333333</v>
      </c>
      <c r="AO13" s="19">
        <f>AB32</f>
        <v>0.3833333333333333</v>
      </c>
      <c r="AP13" s="245">
        <f>AG32</f>
        <v>0.02</v>
      </c>
      <c r="AQ13" s="163">
        <f t="shared" si="0"/>
        <v>0.61366666666666669</v>
      </c>
      <c r="AR13" s="171">
        <f>SUM(AQ10:AQ13)</f>
        <v>14.322666666666667</v>
      </c>
      <c r="AS13" s="169" t="s">
        <v>296</v>
      </c>
      <c r="AT13" s="111"/>
      <c r="AU13" s="25"/>
      <c r="AV13" s="25"/>
      <c r="AW13" s="25"/>
    </row>
    <row r="14" spans="1:49" s="21" customFormat="1" x14ac:dyDescent="0.25">
      <c r="A14" s="242">
        <v>6</v>
      </c>
      <c r="B14" s="241">
        <v>3.87</v>
      </c>
      <c r="C14" s="240">
        <v>4.82</v>
      </c>
      <c r="D14" s="240">
        <f>AG14</f>
        <v>3.61</v>
      </c>
      <c r="E14" s="54" t="s">
        <v>34</v>
      </c>
      <c r="F14" s="113"/>
      <c r="G14" s="241">
        <v>4.47</v>
      </c>
      <c r="H14" s="240">
        <v>4.87</v>
      </c>
      <c r="I14" s="240"/>
      <c r="J14" s="113"/>
      <c r="K14" s="241">
        <v>3.9</v>
      </c>
      <c r="L14" s="240">
        <v>4.8099999999999996</v>
      </c>
      <c r="M14" s="241">
        <f>K14</f>
        <v>3.9</v>
      </c>
      <c r="N14" s="54" t="s">
        <v>34</v>
      </c>
      <c r="O14" s="113"/>
      <c r="P14" s="241">
        <v>4.18</v>
      </c>
      <c r="Q14" s="240">
        <v>4.82</v>
      </c>
      <c r="R14" s="241">
        <f>P14</f>
        <v>4.18</v>
      </c>
      <c r="S14" s="54" t="s">
        <v>34</v>
      </c>
      <c r="T14" s="113"/>
      <c r="U14" s="260">
        <v>4.3099999999999996</v>
      </c>
      <c r="V14" s="259">
        <v>4.82</v>
      </c>
      <c r="W14" s="241">
        <f>U14</f>
        <v>4.3099999999999996</v>
      </c>
      <c r="X14" s="54" t="s">
        <v>34</v>
      </c>
      <c r="Y14" s="113"/>
      <c r="Z14" s="241">
        <v>3.74</v>
      </c>
      <c r="AA14" s="240">
        <v>4.8600000000000003</v>
      </c>
      <c r="AB14" s="241">
        <f>Z14</f>
        <v>3.74</v>
      </c>
      <c r="AC14" s="54" t="s">
        <v>34</v>
      </c>
      <c r="AD14" s="113"/>
      <c r="AE14" s="241">
        <v>3.61</v>
      </c>
      <c r="AF14" s="240">
        <v>4.84</v>
      </c>
      <c r="AG14" s="241">
        <f>AE14</f>
        <v>3.61</v>
      </c>
      <c r="AH14" s="54" t="s">
        <v>34</v>
      </c>
      <c r="AI14" s="148"/>
      <c r="AJ14" s="164" t="s">
        <v>27</v>
      </c>
      <c r="AK14" s="16">
        <f>D56+D90+D116+D117+D118+D162+D194+D204+D213+D219</f>
        <v>28.64833333333333</v>
      </c>
      <c r="AL14" s="16">
        <f>M56+M90+M116+M117+M118+M162+M194+M204+M213+M219</f>
        <v>28.934999999999995</v>
      </c>
      <c r="AM14" s="16">
        <f>R56+R90+R116+R117+R118+R162</f>
        <v>23.023333333333333</v>
      </c>
      <c r="AN14" s="16">
        <f>W30+W56+W90+W116+W117+W118</f>
        <v>29.026666666666664</v>
      </c>
      <c r="AO14" s="16">
        <f>AB30</f>
        <v>28.98</v>
      </c>
      <c r="AP14" s="245">
        <f>AG30</f>
        <v>0.2</v>
      </c>
      <c r="AQ14" s="164">
        <f t="shared" si="0"/>
        <v>27.722666666666662</v>
      </c>
      <c r="AR14" s="111"/>
      <c r="AS14" s="111"/>
      <c r="AT14" s="111"/>
      <c r="AU14" s="25"/>
      <c r="AV14" s="25"/>
      <c r="AW14" s="25"/>
    </row>
    <row r="15" spans="1:49" s="21" customFormat="1" x14ac:dyDescent="0.25">
      <c r="A15" s="261">
        <v>7</v>
      </c>
      <c r="B15" s="260">
        <v>0.05</v>
      </c>
      <c r="C15" s="259">
        <v>5.01</v>
      </c>
      <c r="D15" s="240"/>
      <c r="E15" s="240"/>
      <c r="F15" s="113"/>
      <c r="G15" s="241">
        <v>7.0000000000000007E-2</v>
      </c>
      <c r="H15" s="240">
        <v>5.0199999999999996</v>
      </c>
      <c r="I15" s="240"/>
      <c r="J15" s="113"/>
      <c r="K15" s="260">
        <v>0.1</v>
      </c>
      <c r="L15" s="259">
        <v>4.9800000000000004</v>
      </c>
      <c r="M15" s="241"/>
      <c r="N15" s="240"/>
      <c r="O15" s="113"/>
      <c r="P15" s="260">
        <v>0.09</v>
      </c>
      <c r="Q15" s="259">
        <v>5.0199999999999996</v>
      </c>
      <c r="R15" s="241"/>
      <c r="S15" s="240"/>
      <c r="T15" s="113"/>
      <c r="U15" s="260"/>
      <c r="V15" s="259"/>
      <c r="W15" s="241"/>
      <c r="X15" s="240"/>
      <c r="Y15" s="113"/>
      <c r="Z15" s="260">
        <v>0.08</v>
      </c>
      <c r="AA15" s="259">
        <v>5.0599999999999996</v>
      </c>
      <c r="AB15" s="241"/>
      <c r="AC15" s="240"/>
      <c r="AD15" s="113"/>
      <c r="AE15" s="260">
        <v>0.76</v>
      </c>
      <c r="AF15" s="259">
        <v>5.0599999999999996</v>
      </c>
      <c r="AG15" s="241"/>
      <c r="AH15" s="240"/>
      <c r="AI15" s="148"/>
      <c r="AJ15" s="164" t="s">
        <v>61</v>
      </c>
      <c r="AK15" s="19">
        <f>D91+D135+D189+D201+D226+D33+D110</f>
        <v>3.8625000000000003</v>
      </c>
      <c r="AL15" s="19">
        <f>M91+M135+M189+M201+M226+M33+M110+M164</f>
        <v>3.9258333333333337</v>
      </c>
      <c r="AM15" s="19">
        <f>R33+R91+R110+R127+R70</f>
        <v>3.6433333333333335</v>
      </c>
      <c r="AN15" s="19">
        <f>W33+W91+W110+W127</f>
        <v>4.16</v>
      </c>
      <c r="AO15" s="19">
        <f>AB33</f>
        <v>3</v>
      </c>
      <c r="AP15" s="245">
        <f>AG33</f>
        <v>0.02</v>
      </c>
      <c r="AQ15" s="164">
        <f>AVERAGE(AK15:AO15)</f>
        <v>3.7183333333333337</v>
      </c>
      <c r="AR15" s="111"/>
      <c r="AS15" s="111"/>
      <c r="AT15" s="111"/>
      <c r="AU15" s="25"/>
      <c r="AV15" s="25"/>
      <c r="AW15" s="25"/>
    </row>
    <row r="16" spans="1:49" s="21" customFormat="1" x14ac:dyDescent="0.25">
      <c r="A16" s="261"/>
      <c r="B16" s="260"/>
      <c r="C16" s="259"/>
      <c r="D16" s="240"/>
      <c r="E16" s="240"/>
      <c r="F16" s="113"/>
      <c r="G16" s="241">
        <v>7.0000000000000007E-2</v>
      </c>
      <c r="H16" s="240">
        <v>5.0599999999999996</v>
      </c>
      <c r="I16" s="240"/>
      <c r="J16" s="113"/>
      <c r="K16" s="260"/>
      <c r="L16" s="259"/>
      <c r="M16" s="241"/>
      <c r="N16" s="240"/>
      <c r="O16" s="113"/>
      <c r="P16" s="260"/>
      <c r="Q16" s="259"/>
      <c r="R16" s="241"/>
      <c r="S16" s="240"/>
      <c r="T16" s="113"/>
      <c r="U16" s="260"/>
      <c r="V16" s="259"/>
      <c r="W16" s="241"/>
      <c r="X16" s="240"/>
      <c r="Y16" s="113"/>
      <c r="Z16" s="260"/>
      <c r="AA16" s="259"/>
      <c r="AB16" s="241"/>
      <c r="AC16" s="240"/>
      <c r="AD16" s="113"/>
      <c r="AE16" s="260"/>
      <c r="AF16" s="259"/>
      <c r="AG16" s="241"/>
      <c r="AH16" s="240"/>
      <c r="AI16" s="148"/>
      <c r="AJ16" s="164" t="s">
        <v>21</v>
      </c>
      <c r="AK16" s="16"/>
      <c r="AL16" s="16"/>
      <c r="AM16" s="16"/>
      <c r="AN16" s="16"/>
      <c r="AO16" s="16"/>
      <c r="AP16" s="245"/>
      <c r="AQ16" s="164">
        <v>0</v>
      </c>
      <c r="AR16" s="111"/>
      <c r="AS16" s="111"/>
      <c r="AT16" s="111"/>
      <c r="AU16" s="25"/>
      <c r="AV16" s="25"/>
      <c r="AW16" s="25"/>
    </row>
    <row r="17" spans="1:49" s="21" customFormat="1" x14ac:dyDescent="0.25">
      <c r="A17" s="261"/>
      <c r="B17" s="260"/>
      <c r="C17" s="259"/>
      <c r="D17" s="240"/>
      <c r="E17" s="240"/>
      <c r="F17" s="115"/>
      <c r="G17" s="241">
        <v>0.04</v>
      </c>
      <c r="H17" s="240">
        <v>5.1100000000000003</v>
      </c>
      <c r="I17" s="240"/>
      <c r="J17" s="115"/>
      <c r="K17" s="241">
        <v>0.04</v>
      </c>
      <c r="L17" s="240">
        <v>5.05</v>
      </c>
      <c r="M17" s="241"/>
      <c r="N17" s="240"/>
      <c r="O17" s="115"/>
      <c r="P17" s="241">
        <v>7.0000000000000007E-2</v>
      </c>
      <c r="Q17" s="240">
        <v>5.0599999999999996</v>
      </c>
      <c r="R17" s="241"/>
      <c r="S17" s="240"/>
      <c r="T17" s="115"/>
      <c r="U17" s="260"/>
      <c r="V17" s="259"/>
      <c r="W17" s="241"/>
      <c r="X17" s="240"/>
      <c r="Y17" s="115"/>
      <c r="Z17" s="260"/>
      <c r="AA17" s="259"/>
      <c r="AB17" s="241"/>
      <c r="AC17" s="240"/>
      <c r="AD17" s="115"/>
      <c r="AE17" s="260"/>
      <c r="AF17" s="259"/>
      <c r="AG17" s="241"/>
      <c r="AH17" s="240"/>
      <c r="AI17" s="148"/>
      <c r="AJ17" s="164" t="s">
        <v>101</v>
      </c>
      <c r="AK17" s="16">
        <f>D139+D203</f>
        <v>1.7700000000000014</v>
      </c>
      <c r="AL17" s="16">
        <f>M139+M203</f>
        <v>1.7250000000000012</v>
      </c>
      <c r="AM17" s="16">
        <f>R139</f>
        <v>1.7700000000000014</v>
      </c>
      <c r="AN17" s="16">
        <f>W139</f>
        <v>1.5050000000000012</v>
      </c>
      <c r="AO17" s="16">
        <f>AB53</f>
        <v>1.08</v>
      </c>
      <c r="AP17" s="245">
        <f>AG53</f>
        <v>0.37</v>
      </c>
      <c r="AQ17" s="164">
        <f>AVERAGE(AK17:AO17)</f>
        <v>1.570000000000001</v>
      </c>
      <c r="AR17" s="172">
        <f>SUM(AQ14:AQ17)</f>
        <v>33.010999999999996</v>
      </c>
      <c r="AS17" s="169" t="s">
        <v>295</v>
      </c>
      <c r="AT17" s="111"/>
      <c r="AU17" s="25"/>
      <c r="AV17" s="25"/>
      <c r="AW17" s="25"/>
    </row>
    <row r="18" spans="1:49" s="21" customFormat="1" x14ac:dyDescent="0.25">
      <c r="A18" s="261"/>
      <c r="B18" s="260"/>
      <c r="C18" s="259"/>
      <c r="D18" s="240"/>
      <c r="E18" s="240"/>
      <c r="F18" s="113"/>
      <c r="G18" s="241">
        <v>0.11</v>
      </c>
      <c r="H18" s="240">
        <v>5.2</v>
      </c>
      <c r="I18" s="240"/>
      <c r="J18" s="113"/>
      <c r="K18" s="241">
        <v>0.02</v>
      </c>
      <c r="L18" s="240">
        <v>5.1100000000000003</v>
      </c>
      <c r="M18" s="241"/>
      <c r="N18" s="240"/>
      <c r="O18" s="113"/>
      <c r="P18" s="241">
        <v>0.02</v>
      </c>
      <c r="Q18" s="240">
        <v>5.12</v>
      </c>
      <c r="R18" s="241"/>
      <c r="S18" s="240"/>
      <c r="T18" s="113"/>
      <c r="U18" s="260"/>
      <c r="V18" s="259"/>
      <c r="W18" s="241"/>
      <c r="X18" s="240"/>
      <c r="Y18" s="113"/>
      <c r="Z18" s="260"/>
      <c r="AA18" s="259"/>
      <c r="AB18" s="241"/>
      <c r="AC18" s="240"/>
      <c r="AD18" s="113"/>
      <c r="AE18" s="260"/>
      <c r="AF18" s="259"/>
      <c r="AG18" s="241">
        <f>AE15</f>
        <v>0.76</v>
      </c>
      <c r="AH18" s="74" t="s">
        <v>332</v>
      </c>
      <c r="AI18" s="148"/>
      <c r="AJ18" s="165" t="s">
        <v>22</v>
      </c>
      <c r="AK18" s="16">
        <f>D187+D51</f>
        <v>0.27</v>
      </c>
      <c r="AL18" s="16">
        <f>M187+M51</f>
        <v>0.27</v>
      </c>
      <c r="AM18" s="16">
        <f>R51+R80+R154</f>
        <v>0.38</v>
      </c>
      <c r="AN18" s="16">
        <f>W54+W80+W154</f>
        <v>0.38</v>
      </c>
      <c r="AO18" s="16">
        <f>AB54</f>
        <v>0.5</v>
      </c>
      <c r="AP18" s="16"/>
      <c r="AQ18" s="165">
        <f t="shared" si="0"/>
        <v>0.36</v>
      </c>
      <c r="AR18" s="111"/>
      <c r="AS18" s="111"/>
      <c r="AT18" s="111"/>
      <c r="AU18" s="25"/>
      <c r="AV18" s="25"/>
      <c r="AW18" s="25"/>
    </row>
    <row r="19" spans="1:49" s="21" customFormat="1" x14ac:dyDescent="0.25">
      <c r="A19" s="261">
        <v>8</v>
      </c>
      <c r="B19" s="260">
        <v>0.18</v>
      </c>
      <c r="C19" s="259">
        <v>5.25</v>
      </c>
      <c r="D19" s="240"/>
      <c r="E19" s="19"/>
      <c r="F19" s="113"/>
      <c r="G19" s="260">
        <v>0.37</v>
      </c>
      <c r="H19" s="259">
        <v>5.31</v>
      </c>
      <c r="I19" s="240"/>
      <c r="J19" s="113"/>
      <c r="K19" s="260">
        <v>0.2</v>
      </c>
      <c r="L19" s="259">
        <v>5.21</v>
      </c>
      <c r="M19" s="241"/>
      <c r="N19" s="19"/>
      <c r="O19" s="113"/>
      <c r="P19" s="260">
        <v>0.28000000000000003</v>
      </c>
      <c r="Q19" s="259">
        <v>5.24</v>
      </c>
      <c r="R19" s="241"/>
      <c r="S19" s="19"/>
      <c r="T19" s="113"/>
      <c r="U19" s="241">
        <v>0.02</v>
      </c>
      <c r="V19" s="240">
        <v>5.0999999999999996</v>
      </c>
      <c r="W19" s="241"/>
      <c r="X19" s="19"/>
      <c r="Y19" s="113"/>
      <c r="Z19" s="241">
        <v>0.06</v>
      </c>
      <c r="AA19" s="240">
        <v>5.15</v>
      </c>
      <c r="AB19" s="241"/>
      <c r="AC19" s="19"/>
      <c r="AD19" s="113"/>
      <c r="AE19" s="260">
        <v>0.42</v>
      </c>
      <c r="AF19" s="259">
        <v>5.16</v>
      </c>
      <c r="AG19" s="241">
        <f>AE19</f>
        <v>0.42</v>
      </c>
      <c r="AH19" s="80" t="s">
        <v>30</v>
      </c>
      <c r="AI19" s="148"/>
      <c r="AJ19" s="165" t="s">
        <v>63</v>
      </c>
      <c r="AK19" s="16"/>
      <c r="AL19" s="16"/>
      <c r="AM19" s="16"/>
      <c r="AN19" s="16"/>
      <c r="AO19" s="16"/>
      <c r="AP19" s="16"/>
      <c r="AQ19" s="165">
        <v>0</v>
      </c>
      <c r="AR19" s="111"/>
      <c r="AS19" s="111"/>
      <c r="AT19" s="111"/>
      <c r="AU19" s="25"/>
      <c r="AV19" s="25"/>
      <c r="AW19" s="25"/>
    </row>
    <row r="20" spans="1:49" s="21" customFormat="1" x14ac:dyDescent="0.25">
      <c r="A20" s="261"/>
      <c r="B20" s="260"/>
      <c r="C20" s="259"/>
      <c r="D20" s="240"/>
      <c r="E20" s="56"/>
      <c r="F20" s="113"/>
      <c r="G20" s="260"/>
      <c r="H20" s="259"/>
      <c r="I20" s="240"/>
      <c r="J20" s="113"/>
      <c r="K20" s="260"/>
      <c r="L20" s="259"/>
      <c r="M20" s="241"/>
      <c r="N20" s="56"/>
      <c r="O20" s="113"/>
      <c r="P20" s="260"/>
      <c r="Q20" s="259"/>
      <c r="R20" s="241"/>
      <c r="S20" s="240"/>
      <c r="T20" s="113"/>
      <c r="U20" s="260">
        <v>2.0099999999999998</v>
      </c>
      <c r="V20" s="259">
        <v>5.32</v>
      </c>
      <c r="W20" s="241"/>
      <c r="X20" s="240"/>
      <c r="Y20" s="113"/>
      <c r="Z20" s="241">
        <v>0.04</v>
      </c>
      <c r="AA20" s="240">
        <v>5.22</v>
      </c>
      <c r="AB20" s="241"/>
      <c r="AC20" s="240"/>
      <c r="AD20" s="113"/>
      <c r="AE20" s="260"/>
      <c r="AF20" s="259"/>
      <c r="AG20" s="241"/>
      <c r="AH20" s="240"/>
      <c r="AI20" s="148"/>
      <c r="AJ20" s="165" t="s">
        <v>39</v>
      </c>
      <c r="AK20" s="16">
        <f>D188</f>
        <v>0.56000000000000005</v>
      </c>
      <c r="AL20" s="16">
        <f>M188</f>
        <v>0.56000000000000005</v>
      </c>
      <c r="AM20" s="16">
        <f>R188</f>
        <v>0.56000000000000005</v>
      </c>
      <c r="AN20" s="16">
        <f>W188</f>
        <v>0.56000000000000005</v>
      </c>
      <c r="AO20" s="16">
        <f>AB59</f>
        <v>0.60000000000000009</v>
      </c>
      <c r="AP20" s="16"/>
      <c r="AQ20" s="165">
        <f t="shared" si="0"/>
        <v>0.56800000000000006</v>
      </c>
      <c r="AR20" s="111"/>
      <c r="AS20" s="111"/>
      <c r="AT20" s="111"/>
      <c r="AU20" s="25"/>
      <c r="AV20" s="25"/>
      <c r="AW20" s="25"/>
    </row>
    <row r="21" spans="1:49" s="21" customFormat="1" x14ac:dyDescent="0.25">
      <c r="A21" s="261"/>
      <c r="B21" s="260"/>
      <c r="C21" s="259"/>
      <c r="D21" s="240">
        <f>B19</f>
        <v>0.18</v>
      </c>
      <c r="E21" s="10" t="s">
        <v>31</v>
      </c>
      <c r="F21" s="113"/>
      <c r="G21" s="241">
        <v>0.19</v>
      </c>
      <c r="H21" s="240">
        <v>5.39</v>
      </c>
      <c r="I21" s="240"/>
      <c r="J21" s="113"/>
      <c r="K21" s="260">
        <v>0.09</v>
      </c>
      <c r="L21" s="259">
        <v>5.27</v>
      </c>
      <c r="M21" s="241">
        <f>K21+K19-M19</f>
        <v>0.29000000000000004</v>
      </c>
      <c r="N21" s="10" t="s">
        <v>31</v>
      </c>
      <c r="O21" s="113"/>
      <c r="P21" s="260"/>
      <c r="Q21" s="259"/>
      <c r="R21" s="241">
        <f>P19-R19</f>
        <v>0.28000000000000003</v>
      </c>
      <c r="S21" s="10" t="s">
        <v>31</v>
      </c>
      <c r="T21" s="113"/>
      <c r="U21" s="260"/>
      <c r="V21" s="259"/>
      <c r="W21" s="241">
        <f>R21</f>
        <v>0.28000000000000003</v>
      </c>
      <c r="X21" s="10" t="s">
        <v>31</v>
      </c>
      <c r="Y21" s="113"/>
      <c r="Z21" s="241">
        <v>0.21</v>
      </c>
      <c r="AA21" s="240">
        <v>5.3</v>
      </c>
      <c r="AB21" s="241">
        <f>Z21</f>
        <v>0.21</v>
      </c>
      <c r="AC21" s="10" t="s">
        <v>31</v>
      </c>
      <c r="AD21" s="113"/>
      <c r="AE21" s="241">
        <v>0</v>
      </c>
      <c r="AF21" s="240">
        <v>5.32</v>
      </c>
      <c r="AG21" s="241"/>
      <c r="AH21" s="240"/>
      <c r="AI21" s="148"/>
      <c r="AJ21" s="165" t="s">
        <v>98</v>
      </c>
      <c r="AK21" s="16">
        <f>D143+D76</f>
        <v>0.69666666666666677</v>
      </c>
      <c r="AL21" s="16">
        <f>M143+M76</f>
        <v>0.76</v>
      </c>
      <c r="AM21" s="16">
        <f>R76+R112</f>
        <v>0.7</v>
      </c>
      <c r="AN21" s="16">
        <f>W76+W112</f>
        <v>0.7</v>
      </c>
      <c r="AO21" s="16">
        <f>AB76</f>
        <v>0.77</v>
      </c>
      <c r="AP21" s="16">
        <f>AG76</f>
        <v>0.22</v>
      </c>
      <c r="AQ21" s="165">
        <f>AVERAGE(AK21:AO21)</f>
        <v>0.72533333333333327</v>
      </c>
      <c r="AR21" s="173">
        <f>SUM(AQ18:AQ21)</f>
        <v>1.6533333333333333</v>
      </c>
      <c r="AS21" s="169" t="s">
        <v>294</v>
      </c>
      <c r="AT21" s="111"/>
      <c r="AU21" s="25"/>
      <c r="AV21" s="25"/>
      <c r="AW21" s="25"/>
    </row>
    <row r="22" spans="1:49" s="21" customFormat="1" x14ac:dyDescent="0.25">
      <c r="A22" s="261"/>
      <c r="B22" s="260"/>
      <c r="C22" s="259"/>
      <c r="D22" s="240"/>
      <c r="E22" s="56"/>
      <c r="F22" s="113"/>
      <c r="G22" s="241"/>
      <c r="H22" s="240"/>
      <c r="I22" s="240"/>
      <c r="J22" s="113"/>
      <c r="K22" s="260"/>
      <c r="L22" s="259"/>
      <c r="M22" s="241"/>
      <c r="N22" s="56"/>
      <c r="O22" s="113"/>
      <c r="P22" s="260"/>
      <c r="Q22" s="259"/>
      <c r="R22" s="241"/>
      <c r="S22" s="56"/>
      <c r="T22" s="113"/>
      <c r="U22" s="260"/>
      <c r="V22" s="259"/>
      <c r="W22" s="241"/>
      <c r="X22" s="56"/>
      <c r="Y22" s="113"/>
      <c r="Z22" s="260">
        <v>11.43</v>
      </c>
      <c r="AA22" s="259">
        <v>5.37</v>
      </c>
      <c r="AB22" s="241"/>
      <c r="AC22" s="56"/>
      <c r="AD22" s="113"/>
      <c r="AE22" s="241"/>
      <c r="AF22" s="240"/>
      <c r="AG22" s="241"/>
      <c r="AH22" s="240"/>
      <c r="AI22" s="148"/>
      <c r="AJ22" s="166" t="s">
        <v>182</v>
      </c>
      <c r="AK22" s="16">
        <f>D228+D223+D216+D211+D208</f>
        <v>1.19</v>
      </c>
      <c r="AL22" s="16">
        <f>M228+M223+M216+M211+M208</f>
        <v>0.93</v>
      </c>
      <c r="AM22" s="16">
        <f>R177+R141+R191+R156</f>
        <v>1.23</v>
      </c>
      <c r="AN22" s="16">
        <f>W141+W156+W144+W170</f>
        <v>1.24</v>
      </c>
      <c r="AO22" s="16">
        <f>AB88+AB115+AB141+AB170</f>
        <v>1.3800000000000001</v>
      </c>
      <c r="AP22" s="204"/>
      <c r="AQ22" s="166">
        <f>AVERAGE(AK22:AO22)</f>
        <v>1.194</v>
      </c>
      <c r="AR22" s="111"/>
      <c r="AS22" s="111"/>
      <c r="AT22" s="111"/>
      <c r="AU22" s="25"/>
      <c r="AV22" s="25"/>
      <c r="AW22" s="25"/>
    </row>
    <row r="23" spans="1:49" s="21" customFormat="1" x14ac:dyDescent="0.25">
      <c r="A23" s="242">
        <v>9</v>
      </c>
      <c r="B23" s="241">
        <v>0.05</v>
      </c>
      <c r="C23" s="240">
        <v>5.37</v>
      </c>
      <c r="D23" s="240">
        <f>B23</f>
        <v>0.05</v>
      </c>
      <c r="E23" s="7" t="s">
        <v>29</v>
      </c>
      <c r="F23" s="113"/>
      <c r="G23" s="241">
        <v>0.05</v>
      </c>
      <c r="H23" s="240">
        <v>5.47</v>
      </c>
      <c r="I23" s="240"/>
      <c r="J23" s="113"/>
      <c r="K23" s="241">
        <v>0.08</v>
      </c>
      <c r="L23" s="240">
        <v>5.33</v>
      </c>
      <c r="M23" s="241">
        <f>K23</f>
        <v>0.08</v>
      </c>
      <c r="N23" s="7" t="s">
        <v>29</v>
      </c>
      <c r="O23" s="113"/>
      <c r="P23" s="241">
        <v>0.03</v>
      </c>
      <c r="Q23" s="240">
        <v>5.37</v>
      </c>
      <c r="R23" s="241">
        <f>P23</f>
        <v>0.03</v>
      </c>
      <c r="S23" s="7" t="s">
        <v>29</v>
      </c>
      <c r="T23" s="113"/>
      <c r="U23" s="260"/>
      <c r="V23" s="259"/>
      <c r="W23" s="241">
        <f>U20-W21</f>
        <v>1.7299999999999998</v>
      </c>
      <c r="X23" s="7" t="s">
        <v>29</v>
      </c>
      <c r="Y23" s="113"/>
      <c r="Z23" s="260"/>
      <c r="AA23" s="259"/>
      <c r="AB23" s="241">
        <v>8</v>
      </c>
      <c r="AC23" s="7" t="s">
        <v>29</v>
      </c>
      <c r="AD23" s="113"/>
      <c r="AE23" s="241">
        <v>0.04</v>
      </c>
      <c r="AF23" s="240">
        <v>5.4</v>
      </c>
      <c r="AG23" s="241"/>
      <c r="AH23" s="240"/>
      <c r="AI23" s="148"/>
      <c r="AJ23" s="159" t="s">
        <v>183</v>
      </c>
      <c r="AK23" s="16">
        <f>D38+D39+D61+D62+D65+D88+D109+D119+D128+D123+D132+D130+D136+D133+D142+D146+D148+D149+D150+D152+D163+D161+D166+D175+D184+D190+D207+D209+D210+D222+D227+D232+D141</f>
        <v>9.5975000000000019</v>
      </c>
      <c r="AL23" s="19">
        <f>M38+M39+M61+M62+M65+M88+M109+M119+M128+M123+M132+M130+M136+M133+M142+M146+M148+M149+M150+M152+M163+M161+M166+M175+M184+M190+M207+M209+M210+M222+M227+M232+M141+M186</f>
        <v>9.5724999999999998</v>
      </c>
      <c r="AM23" s="16">
        <f>R38+R39+R61+R62+R65+R88+R109+R119+R128+R132+R137+R142+R146+R148+R149+R151+R166+R175+R189+R123+R186+R86</f>
        <v>9.0600000000000023</v>
      </c>
      <c r="AN23" s="16">
        <f>W38+W39+W61+W62+W65+W88+W109+W119+W128+W132+W137+W142+W146+W148+W149+W151+W166+W175+W189+W123+W86</f>
        <v>9.19</v>
      </c>
      <c r="AO23" s="16">
        <f>AB38+AB39+AB48+AB61+AB62+AB65+AB119+AB123+AB128+AB132+AB148+AB149+AB73+AB74+AB112+AB142+AB86</f>
        <v>8.4500000000000011</v>
      </c>
      <c r="AP23" s="204">
        <f>AG38+AG48+AG61+AG65+AG73+AG74+AG86+AG121+AG119+AG123+AG128+AG132+AG142+AG148+AG149+AG170+AG25+AG63+AG47</f>
        <v>8.73</v>
      </c>
      <c r="AQ23" s="159">
        <f>AVERAGE(AK23:AP23)</f>
        <v>9.1000000000000014</v>
      </c>
      <c r="AR23" s="111"/>
      <c r="AS23" s="111"/>
      <c r="AT23" s="111"/>
      <c r="AU23" s="25"/>
      <c r="AV23" s="25"/>
      <c r="AW23" s="25"/>
    </row>
    <row r="24" spans="1:49" s="21" customFormat="1" x14ac:dyDescent="0.25">
      <c r="A24" s="242">
        <v>10</v>
      </c>
      <c r="B24" s="241">
        <v>0.11</v>
      </c>
      <c r="C24" s="240">
        <v>5.46</v>
      </c>
      <c r="D24" s="240"/>
      <c r="E24" s="240"/>
      <c r="F24" s="113"/>
      <c r="G24" s="263">
        <v>5.14</v>
      </c>
      <c r="H24" s="266">
        <v>5.63</v>
      </c>
      <c r="I24" s="240"/>
      <c r="J24" s="113"/>
      <c r="K24" s="241">
        <v>0.05</v>
      </c>
      <c r="L24" s="240">
        <v>5.42</v>
      </c>
      <c r="M24" s="241"/>
      <c r="N24" s="240"/>
      <c r="O24" s="113"/>
      <c r="P24" s="241">
        <v>0.13</v>
      </c>
      <c r="Q24" s="240">
        <v>5.46</v>
      </c>
      <c r="R24" s="241"/>
      <c r="S24" s="240"/>
      <c r="T24" s="113"/>
      <c r="U24" s="260">
        <v>5.18</v>
      </c>
      <c r="V24" s="259">
        <v>5.58</v>
      </c>
      <c r="W24" s="241"/>
      <c r="X24" s="240"/>
      <c r="Y24" s="113"/>
      <c r="Z24" s="241">
        <v>0.48</v>
      </c>
      <c r="AA24" s="240">
        <v>5.49</v>
      </c>
      <c r="AB24" s="241"/>
      <c r="AC24" s="240"/>
      <c r="AD24" s="113"/>
      <c r="AE24" s="241">
        <v>0.23</v>
      </c>
      <c r="AF24" s="240">
        <v>5.46</v>
      </c>
      <c r="AG24" s="241"/>
      <c r="AH24" s="240"/>
      <c r="AI24" s="148"/>
      <c r="AJ24" s="19" t="s">
        <v>34</v>
      </c>
      <c r="AK24" s="16">
        <f>D14+D26+D4+D46+D72+D99</f>
        <v>19.48</v>
      </c>
      <c r="AL24" s="16">
        <f>M14+M26+M4+M46+M72+M99</f>
        <v>20.98</v>
      </c>
      <c r="AM24" s="16">
        <f>R4+R14+R26+R46+R72+R99</f>
        <v>22.71</v>
      </c>
      <c r="AN24" s="16">
        <f>W4+W14+W26+W46+W72+W99</f>
        <v>17.829999999999998</v>
      </c>
      <c r="AO24" s="16">
        <f>AB4+AB14+AB26+AB46+AB72+AB99</f>
        <v>17.260000000000002</v>
      </c>
      <c r="AP24" s="245">
        <f>AG4+AG14+AG26+AG46+AG72+AG99</f>
        <v>14.750000000000002</v>
      </c>
    </row>
    <row r="25" spans="1:49" s="21" customFormat="1" x14ac:dyDescent="0.25">
      <c r="A25" s="261">
        <v>11</v>
      </c>
      <c r="B25" s="260">
        <v>4.91</v>
      </c>
      <c r="C25" s="259">
        <v>5.59</v>
      </c>
      <c r="D25" s="240"/>
      <c r="E25" s="8"/>
      <c r="F25" s="113"/>
      <c r="G25" s="264"/>
      <c r="H25" s="267"/>
      <c r="I25" s="240"/>
      <c r="J25" s="113"/>
      <c r="K25" s="260">
        <v>4.84</v>
      </c>
      <c r="L25" s="259">
        <v>5.57</v>
      </c>
      <c r="M25" s="241"/>
      <c r="N25" s="8"/>
      <c r="O25" s="113"/>
      <c r="P25" s="260">
        <v>4.8899999999999997</v>
      </c>
      <c r="Q25" s="259">
        <v>5.58</v>
      </c>
      <c r="R25" s="241"/>
      <c r="S25" s="8"/>
      <c r="T25" s="113"/>
      <c r="U25" s="260"/>
      <c r="V25" s="259"/>
      <c r="W25" s="241"/>
      <c r="X25" s="8"/>
      <c r="Y25" s="113"/>
      <c r="Z25" s="260">
        <v>4.45</v>
      </c>
      <c r="AA25" s="259">
        <v>5.61</v>
      </c>
      <c r="AB25" s="241"/>
      <c r="AC25" s="240"/>
      <c r="AD25" s="113"/>
      <c r="AE25" s="260">
        <v>4.5599999999999996</v>
      </c>
      <c r="AF25" s="259">
        <v>5.6</v>
      </c>
      <c r="AG25" s="241">
        <v>3</v>
      </c>
      <c r="AH25" s="74" t="s">
        <v>335</v>
      </c>
      <c r="AI25" s="148"/>
      <c r="AJ25" s="19" t="s">
        <v>33</v>
      </c>
      <c r="AK25" s="241">
        <f t="shared" ref="AK25:AO25" si="1">SUM(AK4:AK24)</f>
        <v>96.976666666666659</v>
      </c>
      <c r="AL25" s="241">
        <f>SUM(AL4:AL24)</f>
        <v>98.63000000000001</v>
      </c>
      <c r="AM25" s="241">
        <f>SUM(AM4:AM24)</f>
        <v>94.550000000000011</v>
      </c>
      <c r="AN25" s="241">
        <f>SUM(AN4:AN24)</f>
        <v>93.399999999999991</v>
      </c>
      <c r="AO25" s="241">
        <f t="shared" si="1"/>
        <v>92.813333333333318</v>
      </c>
      <c r="AP25" s="241">
        <f>SUM(AP4:AP24)</f>
        <v>97.319999999999979</v>
      </c>
    </row>
    <row r="26" spans="1:49" s="21" customFormat="1" x14ac:dyDescent="0.25">
      <c r="A26" s="261"/>
      <c r="B26" s="260"/>
      <c r="C26" s="259"/>
      <c r="D26" s="240">
        <f>B25-D25</f>
        <v>4.91</v>
      </c>
      <c r="E26" s="54" t="s">
        <v>34</v>
      </c>
      <c r="F26" s="113"/>
      <c r="G26" s="265"/>
      <c r="H26" s="268"/>
      <c r="I26" s="240"/>
      <c r="J26" s="113"/>
      <c r="K26" s="260"/>
      <c r="L26" s="259"/>
      <c r="M26" s="241">
        <f>K25-M25</f>
        <v>4.84</v>
      </c>
      <c r="N26" s="54" t="s">
        <v>34</v>
      </c>
      <c r="O26" s="113"/>
      <c r="P26" s="260"/>
      <c r="Q26" s="259"/>
      <c r="R26" s="241">
        <f>P25-R25</f>
        <v>4.8899999999999997</v>
      </c>
      <c r="S26" s="54" t="s">
        <v>34</v>
      </c>
      <c r="T26" s="113"/>
      <c r="U26" s="260"/>
      <c r="V26" s="259"/>
      <c r="W26" s="241">
        <f>AB26</f>
        <v>1.56</v>
      </c>
      <c r="X26" s="54" t="s">
        <v>34</v>
      </c>
      <c r="Y26" s="113"/>
      <c r="Z26" s="260"/>
      <c r="AA26" s="259"/>
      <c r="AB26" s="241">
        <v>1.56</v>
      </c>
      <c r="AC26" s="54" t="s">
        <v>34</v>
      </c>
      <c r="AD26" s="113"/>
      <c r="AE26" s="260"/>
      <c r="AF26" s="259"/>
      <c r="AG26" s="241">
        <f>AE25-AG25</f>
        <v>1.5599999999999996</v>
      </c>
      <c r="AH26" s="54" t="s">
        <v>34</v>
      </c>
      <c r="AI26" s="148"/>
      <c r="AK26" s="117">
        <f>D242</f>
        <v>96.976666666666688</v>
      </c>
      <c r="AL26" s="117">
        <f>M242</f>
        <v>98.630000000000052</v>
      </c>
      <c r="AM26" s="117">
        <f>R242</f>
        <v>94.550000000000011</v>
      </c>
      <c r="AN26" s="117">
        <f>W242</f>
        <v>93.400000000000048</v>
      </c>
      <c r="AO26" s="117">
        <f>AB242</f>
        <v>92.813333333333318</v>
      </c>
      <c r="AP26" s="117">
        <f>AG242</f>
        <v>97.320000000000007</v>
      </c>
    </row>
    <row r="27" spans="1:49" s="21" customFormat="1" ht="12.75" customHeight="1" x14ac:dyDescent="0.25">
      <c r="A27" s="261"/>
      <c r="B27" s="260"/>
      <c r="C27" s="259"/>
      <c r="D27" s="240"/>
      <c r="E27" s="241"/>
      <c r="F27" s="113"/>
      <c r="G27" s="241">
        <v>7.0000000000000007E-2</v>
      </c>
      <c r="H27" s="240">
        <v>5.74</v>
      </c>
      <c r="I27" s="240"/>
      <c r="J27" s="113"/>
      <c r="K27" s="260"/>
      <c r="L27" s="259"/>
      <c r="M27" s="241"/>
      <c r="N27" s="241"/>
      <c r="O27" s="113"/>
      <c r="P27" s="260"/>
      <c r="Q27" s="259"/>
      <c r="R27" s="241"/>
      <c r="S27" s="240"/>
      <c r="T27" s="113"/>
      <c r="U27" s="260"/>
      <c r="V27" s="259"/>
      <c r="W27" s="241"/>
      <c r="X27" s="240"/>
      <c r="Y27" s="113"/>
      <c r="Z27" s="260"/>
      <c r="AA27" s="259"/>
      <c r="AB27" s="56"/>
      <c r="AC27" s="56"/>
      <c r="AD27" s="113"/>
      <c r="AE27" s="260"/>
      <c r="AF27" s="259"/>
      <c r="AG27" s="241"/>
      <c r="AH27" s="240"/>
      <c r="AI27" s="148"/>
    </row>
    <row r="28" spans="1:49" s="21" customFormat="1" x14ac:dyDescent="0.25">
      <c r="A28" s="261">
        <v>12</v>
      </c>
      <c r="B28" s="260">
        <v>0.6</v>
      </c>
      <c r="C28" s="259">
        <v>5.8</v>
      </c>
      <c r="D28" s="241">
        <f>R28</f>
        <v>0.06</v>
      </c>
      <c r="E28" s="10" t="s">
        <v>59</v>
      </c>
      <c r="F28" s="113"/>
      <c r="G28" s="260">
        <v>0.86</v>
      </c>
      <c r="H28" s="259">
        <v>5.84</v>
      </c>
      <c r="I28" s="240"/>
      <c r="J28" s="113"/>
      <c r="K28" s="260">
        <v>0.56999999999999995</v>
      </c>
      <c r="L28" s="259">
        <v>5.76</v>
      </c>
      <c r="M28" s="241">
        <f>D28</f>
        <v>0.06</v>
      </c>
      <c r="N28" s="10" t="s">
        <v>59</v>
      </c>
      <c r="O28" s="113"/>
      <c r="P28" s="260">
        <v>0.78</v>
      </c>
      <c r="Q28" s="259">
        <v>5.77</v>
      </c>
      <c r="R28" s="241">
        <f>P31</f>
        <v>0.06</v>
      </c>
      <c r="S28" s="10" t="s">
        <v>59</v>
      </c>
      <c r="T28" s="113"/>
      <c r="U28" s="260">
        <v>3.79</v>
      </c>
      <c r="V28" s="259">
        <v>5.78</v>
      </c>
      <c r="W28" s="241">
        <f>R28</f>
        <v>0.06</v>
      </c>
      <c r="X28" s="10" t="s">
        <v>59</v>
      </c>
      <c r="Y28" s="113"/>
      <c r="Z28" s="260">
        <v>29.45</v>
      </c>
      <c r="AA28" s="259">
        <v>5.84</v>
      </c>
      <c r="AB28" s="241">
        <f>R28+R49</f>
        <v>0.62000000000000011</v>
      </c>
      <c r="AC28" s="10" t="s">
        <v>59</v>
      </c>
      <c r="AD28" s="113"/>
      <c r="AE28" s="241">
        <v>0.21</v>
      </c>
      <c r="AF28" s="240">
        <v>5.78</v>
      </c>
      <c r="AG28" s="241">
        <f>AE28</f>
        <v>0.21</v>
      </c>
      <c r="AH28" s="10" t="s">
        <v>59</v>
      </c>
      <c r="AI28" s="148"/>
      <c r="AJ28" s="185" t="s">
        <v>311</v>
      </c>
      <c r="AK28" s="19">
        <f>D13+D28+D31+D49+D58+D76+D83+D89+D91+D92+D97+D106+D109+D114+D121+D123+D129+D131+D133+D135+D136+D139+D141+D142+D143+D148+D149+D150+D152+D157+D161+D166+D171+D183+D189+D201+D203+D211+D226+D232</f>
        <v>18.002500000000005</v>
      </c>
      <c r="AL28" s="19">
        <f>M13+M28+M31+M49+M58+M76+M83+M89+M91+M92+M97+M106+M109+M114+M121+M123+M129+M131+M133+M135+M136+M139+M141+M142+M143+M148+M149+M150+M152+M157+M161+M166+M171+M183+M189+M201+M203+M211+M226+M232+M186</f>
        <v>17.947499999999994</v>
      </c>
      <c r="AM28" s="19">
        <f>R13+R28+R31+R49+R58+R76+R83+R89+R91+R92+R97+R106+R109+R114+R121+R123+R126+R131+R133+R135+R136+R139+R142+R143+R148+R149+R150+R152+R158+R161+R166+R171+R183+R191+R201+R203+R211+R226+R232+R186+R32+R33+R59+R70+R110+R112+R127+R125+R146</f>
        <v>16.196666666666662</v>
      </c>
      <c r="AN28" s="19">
        <f>W13+W28+W31+W49+W58+W76+W83+W89+W91+W92+W97+W106+W109+W114+W121+W123+W126+W131+W133+W135+W136+W139+W142+W143+W148+W149+W150+W152+W158+W161+W166+W170+W183+W191+W201+W203+W211+W226+W232+W186+W32+W33+W59+W70+W110+W112+W127+W125+W146</f>
        <v>14.438333333333331</v>
      </c>
      <c r="AO28" s="19">
        <f>AB13+AB28+AB31+AB53+AB58+AB76+AB83+AB91+AB92+AB97+AB106+AB109+AB114+AB121+AB123+AB126+AB131+AB133+AB135+AB136+AB139+AB142+AB143+AB148+AB149+AB150+AB152+AB158+AB161+AB166+AB170+AB183+AB191+AB201+AB203+AB211+AB226+AB232+AB186+AB32+AB33+AB60+AB74+AB86+AB110+AB113+AB127+AB125+AB146</f>
        <v>15.133333333333333</v>
      </c>
      <c r="AP28" s="204">
        <f>AG13+AG28+AG31+AG32+AG33+AG50+AG53+AG76+AG86+AG92+AG123+AG142+AG148+AG149+AG170+AG25+AG18</f>
        <v>16.04</v>
      </c>
      <c r="AQ28" s="185">
        <f>AVERAGE(AK28:AP28)</f>
        <v>16.293055555555554</v>
      </c>
    </row>
    <row r="29" spans="1:49" s="21" customFormat="1" x14ac:dyDescent="0.25">
      <c r="A29" s="261"/>
      <c r="B29" s="260"/>
      <c r="C29" s="259"/>
      <c r="D29" s="56"/>
      <c r="E29" s="56"/>
      <c r="F29" s="113"/>
      <c r="G29" s="260"/>
      <c r="H29" s="259"/>
      <c r="I29" s="240"/>
      <c r="J29" s="113"/>
      <c r="K29" s="260"/>
      <c r="L29" s="259"/>
      <c r="M29" s="56"/>
      <c r="N29" s="56"/>
      <c r="O29" s="113"/>
      <c r="P29" s="260"/>
      <c r="Q29" s="259"/>
      <c r="R29" s="56"/>
      <c r="S29" s="56"/>
      <c r="T29" s="113"/>
      <c r="U29" s="260"/>
      <c r="V29" s="259"/>
      <c r="W29" s="56"/>
      <c r="X29" s="56"/>
      <c r="Y29" s="113"/>
      <c r="Z29" s="260"/>
      <c r="AA29" s="259"/>
      <c r="AB29" s="241">
        <v>0.22</v>
      </c>
      <c r="AC29" s="58" t="s">
        <v>18</v>
      </c>
      <c r="AD29" s="113"/>
      <c r="AE29" s="260">
        <v>0.21</v>
      </c>
      <c r="AF29" s="259">
        <v>5.89</v>
      </c>
      <c r="AG29" s="241">
        <v>0.01</v>
      </c>
      <c r="AH29" s="58" t="s">
        <v>18</v>
      </c>
      <c r="AI29" s="148"/>
      <c r="AJ29" s="186" t="s">
        <v>312</v>
      </c>
      <c r="AK29" s="19">
        <f>D21+D28+D42+D49+D55+D61+D75+D76+D89+D97+D121+D123+D131+D132+D133+D139+D143+D148+D166+D171+D175+D178+D188+D203+D208</f>
        <v>6.948333333333335</v>
      </c>
      <c r="AL29" s="19">
        <f>M21+M28+M42+M49+M55+M61+M75+M76+M89+M97+M121+M123+M131+M132+M133+M139+M143+M148+M166+M171+M175+M178+M188+M203+M208</f>
        <v>7.4316666666666693</v>
      </c>
      <c r="AM29" s="19">
        <f>R21+R28+R42+R49+R55+R61+R75+R76+R89+R97+R121+R123+R131+R132+R133+R139+R143+R148+R166+R171+R175+R177+R188+R203+R208+R59+R112+R32</f>
        <v>7.443333333333336</v>
      </c>
      <c r="AN29" s="19">
        <f>W21+W28+W42+W49+W55+W61+W75+W76+W89+W97+W121+W123+W131+W132+W133+W139+W144+W148+W166+W171+W175+W177+W188+W203+W208+W59+W112+W32</f>
        <v>7.1683333333333357</v>
      </c>
      <c r="AO29" s="19">
        <f>AB21+AB28+AB42+AB53+AB55+AB61+AB75+AB76+AB97+AB121+AB123+AB131+AB132+AB133+AB139+AB88+AB148+AB166+AB171+AB175+AB177+AB188+AB203+AB208+AB59+AB111+AB32+AB29</f>
        <v>5.9233333333333329</v>
      </c>
      <c r="AP29" s="19"/>
      <c r="AQ29" s="186">
        <f>AVERAGE(AK29:AP29)</f>
        <v>6.9830000000000023</v>
      </c>
    </row>
    <row r="30" spans="1:49" s="21" customFormat="1" x14ac:dyDescent="0.25">
      <c r="A30" s="261"/>
      <c r="B30" s="260"/>
      <c r="C30" s="259"/>
      <c r="D30" s="240"/>
      <c r="E30" s="246"/>
      <c r="F30" s="113"/>
      <c r="G30" s="260"/>
      <c r="H30" s="259"/>
      <c r="I30" s="240"/>
      <c r="J30" s="113"/>
      <c r="K30" s="260"/>
      <c r="L30" s="259"/>
      <c r="M30" s="241"/>
      <c r="N30" s="246"/>
      <c r="O30" s="113"/>
      <c r="P30" s="260"/>
      <c r="Q30" s="259"/>
      <c r="R30" s="56"/>
      <c r="S30" s="56"/>
      <c r="T30" s="113"/>
      <c r="U30" s="260"/>
      <c r="V30" s="259"/>
      <c r="W30" s="241">
        <f>U28+U24-W26-W31-W28+U32-W33</f>
        <v>5.7499999999999991</v>
      </c>
      <c r="X30" s="249" t="s">
        <v>27</v>
      </c>
      <c r="Y30" s="113"/>
      <c r="Z30" s="260"/>
      <c r="AA30" s="259"/>
      <c r="AB30" s="241">
        <v>28.98</v>
      </c>
      <c r="AC30" s="249" t="s">
        <v>27</v>
      </c>
      <c r="AD30" s="113"/>
      <c r="AE30" s="260"/>
      <c r="AF30" s="259"/>
      <c r="AG30" s="241">
        <v>0.2</v>
      </c>
      <c r="AH30" s="249" t="s">
        <v>27</v>
      </c>
      <c r="AI30" s="148"/>
    </row>
    <row r="31" spans="1:49" s="21" customFormat="1" ht="15.75" thickBot="1" x14ac:dyDescent="0.3">
      <c r="A31" s="261"/>
      <c r="B31" s="260"/>
      <c r="C31" s="259"/>
      <c r="D31" s="240">
        <f>B28-D28</f>
        <v>0.54</v>
      </c>
      <c r="E31" s="7" t="s">
        <v>58</v>
      </c>
      <c r="F31" s="113"/>
      <c r="G31" s="260"/>
      <c r="H31" s="259"/>
      <c r="I31" s="240"/>
      <c r="J31" s="113"/>
      <c r="K31" s="260"/>
      <c r="L31" s="259"/>
      <c r="M31" s="241">
        <f>K28-M28</f>
        <v>0.51</v>
      </c>
      <c r="N31" s="7" t="s">
        <v>58</v>
      </c>
      <c r="O31" s="113"/>
      <c r="P31" s="241">
        <v>0.06</v>
      </c>
      <c r="Q31" s="240">
        <v>5.86</v>
      </c>
      <c r="R31" s="241">
        <f>P28</f>
        <v>0.78</v>
      </c>
      <c r="S31" s="7" t="s">
        <v>58</v>
      </c>
      <c r="T31" s="113"/>
      <c r="U31" s="260"/>
      <c r="V31" s="259"/>
      <c r="W31" s="241">
        <f>M31</f>
        <v>0.51</v>
      </c>
      <c r="X31" s="7" t="s">
        <v>58</v>
      </c>
      <c r="Y31" s="113"/>
      <c r="Z31" s="260"/>
      <c r="AA31" s="259"/>
      <c r="AB31" s="241">
        <f>R31+R83+R102+R109+R142+R58</f>
        <v>5.1100000000000003</v>
      </c>
      <c r="AC31" s="7" t="s">
        <v>58</v>
      </c>
      <c r="AD31" s="113"/>
      <c r="AE31" s="260"/>
      <c r="AF31" s="259"/>
      <c r="AG31" s="241">
        <f>AE29</f>
        <v>0.21</v>
      </c>
      <c r="AH31" s="7" t="s">
        <v>58</v>
      </c>
      <c r="AI31" s="148"/>
    </row>
    <row r="32" spans="1:49" s="21" customFormat="1" x14ac:dyDescent="0.25">
      <c r="A32" s="261">
        <v>13</v>
      </c>
      <c r="B32" s="260">
        <v>0.05</v>
      </c>
      <c r="C32" s="259">
        <v>5.91</v>
      </c>
      <c r="D32" s="240"/>
      <c r="E32" s="246"/>
      <c r="F32" s="113"/>
      <c r="G32" s="260">
        <v>0.11</v>
      </c>
      <c r="H32" s="259">
        <v>5.92</v>
      </c>
      <c r="I32" s="240"/>
      <c r="J32" s="113"/>
      <c r="K32" s="260">
        <v>0.03</v>
      </c>
      <c r="L32" s="259">
        <v>5.89</v>
      </c>
      <c r="M32" s="241"/>
      <c r="N32" s="246"/>
      <c r="O32" s="113"/>
      <c r="P32" s="260">
        <v>0.04</v>
      </c>
      <c r="Q32" s="259">
        <v>5.92</v>
      </c>
      <c r="R32" s="245"/>
      <c r="S32" s="246"/>
      <c r="T32" s="113"/>
      <c r="U32" s="260">
        <v>0.05</v>
      </c>
      <c r="V32" s="259">
        <v>5.93</v>
      </c>
      <c r="W32" s="245"/>
      <c r="X32" s="246"/>
      <c r="Y32" s="113"/>
      <c r="Z32" s="260">
        <v>0.77</v>
      </c>
      <c r="AA32" s="259">
        <v>5.95</v>
      </c>
      <c r="AB32" s="241">
        <f>R32+R59+R89</f>
        <v>0.3833333333333333</v>
      </c>
      <c r="AC32" s="58" t="s">
        <v>60</v>
      </c>
      <c r="AD32" s="113"/>
      <c r="AE32" s="260">
        <v>0.04</v>
      </c>
      <c r="AF32" s="259">
        <v>5.99</v>
      </c>
      <c r="AG32" s="241">
        <f>AE32/2</f>
        <v>0.02</v>
      </c>
      <c r="AH32" s="58" t="s">
        <v>60</v>
      </c>
      <c r="AI32" s="148"/>
      <c r="AJ32" s="30" t="s">
        <v>174</v>
      </c>
      <c r="AK32" s="41" t="s">
        <v>1</v>
      </c>
      <c r="AL32" s="38" t="s">
        <v>2</v>
      </c>
      <c r="AM32" s="41" t="s">
        <v>4</v>
      </c>
      <c r="AN32" s="38" t="s">
        <v>16</v>
      </c>
      <c r="AO32" s="41" t="s">
        <v>5</v>
      </c>
    </row>
    <row r="33" spans="1:41" s="21" customFormat="1" x14ac:dyDescent="0.25">
      <c r="A33" s="261"/>
      <c r="B33" s="260"/>
      <c r="C33" s="259"/>
      <c r="D33" s="240"/>
      <c r="E33" s="246"/>
      <c r="F33" s="113"/>
      <c r="G33" s="260"/>
      <c r="H33" s="259"/>
      <c r="I33" s="240"/>
      <c r="J33" s="113"/>
      <c r="K33" s="260"/>
      <c r="L33" s="259"/>
      <c r="M33" s="241"/>
      <c r="N33" s="246"/>
      <c r="O33" s="113"/>
      <c r="P33" s="260"/>
      <c r="Q33" s="259"/>
      <c r="R33" s="245"/>
      <c r="S33" s="246"/>
      <c r="T33" s="113"/>
      <c r="U33" s="260"/>
      <c r="V33" s="259"/>
      <c r="W33" s="245">
        <f>R127-W127</f>
        <v>1.1399999999999999</v>
      </c>
      <c r="X33" s="249" t="s">
        <v>61</v>
      </c>
      <c r="Y33" s="113"/>
      <c r="Z33" s="260"/>
      <c r="AA33" s="259"/>
      <c r="AB33" s="241">
        <v>3</v>
      </c>
      <c r="AC33" s="249" t="s">
        <v>61</v>
      </c>
      <c r="AD33" s="113"/>
      <c r="AE33" s="260"/>
      <c r="AF33" s="259"/>
      <c r="AG33" s="241">
        <f>AG32</f>
        <v>0.02</v>
      </c>
      <c r="AH33" s="249" t="s">
        <v>61</v>
      </c>
      <c r="AI33" s="148"/>
      <c r="AJ33" s="31" t="s">
        <v>175</v>
      </c>
      <c r="AK33" s="241"/>
      <c r="AL33" s="241"/>
      <c r="AM33" s="241"/>
      <c r="AN33" s="241"/>
      <c r="AO33" s="19"/>
    </row>
    <row r="34" spans="1:41" s="21" customFormat="1" x14ac:dyDescent="0.25">
      <c r="A34" s="261"/>
      <c r="B34" s="260"/>
      <c r="C34" s="259"/>
      <c r="D34" s="240"/>
      <c r="E34" s="8"/>
      <c r="F34" s="113"/>
      <c r="G34" s="260">
        <v>0.42</v>
      </c>
      <c r="H34" s="259">
        <v>6.03</v>
      </c>
      <c r="I34" s="240"/>
      <c r="J34" s="113"/>
      <c r="K34" s="241">
        <v>0.01</v>
      </c>
      <c r="L34" s="240">
        <v>5.95</v>
      </c>
      <c r="M34" s="241"/>
      <c r="N34" s="8"/>
      <c r="O34" s="113"/>
      <c r="P34" s="241">
        <v>0.04</v>
      </c>
      <c r="Q34" s="240">
        <v>5.96</v>
      </c>
      <c r="R34" s="241"/>
      <c r="S34" s="8"/>
      <c r="T34" s="113"/>
      <c r="U34" s="241">
        <v>0.01</v>
      </c>
      <c r="V34" s="240">
        <v>5.97</v>
      </c>
      <c r="W34" s="241"/>
      <c r="X34" s="8"/>
      <c r="Y34" s="113"/>
      <c r="Z34" s="260"/>
      <c r="AA34" s="259"/>
      <c r="AB34" s="241"/>
      <c r="AC34" s="240"/>
      <c r="AD34" s="113"/>
      <c r="AE34" s="260"/>
      <c r="AF34" s="259"/>
      <c r="AG34" s="241"/>
      <c r="AH34" s="240"/>
      <c r="AI34" s="148"/>
      <c r="AJ34" s="31" t="s">
        <v>181</v>
      </c>
      <c r="AK34" s="241">
        <f>D211</f>
        <v>0.18</v>
      </c>
      <c r="AL34" s="241">
        <f>M211</f>
        <v>0.18</v>
      </c>
      <c r="AM34" s="241">
        <f>R191</f>
        <v>0.18</v>
      </c>
      <c r="AN34" s="241">
        <f>W170</f>
        <v>0.18</v>
      </c>
      <c r="AO34" s="19">
        <f>AB170</f>
        <v>0.18</v>
      </c>
    </row>
    <row r="35" spans="1:41" s="21" customFormat="1" x14ac:dyDescent="0.25">
      <c r="A35" s="261">
        <v>14</v>
      </c>
      <c r="B35" s="260">
        <v>7.0000000000000007E-2</v>
      </c>
      <c r="C35" s="259">
        <v>6.05</v>
      </c>
      <c r="D35" s="240"/>
      <c r="E35" s="240"/>
      <c r="F35" s="113"/>
      <c r="G35" s="260"/>
      <c r="H35" s="259"/>
      <c r="I35" s="240"/>
      <c r="J35" s="113"/>
      <c r="K35" s="260">
        <v>0.03</v>
      </c>
      <c r="L35" s="259">
        <v>6.01</v>
      </c>
      <c r="M35" s="241"/>
      <c r="N35" s="240"/>
      <c r="O35" s="113"/>
      <c r="P35" s="260">
        <v>0.01</v>
      </c>
      <c r="Q35" s="259">
        <v>6.01</v>
      </c>
      <c r="R35" s="241"/>
      <c r="S35" s="240"/>
      <c r="T35" s="113"/>
      <c r="U35" s="260">
        <v>0.01</v>
      </c>
      <c r="V35" s="259">
        <v>6.04</v>
      </c>
      <c r="W35" s="241"/>
      <c r="X35" s="240"/>
      <c r="Y35" s="113"/>
      <c r="Z35" s="260">
        <v>7.63</v>
      </c>
      <c r="AA35" s="259">
        <v>6.22</v>
      </c>
      <c r="AB35" s="241"/>
      <c r="AC35" s="240"/>
      <c r="AD35" s="113"/>
      <c r="AE35" s="260">
        <v>2.29</v>
      </c>
      <c r="AF35" s="259">
        <v>6.14</v>
      </c>
      <c r="AG35" s="241"/>
      <c r="AH35" s="240"/>
      <c r="AI35" s="148"/>
      <c r="AJ35" s="31" t="s">
        <v>176</v>
      </c>
      <c r="AK35" s="241">
        <f>D223</f>
        <v>0.33</v>
      </c>
      <c r="AL35" s="241">
        <f>M223</f>
        <v>0.45</v>
      </c>
      <c r="AM35" s="241">
        <f>R141</f>
        <v>0.37</v>
      </c>
      <c r="AN35" s="241">
        <f>W141</f>
        <v>0.37</v>
      </c>
      <c r="AO35" s="19">
        <f>AB141</f>
        <v>0.37</v>
      </c>
    </row>
    <row r="36" spans="1:41" s="21" customFormat="1" x14ac:dyDescent="0.25">
      <c r="A36" s="261"/>
      <c r="B36" s="260"/>
      <c r="C36" s="259"/>
      <c r="D36" s="246"/>
      <c r="E36" s="107"/>
      <c r="F36" s="113"/>
      <c r="G36" s="260">
        <v>0.08</v>
      </c>
      <c r="H36" s="259">
        <v>6.13</v>
      </c>
      <c r="I36" s="240"/>
      <c r="J36" s="113"/>
      <c r="K36" s="260"/>
      <c r="L36" s="259"/>
      <c r="M36" s="241"/>
      <c r="N36" s="73"/>
      <c r="O36" s="113"/>
      <c r="P36" s="260"/>
      <c r="Q36" s="259"/>
      <c r="R36" s="241"/>
      <c r="S36" s="240"/>
      <c r="T36" s="113"/>
      <c r="U36" s="260"/>
      <c r="V36" s="259"/>
      <c r="W36" s="241"/>
      <c r="X36" s="240"/>
      <c r="Y36" s="113"/>
      <c r="Z36" s="260"/>
      <c r="AA36" s="259"/>
      <c r="AB36" s="56"/>
      <c r="AC36" s="56"/>
      <c r="AD36" s="113"/>
      <c r="AE36" s="260"/>
      <c r="AF36" s="259"/>
      <c r="AG36" s="241"/>
      <c r="AH36" s="240"/>
      <c r="AI36" s="148"/>
      <c r="AJ36" s="31" t="s">
        <v>177</v>
      </c>
      <c r="AK36" s="241">
        <f>D216+D228</f>
        <v>0.5</v>
      </c>
      <c r="AL36" s="241">
        <f>M216+M228</f>
        <v>0.2</v>
      </c>
      <c r="AM36" s="241">
        <f>R156</f>
        <v>0.34000000000000008</v>
      </c>
      <c r="AN36" s="19">
        <f>W156</f>
        <v>0.4</v>
      </c>
      <c r="AO36" s="19">
        <f>AB115</f>
        <v>0.54</v>
      </c>
    </row>
    <row r="37" spans="1:41" s="21" customFormat="1" x14ac:dyDescent="0.25">
      <c r="A37" s="261"/>
      <c r="B37" s="260"/>
      <c r="C37" s="259"/>
      <c r="D37" s="240"/>
      <c r="E37" s="240"/>
      <c r="F37" s="113"/>
      <c r="G37" s="260"/>
      <c r="H37" s="259"/>
      <c r="I37" s="240"/>
      <c r="J37" s="113"/>
      <c r="K37" s="260"/>
      <c r="L37" s="259"/>
      <c r="M37" s="241"/>
      <c r="N37" s="240"/>
      <c r="O37" s="113"/>
      <c r="P37" s="260"/>
      <c r="Q37" s="259"/>
      <c r="R37" s="241"/>
      <c r="S37" s="240"/>
      <c r="T37" s="113"/>
      <c r="U37" s="260"/>
      <c r="V37" s="259"/>
      <c r="W37" s="241"/>
      <c r="X37" s="240"/>
      <c r="Y37" s="113"/>
      <c r="Z37" s="260"/>
      <c r="AA37" s="259"/>
      <c r="AB37" s="241"/>
      <c r="AC37" s="240"/>
      <c r="AD37" s="113"/>
      <c r="AE37" s="260"/>
      <c r="AF37" s="259"/>
      <c r="AG37" s="241"/>
      <c r="AH37" s="240"/>
      <c r="AI37" s="148"/>
      <c r="AJ37" s="117" t="s">
        <v>208</v>
      </c>
      <c r="AK37" s="19"/>
      <c r="AL37" s="19"/>
      <c r="AM37" s="19"/>
      <c r="AN37" s="19"/>
      <c r="AO37" s="19"/>
    </row>
    <row r="38" spans="1:41" s="21" customFormat="1" x14ac:dyDescent="0.25">
      <c r="A38" s="261">
        <v>15</v>
      </c>
      <c r="B38" s="260">
        <v>1.56</v>
      </c>
      <c r="C38" s="259">
        <v>6.14</v>
      </c>
      <c r="D38" s="240"/>
      <c r="E38" s="8"/>
      <c r="F38" s="113"/>
      <c r="G38" s="260">
        <v>0.09</v>
      </c>
      <c r="H38" s="259">
        <v>6.19</v>
      </c>
      <c r="I38" s="240"/>
      <c r="J38" s="113"/>
      <c r="K38" s="260">
        <v>1.46</v>
      </c>
      <c r="L38" s="259">
        <v>6.12</v>
      </c>
      <c r="M38" s="241"/>
      <c r="N38" s="8"/>
      <c r="O38" s="113"/>
      <c r="P38" s="260">
        <v>1.62</v>
      </c>
      <c r="Q38" s="259">
        <v>6.13</v>
      </c>
      <c r="R38" s="245"/>
      <c r="S38" s="18"/>
      <c r="T38" s="113"/>
      <c r="U38" s="260">
        <v>5.09</v>
      </c>
      <c r="V38" s="259">
        <v>6.18</v>
      </c>
      <c r="W38" s="241"/>
      <c r="X38" s="18"/>
      <c r="Y38" s="113"/>
      <c r="Z38" s="260"/>
      <c r="AA38" s="259"/>
      <c r="AB38" s="241">
        <v>1.23</v>
      </c>
      <c r="AC38" s="7" t="s">
        <v>95</v>
      </c>
      <c r="AD38" s="113"/>
      <c r="AE38" s="260"/>
      <c r="AF38" s="259"/>
      <c r="AG38" s="241">
        <f>AE35-AG41</f>
        <v>0.71</v>
      </c>
      <c r="AH38" s="7" t="s">
        <v>95</v>
      </c>
      <c r="AI38" s="148"/>
      <c r="AJ38" s="31" t="s">
        <v>178</v>
      </c>
      <c r="AK38" s="241">
        <f>D208</f>
        <v>0.18</v>
      </c>
      <c r="AL38" s="241">
        <f>M208</f>
        <v>0.1</v>
      </c>
      <c r="AM38" s="241">
        <f>R177</f>
        <v>0.34</v>
      </c>
      <c r="AN38" s="19">
        <f>W144</f>
        <v>0.28999999999999998</v>
      </c>
      <c r="AO38" s="19">
        <f>AB88</f>
        <v>0.28999999999999998</v>
      </c>
    </row>
    <row r="39" spans="1:41" s="21" customFormat="1" x14ac:dyDescent="0.25">
      <c r="A39" s="261"/>
      <c r="B39" s="260"/>
      <c r="C39" s="259"/>
      <c r="D39" s="240"/>
      <c r="E39" s="8"/>
      <c r="F39" s="113"/>
      <c r="G39" s="260"/>
      <c r="H39" s="259"/>
      <c r="I39" s="240"/>
      <c r="J39" s="113"/>
      <c r="K39" s="260"/>
      <c r="L39" s="259"/>
      <c r="M39" s="241"/>
      <c r="N39" s="8"/>
      <c r="O39" s="113"/>
      <c r="P39" s="260"/>
      <c r="Q39" s="259"/>
      <c r="R39" s="245"/>
      <c r="S39" s="18"/>
      <c r="T39" s="113"/>
      <c r="U39" s="260"/>
      <c r="V39" s="259"/>
      <c r="W39" s="245"/>
      <c r="X39" s="18"/>
      <c r="Y39" s="113"/>
      <c r="Z39" s="260"/>
      <c r="AA39" s="259"/>
      <c r="AB39" s="245"/>
      <c r="AC39" s="18"/>
      <c r="AD39" s="113"/>
      <c r="AE39" s="260"/>
      <c r="AF39" s="259"/>
      <c r="AG39" s="241"/>
      <c r="AH39" s="240"/>
      <c r="AI39" s="148"/>
      <c r="AJ39" s="25" t="s">
        <v>193</v>
      </c>
      <c r="AK39" s="1">
        <f>SUM(AK33:AK38)</f>
        <v>1.19</v>
      </c>
      <c r="AL39" s="1">
        <f>SUM(AL33:AL38)</f>
        <v>0.93</v>
      </c>
      <c r="AM39" s="1">
        <f>SUM(AM33:AM38)</f>
        <v>1.2300000000000002</v>
      </c>
      <c r="AN39" s="1">
        <f>SUM(AN33:AN38)</f>
        <v>1.24</v>
      </c>
      <c r="AO39" s="1">
        <f>SUM(AO33:AO38)</f>
        <v>1.3800000000000001</v>
      </c>
    </row>
    <row r="40" spans="1:41" s="21" customFormat="1" ht="15.75" thickBot="1" x14ac:dyDescent="0.3">
      <c r="A40" s="261"/>
      <c r="B40" s="260"/>
      <c r="C40" s="259"/>
      <c r="D40" s="240"/>
      <c r="E40" s="56"/>
      <c r="F40" s="113"/>
      <c r="G40" s="260"/>
      <c r="H40" s="259"/>
      <c r="I40" s="240"/>
      <c r="J40" s="113"/>
      <c r="K40" s="260"/>
      <c r="L40" s="259"/>
      <c r="M40" s="241"/>
      <c r="N40" s="56"/>
      <c r="O40" s="113"/>
      <c r="P40" s="260"/>
      <c r="Q40" s="259"/>
      <c r="R40" s="245"/>
      <c r="S40" s="16"/>
      <c r="T40" s="113"/>
      <c r="U40" s="260"/>
      <c r="V40" s="259"/>
      <c r="W40" s="245"/>
      <c r="X40" s="16"/>
      <c r="Y40" s="113"/>
      <c r="Z40" s="260"/>
      <c r="AA40" s="259"/>
      <c r="AB40" s="241">
        <v>0.42</v>
      </c>
      <c r="AC40" s="6" t="s">
        <v>170</v>
      </c>
      <c r="AD40" s="113"/>
      <c r="AE40" s="260"/>
      <c r="AF40" s="259"/>
      <c r="AG40" s="241"/>
      <c r="AH40" s="240"/>
      <c r="AI40" s="148"/>
      <c r="AJ40" s="25"/>
    </row>
    <row r="41" spans="1:41" s="21" customFormat="1" x14ac:dyDescent="0.25">
      <c r="A41" s="261"/>
      <c r="B41" s="260"/>
      <c r="C41" s="259"/>
      <c r="D41" s="240">
        <f>B38-D38-D39</f>
        <v>1.56</v>
      </c>
      <c r="E41" s="6" t="s">
        <v>20</v>
      </c>
      <c r="F41" s="113"/>
      <c r="G41" s="260">
        <v>0.89</v>
      </c>
      <c r="H41" s="259">
        <v>6.3</v>
      </c>
      <c r="I41" s="149"/>
      <c r="J41" s="113"/>
      <c r="K41" s="260"/>
      <c r="L41" s="259"/>
      <c r="M41" s="241">
        <f>K38-M38-M39</f>
        <v>1.46</v>
      </c>
      <c r="N41" s="6" t="s">
        <v>20</v>
      </c>
      <c r="O41" s="113"/>
      <c r="P41" s="260"/>
      <c r="Q41" s="259"/>
      <c r="R41" s="241">
        <f>P38</f>
        <v>1.62</v>
      </c>
      <c r="S41" s="6" t="s">
        <v>20</v>
      </c>
      <c r="T41" s="113"/>
      <c r="U41" s="260"/>
      <c r="V41" s="259"/>
      <c r="W41" s="241">
        <f>AB41</f>
        <v>1.56</v>
      </c>
      <c r="X41" s="6" t="s">
        <v>20</v>
      </c>
      <c r="Y41" s="113"/>
      <c r="Z41" s="260"/>
      <c r="AA41" s="259"/>
      <c r="AB41" s="241">
        <f>D41</f>
        <v>1.56</v>
      </c>
      <c r="AC41" s="6" t="s">
        <v>20</v>
      </c>
      <c r="AD41" s="113"/>
      <c r="AE41" s="260"/>
      <c r="AF41" s="259"/>
      <c r="AG41" s="241">
        <f>AB41+AB63</f>
        <v>1.58</v>
      </c>
      <c r="AH41" s="6" t="s">
        <v>20</v>
      </c>
      <c r="AI41" s="148"/>
      <c r="AJ41" s="30" t="s">
        <v>179</v>
      </c>
      <c r="AK41" s="41" t="s">
        <v>1</v>
      </c>
      <c r="AL41" s="38" t="s">
        <v>2</v>
      </c>
      <c r="AM41" s="41" t="s">
        <v>4</v>
      </c>
      <c r="AN41" s="38" t="s">
        <v>16</v>
      </c>
      <c r="AO41" s="41" t="s">
        <v>5</v>
      </c>
    </row>
    <row r="42" spans="1:41" s="21" customFormat="1" x14ac:dyDescent="0.25">
      <c r="A42" s="261">
        <v>16</v>
      </c>
      <c r="B42" s="260">
        <v>0.1</v>
      </c>
      <c r="C42" s="259">
        <v>6.23</v>
      </c>
      <c r="D42" s="240">
        <f>B42</f>
        <v>0.1</v>
      </c>
      <c r="E42" s="10" t="s">
        <v>434</v>
      </c>
      <c r="F42" s="113"/>
      <c r="G42" s="260"/>
      <c r="H42" s="259"/>
      <c r="I42" s="240"/>
      <c r="J42" s="113"/>
      <c r="K42" s="260">
        <v>0.05</v>
      </c>
      <c r="L42" s="259">
        <v>6.24</v>
      </c>
      <c r="M42" s="241">
        <f>K42</f>
        <v>0.05</v>
      </c>
      <c r="N42" s="10" t="s">
        <v>434</v>
      </c>
      <c r="O42" s="113"/>
      <c r="P42" s="260">
        <v>0.19</v>
      </c>
      <c r="Q42" s="259">
        <v>6.24</v>
      </c>
      <c r="R42" s="241">
        <f>P42</f>
        <v>0.19</v>
      </c>
      <c r="S42" s="10" t="s">
        <v>527</v>
      </c>
      <c r="T42" s="113"/>
      <c r="U42" s="260">
        <v>5.68</v>
      </c>
      <c r="V42" s="259">
        <v>6.3</v>
      </c>
      <c r="W42" s="241"/>
      <c r="X42" s="8"/>
      <c r="Y42" s="113"/>
      <c r="Z42" s="260"/>
      <c r="AA42" s="259"/>
      <c r="AB42" s="56"/>
      <c r="AC42" s="56"/>
      <c r="AD42" s="113"/>
      <c r="AE42" s="260">
        <v>0.06</v>
      </c>
      <c r="AF42" s="259">
        <v>6.26</v>
      </c>
      <c r="AG42" s="241"/>
      <c r="AH42" s="240"/>
      <c r="AI42" s="148"/>
      <c r="AJ42" s="31" t="s">
        <v>184</v>
      </c>
      <c r="AK42" s="241">
        <f>D39+D61</f>
        <v>0.02</v>
      </c>
      <c r="AL42" s="241">
        <f>M39+M61</f>
        <v>0.02</v>
      </c>
      <c r="AM42" s="241">
        <f>R39+R61</f>
        <v>0.02</v>
      </c>
      <c r="AN42" s="241">
        <f>W39+W61</f>
        <v>0.02</v>
      </c>
      <c r="AO42" s="241">
        <f>AB39+AB61</f>
        <v>0.02</v>
      </c>
    </row>
    <row r="43" spans="1:41" s="21" customFormat="1" x14ac:dyDescent="0.25">
      <c r="A43" s="261"/>
      <c r="B43" s="260"/>
      <c r="C43" s="259"/>
      <c r="D43" s="240"/>
      <c r="E43" s="18"/>
      <c r="F43" s="113"/>
      <c r="G43" s="260"/>
      <c r="H43" s="259"/>
      <c r="I43" s="240"/>
      <c r="J43" s="113"/>
      <c r="K43" s="260"/>
      <c r="L43" s="259"/>
      <c r="M43" s="241"/>
      <c r="N43" s="18"/>
      <c r="O43" s="113"/>
      <c r="P43" s="260"/>
      <c r="Q43" s="259"/>
      <c r="R43" s="241"/>
      <c r="S43" s="8"/>
      <c r="T43" s="113"/>
      <c r="U43" s="260"/>
      <c r="V43" s="259"/>
      <c r="W43" s="241"/>
      <c r="X43" s="8"/>
      <c r="Y43" s="113"/>
      <c r="Z43" s="260"/>
      <c r="AA43" s="259"/>
      <c r="AB43" s="241"/>
      <c r="AC43" s="240"/>
      <c r="AD43" s="113"/>
      <c r="AE43" s="260"/>
      <c r="AF43" s="259"/>
      <c r="AG43" s="241"/>
      <c r="AH43" s="240"/>
      <c r="AI43" s="148"/>
      <c r="AJ43" s="31" t="s">
        <v>185</v>
      </c>
      <c r="AK43" s="241"/>
      <c r="AL43" s="241"/>
      <c r="AM43" s="241"/>
      <c r="AN43" s="241"/>
      <c r="AO43" s="241"/>
    </row>
    <row r="44" spans="1:41" s="21" customFormat="1" x14ac:dyDescent="0.25">
      <c r="A44" s="261"/>
      <c r="B44" s="260"/>
      <c r="C44" s="259"/>
      <c r="D44" s="240"/>
      <c r="E44" s="56"/>
      <c r="F44" s="113"/>
      <c r="G44" s="260"/>
      <c r="H44" s="259"/>
      <c r="I44" s="240"/>
      <c r="J44" s="113"/>
      <c r="K44" s="260"/>
      <c r="L44" s="259"/>
      <c r="M44" s="241"/>
      <c r="N44" s="56"/>
      <c r="O44" s="113"/>
      <c r="P44" s="260"/>
      <c r="Q44" s="259"/>
      <c r="R44" s="241"/>
      <c r="S44" s="240"/>
      <c r="T44" s="113"/>
      <c r="U44" s="260"/>
      <c r="V44" s="259"/>
      <c r="W44" s="241"/>
      <c r="X44" s="240"/>
      <c r="Y44" s="113"/>
      <c r="Z44" s="260"/>
      <c r="AA44" s="259"/>
      <c r="AB44" s="241"/>
      <c r="AC44" s="240"/>
      <c r="AD44" s="113"/>
      <c r="AE44" s="260"/>
      <c r="AF44" s="259"/>
      <c r="AG44" s="241"/>
      <c r="AH44" s="240"/>
      <c r="AI44" s="148"/>
      <c r="AJ44" s="31" t="s">
        <v>186</v>
      </c>
      <c r="AK44" s="241">
        <f>D38+D65+D88+D119+D130+D146+D184</f>
        <v>0.95583333333333331</v>
      </c>
      <c r="AL44" s="241">
        <f>M38+M65+M88+M119+M130+M146+M184</f>
        <v>1.2024999999999999</v>
      </c>
      <c r="AM44" s="241">
        <f>R38+R65+R88+R119</f>
        <v>1.07</v>
      </c>
      <c r="AN44" s="241">
        <f>W38+W65+W88+W119</f>
        <v>1.4600000000000002</v>
      </c>
      <c r="AO44" s="241">
        <f>AB38+AB65+AB119</f>
        <v>2.66</v>
      </c>
    </row>
    <row r="45" spans="1:41" s="21" customFormat="1" x14ac:dyDescent="0.25">
      <c r="A45" s="261">
        <v>17</v>
      </c>
      <c r="B45" s="260">
        <v>1.99</v>
      </c>
      <c r="C45" s="259">
        <v>6.37</v>
      </c>
      <c r="D45" s="241">
        <f>B45-D46</f>
        <v>0.1100000000000001</v>
      </c>
      <c r="E45" s="63" t="s">
        <v>435</v>
      </c>
      <c r="F45" s="113"/>
      <c r="G45" s="263">
        <v>2.2000000000000002</v>
      </c>
      <c r="H45" s="266">
        <v>6.41</v>
      </c>
      <c r="I45" s="240"/>
      <c r="J45" s="113"/>
      <c r="K45" s="260">
        <v>1.95</v>
      </c>
      <c r="L45" s="259">
        <v>6.36</v>
      </c>
      <c r="M45" s="241">
        <f>R45</f>
        <v>7.0000000000000007E-2</v>
      </c>
      <c r="N45" s="63" t="s">
        <v>435</v>
      </c>
      <c r="O45" s="113"/>
      <c r="P45" s="260">
        <v>2.12</v>
      </c>
      <c r="Q45" s="259">
        <v>6.36</v>
      </c>
      <c r="R45" s="241">
        <v>7.0000000000000007E-2</v>
      </c>
      <c r="S45" s="63" t="s">
        <v>46</v>
      </c>
      <c r="T45" s="113"/>
      <c r="U45" s="260"/>
      <c r="V45" s="259"/>
      <c r="W45" s="241">
        <f>R45</f>
        <v>7.0000000000000007E-2</v>
      </c>
      <c r="X45" s="63" t="s">
        <v>46</v>
      </c>
      <c r="Y45" s="113"/>
      <c r="Z45" s="260">
        <v>1.88</v>
      </c>
      <c r="AA45" s="259">
        <v>6.4</v>
      </c>
      <c r="AB45" s="241"/>
      <c r="AC45" s="240"/>
      <c r="AD45" s="113"/>
      <c r="AE45" s="260">
        <v>1.95</v>
      </c>
      <c r="AF45" s="259">
        <v>6.38</v>
      </c>
      <c r="AG45" s="241"/>
      <c r="AH45" s="240"/>
      <c r="AI45" s="148"/>
      <c r="AJ45" s="31" t="s">
        <v>187</v>
      </c>
      <c r="AK45" s="241">
        <f>D109+D141+D142+D150+D161</f>
        <v>1.0866666666666667</v>
      </c>
      <c r="AL45" s="241">
        <f>M109+M141+M142+M150+M161</f>
        <v>1.21</v>
      </c>
      <c r="AM45" s="241">
        <f>R109+R142</f>
        <v>0.77</v>
      </c>
      <c r="AN45" s="241">
        <f>W109+W142</f>
        <v>0.63</v>
      </c>
      <c r="AO45" s="241">
        <f>AB74+AB142</f>
        <v>0.48</v>
      </c>
    </row>
    <row r="46" spans="1:41" s="21" customFormat="1" x14ac:dyDescent="0.25">
      <c r="A46" s="261"/>
      <c r="B46" s="260"/>
      <c r="C46" s="259"/>
      <c r="D46" s="240">
        <f>AB46</f>
        <v>1.88</v>
      </c>
      <c r="E46" s="54" t="s">
        <v>34</v>
      </c>
      <c r="F46" s="113"/>
      <c r="G46" s="265"/>
      <c r="H46" s="268"/>
      <c r="I46" s="240"/>
      <c r="J46" s="113"/>
      <c r="K46" s="260"/>
      <c r="L46" s="259"/>
      <c r="M46" s="241">
        <f>K45-M45</f>
        <v>1.88</v>
      </c>
      <c r="N46" s="54" t="s">
        <v>34</v>
      </c>
      <c r="O46" s="113"/>
      <c r="P46" s="260"/>
      <c r="Q46" s="259"/>
      <c r="R46" s="241">
        <f>P45+P47-R45-R49</f>
        <v>1.6900000000000004</v>
      </c>
      <c r="S46" s="54" t="s">
        <v>34</v>
      </c>
      <c r="T46" s="113"/>
      <c r="U46" s="260"/>
      <c r="V46" s="259"/>
      <c r="W46" s="241">
        <f>R46</f>
        <v>1.6900000000000004</v>
      </c>
      <c r="X46" s="54" t="s">
        <v>34</v>
      </c>
      <c r="Y46" s="113"/>
      <c r="Z46" s="260"/>
      <c r="AA46" s="259"/>
      <c r="AB46" s="241">
        <f>Z45</f>
        <v>1.88</v>
      </c>
      <c r="AC46" s="54" t="s">
        <v>34</v>
      </c>
      <c r="AD46" s="113"/>
      <c r="AE46" s="260"/>
      <c r="AF46" s="259"/>
      <c r="AG46" s="241">
        <f>AE45-AG47</f>
        <v>1.39</v>
      </c>
      <c r="AH46" s="54" t="s">
        <v>34</v>
      </c>
      <c r="AI46" s="148"/>
      <c r="AJ46" s="31" t="s">
        <v>188</v>
      </c>
      <c r="AK46" s="241">
        <f>D132</f>
        <v>0.89</v>
      </c>
      <c r="AL46" s="241">
        <f>M132</f>
        <v>0.89</v>
      </c>
      <c r="AM46" s="241">
        <f>R132</f>
        <v>0.89</v>
      </c>
      <c r="AN46" s="241">
        <f>W132</f>
        <v>0.89</v>
      </c>
      <c r="AO46" s="241">
        <f>AB47+AB132</f>
        <v>0.89</v>
      </c>
    </row>
    <row r="47" spans="1:41" s="21" customFormat="1" x14ac:dyDescent="0.25">
      <c r="A47" s="261">
        <v>18</v>
      </c>
      <c r="B47" s="260">
        <v>0.32</v>
      </c>
      <c r="C47" s="259">
        <v>6.52</v>
      </c>
      <c r="D47" s="240"/>
      <c r="E47" s="118"/>
      <c r="F47" s="113"/>
      <c r="G47" s="241">
        <v>0.52</v>
      </c>
      <c r="H47" s="240">
        <v>6.56</v>
      </c>
      <c r="I47" s="240"/>
      <c r="J47" s="113"/>
      <c r="K47" s="260">
        <v>0.28999999999999998</v>
      </c>
      <c r="L47" s="259">
        <v>6.49</v>
      </c>
      <c r="M47" s="241"/>
      <c r="N47" s="118"/>
      <c r="O47" s="113"/>
      <c r="P47" s="260">
        <v>0.2</v>
      </c>
      <c r="Q47" s="259">
        <v>6.49</v>
      </c>
      <c r="R47" s="241"/>
      <c r="S47" s="118"/>
      <c r="T47" s="113"/>
      <c r="U47" s="260">
        <v>0.56000000000000005</v>
      </c>
      <c r="V47" s="259">
        <v>6.48</v>
      </c>
      <c r="W47" s="241"/>
      <c r="X47" s="118"/>
      <c r="Y47" s="113"/>
      <c r="Z47" s="260">
        <v>2.52</v>
      </c>
      <c r="AA47" s="259">
        <v>6.53</v>
      </c>
      <c r="AB47" s="241"/>
      <c r="AC47" s="118"/>
      <c r="AD47" s="113"/>
      <c r="AE47" s="260">
        <v>1.22</v>
      </c>
      <c r="AF47" s="259">
        <v>6.52</v>
      </c>
      <c r="AG47" s="241">
        <f>AB65-AG65</f>
        <v>0.56000000000000005</v>
      </c>
      <c r="AH47" s="74" t="s">
        <v>361</v>
      </c>
      <c r="AI47" s="148"/>
      <c r="AJ47" s="31" t="s">
        <v>189</v>
      </c>
      <c r="AK47" s="241">
        <f>D123+D133+D148</f>
        <v>0.53249999999999997</v>
      </c>
      <c r="AL47" s="241">
        <f>M123+M133+M148</f>
        <v>0.52749999999999997</v>
      </c>
      <c r="AM47" s="241">
        <f>R148+R123</f>
        <v>0.5</v>
      </c>
      <c r="AN47" s="241">
        <f>W148+W123</f>
        <v>0.64</v>
      </c>
      <c r="AO47" s="241">
        <f>AB148</f>
        <v>0.19</v>
      </c>
    </row>
    <row r="48" spans="1:41" s="21" customFormat="1" x14ac:dyDescent="0.25">
      <c r="A48" s="261"/>
      <c r="B48" s="260"/>
      <c r="C48" s="259"/>
      <c r="D48" s="240"/>
      <c r="E48" s="240"/>
      <c r="F48" s="113"/>
      <c r="G48" s="260">
        <v>0.18</v>
      </c>
      <c r="H48" s="259">
        <v>6.59</v>
      </c>
      <c r="I48" s="240"/>
      <c r="J48" s="113"/>
      <c r="K48" s="260"/>
      <c r="L48" s="259"/>
      <c r="M48" s="241"/>
      <c r="N48" s="240"/>
      <c r="O48" s="113"/>
      <c r="P48" s="260"/>
      <c r="Q48" s="259"/>
      <c r="R48" s="241"/>
      <c r="S48" s="240"/>
      <c r="T48" s="113"/>
      <c r="U48" s="260"/>
      <c r="V48" s="259"/>
      <c r="W48" s="241"/>
      <c r="X48" s="240"/>
      <c r="Y48" s="113"/>
      <c r="Z48" s="260"/>
      <c r="AA48" s="259"/>
      <c r="AB48" s="245">
        <v>2</v>
      </c>
      <c r="AC48" s="249" t="s">
        <v>64</v>
      </c>
      <c r="AD48" s="113"/>
      <c r="AE48" s="260"/>
      <c r="AF48" s="259"/>
      <c r="AG48" s="241">
        <f>AE47-AG50</f>
        <v>0.85</v>
      </c>
      <c r="AH48" s="249" t="s">
        <v>64</v>
      </c>
      <c r="AI48" s="148"/>
      <c r="AJ48" s="31" t="s">
        <v>190</v>
      </c>
      <c r="AK48" s="241">
        <f>D128+D163+D190+D207+D209+D210+D222+D227</f>
        <v>2.9099999999999997</v>
      </c>
      <c r="AL48" s="241">
        <f>M128+M163+M190+M207+M209+M210+M222+M227</f>
        <v>2.5249999999999995</v>
      </c>
      <c r="AM48" s="241">
        <f>R128+R137+R151+R189</f>
        <v>2.84</v>
      </c>
      <c r="AN48" s="241">
        <f>W128+W137+W151+W189</f>
        <v>2.35</v>
      </c>
      <c r="AO48" s="241">
        <f>AB48+AB128+AB73+AB112</f>
        <v>2.3099999999999996</v>
      </c>
    </row>
    <row r="49" spans="1:41" s="21" customFormat="1" x14ac:dyDescent="0.25">
      <c r="A49" s="261"/>
      <c r="B49" s="260"/>
      <c r="C49" s="259"/>
      <c r="D49" s="240">
        <f>B47</f>
        <v>0.32</v>
      </c>
      <c r="E49" s="10" t="s">
        <v>441</v>
      </c>
      <c r="F49" s="113"/>
      <c r="G49" s="260"/>
      <c r="H49" s="259"/>
      <c r="I49" s="240"/>
      <c r="J49" s="113"/>
      <c r="K49" s="260"/>
      <c r="L49" s="259"/>
      <c r="M49" s="241">
        <f>K47-M51</f>
        <v>0.28999999999999998</v>
      </c>
      <c r="N49" s="10" t="s">
        <v>441</v>
      </c>
      <c r="O49" s="113"/>
      <c r="P49" s="260"/>
      <c r="Q49" s="259"/>
      <c r="R49" s="241">
        <v>0.56000000000000005</v>
      </c>
      <c r="S49" s="10" t="s">
        <v>323</v>
      </c>
      <c r="T49" s="113"/>
      <c r="U49" s="260"/>
      <c r="V49" s="259"/>
      <c r="W49" s="241">
        <f>U47-W51</f>
        <v>0.56000000000000005</v>
      </c>
      <c r="X49" s="10" t="s">
        <v>323</v>
      </c>
      <c r="Y49" s="113"/>
      <c r="Z49" s="260"/>
      <c r="AA49" s="259"/>
      <c r="AB49" s="241"/>
      <c r="AC49" s="240"/>
      <c r="AD49" s="113"/>
      <c r="AE49" s="260"/>
      <c r="AF49" s="259"/>
      <c r="AG49" s="241"/>
      <c r="AH49" s="240"/>
      <c r="AI49" s="148"/>
      <c r="AJ49" s="31" t="s">
        <v>191</v>
      </c>
      <c r="AK49" s="241">
        <f>D136+D149+D152+D232</f>
        <v>2.9424999999999999</v>
      </c>
      <c r="AL49" s="241">
        <f>M136+M149+M152+M232+M186</f>
        <v>2.9375</v>
      </c>
      <c r="AM49" s="241">
        <f>R149+R146+R186+R86</f>
        <v>2.71</v>
      </c>
      <c r="AN49" s="241">
        <f>W149+W146+W86</f>
        <v>2.6399999999999997</v>
      </c>
      <c r="AO49" s="241">
        <f>AB149+AB86</f>
        <v>1.25</v>
      </c>
    </row>
    <row r="50" spans="1:41" s="21" customFormat="1" x14ac:dyDescent="0.25">
      <c r="A50" s="261"/>
      <c r="B50" s="260"/>
      <c r="C50" s="259"/>
      <c r="D50" s="240"/>
      <c r="E50" s="56"/>
      <c r="F50" s="113"/>
      <c r="G50" s="260"/>
      <c r="H50" s="259"/>
      <c r="I50" s="240"/>
      <c r="J50" s="113"/>
      <c r="K50" s="260"/>
      <c r="L50" s="259"/>
      <c r="M50" s="241"/>
      <c r="N50" s="56"/>
      <c r="O50" s="113"/>
      <c r="P50" s="260">
        <v>0.08</v>
      </c>
      <c r="Q50" s="259">
        <v>6.51</v>
      </c>
      <c r="R50" s="241"/>
      <c r="S50" s="8"/>
      <c r="T50" s="113"/>
      <c r="U50" s="260"/>
      <c r="V50" s="259"/>
      <c r="W50" s="241"/>
      <c r="X50" s="8"/>
      <c r="Y50" s="113"/>
      <c r="Z50" s="260"/>
      <c r="AA50" s="259"/>
      <c r="AB50" s="241"/>
      <c r="AC50" s="8"/>
      <c r="AD50" s="113"/>
      <c r="AE50" s="260"/>
      <c r="AF50" s="259"/>
      <c r="AG50" s="241">
        <v>0.37</v>
      </c>
      <c r="AH50" s="15" t="s">
        <v>62</v>
      </c>
      <c r="AI50" s="148"/>
      <c r="AJ50" s="36" t="s">
        <v>203</v>
      </c>
      <c r="AK50" s="19"/>
      <c r="AL50" s="19"/>
      <c r="AM50" s="19"/>
      <c r="AN50" s="19"/>
      <c r="AO50" s="19"/>
    </row>
    <row r="51" spans="1:41" s="21" customFormat="1" x14ac:dyDescent="0.25">
      <c r="A51" s="261"/>
      <c r="B51" s="260"/>
      <c r="C51" s="259"/>
      <c r="D51" s="240"/>
      <c r="E51" s="246"/>
      <c r="F51" s="113"/>
      <c r="G51" s="260"/>
      <c r="H51" s="259"/>
      <c r="I51" s="240"/>
      <c r="J51" s="113"/>
      <c r="K51" s="260"/>
      <c r="L51" s="259"/>
      <c r="M51" s="241"/>
      <c r="N51" s="246"/>
      <c r="O51" s="113"/>
      <c r="P51" s="260"/>
      <c r="Q51" s="259"/>
      <c r="R51" s="241"/>
      <c r="S51" s="246"/>
      <c r="T51" s="113"/>
      <c r="U51" s="260"/>
      <c r="V51" s="259"/>
      <c r="W51" s="241"/>
      <c r="X51" s="246"/>
      <c r="Y51" s="113"/>
      <c r="Z51" s="260"/>
      <c r="AA51" s="259"/>
      <c r="AB51" s="56"/>
      <c r="AC51" s="56"/>
      <c r="AD51" s="113"/>
      <c r="AE51" s="260">
        <v>0.37</v>
      </c>
      <c r="AF51" s="259">
        <v>6.6</v>
      </c>
      <c r="AG51" s="241"/>
      <c r="AH51" s="241"/>
      <c r="AI51" s="148"/>
      <c r="AJ51" s="36" t="s">
        <v>204</v>
      </c>
      <c r="AK51" s="19">
        <f>D166</f>
        <v>0.19</v>
      </c>
      <c r="AL51" s="19">
        <f>M166</f>
        <v>0.19</v>
      </c>
      <c r="AM51" s="19">
        <f>R166</f>
        <v>0.19</v>
      </c>
      <c r="AN51" s="19">
        <f>W166</f>
        <v>0.13</v>
      </c>
      <c r="AO51" s="19">
        <f>AB123</f>
        <v>0.65</v>
      </c>
    </row>
    <row r="52" spans="1:41" s="21" customFormat="1" x14ac:dyDescent="0.25">
      <c r="A52" s="261"/>
      <c r="B52" s="260"/>
      <c r="C52" s="259"/>
      <c r="D52" s="240"/>
      <c r="E52" s="8"/>
      <c r="F52" s="113"/>
      <c r="G52" s="260"/>
      <c r="H52" s="259"/>
      <c r="I52" s="240"/>
      <c r="J52" s="113"/>
      <c r="K52" s="260"/>
      <c r="L52" s="259"/>
      <c r="M52" s="241"/>
      <c r="N52" s="8"/>
      <c r="O52" s="113"/>
      <c r="P52" s="260"/>
      <c r="Q52" s="259"/>
      <c r="R52" s="241"/>
      <c r="S52" s="8"/>
      <c r="T52" s="113"/>
      <c r="U52" s="260"/>
      <c r="V52" s="259"/>
      <c r="W52" s="241"/>
      <c r="X52" s="8"/>
      <c r="Y52" s="113"/>
      <c r="Z52" s="260"/>
      <c r="AA52" s="259"/>
      <c r="AB52" s="241"/>
      <c r="AC52" s="8"/>
      <c r="AD52" s="113"/>
      <c r="AE52" s="260"/>
      <c r="AF52" s="259"/>
      <c r="AG52" s="241"/>
      <c r="AH52" s="241"/>
      <c r="AI52" s="148"/>
      <c r="AJ52" s="36" t="s">
        <v>198</v>
      </c>
      <c r="AK52" s="19"/>
      <c r="AL52" s="19"/>
      <c r="AM52" s="19"/>
      <c r="AN52" s="19"/>
      <c r="AO52" s="19"/>
    </row>
    <row r="53" spans="1:41" s="21" customFormat="1" x14ac:dyDescent="0.25">
      <c r="A53" s="261"/>
      <c r="B53" s="260"/>
      <c r="C53" s="259"/>
      <c r="D53" s="240"/>
      <c r="E53" s="240"/>
      <c r="F53" s="113"/>
      <c r="G53" s="260"/>
      <c r="H53" s="259"/>
      <c r="I53" s="240"/>
      <c r="J53" s="113"/>
      <c r="K53" s="260"/>
      <c r="L53" s="259"/>
      <c r="M53" s="241"/>
      <c r="N53" s="240"/>
      <c r="O53" s="113"/>
      <c r="P53" s="260"/>
      <c r="Q53" s="259"/>
      <c r="R53" s="241"/>
      <c r="S53" s="241"/>
      <c r="T53" s="113"/>
      <c r="U53" s="260"/>
      <c r="V53" s="259"/>
      <c r="W53" s="241"/>
      <c r="X53" s="241"/>
      <c r="Y53" s="113"/>
      <c r="Z53" s="260"/>
      <c r="AA53" s="259"/>
      <c r="AB53" s="241">
        <f>Z47+Z54-AB48-AB54</f>
        <v>1.08</v>
      </c>
      <c r="AC53" s="62" t="s">
        <v>101</v>
      </c>
      <c r="AD53" s="113"/>
      <c r="AE53" s="260"/>
      <c r="AF53" s="259"/>
      <c r="AG53" s="241">
        <f>AE51</f>
        <v>0.37</v>
      </c>
      <c r="AH53" s="62" t="s">
        <v>101</v>
      </c>
      <c r="AI53" s="148"/>
      <c r="AJ53" s="36" t="s">
        <v>199</v>
      </c>
      <c r="AK53" s="19"/>
      <c r="AL53" s="19"/>
      <c r="AM53" s="19"/>
      <c r="AN53" s="19"/>
      <c r="AO53" s="19"/>
    </row>
    <row r="54" spans="1:41" s="21" customFormat="1" x14ac:dyDescent="0.25">
      <c r="A54" s="261">
        <v>19</v>
      </c>
      <c r="B54" s="260">
        <v>0.5</v>
      </c>
      <c r="C54" s="259">
        <v>6.64</v>
      </c>
      <c r="D54" s="56"/>
      <c r="E54" s="56"/>
      <c r="F54" s="113"/>
      <c r="G54" s="241">
        <v>0.45</v>
      </c>
      <c r="H54" s="240">
        <v>6.69</v>
      </c>
      <c r="I54" s="240"/>
      <c r="J54" s="113"/>
      <c r="K54" s="260">
        <v>0.64</v>
      </c>
      <c r="L54" s="259">
        <v>6.6</v>
      </c>
      <c r="M54" s="56"/>
      <c r="N54" s="56"/>
      <c r="O54" s="113"/>
      <c r="P54" s="260">
        <v>0.71</v>
      </c>
      <c r="Q54" s="259">
        <v>6.61</v>
      </c>
      <c r="R54" s="56"/>
      <c r="S54" s="56"/>
      <c r="T54" s="113"/>
      <c r="U54" s="260">
        <v>3.75</v>
      </c>
      <c r="V54" s="259">
        <v>6.61</v>
      </c>
      <c r="W54" s="19">
        <f>R154-W154</f>
        <v>0.26</v>
      </c>
      <c r="X54" s="70" t="s">
        <v>22</v>
      </c>
      <c r="Y54" s="113"/>
      <c r="Z54" s="260">
        <v>1.06</v>
      </c>
      <c r="AA54" s="259">
        <v>6.64</v>
      </c>
      <c r="AB54" s="241">
        <v>0.5</v>
      </c>
      <c r="AC54" s="70" t="s">
        <v>22</v>
      </c>
      <c r="AD54" s="113"/>
      <c r="AE54" s="260">
        <v>7.0000000000000007E-2</v>
      </c>
      <c r="AF54" s="259">
        <v>6.66</v>
      </c>
      <c r="AG54" s="241"/>
      <c r="AH54" s="240"/>
      <c r="AI54" s="148"/>
      <c r="AJ54" s="31" t="s">
        <v>192</v>
      </c>
      <c r="AK54" s="241">
        <f>D175</f>
        <v>7.0000000000000007E-2</v>
      </c>
      <c r="AL54" s="241">
        <f>M175</f>
        <v>7.0000000000000007E-2</v>
      </c>
      <c r="AM54" s="241">
        <f>R175</f>
        <v>7.0000000000000007E-2</v>
      </c>
      <c r="AN54" s="241">
        <f>W175</f>
        <v>0.43</v>
      </c>
      <c r="AO54" s="241"/>
    </row>
    <row r="55" spans="1:41" s="21" customFormat="1" x14ac:dyDescent="0.25">
      <c r="A55" s="261"/>
      <c r="B55" s="260"/>
      <c r="C55" s="259"/>
      <c r="D55" s="240">
        <v>0.25</v>
      </c>
      <c r="E55" s="59" t="s">
        <v>409</v>
      </c>
      <c r="F55" s="113"/>
      <c r="G55" s="241"/>
      <c r="H55" s="240"/>
      <c r="I55" s="240"/>
      <c r="J55" s="113"/>
      <c r="K55" s="260"/>
      <c r="L55" s="259"/>
      <c r="M55" s="241">
        <f>D55</f>
        <v>0.25</v>
      </c>
      <c r="N55" s="59" t="s">
        <v>409</v>
      </c>
      <c r="O55" s="113"/>
      <c r="P55" s="260"/>
      <c r="Q55" s="259"/>
      <c r="R55" s="241">
        <v>0.25</v>
      </c>
      <c r="S55" s="59" t="s">
        <v>51</v>
      </c>
      <c r="T55" s="113"/>
      <c r="U55" s="260"/>
      <c r="V55" s="259"/>
      <c r="W55" s="241">
        <f>R55</f>
        <v>0.25</v>
      </c>
      <c r="X55" s="59" t="s">
        <v>51</v>
      </c>
      <c r="Y55" s="113"/>
      <c r="Z55" s="260"/>
      <c r="AA55" s="259"/>
      <c r="AB55" s="241"/>
      <c r="AC55" s="56"/>
      <c r="AD55" s="113"/>
      <c r="AE55" s="260"/>
      <c r="AF55" s="259"/>
      <c r="AG55" s="241"/>
      <c r="AH55" s="240"/>
      <c r="AI55" s="148"/>
      <c r="AJ55" s="36" t="s">
        <v>205</v>
      </c>
      <c r="AK55" s="241"/>
      <c r="AL55" s="241"/>
      <c r="AM55" s="19"/>
      <c r="AN55" s="19"/>
      <c r="AO55" s="19"/>
    </row>
    <row r="56" spans="1:41" s="21" customFormat="1" x14ac:dyDescent="0.25">
      <c r="A56" s="261"/>
      <c r="B56" s="260"/>
      <c r="C56" s="259"/>
      <c r="D56" s="240">
        <v>0.25</v>
      </c>
      <c r="E56" s="249" t="s">
        <v>408</v>
      </c>
      <c r="F56" s="113"/>
      <c r="G56" s="241">
        <v>0.46</v>
      </c>
      <c r="H56" s="240">
        <v>6.75</v>
      </c>
      <c r="I56" s="240"/>
      <c r="J56" s="113"/>
      <c r="K56" s="260"/>
      <c r="L56" s="259"/>
      <c r="M56" s="241">
        <f>K54-M55</f>
        <v>0.39</v>
      </c>
      <c r="N56" s="249" t="s">
        <v>408</v>
      </c>
      <c r="O56" s="113"/>
      <c r="P56" s="260"/>
      <c r="Q56" s="259"/>
      <c r="R56" s="241">
        <f>P54+P50+P47+P45-R45-R46-R49-R55</f>
        <v>0.54</v>
      </c>
      <c r="S56" s="249" t="s">
        <v>423</v>
      </c>
      <c r="T56" s="113"/>
      <c r="U56" s="260"/>
      <c r="V56" s="259"/>
      <c r="W56" s="241">
        <f>U54+U57-W55-W59-W58+U47+U42-W45-W46-W49-W54</f>
        <v>12.5</v>
      </c>
      <c r="X56" s="249" t="s">
        <v>50</v>
      </c>
      <c r="Y56" s="113"/>
      <c r="Z56" s="260"/>
      <c r="AA56" s="259"/>
      <c r="AB56" s="56"/>
      <c r="AC56" s="56"/>
      <c r="AD56" s="113"/>
      <c r="AE56" s="241">
        <v>0.05</v>
      </c>
      <c r="AF56" s="240">
        <v>6.71</v>
      </c>
      <c r="AG56" s="241"/>
      <c r="AH56" s="240"/>
      <c r="AI56" s="148"/>
      <c r="AJ56" s="25" t="s">
        <v>193</v>
      </c>
      <c r="AK56" s="1">
        <f>SUM(AK42:AK55)</f>
        <v>9.5974999999999984</v>
      </c>
      <c r="AL56" s="1">
        <f>SUM(AL42:AL55)</f>
        <v>9.5724999999999998</v>
      </c>
      <c r="AM56" s="1">
        <f>SUM(AM42:AM55)</f>
        <v>9.06</v>
      </c>
      <c r="AN56" s="1">
        <f>SUM(AN42:AN55)</f>
        <v>9.19</v>
      </c>
      <c r="AO56" s="1">
        <f>SUM(AO42:AO55)</f>
        <v>8.4499999999999993</v>
      </c>
    </row>
    <row r="57" spans="1:41" s="21" customFormat="1" ht="15.75" thickBot="1" x14ac:dyDescent="0.3">
      <c r="A57" s="261">
        <v>20</v>
      </c>
      <c r="B57" s="260">
        <v>0.12</v>
      </c>
      <c r="C57" s="259">
        <v>6.76</v>
      </c>
      <c r="D57" s="240"/>
      <c r="E57" s="118"/>
      <c r="F57" s="113"/>
      <c r="G57" s="260">
        <v>0.17</v>
      </c>
      <c r="H57" s="259">
        <v>6.81</v>
      </c>
      <c r="I57" s="240"/>
      <c r="J57" s="113"/>
      <c r="K57" s="260">
        <v>0.15</v>
      </c>
      <c r="L57" s="259">
        <v>6.74</v>
      </c>
      <c r="M57" s="241"/>
      <c r="N57" s="118"/>
      <c r="O57" s="113"/>
      <c r="P57" s="260">
        <v>0.1</v>
      </c>
      <c r="Q57" s="259">
        <v>6.77</v>
      </c>
      <c r="R57" s="56"/>
      <c r="S57" s="56"/>
      <c r="T57" s="113"/>
      <c r="U57" s="260">
        <v>5.4</v>
      </c>
      <c r="V57" s="259">
        <v>6.71</v>
      </c>
      <c r="W57" s="56"/>
      <c r="X57" s="56"/>
      <c r="Y57" s="113"/>
      <c r="Z57" s="260">
        <v>0.53</v>
      </c>
      <c r="AA57" s="259">
        <v>6.77</v>
      </c>
      <c r="AB57" s="56"/>
      <c r="AC57" s="56"/>
      <c r="AD57" s="113"/>
      <c r="AE57" s="241">
        <v>0.08</v>
      </c>
      <c r="AF57" s="240">
        <v>6.76</v>
      </c>
      <c r="AG57" s="241"/>
      <c r="AH57" s="240"/>
      <c r="AI57" s="148"/>
    </row>
    <row r="58" spans="1:41" s="21" customFormat="1" x14ac:dyDescent="0.25">
      <c r="A58" s="261"/>
      <c r="B58" s="260"/>
      <c r="C58" s="259"/>
      <c r="D58" s="240">
        <f>B57</f>
        <v>0.12</v>
      </c>
      <c r="E58" s="63" t="s">
        <v>436</v>
      </c>
      <c r="F58" s="113"/>
      <c r="G58" s="260"/>
      <c r="H58" s="259"/>
      <c r="I58" s="240"/>
      <c r="J58" s="113"/>
      <c r="K58" s="260"/>
      <c r="L58" s="259"/>
      <c r="M58" s="241">
        <f>K57</f>
        <v>0.15</v>
      </c>
      <c r="N58" s="63" t="s">
        <v>436</v>
      </c>
      <c r="O58" s="113"/>
      <c r="P58" s="260"/>
      <c r="Q58" s="259"/>
      <c r="R58" s="241">
        <v>0.06</v>
      </c>
      <c r="S58" s="63" t="s">
        <v>127</v>
      </c>
      <c r="T58" s="113"/>
      <c r="U58" s="260"/>
      <c r="V58" s="259"/>
      <c r="W58" s="241">
        <f>R58</f>
        <v>0.06</v>
      </c>
      <c r="X58" s="63" t="s">
        <v>127</v>
      </c>
      <c r="Y58" s="113"/>
      <c r="Z58" s="260"/>
      <c r="AA58" s="259"/>
      <c r="AB58" s="56"/>
      <c r="AC58" s="56"/>
      <c r="AD58" s="113"/>
      <c r="AE58" s="241">
        <v>0.04</v>
      </c>
      <c r="AF58" s="240">
        <v>6.81</v>
      </c>
      <c r="AG58" s="241"/>
      <c r="AH58" s="240"/>
      <c r="AI58" s="148"/>
      <c r="AJ58" s="153" t="s">
        <v>277</v>
      </c>
      <c r="AK58" s="41" t="s">
        <v>1</v>
      </c>
      <c r="AL58" s="38" t="s">
        <v>2</v>
      </c>
      <c r="AM58" s="41" t="s">
        <v>4</v>
      </c>
    </row>
    <row r="59" spans="1:41" s="21" customFormat="1" x14ac:dyDescent="0.25">
      <c r="A59" s="261"/>
      <c r="B59" s="260"/>
      <c r="C59" s="259"/>
      <c r="D59" s="240"/>
      <c r="E59" s="240"/>
      <c r="F59" s="113"/>
      <c r="G59" s="241">
        <v>0.15</v>
      </c>
      <c r="H59" s="240">
        <v>6.87</v>
      </c>
      <c r="I59" s="240"/>
      <c r="J59" s="113"/>
      <c r="K59" s="241">
        <v>0.03</v>
      </c>
      <c r="L59" s="240">
        <v>6.81</v>
      </c>
      <c r="M59" s="241"/>
      <c r="N59" s="240"/>
      <c r="O59" s="113"/>
      <c r="P59" s="260"/>
      <c r="Q59" s="259"/>
      <c r="R59" s="245"/>
      <c r="S59" s="96"/>
      <c r="T59" s="113"/>
      <c r="U59" s="260"/>
      <c r="V59" s="259"/>
      <c r="W59" s="245"/>
      <c r="X59" s="96"/>
      <c r="Y59" s="113"/>
      <c r="Z59" s="241">
        <v>7.0000000000000007E-2</v>
      </c>
      <c r="AA59" s="240">
        <v>6.86</v>
      </c>
      <c r="AB59" s="241">
        <f>Z57+Z59</f>
        <v>0.60000000000000009</v>
      </c>
      <c r="AC59" s="68" t="s">
        <v>39</v>
      </c>
      <c r="AD59" s="113"/>
      <c r="AE59" s="241">
        <v>0.14000000000000001</v>
      </c>
      <c r="AF59" s="240">
        <v>6.92</v>
      </c>
      <c r="AG59" s="241"/>
      <c r="AH59" s="240"/>
      <c r="AI59" s="148"/>
      <c r="AJ59" s="111" t="s">
        <v>272</v>
      </c>
      <c r="AK59" s="19">
        <f>D5+D13+D21+D23+D28+D31+D41+D66+D67+D76+D84+D92+D100+D104+D168+D175+D140</f>
        <v>15.820000000000002</v>
      </c>
      <c r="AL59" s="19">
        <f>M5+M13+M21+M23+M28+M31+M41+M66+M67+M76+M84+M92+M100+M104+M168+M175+M140</f>
        <v>16.04</v>
      </c>
      <c r="AM59" s="19">
        <f>R5+R13+R21+R23+R28+R31+R41+R66+R67+R76+R84+R92+R100+R104+R168+R175+R140+R63+R32+R33</f>
        <v>16.39</v>
      </c>
      <c r="AN59" s="19">
        <f>AVERAGE(AK59:AM59)</f>
        <v>16.083333333333332</v>
      </c>
      <c r="AO59" s="21" t="s">
        <v>297</v>
      </c>
    </row>
    <row r="60" spans="1:41" s="21" customFormat="1" x14ac:dyDescent="0.25">
      <c r="A60" s="261">
        <v>21</v>
      </c>
      <c r="B60" s="260">
        <v>0.47</v>
      </c>
      <c r="C60" s="259">
        <v>6.91</v>
      </c>
      <c r="D60" s="240"/>
      <c r="E60" s="240"/>
      <c r="F60" s="113"/>
      <c r="G60" s="260">
        <v>0.94</v>
      </c>
      <c r="H60" s="259">
        <v>6.95</v>
      </c>
      <c r="I60" s="240"/>
      <c r="J60" s="113"/>
      <c r="K60" s="260">
        <v>0.47</v>
      </c>
      <c r="L60" s="259">
        <v>6.89</v>
      </c>
      <c r="M60" s="241"/>
      <c r="N60" s="240"/>
      <c r="O60" s="113"/>
      <c r="P60" s="260">
        <v>0.49</v>
      </c>
      <c r="Q60" s="259">
        <v>6.89</v>
      </c>
      <c r="R60" s="241"/>
      <c r="S60" s="240"/>
      <c r="T60" s="113"/>
      <c r="U60" s="260">
        <v>1.1200000000000001</v>
      </c>
      <c r="V60" s="259">
        <v>6.88</v>
      </c>
      <c r="W60" s="241"/>
      <c r="X60" s="240"/>
      <c r="Y60" s="113"/>
      <c r="Z60" s="260">
        <v>1.27</v>
      </c>
      <c r="AA60" s="259">
        <v>6.94</v>
      </c>
      <c r="AB60" s="241"/>
      <c r="AC60" s="240"/>
      <c r="AD60" s="113"/>
      <c r="AE60" s="260">
        <v>0.69</v>
      </c>
      <c r="AF60" s="259">
        <v>6.99</v>
      </c>
      <c r="AG60" s="241"/>
      <c r="AH60" s="240"/>
      <c r="AI60" s="148"/>
      <c r="AJ60" s="111" t="s">
        <v>273</v>
      </c>
      <c r="AK60" s="19">
        <f>D42+D49+D45+D55+D56+D58+D61+D65+D103+D106+D133+D136+D138</f>
        <v>2.7450000000000006</v>
      </c>
      <c r="AL60" s="19">
        <f>M42+M49+M45+M55+M56+M58+M61+M65+M103+M106+M133+M136+M138</f>
        <v>2.7149999999999999</v>
      </c>
      <c r="AM60" s="19">
        <f>R42+R49+R45+R55+R56+R58+R61+R65+R103+R106+R133+R136+R138+R64+R70+R95</f>
        <v>3.52</v>
      </c>
      <c r="AN60" s="19">
        <f>AVERAGE(AK60:AM60)</f>
        <v>2.9933333333333336</v>
      </c>
      <c r="AO60" s="21" t="s">
        <v>300</v>
      </c>
    </row>
    <row r="61" spans="1:41" s="21" customFormat="1" x14ac:dyDescent="0.25">
      <c r="A61" s="261"/>
      <c r="B61" s="260"/>
      <c r="C61" s="259"/>
      <c r="D61" s="241">
        <f>R61</f>
        <v>0.02</v>
      </c>
      <c r="E61" s="10" t="s">
        <v>105</v>
      </c>
      <c r="F61" s="113"/>
      <c r="G61" s="260"/>
      <c r="H61" s="259"/>
      <c r="I61" s="240"/>
      <c r="J61" s="113"/>
      <c r="K61" s="260"/>
      <c r="L61" s="259"/>
      <c r="M61" s="241">
        <f>D61</f>
        <v>0.02</v>
      </c>
      <c r="N61" s="10" t="s">
        <v>105</v>
      </c>
      <c r="O61" s="113"/>
      <c r="P61" s="260"/>
      <c r="Q61" s="259"/>
      <c r="R61" s="241">
        <v>0.02</v>
      </c>
      <c r="S61" s="10" t="s">
        <v>105</v>
      </c>
      <c r="T61" s="113"/>
      <c r="U61" s="260"/>
      <c r="V61" s="259"/>
      <c r="W61" s="241">
        <v>0.02</v>
      </c>
      <c r="X61" s="10" t="s">
        <v>105</v>
      </c>
      <c r="Y61" s="113"/>
      <c r="Z61" s="260"/>
      <c r="AA61" s="259"/>
      <c r="AB61" s="241">
        <v>0.02</v>
      </c>
      <c r="AC61" s="10" t="s">
        <v>105</v>
      </c>
      <c r="AD61" s="113"/>
      <c r="AE61" s="260"/>
      <c r="AF61" s="259"/>
      <c r="AG61" s="241">
        <f>AB61</f>
        <v>0.02</v>
      </c>
      <c r="AH61" s="10" t="s">
        <v>105</v>
      </c>
      <c r="AI61" s="148"/>
      <c r="AJ61" s="111" t="s">
        <v>274</v>
      </c>
      <c r="AK61" s="19">
        <f>D71+D75+D83+D88+D89+D90+D91+D97+D109+D113+D114+D119+D121+D122+D123+D128+D129+D130+D131+D132+D135+D141+D142+D146+D148+D149+D150+D152+D156+D157+D161+D171+D174+D178+D177+D183+D184+D211</f>
        <v>18.38</v>
      </c>
      <c r="AL61" s="19">
        <f>M71+M75+M83+M88+M89+M90+M91+M97+M109+M113+M114+M119+M121+M122+M123+M128+M129+M130+M131+M132+M135+M141+M142+M146+M148+M149+M150+M152+M156+M157+M161+M171+M174+M178+M177+M183+M184+M211+M210</f>
        <v>19.300000000000004</v>
      </c>
      <c r="AM61" s="19">
        <f>R71+R75+R83+R88+R89+R90+R91+R97+R109+R113+R114+R119+R121+R122+R123+R128+R129+R130+R131+R132+R135+R142+R146+R148+R149+R150+R152+R155+R158+R161+R171+R174+R177+R178+R183+R184+R211+R210+R191</f>
        <v>19.449999999999996</v>
      </c>
      <c r="AN61" s="19">
        <f>AVERAGE(AK61:AM61)</f>
        <v>19.043333333333333</v>
      </c>
      <c r="AO61" s="21" t="s">
        <v>301</v>
      </c>
    </row>
    <row r="62" spans="1:41" s="21" customFormat="1" x14ac:dyDescent="0.25">
      <c r="A62" s="261"/>
      <c r="B62" s="260"/>
      <c r="C62" s="259"/>
      <c r="D62" s="240"/>
      <c r="E62" s="240"/>
      <c r="F62" s="113"/>
      <c r="G62" s="260"/>
      <c r="H62" s="259"/>
      <c r="I62" s="240"/>
      <c r="J62" s="113"/>
      <c r="K62" s="260"/>
      <c r="L62" s="259"/>
      <c r="M62" s="241"/>
      <c r="N62" s="240"/>
      <c r="O62" s="113"/>
      <c r="P62" s="260"/>
      <c r="Q62" s="259"/>
      <c r="R62" s="241"/>
      <c r="S62" s="246"/>
      <c r="T62" s="113"/>
      <c r="U62" s="260"/>
      <c r="V62" s="259"/>
      <c r="W62" s="245"/>
      <c r="X62" s="246"/>
      <c r="Y62" s="113"/>
      <c r="Z62" s="260"/>
      <c r="AA62" s="259"/>
      <c r="AB62" s="245"/>
      <c r="AC62" s="246"/>
      <c r="AD62" s="113"/>
      <c r="AE62" s="260"/>
      <c r="AF62" s="259"/>
      <c r="AG62" s="241"/>
      <c r="AH62" s="240"/>
      <c r="AI62" s="148"/>
      <c r="AJ62" s="111" t="s">
        <v>275</v>
      </c>
      <c r="AK62" s="19">
        <f>D232+D227+D226+D223+D222+D219+D213+D209+D207+D204+D203+D201+D194+D190+D189+D187+D166+D163+D162+D143+D139+D118+D117+D116</f>
        <v>39.301666666666677</v>
      </c>
      <c r="AL62" s="19">
        <f>M232+M227+M226+M223+M222+M219+M213+M209+M207+M204+M203+M201+M194+M190+M189+M187+M166+M163+M162+M143+M139+M118+M117+M116+M186</f>
        <v>37.835000000000001</v>
      </c>
      <c r="AM62" s="19">
        <f>R232+R227+R226+R223+R222+R219+R213+R209+R207+R204+R203+R201+R194+R190+R189+R187+R166+R163+R162+R146+R139+R118+R117+R116+R186+R112+R110+R127+R137+R154+R141</f>
        <v>30.88</v>
      </c>
      <c r="AN62" s="19">
        <f>AVERAGE(AK62:AM62)</f>
        <v>36.00555555555556</v>
      </c>
      <c r="AO62" s="21" t="s">
        <v>298</v>
      </c>
    </row>
    <row r="63" spans="1:41" s="21" customFormat="1" x14ac:dyDescent="0.25">
      <c r="A63" s="261"/>
      <c r="B63" s="260"/>
      <c r="C63" s="259"/>
      <c r="D63" s="240"/>
      <c r="E63" s="240"/>
      <c r="F63" s="113"/>
      <c r="G63" s="260"/>
      <c r="H63" s="259"/>
      <c r="I63" s="240"/>
      <c r="J63" s="113"/>
      <c r="K63" s="260"/>
      <c r="L63" s="259"/>
      <c r="M63" s="241"/>
      <c r="N63" s="240"/>
      <c r="O63" s="113"/>
      <c r="P63" s="260"/>
      <c r="Q63" s="259"/>
      <c r="R63" s="241">
        <v>0.02</v>
      </c>
      <c r="S63" s="6" t="s">
        <v>121</v>
      </c>
      <c r="T63" s="113"/>
      <c r="U63" s="260"/>
      <c r="V63" s="259"/>
      <c r="W63" s="241">
        <f>R63</f>
        <v>0.02</v>
      </c>
      <c r="X63" s="6" t="s">
        <v>121</v>
      </c>
      <c r="Y63" s="113"/>
      <c r="Z63" s="260"/>
      <c r="AA63" s="259"/>
      <c r="AB63" s="241">
        <f>AB61</f>
        <v>0.02</v>
      </c>
      <c r="AC63" s="6" t="s">
        <v>121</v>
      </c>
      <c r="AD63" s="113"/>
      <c r="AE63" s="260"/>
      <c r="AF63" s="259"/>
      <c r="AG63" s="241">
        <f>AE59</f>
        <v>0.14000000000000001</v>
      </c>
      <c r="AH63" s="74" t="s">
        <v>333</v>
      </c>
      <c r="AI63" s="148"/>
      <c r="AJ63" s="111" t="s">
        <v>276</v>
      </c>
      <c r="AK63" s="19">
        <f>D216+D208+D188+D228</f>
        <v>1.2400000000000002</v>
      </c>
      <c r="AL63" s="19">
        <f>M216+M208+M188+M228</f>
        <v>0.8600000000000001</v>
      </c>
      <c r="AM63" s="19">
        <f>R216+R208+R188+R228+R177+R156</f>
        <v>1.2400000000000002</v>
      </c>
      <c r="AN63" s="19">
        <f>AVERAGE(AK63:AM63)</f>
        <v>1.1133333333333335</v>
      </c>
      <c r="AO63" s="21" t="s">
        <v>299</v>
      </c>
    </row>
    <row r="64" spans="1:41" s="21" customFormat="1" x14ac:dyDescent="0.25">
      <c r="A64" s="261"/>
      <c r="B64" s="260"/>
      <c r="C64" s="259"/>
      <c r="D64" s="240"/>
      <c r="E64" s="240"/>
      <c r="F64" s="113"/>
      <c r="G64" s="260"/>
      <c r="H64" s="259"/>
      <c r="I64" s="240"/>
      <c r="J64" s="113"/>
      <c r="K64" s="260"/>
      <c r="L64" s="259"/>
      <c r="M64" s="241"/>
      <c r="N64" s="240"/>
      <c r="O64" s="113"/>
      <c r="P64" s="260"/>
      <c r="Q64" s="259"/>
      <c r="R64" s="241">
        <v>0.42</v>
      </c>
      <c r="S64" s="6" t="s">
        <v>171</v>
      </c>
      <c r="T64" s="113"/>
      <c r="U64" s="260"/>
      <c r="V64" s="259"/>
      <c r="W64" s="241">
        <f>R64</f>
        <v>0.42</v>
      </c>
      <c r="X64" s="6" t="s">
        <v>171</v>
      </c>
      <c r="Y64" s="113"/>
      <c r="Z64" s="260"/>
      <c r="AA64" s="259"/>
      <c r="AB64" s="241"/>
      <c r="AC64" s="56"/>
      <c r="AD64" s="113"/>
      <c r="AE64" s="260"/>
      <c r="AF64" s="259"/>
      <c r="AG64" s="241"/>
      <c r="AH64" s="240"/>
      <c r="AI64" s="148"/>
      <c r="AJ64" s="111" t="s">
        <v>555</v>
      </c>
      <c r="AN64" s="19">
        <f>R49+R45+R55+R56+R58+R64+R71+R75+R83+R89+R90+R91+R95+R97+R106+R110+R112+R117+R139+R156+R141+R188</f>
        <v>29.62</v>
      </c>
    </row>
    <row r="65" spans="1:87" s="21" customFormat="1" x14ac:dyDescent="0.25">
      <c r="A65" s="261"/>
      <c r="B65" s="260"/>
      <c r="C65" s="259"/>
      <c r="D65" s="240">
        <f>B60-D61-D62</f>
        <v>0.44999999999999996</v>
      </c>
      <c r="E65" s="7" t="s">
        <v>106</v>
      </c>
      <c r="F65" s="113"/>
      <c r="G65" s="260"/>
      <c r="H65" s="259"/>
      <c r="I65" s="240"/>
      <c r="J65" s="113"/>
      <c r="K65" s="241">
        <v>0.05</v>
      </c>
      <c r="L65" s="240">
        <v>6.95</v>
      </c>
      <c r="M65" s="241">
        <f>K60+K65-M61-M62</f>
        <v>0.5</v>
      </c>
      <c r="N65" s="7" t="s">
        <v>106</v>
      </c>
      <c r="O65" s="113"/>
      <c r="P65" s="260"/>
      <c r="Q65" s="259"/>
      <c r="R65" s="241">
        <f>P60-R61-R63-R64</f>
        <v>2.9999999999999971E-2</v>
      </c>
      <c r="S65" s="7" t="s">
        <v>106</v>
      </c>
      <c r="T65" s="113"/>
      <c r="U65" s="260"/>
      <c r="V65" s="259"/>
      <c r="W65" s="241">
        <f>U60-W61-W63-W64</f>
        <v>0.66000000000000014</v>
      </c>
      <c r="X65" s="7" t="s">
        <v>106</v>
      </c>
      <c r="Y65" s="113"/>
      <c r="Z65" s="260"/>
      <c r="AA65" s="259"/>
      <c r="AB65" s="241">
        <f>Z60-AB61-AB63</f>
        <v>1.23</v>
      </c>
      <c r="AC65" s="7" t="s">
        <v>106</v>
      </c>
      <c r="AD65" s="113"/>
      <c r="AE65" s="260"/>
      <c r="AF65" s="259"/>
      <c r="AG65" s="241">
        <f>AE60-AG61</f>
        <v>0.66999999999999993</v>
      </c>
      <c r="AH65" s="7" t="s">
        <v>106</v>
      </c>
      <c r="AI65" s="148"/>
      <c r="AJ65" s="111" t="s">
        <v>556</v>
      </c>
      <c r="AN65" s="19">
        <f>R42+R70+R118+R127+R154+R177</f>
        <v>7.1599999999999993</v>
      </c>
    </row>
    <row r="66" spans="1:87" s="21" customFormat="1" x14ac:dyDescent="0.25">
      <c r="A66" s="261">
        <v>22</v>
      </c>
      <c r="B66" s="260">
        <v>3</v>
      </c>
      <c r="C66" s="259">
        <v>7.04</v>
      </c>
      <c r="D66" s="240">
        <f>B66-D67</f>
        <v>1.76</v>
      </c>
      <c r="E66" s="6" t="s">
        <v>48</v>
      </c>
      <c r="F66" s="113"/>
      <c r="G66" s="263">
        <v>0.28999999999999998</v>
      </c>
      <c r="H66" s="266">
        <v>7.07</v>
      </c>
      <c r="I66" s="149"/>
      <c r="J66" s="113"/>
      <c r="K66" s="260">
        <v>2.92</v>
      </c>
      <c r="L66" s="259">
        <v>7.03</v>
      </c>
      <c r="M66" s="241">
        <f>K66-M67</f>
        <v>1.68</v>
      </c>
      <c r="N66" s="6" t="s">
        <v>48</v>
      </c>
      <c r="O66" s="113"/>
      <c r="P66" s="260">
        <v>2.4700000000000002</v>
      </c>
      <c r="Q66" s="259">
        <v>7.05</v>
      </c>
      <c r="R66" s="241">
        <f>P66-R67</f>
        <v>1.2300000000000002</v>
      </c>
      <c r="S66" s="6" t="s">
        <v>48</v>
      </c>
      <c r="T66" s="113"/>
      <c r="U66" s="260">
        <v>4.1100000000000003</v>
      </c>
      <c r="V66" s="259">
        <v>7.03</v>
      </c>
      <c r="W66" s="241">
        <f>U66-W67</f>
        <v>2.87</v>
      </c>
      <c r="X66" s="6" t="s">
        <v>48</v>
      </c>
      <c r="Y66" s="113"/>
      <c r="Z66" s="260">
        <v>3.38</v>
      </c>
      <c r="AA66" s="259">
        <v>7.07</v>
      </c>
      <c r="AB66" s="241">
        <v>1.24</v>
      </c>
      <c r="AC66" s="6" t="s">
        <v>48</v>
      </c>
      <c r="AD66" s="113"/>
      <c r="AE66" s="260">
        <v>3.66</v>
      </c>
      <c r="AF66" s="259">
        <v>7.06</v>
      </c>
      <c r="AG66" s="241">
        <f>AB66+AB84</f>
        <v>1.9</v>
      </c>
      <c r="AH66" s="6" t="s">
        <v>48</v>
      </c>
      <c r="AI66" s="148"/>
      <c r="AJ66" s="111" t="s">
        <v>286</v>
      </c>
      <c r="AN66" s="19">
        <f>R116</f>
        <v>9.5</v>
      </c>
    </row>
    <row r="67" spans="1:87" s="21" customFormat="1" x14ac:dyDescent="0.25">
      <c r="A67" s="261"/>
      <c r="B67" s="260"/>
      <c r="C67" s="259"/>
      <c r="D67" s="241">
        <v>1.24</v>
      </c>
      <c r="E67" s="6" t="s">
        <v>49</v>
      </c>
      <c r="F67" s="113"/>
      <c r="G67" s="264"/>
      <c r="H67" s="267"/>
      <c r="I67" s="149"/>
      <c r="J67" s="113"/>
      <c r="K67" s="260"/>
      <c r="L67" s="259"/>
      <c r="M67" s="241">
        <f>R67</f>
        <v>1.24</v>
      </c>
      <c r="N67" s="6" t="s">
        <v>49</v>
      </c>
      <c r="O67" s="113"/>
      <c r="P67" s="260"/>
      <c r="Q67" s="259"/>
      <c r="R67" s="241">
        <v>1.24</v>
      </c>
      <c r="S67" s="6" t="s">
        <v>49</v>
      </c>
      <c r="T67" s="113"/>
      <c r="U67" s="260"/>
      <c r="V67" s="259"/>
      <c r="W67" s="241">
        <f>R67</f>
        <v>1.24</v>
      </c>
      <c r="X67" s="6" t="s">
        <v>49</v>
      </c>
      <c r="Y67" s="113"/>
      <c r="Z67" s="260"/>
      <c r="AA67" s="259"/>
      <c r="AB67" s="241">
        <f>Z66-AB66</f>
        <v>2.1399999999999997</v>
      </c>
      <c r="AC67" s="6" t="s">
        <v>49</v>
      </c>
      <c r="AD67" s="113"/>
      <c r="AE67" s="260"/>
      <c r="AF67" s="259"/>
      <c r="AG67" s="241">
        <f>AE66-AG66</f>
        <v>1.7600000000000002</v>
      </c>
      <c r="AH67" s="6" t="s">
        <v>49</v>
      </c>
      <c r="AI67" s="148"/>
      <c r="AJ67" s="111" t="s">
        <v>547</v>
      </c>
      <c r="AN67" s="19">
        <f>R49+R45+R55+R56+R58+R64+R71+R75+R83+R89+R90+R91+R95+R97+R106+R110+R112+R117+R139+R156+R141+R188+R42+R70+R118+R127+R154+R177+R116+R61+R65+R88+R109+R119+R123+R128+R132+R137+R142+R146+R148+R149+R151+R166+R186+R189+R191</f>
        <v>54.45000000000001</v>
      </c>
    </row>
    <row r="68" spans="1:87" s="21" customFormat="1" ht="15.75" thickBot="1" x14ac:dyDescent="0.3">
      <c r="A68" s="261"/>
      <c r="B68" s="260"/>
      <c r="C68" s="259"/>
      <c r="D68" s="56"/>
      <c r="E68" s="56"/>
      <c r="F68" s="113"/>
      <c r="G68" s="264"/>
      <c r="H68" s="267"/>
      <c r="I68" s="240"/>
      <c r="J68" s="113"/>
      <c r="K68" s="260"/>
      <c r="L68" s="259"/>
      <c r="M68" s="241"/>
      <c r="N68" s="56"/>
      <c r="O68" s="113"/>
      <c r="P68" s="260"/>
      <c r="Q68" s="259"/>
      <c r="R68" s="56"/>
      <c r="S68" s="56"/>
      <c r="T68" s="113"/>
      <c r="U68" s="260"/>
      <c r="V68" s="259"/>
      <c r="W68" s="241"/>
      <c r="X68" s="56"/>
      <c r="Y68" s="113"/>
      <c r="Z68" s="260"/>
      <c r="AA68" s="259"/>
      <c r="AB68" s="56"/>
      <c r="AC68" s="56"/>
      <c r="AD68" s="113"/>
      <c r="AE68" s="260"/>
      <c r="AF68" s="259"/>
      <c r="AG68" s="56"/>
      <c r="AH68" s="56"/>
      <c r="AI68" s="148"/>
    </row>
    <row r="69" spans="1:87" s="21" customFormat="1" x14ac:dyDescent="0.25">
      <c r="A69" s="261"/>
      <c r="B69" s="260"/>
      <c r="C69" s="259"/>
      <c r="D69" s="240"/>
      <c r="E69" s="240"/>
      <c r="F69" s="113"/>
      <c r="G69" s="265"/>
      <c r="H69" s="268"/>
      <c r="I69" s="240"/>
      <c r="J69" s="113"/>
      <c r="K69" s="260"/>
      <c r="L69" s="259"/>
      <c r="M69" s="241"/>
      <c r="N69" s="240"/>
      <c r="O69" s="113"/>
      <c r="P69" s="260"/>
      <c r="Q69" s="259"/>
      <c r="R69" s="241"/>
      <c r="S69" s="240"/>
      <c r="T69" s="113"/>
      <c r="U69" s="260"/>
      <c r="V69" s="259"/>
      <c r="W69" s="241"/>
      <c r="X69" s="240"/>
      <c r="Y69" s="113"/>
      <c r="Z69" s="260"/>
      <c r="AA69" s="259"/>
      <c r="AB69" s="241"/>
      <c r="AC69" s="240"/>
      <c r="AD69" s="113"/>
      <c r="AE69" s="260"/>
      <c r="AF69" s="259"/>
      <c r="AG69" s="241"/>
      <c r="AH69" s="240"/>
      <c r="AI69" s="148"/>
      <c r="AJ69" s="153" t="s">
        <v>278</v>
      </c>
      <c r="AK69" s="184" t="s">
        <v>1</v>
      </c>
    </row>
    <row r="70" spans="1:87" s="21" customFormat="1" x14ac:dyDescent="0.25">
      <c r="A70" s="261">
        <v>23</v>
      </c>
      <c r="B70" s="260">
        <v>1.43</v>
      </c>
      <c r="C70" s="259">
        <v>7.08</v>
      </c>
      <c r="D70" s="56"/>
      <c r="E70" s="56"/>
      <c r="F70" s="113"/>
      <c r="G70" s="263">
        <v>2.08</v>
      </c>
      <c r="H70" s="266">
        <v>7.17</v>
      </c>
      <c r="I70" s="240"/>
      <c r="J70" s="113"/>
      <c r="K70" s="260">
        <v>2.87</v>
      </c>
      <c r="L70" s="259">
        <v>7.11</v>
      </c>
      <c r="M70" s="241"/>
      <c r="N70" s="56"/>
      <c r="O70" s="113"/>
      <c r="P70" s="260">
        <v>13.23</v>
      </c>
      <c r="Q70" s="259">
        <v>7.13</v>
      </c>
      <c r="R70" s="19">
        <v>1</v>
      </c>
      <c r="S70" s="249" t="s">
        <v>331</v>
      </c>
      <c r="T70" s="113"/>
      <c r="U70" s="260">
        <v>6.65</v>
      </c>
      <c r="V70" s="259">
        <v>7.11</v>
      </c>
      <c r="W70" s="241"/>
      <c r="X70" s="240"/>
      <c r="Y70" s="113"/>
      <c r="Z70" s="260">
        <v>2.19</v>
      </c>
      <c r="AA70" s="259">
        <v>7.13</v>
      </c>
      <c r="AB70" s="56"/>
      <c r="AC70" s="56"/>
      <c r="AD70" s="113"/>
      <c r="AE70" s="260">
        <v>0.72</v>
      </c>
      <c r="AF70" s="259">
        <v>7.12</v>
      </c>
      <c r="AG70" s="56"/>
      <c r="AH70" s="56"/>
      <c r="AI70" s="148"/>
      <c r="AJ70" s="111" t="s">
        <v>279</v>
      </c>
      <c r="AK70" s="19">
        <f>D5+D13+D21+D23+D28+D31+D41+D66+D67+D76+D84+D92+D100+D104+D168+D175+D140+D42+D49+D45+D55+D56+D58+D61+D65+D102+D106+D139+D126+D125+D71+D75+D83+D88+D89+D90+D91+D97+D109+D116+D117+D118+D119+D123+D128+D142+D148+D149+D166+D188+D216+D223</f>
        <v>24.705000000000009</v>
      </c>
      <c r="AO70" s="21" t="s">
        <v>302</v>
      </c>
    </row>
    <row r="71" spans="1:87" s="21" customFormat="1" x14ac:dyDescent="0.25">
      <c r="A71" s="261"/>
      <c r="B71" s="260"/>
      <c r="C71" s="259"/>
      <c r="D71" s="241">
        <v>1</v>
      </c>
      <c r="E71" s="63" t="s">
        <v>405</v>
      </c>
      <c r="F71" s="113"/>
      <c r="G71" s="265"/>
      <c r="H71" s="268"/>
      <c r="I71" s="240"/>
      <c r="J71" s="113"/>
      <c r="K71" s="260"/>
      <c r="L71" s="259"/>
      <c r="M71" s="241">
        <v>1</v>
      </c>
      <c r="N71" s="63" t="s">
        <v>405</v>
      </c>
      <c r="O71" s="113"/>
      <c r="P71" s="260"/>
      <c r="Q71" s="259"/>
      <c r="R71" s="19">
        <v>9</v>
      </c>
      <c r="S71" s="63" t="s">
        <v>507</v>
      </c>
      <c r="T71" s="113"/>
      <c r="U71" s="260"/>
      <c r="V71" s="259"/>
      <c r="W71" s="241">
        <v>6.55</v>
      </c>
      <c r="X71" s="63" t="s">
        <v>222</v>
      </c>
      <c r="Y71" s="113"/>
      <c r="Z71" s="260"/>
      <c r="AA71" s="259"/>
      <c r="AB71" s="56"/>
      <c r="AC71" s="56"/>
      <c r="AD71" s="113"/>
      <c r="AE71" s="260"/>
      <c r="AF71" s="259"/>
      <c r="AG71" s="241"/>
      <c r="AH71" s="245"/>
      <c r="AI71" s="148"/>
      <c r="AJ71" s="111" t="s">
        <v>280</v>
      </c>
      <c r="AK71" s="19">
        <f>D103+D113+D114+D121+D122+D129+D130+D131+D133+D135+D136+D138+D141+D143+D150+D152+D161+D162+D163+D187+D190+D207+D208+D211+D228</f>
        <v>10.908333333333333</v>
      </c>
      <c r="AO71" s="21" t="s">
        <v>303</v>
      </c>
    </row>
    <row r="72" spans="1:87" s="21" customFormat="1" x14ac:dyDescent="0.25">
      <c r="A72" s="261"/>
      <c r="B72" s="260"/>
      <c r="C72" s="259"/>
      <c r="D72" s="240">
        <f>B70-D71</f>
        <v>0.42999999999999994</v>
      </c>
      <c r="E72" s="54" t="s">
        <v>34</v>
      </c>
      <c r="F72" s="113"/>
      <c r="G72" s="241">
        <v>0.09</v>
      </c>
      <c r="H72" s="240">
        <v>7.24</v>
      </c>
      <c r="I72" s="240"/>
      <c r="J72" s="113"/>
      <c r="K72" s="260"/>
      <c r="L72" s="259"/>
      <c r="M72" s="241">
        <f>K70-M71</f>
        <v>1.87</v>
      </c>
      <c r="N72" s="54" t="s">
        <v>34</v>
      </c>
      <c r="O72" s="113"/>
      <c r="P72" s="260"/>
      <c r="Q72" s="259"/>
      <c r="R72" s="241">
        <f>P70-R71-R70</f>
        <v>3.2300000000000004</v>
      </c>
      <c r="S72" s="54" t="s">
        <v>34</v>
      </c>
      <c r="T72" s="113"/>
      <c r="U72" s="260"/>
      <c r="V72" s="259"/>
      <c r="W72" s="241">
        <f>U70+U73-W71-W75-W76</f>
        <v>0.72000000000000064</v>
      </c>
      <c r="X72" s="54" t="s">
        <v>34</v>
      </c>
      <c r="Y72" s="113"/>
      <c r="Z72" s="260"/>
      <c r="AA72" s="259"/>
      <c r="AB72" s="241">
        <f>Z70</f>
        <v>2.19</v>
      </c>
      <c r="AC72" s="54" t="s">
        <v>34</v>
      </c>
      <c r="AD72" s="113"/>
      <c r="AE72" s="260"/>
      <c r="AF72" s="259"/>
      <c r="AG72" s="241">
        <f>AE70</f>
        <v>0.72</v>
      </c>
      <c r="AH72" s="54" t="s">
        <v>34</v>
      </c>
      <c r="AI72" s="148"/>
      <c r="AJ72" s="111" t="s">
        <v>281</v>
      </c>
      <c r="AK72" s="19">
        <f>D146+D156+D157+D171+D174+D178+D177+D183+D184+D189+D194+D201+D203+D204+D209+D210+D222</f>
        <v>14.593333333333334</v>
      </c>
      <c r="AO72" s="21" t="s">
        <v>304</v>
      </c>
    </row>
    <row r="73" spans="1:87" s="21" customFormat="1" x14ac:dyDescent="0.25">
      <c r="A73" s="261">
        <v>24</v>
      </c>
      <c r="B73" s="260">
        <v>0.04</v>
      </c>
      <c r="C73" s="259">
        <v>7.26</v>
      </c>
      <c r="D73" s="240"/>
      <c r="E73" s="240"/>
      <c r="F73" s="113"/>
      <c r="G73" s="260">
        <v>0.18</v>
      </c>
      <c r="H73" s="259">
        <v>7.3</v>
      </c>
      <c r="I73" s="240"/>
      <c r="J73" s="113"/>
      <c r="K73" s="260">
        <v>0.05</v>
      </c>
      <c r="L73" s="259">
        <v>7.22</v>
      </c>
      <c r="M73" s="241"/>
      <c r="N73" s="240"/>
      <c r="O73" s="113"/>
      <c r="P73" s="260">
        <v>0.21</v>
      </c>
      <c r="Q73" s="259">
        <v>7.27</v>
      </c>
      <c r="R73" s="241"/>
      <c r="S73" s="240"/>
      <c r="T73" s="113"/>
      <c r="U73" s="260">
        <v>1.28</v>
      </c>
      <c r="V73" s="259">
        <v>7.35</v>
      </c>
      <c r="W73" s="241"/>
      <c r="X73" s="240"/>
      <c r="Y73" s="113"/>
      <c r="Z73" s="260">
        <v>0.42</v>
      </c>
      <c r="AA73" s="259">
        <v>7.26</v>
      </c>
      <c r="AB73" s="241">
        <v>0.01</v>
      </c>
      <c r="AC73" s="249" t="s">
        <v>211</v>
      </c>
      <c r="AD73" s="113"/>
      <c r="AE73" s="241">
        <v>0.19</v>
      </c>
      <c r="AF73" s="240">
        <v>7.19</v>
      </c>
      <c r="AG73" s="241">
        <f>AE74</f>
        <v>0.01</v>
      </c>
      <c r="AH73" s="249" t="s">
        <v>211</v>
      </c>
      <c r="AI73" s="148"/>
      <c r="AJ73" s="111" t="s">
        <v>282</v>
      </c>
      <c r="AK73" s="19">
        <f>D213+D219+D226+D227+D232</f>
        <v>26.4</v>
      </c>
      <c r="AO73" s="21" t="s">
        <v>305</v>
      </c>
    </row>
    <row r="74" spans="1:87" s="21" customFormat="1" x14ac:dyDescent="0.25">
      <c r="A74" s="261"/>
      <c r="B74" s="260"/>
      <c r="C74" s="259"/>
      <c r="D74" s="240"/>
      <c r="E74" s="240"/>
      <c r="F74" s="113"/>
      <c r="G74" s="260"/>
      <c r="H74" s="259"/>
      <c r="I74" s="240"/>
      <c r="J74" s="113"/>
      <c r="K74" s="260"/>
      <c r="L74" s="259"/>
      <c r="M74" s="241"/>
      <c r="N74" s="240"/>
      <c r="O74" s="113"/>
      <c r="P74" s="260"/>
      <c r="Q74" s="259"/>
      <c r="R74" s="241"/>
      <c r="S74" s="240"/>
      <c r="T74" s="113"/>
      <c r="U74" s="260"/>
      <c r="V74" s="259"/>
      <c r="W74" s="241"/>
      <c r="X74" s="240"/>
      <c r="Y74" s="113"/>
      <c r="Z74" s="260"/>
      <c r="AA74" s="259"/>
      <c r="AB74" s="241">
        <f>Z73-AB73</f>
        <v>0.41</v>
      </c>
      <c r="AC74" s="7" t="s">
        <v>75</v>
      </c>
      <c r="AD74" s="113"/>
      <c r="AE74" s="241">
        <v>0.01</v>
      </c>
      <c r="AF74" s="240">
        <v>7.26</v>
      </c>
      <c r="AG74" s="241">
        <f>AE73</f>
        <v>0.19</v>
      </c>
      <c r="AH74" s="7" t="s">
        <v>75</v>
      </c>
      <c r="AI74" s="148"/>
      <c r="AJ74" s="111" t="s">
        <v>283</v>
      </c>
      <c r="AK74" s="19"/>
      <c r="AO74" s="21" t="s">
        <v>306</v>
      </c>
    </row>
    <row r="75" spans="1:87" s="21" customFormat="1" x14ac:dyDescent="0.25">
      <c r="A75" s="261">
        <v>25</v>
      </c>
      <c r="B75" s="260">
        <v>0.41</v>
      </c>
      <c r="C75" s="259">
        <v>7.33</v>
      </c>
      <c r="D75" s="241">
        <f>B75-D76</f>
        <v>6.9999999999999951E-2</v>
      </c>
      <c r="E75" s="58" t="s">
        <v>420</v>
      </c>
      <c r="F75" s="113"/>
      <c r="G75" s="260">
        <v>0.67</v>
      </c>
      <c r="H75" s="259">
        <v>7.37</v>
      </c>
      <c r="I75" s="240"/>
      <c r="J75" s="113"/>
      <c r="K75" s="260">
        <v>0.62</v>
      </c>
      <c r="L75" s="259">
        <v>7.31</v>
      </c>
      <c r="M75" s="241">
        <f>K75-M76</f>
        <v>0.27999999999999997</v>
      </c>
      <c r="N75" s="58" t="s">
        <v>420</v>
      </c>
      <c r="O75" s="113"/>
      <c r="P75" s="260">
        <v>0.66</v>
      </c>
      <c r="Q75" s="259">
        <v>7.32</v>
      </c>
      <c r="R75" s="241">
        <f>P75-R76+P73</f>
        <v>0.53</v>
      </c>
      <c r="S75" s="58" t="s">
        <v>129</v>
      </c>
      <c r="T75" s="113"/>
      <c r="U75" s="260"/>
      <c r="V75" s="259"/>
      <c r="W75" s="241">
        <v>0.32</v>
      </c>
      <c r="X75" s="58" t="s">
        <v>129</v>
      </c>
      <c r="Y75" s="113"/>
      <c r="Z75" s="260">
        <v>0.77</v>
      </c>
      <c r="AA75" s="259">
        <v>7.36</v>
      </c>
      <c r="AB75" s="56"/>
      <c r="AC75" s="56"/>
      <c r="AD75" s="113"/>
      <c r="AE75" s="260">
        <v>7.0000000000000007E-2</v>
      </c>
      <c r="AF75" s="259">
        <v>7.31</v>
      </c>
      <c r="AG75" s="241"/>
      <c r="AH75" s="56"/>
      <c r="AI75" s="148"/>
      <c r="AJ75" s="111" t="s">
        <v>285</v>
      </c>
      <c r="AK75" s="19">
        <f>D232+D157+D194+D213</f>
        <v>16.850000000000001</v>
      </c>
      <c r="AO75" s="21" t="s">
        <v>307</v>
      </c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</row>
    <row r="76" spans="1:87" s="21" customFormat="1" x14ac:dyDescent="0.25">
      <c r="A76" s="261"/>
      <c r="B76" s="260"/>
      <c r="C76" s="259"/>
      <c r="D76" s="240">
        <f>R76</f>
        <v>0.34</v>
      </c>
      <c r="E76" s="68" t="s">
        <v>98</v>
      </c>
      <c r="F76" s="113"/>
      <c r="G76" s="260"/>
      <c r="H76" s="259"/>
      <c r="I76" s="240"/>
      <c r="J76" s="113"/>
      <c r="K76" s="260"/>
      <c r="L76" s="259"/>
      <c r="M76" s="241">
        <f>D76</f>
        <v>0.34</v>
      </c>
      <c r="N76" s="68" t="s">
        <v>98</v>
      </c>
      <c r="O76" s="113"/>
      <c r="P76" s="260"/>
      <c r="Q76" s="259"/>
      <c r="R76" s="241">
        <f>AB76-R112-R175</f>
        <v>0.34</v>
      </c>
      <c r="S76" s="68" t="s">
        <v>98</v>
      </c>
      <c r="T76" s="113"/>
      <c r="U76" s="260"/>
      <c r="V76" s="259"/>
      <c r="W76" s="241">
        <v>0.34</v>
      </c>
      <c r="X76" s="68" t="s">
        <v>98</v>
      </c>
      <c r="Y76" s="113"/>
      <c r="Z76" s="260"/>
      <c r="AA76" s="259"/>
      <c r="AB76" s="241">
        <f>Z75</f>
        <v>0.77</v>
      </c>
      <c r="AC76" s="68" t="s">
        <v>98</v>
      </c>
      <c r="AD76" s="113"/>
      <c r="AE76" s="260"/>
      <c r="AF76" s="259"/>
      <c r="AG76" s="241">
        <f>AE75+AE79</f>
        <v>0.22</v>
      </c>
      <c r="AH76" s="68" t="s">
        <v>98</v>
      </c>
      <c r="AI76" s="148"/>
      <c r="AJ76" s="111" t="s">
        <v>284</v>
      </c>
      <c r="AK76" s="19">
        <f>D103+D113+D114+D121+D122+D129+D130+D131+D133+D135+D136+D138+D141+D143+D150+D152+D161+D162+D163+D187+D190+D207+D208+D211+D228+D146+D156+D171+D178+D177+D183+D184+D191+D201+D203+D204+D209+D210+D227+D222</f>
        <v>15.541666666666666</v>
      </c>
      <c r="AO76" s="21" t="s">
        <v>308</v>
      </c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</row>
    <row r="77" spans="1:87" s="21" customFormat="1" x14ac:dyDescent="0.25">
      <c r="A77" s="261"/>
      <c r="B77" s="260"/>
      <c r="C77" s="259"/>
      <c r="D77" s="240"/>
      <c r="E77" s="8"/>
      <c r="F77" s="113"/>
      <c r="G77" s="260"/>
      <c r="H77" s="259"/>
      <c r="I77" s="240"/>
      <c r="J77" s="113"/>
      <c r="K77" s="260"/>
      <c r="L77" s="259"/>
      <c r="M77" s="241"/>
      <c r="N77" s="8"/>
      <c r="O77" s="113"/>
      <c r="P77" s="260"/>
      <c r="Q77" s="259"/>
      <c r="R77" s="56"/>
      <c r="S77" s="56"/>
      <c r="T77" s="113"/>
      <c r="U77" s="260"/>
      <c r="V77" s="259"/>
      <c r="W77" s="241"/>
      <c r="X77" s="8"/>
      <c r="Y77" s="113"/>
      <c r="Z77" s="260"/>
      <c r="AA77" s="259"/>
      <c r="AB77" s="241"/>
      <c r="AC77" s="8"/>
      <c r="AD77" s="113"/>
      <c r="AE77" s="260"/>
      <c r="AF77" s="259"/>
      <c r="AG77" s="241"/>
      <c r="AH77" s="240"/>
      <c r="AI77" s="148"/>
      <c r="AJ77" s="111" t="s">
        <v>286</v>
      </c>
      <c r="AK77" s="19">
        <f>D226+D221+D219+D215+D195+D158+D174+D189</f>
        <v>19.509999999999998</v>
      </c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</row>
    <row r="78" spans="1:87" s="21" customFormat="1" x14ac:dyDescent="0.25">
      <c r="A78" s="261"/>
      <c r="B78" s="260"/>
      <c r="C78" s="259"/>
      <c r="D78" s="240"/>
      <c r="E78" s="8"/>
      <c r="F78" s="113"/>
      <c r="G78" s="260"/>
      <c r="H78" s="259"/>
      <c r="I78" s="240"/>
      <c r="J78" s="113"/>
      <c r="K78" s="260"/>
      <c r="L78" s="259"/>
      <c r="M78" s="241"/>
      <c r="N78" s="8"/>
      <c r="O78" s="113"/>
      <c r="P78" s="260"/>
      <c r="Q78" s="259"/>
      <c r="R78" s="241"/>
      <c r="S78" s="8"/>
      <c r="T78" s="113"/>
      <c r="U78" s="260"/>
      <c r="V78" s="259"/>
      <c r="W78" s="241"/>
      <c r="X78" s="8"/>
      <c r="Y78" s="113"/>
      <c r="Z78" s="260"/>
      <c r="AA78" s="259"/>
      <c r="AB78" s="241"/>
      <c r="AC78" s="8"/>
      <c r="AD78" s="113"/>
      <c r="AE78" s="260"/>
      <c r="AF78" s="259"/>
      <c r="AG78" s="241"/>
      <c r="AH78" s="240"/>
      <c r="AI78" s="148"/>
      <c r="AJ78" s="111" t="s">
        <v>309</v>
      </c>
      <c r="AK78" s="19">
        <f>D103+D113+D114+D121+D122+D129+D130+D131+D133+D135+D136+D138+D141+D143+D150+D152+D161+D162+D163+D187+D190+D207+D208+D211+D228+D146+D156+D157+D171+D174+D178+D177+D183+D184+D189+D194+D201+D203+D204+D209+D210+D222+D213+D219+D226+D227+D232</f>
        <v>51.901666666666671</v>
      </c>
      <c r="AO78" s="21" t="s">
        <v>310</v>
      </c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50"/>
    </row>
    <row r="79" spans="1:87" s="21" customFormat="1" x14ac:dyDescent="0.25">
      <c r="A79" s="261"/>
      <c r="B79" s="260"/>
      <c r="C79" s="259"/>
      <c r="D79" s="56"/>
      <c r="E79" s="56"/>
      <c r="F79" s="113"/>
      <c r="G79" s="260"/>
      <c r="H79" s="259"/>
      <c r="I79" s="240"/>
      <c r="J79" s="113"/>
      <c r="K79" s="260"/>
      <c r="L79" s="259"/>
      <c r="M79" s="56"/>
      <c r="N79" s="56"/>
      <c r="O79" s="113"/>
      <c r="P79" s="260"/>
      <c r="Q79" s="259"/>
      <c r="R79" s="56"/>
      <c r="S79" s="56"/>
      <c r="T79" s="113"/>
      <c r="U79" s="260"/>
      <c r="V79" s="259"/>
      <c r="W79" s="56"/>
      <c r="X79" s="56"/>
      <c r="Y79" s="113"/>
      <c r="Z79" s="260"/>
      <c r="AA79" s="259"/>
      <c r="AB79" s="241"/>
      <c r="AC79" s="240"/>
      <c r="AD79" s="113"/>
      <c r="AE79" s="260">
        <v>0.15</v>
      </c>
      <c r="AF79" s="259">
        <v>7.36</v>
      </c>
      <c r="AG79" s="241"/>
      <c r="AH79" s="240"/>
      <c r="AI79" s="148"/>
      <c r="AK79" s="53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s="21" customFormat="1" x14ac:dyDescent="0.25">
      <c r="A80" s="261">
        <v>26</v>
      </c>
      <c r="B80" s="260">
        <v>0.04</v>
      </c>
      <c r="C80" s="259">
        <v>7.4</v>
      </c>
      <c r="D80" s="240"/>
      <c r="E80" s="20"/>
      <c r="F80" s="113"/>
      <c r="G80" s="263">
        <v>0.13</v>
      </c>
      <c r="H80" s="266">
        <v>7.43</v>
      </c>
      <c r="I80" s="240"/>
      <c r="J80" s="113"/>
      <c r="K80" s="260">
        <v>0.08</v>
      </c>
      <c r="L80" s="259">
        <v>7.41</v>
      </c>
      <c r="M80" s="241"/>
      <c r="N80" s="20"/>
      <c r="O80" s="113"/>
      <c r="P80" s="260">
        <v>0.15</v>
      </c>
      <c r="Q80" s="259">
        <v>7.4</v>
      </c>
      <c r="R80" s="241"/>
      <c r="S80" s="240"/>
      <c r="T80" s="113"/>
      <c r="U80" s="260"/>
      <c r="V80" s="259"/>
      <c r="W80" s="241"/>
      <c r="X80" s="240"/>
      <c r="Y80" s="113"/>
      <c r="Z80" s="260"/>
      <c r="AA80" s="259"/>
      <c r="AB80" s="241"/>
      <c r="AC80" s="240"/>
      <c r="AD80" s="113"/>
      <c r="AE80" s="260"/>
      <c r="AF80" s="259"/>
      <c r="AG80" s="241"/>
      <c r="AH80" s="240"/>
      <c r="AI80" s="148"/>
      <c r="AK80" s="53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</row>
    <row r="81" spans="1:87" s="21" customFormat="1" x14ac:dyDescent="0.25">
      <c r="A81" s="261"/>
      <c r="B81" s="260"/>
      <c r="C81" s="259"/>
      <c r="D81" s="240"/>
      <c r="E81" s="240"/>
      <c r="F81" s="113"/>
      <c r="G81" s="265"/>
      <c r="H81" s="268"/>
      <c r="I81" s="240"/>
      <c r="J81" s="113"/>
      <c r="K81" s="260"/>
      <c r="L81" s="259"/>
      <c r="M81" s="241"/>
      <c r="N81" s="240"/>
      <c r="O81" s="113"/>
      <c r="P81" s="260"/>
      <c r="Q81" s="259"/>
      <c r="R81" s="241"/>
      <c r="S81" s="240"/>
      <c r="T81" s="113"/>
      <c r="U81" s="260"/>
      <c r="V81" s="259"/>
      <c r="W81" s="241"/>
      <c r="X81" s="240"/>
      <c r="Y81" s="113"/>
      <c r="Z81" s="260"/>
      <c r="AA81" s="259"/>
      <c r="AB81" s="241"/>
      <c r="AC81" s="240"/>
      <c r="AD81" s="113"/>
      <c r="AE81" s="260"/>
      <c r="AF81" s="259"/>
      <c r="AG81" s="241"/>
      <c r="AH81" s="240"/>
      <c r="AI81" s="148"/>
      <c r="AK81" s="53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s="21" customFormat="1" x14ac:dyDescent="0.25">
      <c r="A82" s="242">
        <v>27</v>
      </c>
      <c r="B82" s="241">
        <v>0.03</v>
      </c>
      <c r="C82" s="240">
        <v>7.44</v>
      </c>
      <c r="D82" s="240"/>
      <c r="E82" s="240"/>
      <c r="F82" s="113"/>
      <c r="G82" s="241">
        <v>0.09</v>
      </c>
      <c r="H82" s="240">
        <v>7.5</v>
      </c>
      <c r="I82" s="240"/>
      <c r="J82" s="113"/>
      <c r="K82" s="260">
        <v>1.91</v>
      </c>
      <c r="L82" s="259">
        <v>7.52</v>
      </c>
      <c r="M82" s="241"/>
      <c r="N82" s="240"/>
      <c r="O82" s="113"/>
      <c r="P82" s="260">
        <v>3.4</v>
      </c>
      <c r="Q82" s="259">
        <v>7.53</v>
      </c>
      <c r="R82" s="241"/>
      <c r="S82" s="240"/>
      <c r="T82" s="113"/>
      <c r="U82" s="260">
        <v>5.7</v>
      </c>
      <c r="V82" s="259">
        <v>7.47</v>
      </c>
      <c r="W82" s="241"/>
      <c r="X82" s="240"/>
      <c r="Y82" s="113"/>
      <c r="Z82" s="260">
        <v>1.72</v>
      </c>
      <c r="AA82" s="259">
        <v>7.46</v>
      </c>
      <c r="AB82" s="241"/>
      <c r="AC82" s="240"/>
      <c r="AD82" s="113"/>
      <c r="AE82" s="260">
        <v>0.13</v>
      </c>
      <c r="AF82" s="259">
        <v>7.42</v>
      </c>
      <c r="AG82" s="241"/>
      <c r="AH82" s="240"/>
      <c r="AI82" s="148"/>
      <c r="AK82" s="53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</row>
    <row r="83" spans="1:87" s="21" customFormat="1" x14ac:dyDescent="0.25">
      <c r="A83" s="261">
        <v>28</v>
      </c>
      <c r="B83" s="260">
        <v>0.82</v>
      </c>
      <c r="C83" s="259">
        <v>7.54</v>
      </c>
      <c r="D83" s="241">
        <f>B83-D84</f>
        <v>0.15999999999999992</v>
      </c>
      <c r="E83" s="7" t="s">
        <v>422</v>
      </c>
      <c r="F83" s="113"/>
      <c r="G83" s="260">
        <v>0.75</v>
      </c>
      <c r="H83" s="259">
        <v>7.59</v>
      </c>
      <c r="I83" s="240"/>
      <c r="J83" s="113"/>
      <c r="K83" s="260"/>
      <c r="L83" s="259"/>
      <c r="M83" s="241">
        <f>K82-M84</f>
        <v>1.25</v>
      </c>
      <c r="N83" s="7" t="s">
        <v>422</v>
      </c>
      <c r="O83" s="113"/>
      <c r="P83" s="260"/>
      <c r="Q83" s="259"/>
      <c r="R83" s="241">
        <v>3.5</v>
      </c>
      <c r="S83" s="7" t="s">
        <v>266</v>
      </c>
      <c r="T83" s="113"/>
      <c r="U83" s="260"/>
      <c r="V83" s="259"/>
      <c r="W83" s="241">
        <v>3.5</v>
      </c>
      <c r="X83" s="7" t="s">
        <v>266</v>
      </c>
      <c r="Y83" s="113"/>
      <c r="Z83" s="260"/>
      <c r="AA83" s="259"/>
      <c r="AB83" s="241"/>
      <c r="AC83" s="240"/>
      <c r="AD83" s="113"/>
      <c r="AE83" s="260"/>
      <c r="AF83" s="259"/>
      <c r="AG83" s="241"/>
      <c r="AH83" s="240"/>
      <c r="AI83" s="148"/>
      <c r="AK83" s="53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</row>
    <row r="84" spans="1:87" s="21" customFormat="1" x14ac:dyDescent="0.25">
      <c r="A84" s="261"/>
      <c r="B84" s="260"/>
      <c r="C84" s="259"/>
      <c r="D84" s="240">
        <v>0.66</v>
      </c>
      <c r="E84" s="6" t="s">
        <v>38</v>
      </c>
      <c r="F84" s="113"/>
      <c r="G84" s="260"/>
      <c r="H84" s="259"/>
      <c r="I84" s="149"/>
      <c r="J84" s="113"/>
      <c r="K84" s="260"/>
      <c r="L84" s="259"/>
      <c r="M84" s="241">
        <f>R84</f>
        <v>0.66</v>
      </c>
      <c r="N84" s="6" t="s">
        <v>38</v>
      </c>
      <c r="O84" s="113"/>
      <c r="P84" s="260"/>
      <c r="Q84" s="259"/>
      <c r="R84" s="241">
        <f>D84</f>
        <v>0.66</v>
      </c>
      <c r="S84" s="6" t="s">
        <v>38</v>
      </c>
      <c r="T84" s="113"/>
      <c r="U84" s="260"/>
      <c r="V84" s="259"/>
      <c r="W84" s="241">
        <f>R84</f>
        <v>0.66</v>
      </c>
      <c r="X84" s="6" t="s">
        <v>38</v>
      </c>
      <c r="Y84" s="113"/>
      <c r="Z84" s="260"/>
      <c r="AA84" s="259"/>
      <c r="AB84" s="241">
        <f>W84</f>
        <v>0.66</v>
      </c>
      <c r="AC84" s="6" t="s">
        <v>38</v>
      </c>
      <c r="AD84" s="113"/>
      <c r="AE84" s="260">
        <v>0.04</v>
      </c>
      <c r="AF84" s="259">
        <v>7.52</v>
      </c>
      <c r="AG84" s="241"/>
      <c r="AH84" s="240"/>
      <c r="AI84" s="148"/>
      <c r="AK84" s="53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</row>
    <row r="85" spans="1:87" s="21" customFormat="1" x14ac:dyDescent="0.25">
      <c r="A85" s="261"/>
      <c r="B85" s="260"/>
      <c r="C85" s="259"/>
      <c r="D85" s="240"/>
      <c r="E85" s="56"/>
      <c r="F85" s="113"/>
      <c r="G85" s="260"/>
      <c r="H85" s="259"/>
      <c r="I85" s="240"/>
      <c r="J85" s="113"/>
      <c r="K85" s="260"/>
      <c r="L85" s="259"/>
      <c r="M85" s="241"/>
      <c r="N85" s="56"/>
      <c r="O85" s="113"/>
      <c r="P85" s="260"/>
      <c r="Q85" s="259"/>
      <c r="R85" s="241"/>
      <c r="S85" s="240"/>
      <c r="T85" s="113"/>
      <c r="U85" s="260">
        <v>4.12</v>
      </c>
      <c r="V85" s="259">
        <v>7.57</v>
      </c>
      <c r="W85" s="241"/>
      <c r="X85" s="240"/>
      <c r="Y85" s="113"/>
      <c r="Z85" s="260"/>
      <c r="AA85" s="259"/>
      <c r="AB85" s="241"/>
      <c r="AC85" s="240"/>
      <c r="AD85" s="113"/>
      <c r="AE85" s="260"/>
      <c r="AF85" s="259"/>
      <c r="AG85" s="241"/>
      <c r="AH85" s="240"/>
      <c r="AI85" s="148"/>
      <c r="AK85" s="53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</row>
    <row r="86" spans="1:87" s="21" customFormat="1" x14ac:dyDescent="0.25">
      <c r="A86" s="261"/>
      <c r="B86" s="260"/>
      <c r="C86" s="259"/>
      <c r="D86" s="240"/>
      <c r="E86" s="240"/>
      <c r="F86" s="113"/>
      <c r="G86" s="241">
        <v>0.14000000000000001</v>
      </c>
      <c r="H86" s="240">
        <v>7.64</v>
      </c>
      <c r="I86" s="240"/>
      <c r="J86" s="113"/>
      <c r="K86" s="260"/>
      <c r="L86" s="259"/>
      <c r="M86" s="241"/>
      <c r="N86" s="240"/>
      <c r="O86" s="113"/>
      <c r="P86" s="260">
        <v>0.03</v>
      </c>
      <c r="Q86" s="259">
        <v>7.61</v>
      </c>
      <c r="R86" s="241">
        <f>1</f>
        <v>1</v>
      </c>
      <c r="S86" s="249" t="s">
        <v>65</v>
      </c>
      <c r="T86" s="113"/>
      <c r="U86" s="260"/>
      <c r="V86" s="259"/>
      <c r="W86" s="241">
        <v>2.42</v>
      </c>
      <c r="X86" s="249" t="s">
        <v>65</v>
      </c>
      <c r="Y86" s="113"/>
      <c r="Z86" s="241">
        <v>0.08</v>
      </c>
      <c r="AA86" s="240">
        <v>7.56</v>
      </c>
      <c r="AB86" s="245">
        <f>Z82-AB84</f>
        <v>1.06</v>
      </c>
      <c r="AC86" s="249" t="s">
        <v>65</v>
      </c>
      <c r="AD86" s="113"/>
      <c r="AE86" s="241">
        <v>7.0000000000000007E-2</v>
      </c>
      <c r="AF86" s="240">
        <v>7.57</v>
      </c>
      <c r="AG86" s="245"/>
      <c r="AH86" s="246"/>
      <c r="AI86" s="148"/>
      <c r="AK86" s="53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</row>
    <row r="87" spans="1:87" s="21" customFormat="1" x14ac:dyDescent="0.25">
      <c r="A87" s="261">
        <v>29</v>
      </c>
      <c r="B87" s="260">
        <v>2.11</v>
      </c>
      <c r="C87" s="259">
        <v>7.7</v>
      </c>
      <c r="D87" s="56"/>
      <c r="E87" s="8"/>
      <c r="F87" s="113"/>
      <c r="G87" s="263">
        <v>2.2400000000000002</v>
      </c>
      <c r="H87" s="266">
        <v>7.74</v>
      </c>
      <c r="I87" s="240"/>
      <c r="J87" s="113"/>
      <c r="K87" s="260">
        <v>2.74</v>
      </c>
      <c r="L87" s="259">
        <v>7.68</v>
      </c>
      <c r="M87" s="241"/>
      <c r="N87" s="8"/>
      <c r="O87" s="113"/>
      <c r="P87" s="260"/>
      <c r="Q87" s="259"/>
      <c r="R87" s="241"/>
      <c r="S87" s="240"/>
      <c r="T87" s="113"/>
      <c r="U87" s="260"/>
      <c r="V87" s="259"/>
      <c r="W87" s="241"/>
      <c r="X87" s="240"/>
      <c r="Y87" s="113"/>
      <c r="Z87" s="260">
        <v>0.2</v>
      </c>
      <c r="AA87" s="259">
        <v>7.61</v>
      </c>
      <c r="AB87" s="56"/>
      <c r="AC87" s="56"/>
      <c r="AD87" s="113"/>
      <c r="AE87" s="260">
        <v>0.04</v>
      </c>
      <c r="AF87" s="259">
        <v>7.62</v>
      </c>
      <c r="AG87" s="241"/>
      <c r="AH87" s="240"/>
      <c r="AI87" s="148"/>
      <c r="AK87" s="53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</row>
    <row r="88" spans="1:87" s="21" customFormat="1" x14ac:dyDescent="0.25">
      <c r="A88" s="261"/>
      <c r="B88" s="260"/>
      <c r="C88" s="259"/>
      <c r="D88" s="241">
        <v>0.01</v>
      </c>
      <c r="E88" s="7" t="s">
        <v>354</v>
      </c>
      <c r="F88" s="113"/>
      <c r="G88" s="264"/>
      <c r="H88" s="267"/>
      <c r="I88" s="240"/>
      <c r="J88" s="113"/>
      <c r="K88" s="260"/>
      <c r="L88" s="259"/>
      <c r="M88" s="241">
        <v>0.11</v>
      </c>
      <c r="N88" s="7" t="s">
        <v>354</v>
      </c>
      <c r="O88" s="113"/>
      <c r="P88" s="260"/>
      <c r="Q88" s="259"/>
      <c r="R88" s="241">
        <v>0.5</v>
      </c>
      <c r="S88" s="7" t="s">
        <v>354</v>
      </c>
      <c r="T88" s="113"/>
      <c r="U88" s="260"/>
      <c r="V88" s="259"/>
      <c r="W88" s="241">
        <f>R88</f>
        <v>0.5</v>
      </c>
      <c r="X88" s="7" t="s">
        <v>354</v>
      </c>
      <c r="Y88" s="113"/>
      <c r="Z88" s="260"/>
      <c r="AA88" s="259"/>
      <c r="AB88" s="241">
        <f>Z141-AB142</f>
        <v>0.28999999999999998</v>
      </c>
      <c r="AC88" s="75" t="s">
        <v>196</v>
      </c>
      <c r="AD88" s="113"/>
      <c r="AE88" s="260"/>
      <c r="AF88" s="259"/>
      <c r="AG88" s="241"/>
      <c r="AH88" s="240"/>
      <c r="AI88" s="148"/>
      <c r="AK88" s="53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</row>
    <row r="89" spans="1:87" s="21" customFormat="1" x14ac:dyDescent="0.25">
      <c r="A89" s="261"/>
      <c r="B89" s="260"/>
      <c r="C89" s="259"/>
      <c r="D89" s="241">
        <f>(B87-D88-D92)/3</f>
        <v>0.52666666666666673</v>
      </c>
      <c r="E89" s="58" t="s">
        <v>417</v>
      </c>
      <c r="F89" s="113"/>
      <c r="G89" s="264"/>
      <c r="H89" s="267"/>
      <c r="I89" s="240"/>
      <c r="J89" s="113"/>
      <c r="K89" s="260"/>
      <c r="L89" s="259"/>
      <c r="M89" s="241">
        <f>D89</f>
        <v>0.52666666666666673</v>
      </c>
      <c r="N89" s="58" t="s">
        <v>417</v>
      </c>
      <c r="O89" s="113"/>
      <c r="P89" s="260">
        <v>3.73</v>
      </c>
      <c r="Q89" s="259">
        <v>7.7</v>
      </c>
      <c r="R89" s="241">
        <f>W89</f>
        <v>0.3833333333333333</v>
      </c>
      <c r="S89" s="58" t="s">
        <v>130</v>
      </c>
      <c r="T89" s="113"/>
      <c r="U89" s="260">
        <v>1.9</v>
      </c>
      <c r="V89" s="259">
        <v>7.68</v>
      </c>
      <c r="W89" s="241">
        <f>(U89-W92-W95)/3</f>
        <v>0.3833333333333333</v>
      </c>
      <c r="X89" s="58" t="s">
        <v>130</v>
      </c>
      <c r="Y89" s="113"/>
      <c r="Z89" s="260">
        <v>0.52</v>
      </c>
      <c r="AA89" s="259">
        <v>7.65</v>
      </c>
      <c r="AB89" s="56"/>
      <c r="AC89" s="56"/>
      <c r="AD89" s="113"/>
      <c r="AE89" s="260">
        <v>0.15</v>
      </c>
      <c r="AF89" s="259">
        <v>7.7</v>
      </c>
      <c r="AG89" s="241"/>
      <c r="AH89" s="240"/>
      <c r="AI89" s="148"/>
      <c r="AK89" s="53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</row>
    <row r="90" spans="1:87" s="21" customFormat="1" x14ac:dyDescent="0.25">
      <c r="A90" s="261"/>
      <c r="B90" s="260"/>
      <c r="C90" s="259"/>
      <c r="D90" s="240">
        <f>B87-D92-D91-D89-D88</f>
        <v>1.0433333333333332</v>
      </c>
      <c r="E90" s="22" t="s">
        <v>406</v>
      </c>
      <c r="F90" s="113"/>
      <c r="G90" s="264"/>
      <c r="H90" s="267"/>
      <c r="I90" s="240"/>
      <c r="J90" s="113"/>
      <c r="K90" s="260"/>
      <c r="L90" s="259"/>
      <c r="M90" s="241">
        <f>K87-M88-M89-M91-M92</f>
        <v>1.2000000000000002</v>
      </c>
      <c r="N90" s="22" t="s">
        <v>406</v>
      </c>
      <c r="O90" s="113"/>
      <c r="P90" s="260"/>
      <c r="Q90" s="259"/>
      <c r="R90" s="241">
        <f>P89+P86+P82-R83-R84-R88-R89-R91-R92-R95</f>
        <v>0.98333333333333339</v>
      </c>
      <c r="S90" s="22" t="s">
        <v>425</v>
      </c>
      <c r="T90" s="113"/>
      <c r="U90" s="260"/>
      <c r="V90" s="259"/>
      <c r="W90" s="241">
        <f>U89+U85+U82-W83-W84-W88-W89-W91-W92-W95-W86</f>
        <v>1.6066666666666656</v>
      </c>
      <c r="X90" s="22" t="s">
        <v>209</v>
      </c>
      <c r="Y90" s="113"/>
      <c r="Z90" s="260"/>
      <c r="AA90" s="259"/>
      <c r="AB90" s="241"/>
      <c r="AC90" s="56"/>
      <c r="AD90" s="113"/>
      <c r="AE90" s="260"/>
      <c r="AF90" s="259"/>
      <c r="AG90" s="241"/>
      <c r="AH90" s="240"/>
      <c r="AI90" s="148"/>
      <c r="AK90" s="53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</row>
    <row r="91" spans="1:87" s="21" customFormat="1" x14ac:dyDescent="0.25">
      <c r="A91" s="261"/>
      <c r="B91" s="260"/>
      <c r="C91" s="259"/>
      <c r="D91" s="241">
        <v>0.01</v>
      </c>
      <c r="E91" s="249" t="s">
        <v>403</v>
      </c>
      <c r="F91" s="113"/>
      <c r="G91" s="264"/>
      <c r="H91" s="267"/>
      <c r="I91" s="240"/>
      <c r="J91" s="113"/>
      <c r="K91" s="260"/>
      <c r="L91" s="259"/>
      <c r="M91" s="241">
        <f>R91</f>
        <v>0.3833333333333333</v>
      </c>
      <c r="N91" s="249" t="s">
        <v>403</v>
      </c>
      <c r="O91" s="113"/>
      <c r="P91" s="260"/>
      <c r="Q91" s="259"/>
      <c r="R91" s="241">
        <f>R89</f>
        <v>0.3833333333333333</v>
      </c>
      <c r="S91" s="249" t="s">
        <v>426</v>
      </c>
      <c r="T91" s="113"/>
      <c r="U91" s="260"/>
      <c r="V91" s="259"/>
      <c r="W91" s="241">
        <v>1.9</v>
      </c>
      <c r="X91" s="249" t="s">
        <v>131</v>
      </c>
      <c r="Y91" s="113"/>
      <c r="Z91" s="260"/>
      <c r="AA91" s="259"/>
      <c r="AB91" s="56"/>
      <c r="AC91" s="56"/>
      <c r="AD91" s="113"/>
      <c r="AE91" s="260"/>
      <c r="AF91" s="259"/>
      <c r="AG91" s="241"/>
      <c r="AH91" s="240"/>
      <c r="AI91" s="148"/>
      <c r="AK91" s="53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</row>
    <row r="92" spans="1:87" s="21" customFormat="1" x14ac:dyDescent="0.25">
      <c r="A92" s="261"/>
      <c r="B92" s="260"/>
      <c r="C92" s="259"/>
      <c r="D92" s="241">
        <f>R92</f>
        <v>0.52</v>
      </c>
      <c r="E92" s="15" t="s">
        <v>68</v>
      </c>
      <c r="F92" s="113"/>
      <c r="G92" s="264"/>
      <c r="H92" s="267"/>
      <c r="I92" s="240"/>
      <c r="J92" s="113"/>
      <c r="K92" s="260"/>
      <c r="L92" s="259"/>
      <c r="M92" s="241">
        <f>D92</f>
        <v>0.52</v>
      </c>
      <c r="N92" s="15" t="s">
        <v>68</v>
      </c>
      <c r="O92" s="113"/>
      <c r="P92" s="260"/>
      <c r="Q92" s="259"/>
      <c r="R92" s="241">
        <v>0.52</v>
      </c>
      <c r="S92" s="15" t="s">
        <v>68</v>
      </c>
      <c r="T92" s="113"/>
      <c r="U92" s="260"/>
      <c r="V92" s="259"/>
      <c r="W92" s="241">
        <v>0.52</v>
      </c>
      <c r="X92" s="15" t="s">
        <v>68</v>
      </c>
      <c r="Y92" s="113"/>
      <c r="Z92" s="260"/>
      <c r="AA92" s="259"/>
      <c r="AB92" s="241">
        <f>Z89+Z96</f>
        <v>0.87</v>
      </c>
      <c r="AC92" s="15" t="s">
        <v>68</v>
      </c>
      <c r="AD92" s="113"/>
      <c r="AE92" s="260"/>
      <c r="AF92" s="259"/>
      <c r="AG92" s="241"/>
      <c r="AH92" s="240"/>
      <c r="AI92" s="148"/>
      <c r="AK92" s="53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</row>
    <row r="93" spans="1:87" s="21" customFormat="1" x14ac:dyDescent="0.25">
      <c r="A93" s="261"/>
      <c r="B93" s="260"/>
      <c r="C93" s="259"/>
      <c r="D93" s="240"/>
      <c r="E93" s="118"/>
      <c r="F93" s="113"/>
      <c r="G93" s="264"/>
      <c r="H93" s="267"/>
      <c r="I93" s="240"/>
      <c r="J93" s="113"/>
      <c r="K93" s="260"/>
      <c r="L93" s="259"/>
      <c r="M93" s="241"/>
      <c r="N93" s="118"/>
      <c r="O93" s="113"/>
      <c r="P93" s="260"/>
      <c r="Q93" s="259"/>
      <c r="R93" s="56"/>
      <c r="S93" s="56"/>
      <c r="T93" s="113"/>
      <c r="U93" s="260"/>
      <c r="V93" s="259"/>
      <c r="W93" s="241"/>
      <c r="X93" s="118"/>
      <c r="Y93" s="113"/>
      <c r="Z93" s="260"/>
      <c r="AA93" s="259"/>
      <c r="AB93" s="241"/>
      <c r="AC93" s="118"/>
      <c r="AD93" s="113"/>
      <c r="AE93" s="260"/>
      <c r="AF93" s="259"/>
      <c r="AG93" s="241"/>
      <c r="AH93" s="240"/>
      <c r="AI93" s="148"/>
      <c r="AK93" s="53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</row>
    <row r="94" spans="1:87" s="21" customFormat="1" x14ac:dyDescent="0.25">
      <c r="A94" s="261"/>
      <c r="B94" s="260"/>
      <c r="C94" s="259"/>
      <c r="D94" s="240"/>
      <c r="E94" s="152"/>
      <c r="F94" s="113"/>
      <c r="G94" s="264"/>
      <c r="H94" s="267"/>
      <c r="I94" s="240"/>
      <c r="J94" s="113"/>
      <c r="K94" s="260"/>
      <c r="L94" s="259"/>
      <c r="M94" s="241"/>
      <c r="N94" s="152"/>
      <c r="O94" s="113"/>
      <c r="P94" s="260"/>
      <c r="Q94" s="259"/>
      <c r="T94" s="113"/>
      <c r="U94" s="260"/>
      <c r="V94" s="259"/>
      <c r="Y94" s="113"/>
      <c r="Z94" s="260"/>
      <c r="AA94" s="259"/>
      <c r="AB94" s="241"/>
      <c r="AC94" s="240"/>
      <c r="AD94" s="113"/>
      <c r="AE94" s="260"/>
      <c r="AF94" s="259"/>
      <c r="AG94" s="241"/>
      <c r="AH94" s="240"/>
      <c r="AI94" s="148"/>
      <c r="AK94" s="53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</row>
    <row r="95" spans="1:87" s="21" customFormat="1" x14ac:dyDescent="0.25">
      <c r="A95" s="261"/>
      <c r="B95" s="260"/>
      <c r="C95" s="259"/>
      <c r="D95" s="240"/>
      <c r="E95" s="240"/>
      <c r="F95" s="113"/>
      <c r="G95" s="264"/>
      <c r="H95" s="267"/>
      <c r="I95" s="240"/>
      <c r="J95" s="113"/>
      <c r="K95" s="260"/>
      <c r="L95" s="259"/>
      <c r="M95" s="241"/>
      <c r="N95" s="240"/>
      <c r="O95" s="113"/>
      <c r="P95" s="260"/>
      <c r="Q95" s="259"/>
      <c r="R95" s="241">
        <v>0.23</v>
      </c>
      <c r="S95" s="6" t="s">
        <v>313</v>
      </c>
      <c r="T95" s="113"/>
      <c r="U95" s="260"/>
      <c r="V95" s="259"/>
      <c r="W95" s="241">
        <f>R95</f>
        <v>0.23</v>
      </c>
      <c r="X95" s="6" t="s">
        <v>313</v>
      </c>
      <c r="Y95" s="113"/>
      <c r="Z95" s="260"/>
      <c r="AA95" s="259"/>
      <c r="AB95" s="241"/>
      <c r="AC95" s="240"/>
      <c r="AD95" s="113"/>
      <c r="AE95" s="260"/>
      <c r="AF95" s="259"/>
      <c r="AG95" s="241"/>
      <c r="AH95" s="240"/>
      <c r="AI95" s="148"/>
      <c r="AK95" s="53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</row>
    <row r="96" spans="1:87" s="21" customFormat="1" x14ac:dyDescent="0.25">
      <c r="A96" s="261"/>
      <c r="B96" s="260"/>
      <c r="C96" s="259"/>
      <c r="D96" s="56"/>
      <c r="E96" s="56"/>
      <c r="F96" s="113"/>
      <c r="G96" s="265"/>
      <c r="H96" s="268"/>
      <c r="I96" s="240"/>
      <c r="J96" s="113"/>
      <c r="K96" s="260"/>
      <c r="L96" s="259"/>
      <c r="M96" s="56"/>
      <c r="N96" s="56"/>
      <c r="O96" s="113"/>
      <c r="P96" s="260"/>
      <c r="Q96" s="259"/>
      <c r="R96" s="56"/>
      <c r="S96" s="56"/>
      <c r="T96" s="113"/>
      <c r="U96" s="260"/>
      <c r="V96" s="259"/>
      <c r="W96" s="56"/>
      <c r="X96" s="56"/>
      <c r="Y96" s="113"/>
      <c r="Z96" s="241">
        <v>0.35</v>
      </c>
      <c r="AA96" s="240">
        <v>7.75</v>
      </c>
      <c r="AB96" s="241"/>
      <c r="AC96" s="240"/>
      <c r="AD96" s="113"/>
      <c r="AE96" s="241">
        <v>0.05</v>
      </c>
      <c r="AF96" s="240">
        <v>7.75</v>
      </c>
      <c r="AG96" s="241"/>
      <c r="AH96" s="240"/>
      <c r="AI96" s="148"/>
      <c r="AK96" s="53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s="21" customFormat="1" x14ac:dyDescent="0.25">
      <c r="A97" s="261">
        <v>30</v>
      </c>
      <c r="B97" s="260">
        <v>0.51</v>
      </c>
      <c r="C97" s="259">
        <v>7.83</v>
      </c>
      <c r="D97" s="241">
        <v>0.01</v>
      </c>
      <c r="E97" s="22" t="s">
        <v>417</v>
      </c>
      <c r="F97" s="113"/>
      <c r="G97" s="260">
        <v>0.78</v>
      </c>
      <c r="H97" s="259">
        <v>7.86</v>
      </c>
      <c r="I97" s="240"/>
      <c r="J97" s="113"/>
      <c r="K97" s="260">
        <v>3.55</v>
      </c>
      <c r="L97" s="259">
        <v>7.92</v>
      </c>
      <c r="M97" s="241">
        <f>D97</f>
        <v>0.01</v>
      </c>
      <c r="N97" s="22" t="s">
        <v>417</v>
      </c>
      <c r="O97" s="113"/>
      <c r="P97" s="260">
        <v>0.49</v>
      </c>
      <c r="Q97" s="259">
        <v>7.84</v>
      </c>
      <c r="R97" s="241">
        <v>0.15</v>
      </c>
      <c r="S97" s="22" t="s">
        <v>130</v>
      </c>
      <c r="T97" s="113"/>
      <c r="U97" s="260">
        <v>3.75</v>
      </c>
      <c r="V97" s="259">
        <v>7.92</v>
      </c>
      <c r="W97" s="241">
        <f>R97</f>
        <v>0.15</v>
      </c>
      <c r="X97" s="22" t="s">
        <v>130</v>
      </c>
      <c r="Y97" s="113"/>
      <c r="Z97" s="260">
        <v>0.9</v>
      </c>
      <c r="AA97" s="259">
        <v>7.83</v>
      </c>
      <c r="AB97" s="241"/>
      <c r="AC97" s="240"/>
      <c r="AD97" s="113"/>
      <c r="AE97" s="260">
        <v>0.48</v>
      </c>
      <c r="AF97" s="259">
        <v>7.83</v>
      </c>
      <c r="AG97" s="241"/>
      <c r="AH97" s="240"/>
      <c r="AI97" s="148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</row>
    <row r="98" spans="1:87" s="21" customFormat="1" x14ac:dyDescent="0.25">
      <c r="A98" s="261"/>
      <c r="B98" s="260"/>
      <c r="C98" s="259"/>
      <c r="D98" s="240"/>
      <c r="E98" s="107"/>
      <c r="F98" s="113"/>
      <c r="G98" s="260"/>
      <c r="H98" s="259"/>
      <c r="I98" s="240"/>
      <c r="J98" s="113"/>
      <c r="K98" s="260"/>
      <c r="L98" s="259"/>
      <c r="M98" s="241"/>
      <c r="N98" s="107"/>
      <c r="O98" s="113"/>
      <c r="P98" s="260"/>
      <c r="Q98" s="259"/>
      <c r="R98" s="241"/>
      <c r="S98" s="240"/>
      <c r="T98" s="113"/>
      <c r="U98" s="260"/>
      <c r="V98" s="259"/>
      <c r="W98" s="241"/>
      <c r="X98" s="240"/>
      <c r="Y98" s="113"/>
      <c r="Z98" s="260"/>
      <c r="AA98" s="259"/>
      <c r="AB98" s="241"/>
      <c r="AC98" s="240"/>
      <c r="AD98" s="113"/>
      <c r="AE98" s="260"/>
      <c r="AF98" s="259"/>
      <c r="AG98" s="241"/>
      <c r="AH98" s="240"/>
      <c r="AI98" s="148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</row>
    <row r="99" spans="1:87" s="21" customFormat="1" x14ac:dyDescent="0.25">
      <c r="A99" s="261"/>
      <c r="B99" s="260"/>
      <c r="C99" s="259"/>
      <c r="D99" s="240">
        <f>B97-D97</f>
        <v>0.5</v>
      </c>
      <c r="E99" s="54" t="s">
        <v>34</v>
      </c>
      <c r="F99" s="113"/>
      <c r="G99" s="260"/>
      <c r="H99" s="259"/>
      <c r="I99" s="240"/>
      <c r="J99" s="113"/>
      <c r="K99" s="260"/>
      <c r="L99" s="259"/>
      <c r="M99" s="241">
        <f>D99</f>
        <v>0.5</v>
      </c>
      <c r="N99" s="54" t="s">
        <v>34</v>
      </c>
      <c r="O99" s="113"/>
      <c r="P99" s="260"/>
      <c r="Q99" s="259"/>
      <c r="R99" s="241">
        <v>0.48</v>
      </c>
      <c r="S99" s="54" t="s">
        <v>34</v>
      </c>
      <c r="T99" s="113"/>
      <c r="U99" s="260"/>
      <c r="V99" s="259"/>
      <c r="W99" s="241">
        <f>AB99</f>
        <v>0.9</v>
      </c>
      <c r="X99" s="54" t="s">
        <v>34</v>
      </c>
      <c r="Y99" s="113"/>
      <c r="Z99" s="260"/>
      <c r="AA99" s="259"/>
      <c r="AB99" s="241">
        <f>Z97</f>
        <v>0.9</v>
      </c>
      <c r="AC99" s="54" t="s">
        <v>34</v>
      </c>
      <c r="AD99" s="113"/>
      <c r="AE99" s="260"/>
      <c r="AF99" s="259"/>
      <c r="AG99" s="241">
        <f>AE97</f>
        <v>0.48</v>
      </c>
      <c r="AH99" s="54" t="s">
        <v>34</v>
      </c>
      <c r="AI99" s="148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</row>
    <row r="100" spans="1:87" s="21" customFormat="1" x14ac:dyDescent="0.25">
      <c r="A100" s="261">
        <v>31</v>
      </c>
      <c r="B100" s="260">
        <v>3.15</v>
      </c>
      <c r="C100" s="259">
        <v>7.93</v>
      </c>
      <c r="D100" s="240">
        <f>(B100-D103-D104)</f>
        <v>1.5349999999999999</v>
      </c>
      <c r="E100" s="6" t="s">
        <v>23</v>
      </c>
      <c r="F100" s="113"/>
      <c r="G100" s="241">
        <v>0.39</v>
      </c>
      <c r="H100" s="240">
        <v>7.94</v>
      </c>
      <c r="I100" s="149"/>
      <c r="J100" s="113"/>
      <c r="K100" s="260"/>
      <c r="L100" s="259"/>
      <c r="M100" s="241">
        <f>K97-M97-M99-M103-M104</f>
        <v>1.425</v>
      </c>
      <c r="N100" s="6" t="s">
        <v>23</v>
      </c>
      <c r="O100" s="113"/>
      <c r="P100" s="260">
        <v>2.9</v>
      </c>
      <c r="Q100" s="259">
        <v>7.95</v>
      </c>
      <c r="R100" s="241">
        <f>P100-R104</f>
        <v>1.7049999999999998</v>
      </c>
      <c r="S100" s="6" t="s">
        <v>23</v>
      </c>
      <c r="T100" s="113"/>
      <c r="U100" s="260"/>
      <c r="V100" s="259"/>
      <c r="W100" s="241">
        <f>U97-W97-W99-W104</f>
        <v>1.5050000000000001</v>
      </c>
      <c r="X100" s="6" t="s">
        <v>23</v>
      </c>
      <c r="Y100" s="113"/>
      <c r="Z100" s="260">
        <v>2.76</v>
      </c>
      <c r="AA100" s="259">
        <v>7.95</v>
      </c>
      <c r="AB100" s="241">
        <f>Z100-AB104</f>
        <v>1.5649999999999997</v>
      </c>
      <c r="AC100" s="6" t="s">
        <v>23</v>
      </c>
      <c r="AD100" s="113"/>
      <c r="AE100" s="260">
        <v>2.39</v>
      </c>
      <c r="AF100" s="259">
        <v>7.94</v>
      </c>
      <c r="AG100" s="241">
        <v>1.1950000000000001</v>
      </c>
      <c r="AH100" s="6" t="s">
        <v>23</v>
      </c>
      <c r="AI100" s="141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</row>
    <row r="101" spans="1:87" s="21" customFormat="1" x14ac:dyDescent="0.25">
      <c r="A101" s="261"/>
      <c r="B101" s="260"/>
      <c r="C101" s="259"/>
      <c r="D101" s="240"/>
      <c r="E101" s="240"/>
      <c r="F101" s="113"/>
      <c r="G101" s="263">
        <v>0.21</v>
      </c>
      <c r="H101" s="266">
        <v>7.96</v>
      </c>
      <c r="I101" s="240"/>
      <c r="J101" s="113"/>
      <c r="K101" s="260"/>
      <c r="L101" s="259"/>
      <c r="M101" s="241"/>
      <c r="N101" s="240"/>
      <c r="O101" s="113"/>
      <c r="P101" s="260"/>
      <c r="Q101" s="259"/>
      <c r="R101" s="241"/>
      <c r="S101" s="240"/>
      <c r="T101" s="113"/>
      <c r="U101" s="260"/>
      <c r="V101" s="259"/>
      <c r="W101" s="241"/>
      <c r="X101" s="240"/>
      <c r="Y101" s="113"/>
      <c r="Z101" s="260"/>
      <c r="AA101" s="259"/>
      <c r="AB101" s="241"/>
      <c r="AC101" s="240"/>
      <c r="AD101" s="113"/>
      <c r="AE101" s="260"/>
      <c r="AF101" s="259"/>
      <c r="AG101" s="241"/>
      <c r="AH101" s="240"/>
      <c r="AI101" s="141"/>
    </row>
    <row r="102" spans="1:87" s="21" customFormat="1" x14ac:dyDescent="0.25">
      <c r="A102" s="261"/>
      <c r="B102" s="260"/>
      <c r="C102" s="259"/>
      <c r="D102" s="240"/>
      <c r="E102" s="240"/>
      <c r="F102" s="113"/>
      <c r="G102" s="264"/>
      <c r="H102" s="267"/>
      <c r="I102" s="56"/>
      <c r="J102" s="113"/>
      <c r="K102" s="260"/>
      <c r="L102" s="259"/>
      <c r="M102" s="241"/>
      <c r="N102" s="240"/>
      <c r="O102" s="113"/>
      <c r="P102" s="260"/>
      <c r="Q102" s="259"/>
      <c r="R102" s="241"/>
      <c r="S102" s="8"/>
      <c r="T102" s="113"/>
      <c r="U102" s="260"/>
      <c r="V102" s="259"/>
      <c r="W102" s="241"/>
      <c r="X102" s="8"/>
      <c r="Y102" s="113"/>
      <c r="Z102" s="260"/>
      <c r="AA102" s="259"/>
      <c r="AB102" s="241"/>
      <c r="AC102" s="8"/>
      <c r="AD102" s="113"/>
      <c r="AE102" s="260"/>
      <c r="AF102" s="259"/>
      <c r="AG102" s="241"/>
      <c r="AH102" s="240"/>
      <c r="AI102" s="141"/>
    </row>
    <row r="103" spans="1:87" s="21" customFormat="1" x14ac:dyDescent="0.25">
      <c r="A103" s="261"/>
      <c r="B103" s="260"/>
      <c r="C103" s="259"/>
      <c r="D103" s="241">
        <f>0.42</f>
        <v>0.42</v>
      </c>
      <c r="E103" s="6" t="s">
        <v>147</v>
      </c>
      <c r="F103" s="113"/>
      <c r="G103" s="265"/>
      <c r="H103" s="268"/>
      <c r="I103" s="149"/>
      <c r="J103" s="113"/>
      <c r="K103" s="260"/>
      <c r="L103" s="259"/>
      <c r="M103" s="241">
        <f>D103</f>
        <v>0.42</v>
      </c>
      <c r="N103" s="6" t="s">
        <v>147</v>
      </c>
      <c r="O103" s="113"/>
      <c r="P103" s="260"/>
      <c r="Q103" s="259"/>
      <c r="R103" s="241"/>
      <c r="S103" s="240"/>
      <c r="T103" s="113"/>
      <c r="U103" s="260"/>
      <c r="V103" s="259"/>
      <c r="W103" s="241"/>
      <c r="X103" s="240"/>
      <c r="Y103" s="113"/>
      <c r="Z103" s="260"/>
      <c r="AA103" s="259"/>
      <c r="AB103" s="241"/>
      <c r="AC103" s="240"/>
      <c r="AD103" s="113"/>
      <c r="AE103" s="260"/>
      <c r="AF103" s="259"/>
      <c r="AG103" s="241"/>
      <c r="AH103" s="240"/>
      <c r="AI103" s="141"/>
    </row>
    <row r="104" spans="1:87" s="21" customFormat="1" x14ac:dyDescent="0.25">
      <c r="A104" s="261"/>
      <c r="B104" s="260"/>
      <c r="C104" s="259"/>
      <c r="D104" s="241">
        <f>AG104</f>
        <v>1.1950000000000001</v>
      </c>
      <c r="E104" s="6" t="s">
        <v>24</v>
      </c>
      <c r="F104" s="113"/>
      <c r="G104" s="241">
        <v>0.17</v>
      </c>
      <c r="H104" s="240">
        <v>8.0299999999999994</v>
      </c>
      <c r="I104" s="149"/>
      <c r="J104" s="113"/>
      <c r="K104" s="260"/>
      <c r="L104" s="259"/>
      <c r="M104" s="241">
        <f>R104</f>
        <v>1.1950000000000001</v>
      </c>
      <c r="N104" s="6" t="s">
        <v>24</v>
      </c>
      <c r="O104" s="113"/>
      <c r="P104" s="260"/>
      <c r="Q104" s="259"/>
      <c r="R104" s="241">
        <f>AB104</f>
        <v>1.1950000000000001</v>
      </c>
      <c r="S104" s="6" t="s">
        <v>24</v>
      </c>
      <c r="T104" s="113"/>
      <c r="U104" s="260"/>
      <c r="V104" s="259"/>
      <c r="W104" s="241">
        <f>R104</f>
        <v>1.1950000000000001</v>
      </c>
      <c r="X104" s="6" t="s">
        <v>24</v>
      </c>
      <c r="Y104" s="113"/>
      <c r="Z104" s="260"/>
      <c r="AA104" s="259"/>
      <c r="AB104" s="241">
        <f>AG104</f>
        <v>1.1950000000000001</v>
      </c>
      <c r="AC104" s="6" t="s">
        <v>24</v>
      </c>
      <c r="AD104" s="113"/>
      <c r="AE104" s="260"/>
      <c r="AF104" s="259"/>
      <c r="AG104" s="241">
        <f>AG100</f>
        <v>1.1950000000000001</v>
      </c>
      <c r="AH104" s="6" t="s">
        <v>24</v>
      </c>
      <c r="AI104" s="141"/>
    </row>
    <row r="105" spans="1:87" s="21" customFormat="1" x14ac:dyDescent="0.25">
      <c r="A105" s="261">
        <v>32</v>
      </c>
      <c r="B105" s="260">
        <v>0.31</v>
      </c>
      <c r="C105" s="259">
        <v>8.0299999999999994</v>
      </c>
      <c r="D105" s="240"/>
      <c r="E105" s="240"/>
      <c r="F105" s="113"/>
      <c r="G105" s="241">
        <v>0.08</v>
      </c>
      <c r="H105" s="240">
        <v>8.07</v>
      </c>
      <c r="I105" s="56"/>
      <c r="J105" s="113"/>
      <c r="K105" s="241">
        <v>0.13</v>
      </c>
      <c r="L105" s="240">
        <v>8.0299999999999994</v>
      </c>
      <c r="M105" s="241"/>
      <c r="N105" s="240"/>
      <c r="O105" s="113"/>
      <c r="P105" s="260">
        <v>0.15</v>
      </c>
      <c r="Q105" s="259">
        <v>8.0500000000000007</v>
      </c>
      <c r="R105" s="241"/>
      <c r="S105" s="8"/>
      <c r="T105" s="113"/>
      <c r="U105" s="260">
        <v>0.14000000000000001</v>
      </c>
      <c r="V105" s="259">
        <v>8.01</v>
      </c>
      <c r="W105" s="241"/>
      <c r="X105" s="8"/>
      <c r="Y105" s="113"/>
      <c r="Z105" s="260">
        <v>0.39</v>
      </c>
      <c r="AA105" s="259">
        <v>8.09</v>
      </c>
      <c r="AB105" s="241"/>
      <c r="AC105" s="240"/>
      <c r="AD105" s="113"/>
      <c r="AE105" s="260">
        <v>0.08</v>
      </c>
      <c r="AF105" s="259">
        <v>8.0500000000000007</v>
      </c>
      <c r="AG105" s="241"/>
      <c r="AH105" s="240"/>
      <c r="AI105" s="141"/>
    </row>
    <row r="106" spans="1:87" s="21" customFormat="1" x14ac:dyDescent="0.25">
      <c r="A106" s="261"/>
      <c r="B106" s="260"/>
      <c r="C106" s="259"/>
      <c r="D106" s="240">
        <f>B105-D109-D110</f>
        <v>0.22999999999999998</v>
      </c>
      <c r="E106" s="15" t="s">
        <v>70</v>
      </c>
      <c r="F106" s="113"/>
      <c r="G106" s="241">
        <v>0.1</v>
      </c>
      <c r="H106" s="240">
        <v>8.1</v>
      </c>
      <c r="I106" s="240"/>
      <c r="J106" s="113"/>
      <c r="K106" s="241">
        <v>0.1</v>
      </c>
      <c r="L106" s="240">
        <v>8.08</v>
      </c>
      <c r="M106" s="241">
        <f>K106</f>
        <v>0.1</v>
      </c>
      <c r="N106" s="15" t="s">
        <v>70</v>
      </c>
      <c r="O106" s="113"/>
      <c r="P106" s="260"/>
      <c r="Q106" s="259"/>
      <c r="R106" s="241">
        <f>P105</f>
        <v>0.15</v>
      </c>
      <c r="S106" s="15" t="s">
        <v>326</v>
      </c>
      <c r="T106" s="113"/>
      <c r="U106" s="260"/>
      <c r="V106" s="259"/>
      <c r="W106" s="241">
        <f>U105</f>
        <v>0.14000000000000001</v>
      </c>
      <c r="X106" s="15" t="s">
        <v>326</v>
      </c>
      <c r="Y106" s="113"/>
      <c r="Z106" s="260"/>
      <c r="AA106" s="259"/>
      <c r="AB106" s="241"/>
      <c r="AC106" s="240"/>
      <c r="AD106" s="113"/>
      <c r="AE106" s="260"/>
      <c r="AF106" s="259"/>
      <c r="AG106" s="241"/>
      <c r="AH106" s="240"/>
      <c r="AI106" s="141"/>
    </row>
    <row r="107" spans="1:87" s="21" customFormat="1" x14ac:dyDescent="0.25">
      <c r="A107" s="261"/>
      <c r="B107" s="260"/>
      <c r="C107" s="259"/>
      <c r="D107" s="240"/>
      <c r="E107" s="240"/>
      <c r="F107" s="113"/>
      <c r="G107" s="241">
        <v>0.04</v>
      </c>
      <c r="H107" s="240">
        <v>8.14</v>
      </c>
      <c r="I107" s="240"/>
      <c r="J107" s="113"/>
      <c r="K107" s="260">
        <v>0.08</v>
      </c>
      <c r="L107" s="259">
        <v>8.11</v>
      </c>
      <c r="M107" s="241"/>
      <c r="N107" s="240"/>
      <c r="O107" s="113"/>
      <c r="P107" s="260"/>
      <c r="Q107" s="259"/>
      <c r="R107" s="241"/>
      <c r="S107" s="118"/>
      <c r="T107" s="113"/>
      <c r="U107" s="260"/>
      <c r="V107" s="259"/>
      <c r="W107" s="241"/>
      <c r="X107" s="118"/>
      <c r="Y107" s="113"/>
      <c r="Z107" s="260"/>
      <c r="AA107" s="259"/>
      <c r="AB107" s="241"/>
      <c r="AC107" s="240"/>
      <c r="AD107" s="113"/>
      <c r="AE107" s="260"/>
      <c r="AF107" s="259"/>
      <c r="AG107" s="241"/>
      <c r="AH107" s="240"/>
      <c r="AI107" s="141"/>
    </row>
    <row r="108" spans="1:87" s="21" customFormat="1" x14ac:dyDescent="0.25">
      <c r="A108" s="261"/>
      <c r="B108" s="260"/>
      <c r="C108" s="259"/>
      <c r="D108" s="240"/>
      <c r="E108" s="240"/>
      <c r="F108" s="113"/>
      <c r="G108" s="260">
        <v>0.1</v>
      </c>
      <c r="H108" s="259">
        <v>8.17</v>
      </c>
      <c r="I108" s="240"/>
      <c r="J108" s="113"/>
      <c r="K108" s="260"/>
      <c r="L108" s="259"/>
      <c r="M108" s="241"/>
      <c r="N108" s="240"/>
      <c r="O108" s="113"/>
      <c r="P108" s="260">
        <v>0.27</v>
      </c>
      <c r="Q108" s="259">
        <v>8.1199999999999992</v>
      </c>
      <c r="R108" s="241"/>
      <c r="S108" s="240"/>
      <c r="T108" s="113"/>
      <c r="U108" s="260">
        <v>0.48</v>
      </c>
      <c r="V108" s="259">
        <v>8.09</v>
      </c>
      <c r="W108" s="241"/>
      <c r="X108" s="240"/>
      <c r="Y108" s="113"/>
      <c r="Z108" s="260"/>
      <c r="AA108" s="259"/>
      <c r="AB108" s="241"/>
      <c r="AC108" s="240"/>
      <c r="AD108" s="113"/>
      <c r="AE108" s="241">
        <v>0.05</v>
      </c>
      <c r="AF108" s="240">
        <v>8.1</v>
      </c>
      <c r="AG108" s="241"/>
      <c r="AH108" s="240"/>
      <c r="AI108" s="141"/>
    </row>
    <row r="109" spans="1:87" s="21" customFormat="1" x14ac:dyDescent="0.25">
      <c r="A109" s="261"/>
      <c r="B109" s="260"/>
      <c r="C109" s="259"/>
      <c r="D109" s="241">
        <f>M109</f>
        <v>0.08</v>
      </c>
      <c r="E109" s="7" t="s">
        <v>353</v>
      </c>
      <c r="F109" s="113"/>
      <c r="G109" s="260"/>
      <c r="H109" s="259"/>
      <c r="I109" s="240"/>
      <c r="J109" s="113"/>
      <c r="K109" s="260"/>
      <c r="L109" s="259"/>
      <c r="M109" s="241">
        <f>K107</f>
        <v>0.08</v>
      </c>
      <c r="N109" s="7" t="s">
        <v>353</v>
      </c>
      <c r="O109" s="113"/>
      <c r="P109" s="260"/>
      <c r="Q109" s="259"/>
      <c r="R109" s="241">
        <f>P108+P105-R110</f>
        <v>0.41000000000000003</v>
      </c>
      <c r="S109" s="7" t="s">
        <v>353</v>
      </c>
      <c r="T109" s="113"/>
      <c r="U109" s="260"/>
      <c r="V109" s="259"/>
      <c r="W109" s="241">
        <f>U108+U105-W110</f>
        <v>0.61</v>
      </c>
      <c r="X109" s="7" t="s">
        <v>353</v>
      </c>
      <c r="Y109" s="113"/>
      <c r="Z109" s="260">
        <v>0.28000000000000003</v>
      </c>
      <c r="AA109" s="259">
        <v>8.15</v>
      </c>
      <c r="AB109" s="241"/>
      <c r="AC109" s="240"/>
      <c r="AD109" s="113"/>
      <c r="AE109" s="241">
        <v>0.04</v>
      </c>
      <c r="AF109" s="240">
        <v>8.1300000000000008</v>
      </c>
      <c r="AG109" s="241"/>
      <c r="AH109" s="240"/>
      <c r="AI109" s="141"/>
    </row>
    <row r="110" spans="1:87" s="21" customFormat="1" x14ac:dyDescent="0.25">
      <c r="A110" s="261"/>
      <c r="B110" s="260"/>
      <c r="C110" s="259"/>
      <c r="D110" s="240"/>
      <c r="E110" s="240"/>
      <c r="F110" s="113"/>
      <c r="G110" s="260">
        <v>7.0000000000000007E-2</v>
      </c>
      <c r="H110" s="259">
        <v>8.2100000000000009</v>
      </c>
      <c r="I110" s="240"/>
      <c r="J110" s="113"/>
      <c r="K110" s="260"/>
      <c r="L110" s="259"/>
      <c r="M110" s="241"/>
      <c r="N110" s="240"/>
      <c r="O110" s="113"/>
      <c r="P110" s="260"/>
      <c r="Q110" s="259"/>
      <c r="R110" s="241">
        <v>0.01</v>
      </c>
      <c r="S110" s="249" t="s">
        <v>135</v>
      </c>
      <c r="T110" s="113"/>
      <c r="U110" s="260"/>
      <c r="V110" s="259"/>
      <c r="W110" s="241">
        <v>0.01</v>
      </c>
      <c r="X110" s="249" t="s">
        <v>135</v>
      </c>
      <c r="Y110" s="113"/>
      <c r="Z110" s="260"/>
      <c r="AA110" s="259"/>
      <c r="AB110" s="241"/>
      <c r="AC110" s="240"/>
      <c r="AD110" s="113"/>
      <c r="AE110" s="260">
        <v>0.1</v>
      </c>
      <c r="AF110" s="259">
        <v>8.17</v>
      </c>
      <c r="AG110" s="241"/>
      <c r="AH110" s="240"/>
      <c r="AI110" s="141"/>
    </row>
    <row r="111" spans="1:87" s="21" customFormat="1" x14ac:dyDescent="0.25">
      <c r="A111" s="261"/>
      <c r="B111" s="260"/>
      <c r="C111" s="259"/>
      <c r="D111" s="240"/>
      <c r="E111" s="8"/>
      <c r="F111" s="113"/>
      <c r="G111" s="260"/>
      <c r="H111" s="259"/>
      <c r="I111" s="240"/>
      <c r="J111" s="113"/>
      <c r="K111" s="260"/>
      <c r="L111" s="259"/>
      <c r="M111" s="241"/>
      <c r="N111" s="8"/>
      <c r="O111" s="113"/>
      <c r="P111" s="260"/>
      <c r="Q111" s="259"/>
      <c r="R111" s="241"/>
      <c r="S111" s="240"/>
      <c r="T111" s="113"/>
      <c r="U111" s="260"/>
      <c r="V111" s="259"/>
      <c r="W111" s="241"/>
      <c r="X111" s="240"/>
      <c r="Y111" s="113"/>
      <c r="Z111" s="260"/>
      <c r="AA111" s="259"/>
      <c r="AB111" s="241"/>
      <c r="AC111" s="240"/>
      <c r="AD111" s="113"/>
      <c r="AE111" s="260"/>
      <c r="AF111" s="259"/>
      <c r="AG111" s="241"/>
      <c r="AH111" s="240"/>
      <c r="AI111" s="141"/>
    </row>
    <row r="112" spans="1:87" s="21" customFormat="1" x14ac:dyDescent="0.25">
      <c r="A112" s="261">
        <v>33</v>
      </c>
      <c r="B112" s="260">
        <v>2.72</v>
      </c>
      <c r="C112" s="259">
        <v>8.32</v>
      </c>
      <c r="D112" s="56"/>
      <c r="E112" s="56"/>
      <c r="F112" s="113"/>
      <c r="G112" s="241">
        <v>7.0000000000000007E-2</v>
      </c>
      <c r="H112" s="240">
        <v>8.26</v>
      </c>
      <c r="I112" s="240"/>
      <c r="J112" s="113"/>
      <c r="K112" s="260">
        <v>11.29</v>
      </c>
      <c r="L112" s="259">
        <v>8.3000000000000007</v>
      </c>
      <c r="M112" s="56"/>
      <c r="N112" s="56"/>
      <c r="O112" s="113"/>
      <c r="P112" s="241">
        <v>2.75</v>
      </c>
      <c r="Q112" s="240">
        <v>8.23</v>
      </c>
      <c r="R112" s="241">
        <v>0.36</v>
      </c>
      <c r="S112" s="15" t="s">
        <v>325</v>
      </c>
      <c r="T112" s="113"/>
      <c r="U112" s="241">
        <v>2.37</v>
      </c>
      <c r="V112" s="240">
        <v>8.1999999999999993</v>
      </c>
      <c r="W112" s="241">
        <f>R112</f>
        <v>0.36</v>
      </c>
      <c r="X112" s="15" t="s">
        <v>325</v>
      </c>
      <c r="Y112" s="113"/>
      <c r="Z112" s="241">
        <v>0.31</v>
      </c>
      <c r="AA112" s="240">
        <v>8.25</v>
      </c>
      <c r="AB112" s="245"/>
      <c r="AC112" s="246"/>
      <c r="AD112" s="113"/>
      <c r="AE112" s="241">
        <v>0.13</v>
      </c>
      <c r="AF112" s="240">
        <v>8.25</v>
      </c>
      <c r="AG112" s="245"/>
      <c r="AH112" s="246"/>
      <c r="AI112" s="141"/>
    </row>
    <row r="113" spans="1:35" s="21" customFormat="1" x14ac:dyDescent="0.25">
      <c r="A113" s="261"/>
      <c r="B113" s="260"/>
      <c r="C113" s="259"/>
      <c r="D113" s="240">
        <f>B112-D114-D116-D117-D118</f>
        <v>2.6800000000000006</v>
      </c>
      <c r="E113" s="7" t="s">
        <v>149</v>
      </c>
      <c r="F113" s="113"/>
      <c r="G113" s="260">
        <v>3.14</v>
      </c>
      <c r="H113" s="259">
        <v>8.36</v>
      </c>
      <c r="I113" s="240"/>
      <c r="J113" s="113"/>
      <c r="K113" s="260"/>
      <c r="L113" s="259"/>
      <c r="M113" s="241">
        <v>4.5</v>
      </c>
      <c r="N113" s="7" t="s">
        <v>149</v>
      </c>
      <c r="O113" s="113"/>
      <c r="P113" s="260">
        <v>21.5</v>
      </c>
      <c r="Q113" s="259">
        <v>8.34</v>
      </c>
      <c r="R113" s="241"/>
      <c r="S113" s="240"/>
      <c r="T113" s="113"/>
      <c r="U113" s="260">
        <v>9.17</v>
      </c>
      <c r="V113" s="259">
        <v>8.31</v>
      </c>
      <c r="W113" s="241"/>
      <c r="X113" s="240"/>
      <c r="Y113" s="113"/>
      <c r="Z113" s="260">
        <v>0.26</v>
      </c>
      <c r="AA113" s="259">
        <v>8.33</v>
      </c>
      <c r="AB113" s="241"/>
      <c r="AC113" s="240"/>
      <c r="AD113" s="113"/>
      <c r="AE113" s="241">
        <v>0.03</v>
      </c>
      <c r="AF113" s="240">
        <v>8.2899999999999991</v>
      </c>
      <c r="AG113" s="241"/>
      <c r="AH113" s="240"/>
      <c r="AI113" s="141"/>
    </row>
    <row r="114" spans="1:35" s="21" customFormat="1" x14ac:dyDescent="0.25">
      <c r="A114" s="261"/>
      <c r="B114" s="260"/>
      <c r="C114" s="259"/>
      <c r="D114" s="241">
        <v>0.01</v>
      </c>
      <c r="E114" s="7" t="s">
        <v>78</v>
      </c>
      <c r="F114" s="113"/>
      <c r="G114" s="260"/>
      <c r="H114" s="259"/>
      <c r="I114" s="240"/>
      <c r="J114" s="113"/>
      <c r="K114" s="260"/>
      <c r="L114" s="259"/>
      <c r="M114" s="241">
        <f>D114</f>
        <v>0.01</v>
      </c>
      <c r="N114" s="7" t="s">
        <v>78</v>
      </c>
      <c r="O114" s="113"/>
      <c r="P114" s="260"/>
      <c r="Q114" s="259"/>
      <c r="R114" s="241"/>
      <c r="S114" s="240"/>
      <c r="T114" s="113"/>
      <c r="U114" s="260"/>
      <c r="V114" s="259"/>
      <c r="W114" s="241"/>
      <c r="X114" s="240"/>
      <c r="Y114" s="113"/>
      <c r="Z114" s="260"/>
      <c r="AA114" s="259"/>
      <c r="AB114" s="241"/>
      <c r="AC114" s="240"/>
      <c r="AD114" s="113"/>
      <c r="AE114" s="241">
        <v>0.03</v>
      </c>
      <c r="AF114" s="240">
        <v>8.33</v>
      </c>
      <c r="AG114" s="241"/>
      <c r="AH114" s="240"/>
      <c r="AI114" s="141"/>
    </row>
    <row r="115" spans="1:35" s="21" customFormat="1" x14ac:dyDescent="0.25">
      <c r="A115" s="261"/>
      <c r="B115" s="260"/>
      <c r="C115" s="259"/>
      <c r="D115" s="240"/>
      <c r="E115" s="240"/>
      <c r="F115" s="113"/>
      <c r="G115" s="260"/>
      <c r="H115" s="259"/>
      <c r="I115" s="240"/>
      <c r="J115" s="113"/>
      <c r="K115" s="260"/>
      <c r="L115" s="259"/>
      <c r="M115" s="241"/>
      <c r="N115" s="240"/>
      <c r="O115" s="113"/>
      <c r="P115" s="260"/>
      <c r="Q115" s="259"/>
      <c r="R115" s="241"/>
      <c r="S115" s="240"/>
      <c r="T115" s="113"/>
      <c r="U115" s="260"/>
      <c r="V115" s="259"/>
      <c r="W115" s="241"/>
      <c r="X115" s="240"/>
      <c r="Y115" s="113"/>
      <c r="Z115" s="260">
        <v>0.15</v>
      </c>
      <c r="AA115" s="259">
        <v>8.36</v>
      </c>
      <c r="AB115" s="241">
        <f>Z113+Z115+Z118</f>
        <v>0.54</v>
      </c>
      <c r="AC115" s="75" t="s">
        <v>43</v>
      </c>
      <c r="AD115" s="113"/>
      <c r="AE115" s="260">
        <v>0.05</v>
      </c>
      <c r="AF115" s="259">
        <v>8.3800000000000008</v>
      </c>
      <c r="AG115" s="241"/>
      <c r="AH115" s="240"/>
      <c r="AI115" s="141"/>
    </row>
    <row r="116" spans="1:35" s="21" customFormat="1" x14ac:dyDescent="0.25">
      <c r="A116" s="261"/>
      <c r="B116" s="260"/>
      <c r="C116" s="259"/>
      <c r="D116" s="241">
        <v>0.03</v>
      </c>
      <c r="E116" s="249" t="s">
        <v>402</v>
      </c>
      <c r="F116" s="113"/>
      <c r="G116" s="260"/>
      <c r="H116" s="259"/>
      <c r="I116" s="240"/>
      <c r="J116" s="113"/>
      <c r="K116" s="260"/>
      <c r="L116" s="259"/>
      <c r="M116" s="241">
        <f>(K112-M114-M113)</f>
        <v>6.7799999999999994</v>
      </c>
      <c r="N116" s="249" t="s">
        <v>402</v>
      </c>
      <c r="O116" s="113"/>
      <c r="P116" s="260"/>
      <c r="Q116" s="259"/>
      <c r="R116" s="241">
        <f>P113-R117-R118</f>
        <v>9.5</v>
      </c>
      <c r="S116" s="249" t="s">
        <v>41</v>
      </c>
      <c r="T116" s="113"/>
      <c r="U116" s="260"/>
      <c r="V116" s="259"/>
      <c r="W116" s="241"/>
      <c r="X116" s="246"/>
      <c r="Y116" s="113"/>
      <c r="Z116" s="260"/>
      <c r="AA116" s="259"/>
      <c r="AB116" s="241"/>
      <c r="AC116" s="240"/>
      <c r="AD116" s="113"/>
      <c r="AE116" s="260"/>
      <c r="AF116" s="259"/>
      <c r="AG116" s="241"/>
      <c r="AH116" s="240"/>
      <c r="AI116" s="141"/>
    </row>
    <row r="117" spans="1:35" s="21" customFormat="1" x14ac:dyDescent="0.25">
      <c r="A117" s="261"/>
      <c r="B117" s="260"/>
      <c r="C117" s="259"/>
      <c r="D117" s="241"/>
      <c r="E117" s="240"/>
      <c r="F117" s="113"/>
      <c r="G117" s="260"/>
      <c r="H117" s="259"/>
      <c r="I117" s="240"/>
      <c r="J117" s="113"/>
      <c r="K117" s="260"/>
      <c r="L117" s="259"/>
      <c r="M117" s="241"/>
      <c r="N117" s="55"/>
      <c r="O117" s="113"/>
      <c r="P117" s="260"/>
      <c r="Q117" s="259"/>
      <c r="R117" s="241">
        <v>9</v>
      </c>
      <c r="S117" s="249" t="s">
        <v>221</v>
      </c>
      <c r="T117" s="113"/>
      <c r="U117" s="260"/>
      <c r="V117" s="259"/>
      <c r="W117" s="241">
        <f>U113</f>
        <v>9.17</v>
      </c>
      <c r="X117" s="249" t="s">
        <v>221</v>
      </c>
      <c r="Y117" s="113"/>
      <c r="Z117" s="260"/>
      <c r="AA117" s="259"/>
      <c r="AB117" s="241"/>
      <c r="AC117" s="240"/>
      <c r="AD117" s="113"/>
      <c r="AE117" s="260"/>
      <c r="AF117" s="259"/>
      <c r="AG117" s="241"/>
      <c r="AH117" s="240"/>
      <c r="AI117" s="141"/>
    </row>
    <row r="118" spans="1:35" s="21" customFormat="1" x14ac:dyDescent="0.25">
      <c r="A118" s="261"/>
      <c r="B118" s="260"/>
      <c r="C118" s="259"/>
      <c r="D118" s="241"/>
      <c r="E118" s="240"/>
      <c r="F118" s="113"/>
      <c r="G118" s="260"/>
      <c r="H118" s="259"/>
      <c r="I118" s="240"/>
      <c r="J118" s="113"/>
      <c r="K118" s="260"/>
      <c r="L118" s="259"/>
      <c r="M118" s="241"/>
      <c r="N118" s="55"/>
      <c r="O118" s="113"/>
      <c r="P118" s="260"/>
      <c r="Q118" s="259"/>
      <c r="R118" s="241">
        <v>3</v>
      </c>
      <c r="S118" s="249" t="s">
        <v>42</v>
      </c>
      <c r="T118" s="113"/>
      <c r="U118" s="260"/>
      <c r="V118" s="259"/>
      <c r="W118" s="241"/>
      <c r="X118" s="246"/>
      <c r="Y118" s="113"/>
      <c r="Z118" s="241">
        <v>0.13</v>
      </c>
      <c r="AA118" s="240">
        <v>8.4</v>
      </c>
      <c r="AB118" s="241"/>
      <c r="AC118" s="240"/>
      <c r="AD118" s="113"/>
      <c r="AE118" s="241">
        <v>7.0000000000000007E-2</v>
      </c>
      <c r="AF118" s="240">
        <v>8.4600000000000009</v>
      </c>
      <c r="AG118" s="241"/>
      <c r="AH118" s="240"/>
      <c r="AI118" s="141"/>
    </row>
    <row r="119" spans="1:35" s="21" customFormat="1" x14ac:dyDescent="0.25">
      <c r="A119" s="261">
        <v>34</v>
      </c>
      <c r="B119" s="260">
        <v>0.28000000000000003</v>
      </c>
      <c r="C119" s="259">
        <v>8.44</v>
      </c>
      <c r="D119" s="240">
        <f>B119/2</f>
        <v>0.14000000000000001</v>
      </c>
      <c r="E119" s="7" t="s">
        <v>107</v>
      </c>
      <c r="F119" s="113"/>
      <c r="G119" s="263">
        <v>0.28000000000000003</v>
      </c>
      <c r="H119" s="266">
        <v>8.4600000000000009</v>
      </c>
      <c r="I119" s="240"/>
      <c r="J119" s="113"/>
      <c r="K119" s="260">
        <v>0.28000000000000003</v>
      </c>
      <c r="L119" s="259">
        <v>8.41</v>
      </c>
      <c r="M119" s="241">
        <f>D119</f>
        <v>0.14000000000000001</v>
      </c>
      <c r="N119" s="7" t="s">
        <v>107</v>
      </c>
      <c r="O119" s="113"/>
      <c r="P119" s="260">
        <v>0.54</v>
      </c>
      <c r="Q119" s="259">
        <v>8.4499999999999993</v>
      </c>
      <c r="R119" s="241">
        <f>P119</f>
        <v>0.54</v>
      </c>
      <c r="S119" s="7" t="s">
        <v>107</v>
      </c>
      <c r="T119" s="113"/>
      <c r="U119" s="260">
        <v>0.3</v>
      </c>
      <c r="V119" s="259">
        <v>8.42</v>
      </c>
      <c r="W119" s="241">
        <f>U119</f>
        <v>0.3</v>
      </c>
      <c r="X119" s="7" t="s">
        <v>107</v>
      </c>
      <c r="Y119" s="113"/>
      <c r="Z119" s="260">
        <v>0.2</v>
      </c>
      <c r="AA119" s="259">
        <v>8.49</v>
      </c>
      <c r="AB119" s="241">
        <f>Z119</f>
        <v>0.2</v>
      </c>
      <c r="AC119" s="7" t="s">
        <v>107</v>
      </c>
      <c r="AD119" s="113"/>
      <c r="AE119" s="260">
        <v>0.17</v>
      </c>
      <c r="AF119" s="259">
        <v>8.5299999999999994</v>
      </c>
      <c r="AG119" s="241">
        <f>AE119+0.15</f>
        <v>0.32</v>
      </c>
      <c r="AH119" s="7" t="s">
        <v>107</v>
      </c>
      <c r="AI119" s="141"/>
    </row>
    <row r="120" spans="1:35" s="21" customFormat="1" x14ac:dyDescent="0.25">
      <c r="A120" s="261"/>
      <c r="B120" s="260"/>
      <c r="C120" s="259"/>
      <c r="D120" s="240"/>
      <c r="E120" s="240"/>
      <c r="F120" s="113"/>
      <c r="G120" s="265"/>
      <c r="H120" s="268"/>
      <c r="I120" s="240"/>
      <c r="J120" s="113"/>
      <c r="K120" s="260"/>
      <c r="L120" s="259"/>
      <c r="M120" s="241"/>
      <c r="N120" s="240"/>
      <c r="O120" s="113"/>
      <c r="P120" s="260"/>
      <c r="Q120" s="259"/>
      <c r="R120" s="241"/>
      <c r="S120" s="240"/>
      <c r="T120" s="113"/>
      <c r="U120" s="260"/>
      <c r="V120" s="259"/>
      <c r="W120" s="241"/>
      <c r="X120" s="240"/>
      <c r="Y120" s="113"/>
      <c r="Z120" s="260"/>
      <c r="AA120" s="259"/>
      <c r="AB120" s="241"/>
      <c r="AC120" s="240"/>
      <c r="AD120" s="113"/>
      <c r="AE120" s="260"/>
      <c r="AF120" s="259"/>
      <c r="AG120" s="241"/>
      <c r="AH120" s="240"/>
      <c r="AI120" s="141"/>
    </row>
    <row r="121" spans="1:35" s="21" customFormat="1" x14ac:dyDescent="0.25">
      <c r="A121" s="261"/>
      <c r="B121" s="260"/>
      <c r="C121" s="259"/>
      <c r="D121" s="240">
        <f>B119-D119</f>
        <v>0.14000000000000001</v>
      </c>
      <c r="E121" s="22" t="s">
        <v>228</v>
      </c>
      <c r="F121" s="113"/>
      <c r="G121" s="241">
        <v>0.15</v>
      </c>
      <c r="H121" s="240">
        <v>8.49</v>
      </c>
      <c r="I121" s="240"/>
      <c r="J121" s="113"/>
      <c r="K121" s="260"/>
      <c r="L121" s="259"/>
      <c r="M121" s="241">
        <f>D121</f>
        <v>0.14000000000000001</v>
      </c>
      <c r="N121" s="22" t="s">
        <v>228</v>
      </c>
      <c r="O121" s="113"/>
      <c r="P121" s="260"/>
      <c r="Q121" s="259"/>
      <c r="R121" s="241"/>
      <c r="S121" s="56"/>
      <c r="T121" s="113"/>
      <c r="U121" s="260"/>
      <c r="V121" s="259"/>
      <c r="W121" s="241"/>
      <c r="X121" s="56"/>
      <c r="Y121" s="113"/>
      <c r="Z121" s="260"/>
      <c r="AA121" s="259"/>
      <c r="AB121" s="241"/>
      <c r="AC121" s="240"/>
      <c r="AD121" s="113"/>
      <c r="AE121" s="260"/>
      <c r="AF121" s="259"/>
      <c r="AG121" s="241">
        <f>AB123-AG123</f>
        <v>0.36000000000000004</v>
      </c>
      <c r="AH121" s="219" t="s">
        <v>110</v>
      </c>
      <c r="AI121" s="141"/>
    </row>
    <row r="122" spans="1:35" s="21" customFormat="1" x14ac:dyDescent="0.25">
      <c r="A122" s="261">
        <v>35</v>
      </c>
      <c r="B122" s="260">
        <v>0.4</v>
      </c>
      <c r="C122" s="259">
        <v>8.5500000000000007</v>
      </c>
      <c r="D122" s="240">
        <f>B122-D123</f>
        <v>0.2</v>
      </c>
      <c r="E122" s="7" t="s">
        <v>149</v>
      </c>
      <c r="F122" s="113"/>
      <c r="G122" s="260">
        <v>0.5</v>
      </c>
      <c r="H122" s="259">
        <v>8.5500000000000007</v>
      </c>
      <c r="I122" s="240"/>
      <c r="J122" s="113"/>
      <c r="K122" s="260">
        <v>0.76</v>
      </c>
      <c r="L122" s="259">
        <v>8.56</v>
      </c>
      <c r="M122" s="241">
        <f>K122-M123</f>
        <v>0.56000000000000005</v>
      </c>
      <c r="N122" s="7" t="s">
        <v>149</v>
      </c>
      <c r="O122" s="113"/>
      <c r="P122" s="260">
        <v>0.46</v>
      </c>
      <c r="Q122" s="259">
        <v>8.5500000000000007</v>
      </c>
      <c r="R122" s="241"/>
      <c r="S122" s="240"/>
      <c r="T122" s="113"/>
      <c r="U122" s="260">
        <v>0.6</v>
      </c>
      <c r="V122" s="259">
        <v>8.52</v>
      </c>
      <c r="W122" s="241"/>
      <c r="X122" s="240"/>
      <c r="Y122" s="113"/>
      <c r="Z122" s="260">
        <v>0.65</v>
      </c>
      <c r="AA122" s="259">
        <v>8.56</v>
      </c>
      <c r="AB122" s="241"/>
      <c r="AC122" s="240"/>
      <c r="AD122" s="113"/>
      <c r="AE122" s="260">
        <v>0.28999999999999998</v>
      </c>
      <c r="AF122" s="259">
        <v>8.56</v>
      </c>
      <c r="AG122" s="241"/>
      <c r="AH122" s="240"/>
      <c r="AI122" s="141"/>
    </row>
    <row r="123" spans="1:35" s="21" customFormat="1" x14ac:dyDescent="0.25">
      <c r="A123" s="261"/>
      <c r="B123" s="260"/>
      <c r="C123" s="259"/>
      <c r="D123" s="240">
        <v>0.2</v>
      </c>
      <c r="E123" s="14" t="s">
        <v>113</v>
      </c>
      <c r="F123" s="113"/>
      <c r="G123" s="260"/>
      <c r="H123" s="259"/>
      <c r="I123" s="240"/>
      <c r="J123" s="113"/>
      <c r="K123" s="260"/>
      <c r="L123" s="259"/>
      <c r="M123" s="241">
        <f>D123</f>
        <v>0.2</v>
      </c>
      <c r="N123" s="14" t="s">
        <v>113</v>
      </c>
      <c r="O123" s="113"/>
      <c r="P123" s="260"/>
      <c r="Q123" s="259"/>
      <c r="R123" s="245">
        <f>P122</f>
        <v>0.46</v>
      </c>
      <c r="S123" s="14" t="s">
        <v>113</v>
      </c>
      <c r="T123" s="113"/>
      <c r="U123" s="260"/>
      <c r="V123" s="259"/>
      <c r="W123" s="241">
        <f>U122</f>
        <v>0.6</v>
      </c>
      <c r="X123" s="14" t="s">
        <v>113</v>
      </c>
      <c r="Y123" s="113"/>
      <c r="Z123" s="260"/>
      <c r="AA123" s="259"/>
      <c r="AB123" s="241">
        <f>Z122</f>
        <v>0.65</v>
      </c>
      <c r="AC123" s="14" t="s">
        <v>113</v>
      </c>
      <c r="AD123" s="113"/>
      <c r="AE123" s="260"/>
      <c r="AF123" s="259"/>
      <c r="AG123" s="241">
        <f>AE122</f>
        <v>0.28999999999999998</v>
      </c>
      <c r="AH123" s="14" t="s">
        <v>113</v>
      </c>
      <c r="AI123" s="141"/>
    </row>
    <row r="124" spans="1:35" s="21" customFormat="1" x14ac:dyDescent="0.25">
      <c r="A124" s="261"/>
      <c r="B124" s="260"/>
      <c r="C124" s="259"/>
      <c r="D124" s="56"/>
      <c r="E124" s="56"/>
      <c r="F124" s="113"/>
      <c r="G124" s="260"/>
      <c r="H124" s="259"/>
      <c r="I124" s="240"/>
      <c r="J124" s="113"/>
      <c r="K124" s="260"/>
      <c r="L124" s="259"/>
      <c r="M124" s="56"/>
      <c r="N124" s="56"/>
      <c r="O124" s="113"/>
      <c r="P124" s="260"/>
      <c r="Q124" s="259"/>
      <c r="R124" s="241"/>
      <c r="S124" s="240"/>
      <c r="T124" s="113"/>
      <c r="U124" s="260"/>
      <c r="V124" s="259"/>
      <c r="W124" s="241"/>
      <c r="X124" s="240"/>
      <c r="Y124" s="113"/>
      <c r="Z124" s="260"/>
      <c r="AA124" s="259"/>
      <c r="AB124" s="56"/>
      <c r="AC124" s="56"/>
      <c r="AD124" s="113"/>
      <c r="AE124" s="260"/>
      <c r="AF124" s="259"/>
      <c r="AG124" s="241"/>
      <c r="AH124" s="56"/>
      <c r="AI124" s="141"/>
    </row>
    <row r="125" spans="1:35" s="21" customFormat="1" x14ac:dyDescent="0.25">
      <c r="A125" s="261"/>
      <c r="B125" s="260"/>
      <c r="C125" s="259"/>
      <c r="D125" s="240"/>
      <c r="E125" s="240"/>
      <c r="F125" s="113"/>
      <c r="G125" s="260"/>
      <c r="H125" s="259"/>
      <c r="I125" s="240"/>
      <c r="J125" s="113"/>
      <c r="K125" s="260"/>
      <c r="L125" s="259"/>
      <c r="M125" s="241"/>
      <c r="N125" s="240"/>
      <c r="O125" s="113"/>
      <c r="P125" s="260">
        <v>0.22</v>
      </c>
      <c r="Q125" s="259">
        <v>8.6</v>
      </c>
      <c r="R125" s="241"/>
      <c r="S125" s="240"/>
      <c r="T125" s="113"/>
      <c r="U125" s="260"/>
      <c r="V125" s="259"/>
      <c r="W125" s="241"/>
      <c r="X125" s="240"/>
      <c r="Y125" s="113"/>
      <c r="Z125" s="260"/>
      <c r="AA125" s="259"/>
      <c r="AB125" s="241"/>
      <c r="AC125" s="240"/>
      <c r="AD125" s="113"/>
      <c r="AE125" s="260"/>
      <c r="AF125" s="259"/>
      <c r="AG125" s="241"/>
      <c r="AH125" s="240"/>
      <c r="AI125" s="141"/>
    </row>
    <row r="126" spans="1:35" s="21" customFormat="1" x14ac:dyDescent="0.25">
      <c r="A126" s="261"/>
      <c r="B126" s="260"/>
      <c r="C126" s="259"/>
      <c r="D126" s="240"/>
      <c r="E126" s="240"/>
      <c r="F126" s="113"/>
      <c r="G126" s="260"/>
      <c r="H126" s="259"/>
      <c r="I126" s="240"/>
      <c r="J126" s="113"/>
      <c r="K126" s="260"/>
      <c r="L126" s="259"/>
      <c r="M126" s="241"/>
      <c r="N126" s="240"/>
      <c r="O126" s="113"/>
      <c r="P126" s="260"/>
      <c r="Q126" s="259"/>
      <c r="R126" s="241"/>
      <c r="S126" s="118"/>
      <c r="T126" s="113"/>
      <c r="U126" s="260"/>
      <c r="V126" s="259"/>
      <c r="W126" s="241"/>
      <c r="X126" s="118"/>
      <c r="Y126" s="113"/>
      <c r="Z126" s="260"/>
      <c r="AA126" s="259"/>
      <c r="AB126" s="241"/>
      <c r="AC126" s="240"/>
      <c r="AD126" s="113"/>
      <c r="AE126" s="260"/>
      <c r="AF126" s="259"/>
      <c r="AG126" s="241"/>
      <c r="AH126" s="240"/>
      <c r="AI126" s="141"/>
    </row>
    <row r="127" spans="1:35" s="21" customFormat="1" x14ac:dyDescent="0.25">
      <c r="A127" s="261">
        <v>36</v>
      </c>
      <c r="B127" s="260">
        <v>6.32</v>
      </c>
      <c r="C127" s="259">
        <v>8.7799999999999994</v>
      </c>
      <c r="D127" s="56"/>
      <c r="E127" s="56"/>
      <c r="F127" s="113"/>
      <c r="G127" s="260">
        <v>0.28999999999999998</v>
      </c>
      <c r="H127" s="259">
        <v>8.64</v>
      </c>
      <c r="I127" s="240"/>
      <c r="J127" s="113"/>
      <c r="K127" s="260">
        <v>2.57</v>
      </c>
      <c r="L127" s="259">
        <v>8.69</v>
      </c>
      <c r="M127" s="56"/>
      <c r="N127" s="56"/>
      <c r="O127" s="113"/>
      <c r="P127" s="260">
        <v>2.27</v>
      </c>
      <c r="Q127" s="259">
        <v>8.73</v>
      </c>
      <c r="R127" s="241">
        <f>P127-R128</f>
        <v>2.25</v>
      </c>
      <c r="S127" s="249" t="s">
        <v>512</v>
      </c>
      <c r="T127" s="113"/>
      <c r="U127" s="241">
        <v>0.18</v>
      </c>
      <c r="V127" s="240">
        <v>8.6</v>
      </c>
      <c r="W127" s="241">
        <f>U127+U128</f>
        <v>1.1100000000000001</v>
      </c>
      <c r="X127" s="249" t="s">
        <v>135</v>
      </c>
      <c r="Y127" s="113"/>
      <c r="Z127" s="260">
        <v>0.3</v>
      </c>
      <c r="AA127" s="259">
        <v>8.66</v>
      </c>
      <c r="AB127" s="241"/>
      <c r="AC127" s="240"/>
      <c r="AD127" s="113"/>
      <c r="AE127" s="260">
        <v>0.15</v>
      </c>
      <c r="AF127" s="259">
        <v>8.67</v>
      </c>
      <c r="AG127" s="241"/>
      <c r="AH127" s="240"/>
      <c r="AI127" s="141"/>
    </row>
    <row r="128" spans="1:35" s="21" customFormat="1" x14ac:dyDescent="0.25">
      <c r="A128" s="261"/>
      <c r="B128" s="260"/>
      <c r="C128" s="259"/>
      <c r="D128" s="241">
        <f>R128</f>
        <v>1.9999999999999962E-2</v>
      </c>
      <c r="E128" s="249" t="s">
        <v>71</v>
      </c>
      <c r="F128" s="113"/>
      <c r="G128" s="260"/>
      <c r="H128" s="259"/>
      <c r="I128" s="240"/>
      <c r="J128" s="113"/>
      <c r="K128" s="260"/>
      <c r="L128" s="259"/>
      <c r="M128" s="241">
        <f>D128</f>
        <v>1.9999999999999962E-2</v>
      </c>
      <c r="N128" s="249" t="s">
        <v>71</v>
      </c>
      <c r="O128" s="113"/>
      <c r="P128" s="260"/>
      <c r="Q128" s="259"/>
      <c r="R128" s="241">
        <f>AB128-R151</f>
        <v>1.9999999999999962E-2</v>
      </c>
      <c r="S128" s="249" t="s">
        <v>71</v>
      </c>
      <c r="T128" s="113"/>
      <c r="U128" s="241">
        <v>0.93</v>
      </c>
      <c r="V128" s="240">
        <v>8.69</v>
      </c>
      <c r="W128" s="241">
        <f>R128</f>
        <v>1.9999999999999962E-2</v>
      </c>
      <c r="X128" s="249" t="s">
        <v>71</v>
      </c>
      <c r="Y128" s="113"/>
      <c r="Z128" s="260"/>
      <c r="AA128" s="259"/>
      <c r="AB128" s="245">
        <f>Z127</f>
        <v>0.3</v>
      </c>
      <c r="AC128" s="14" t="s">
        <v>71</v>
      </c>
      <c r="AD128" s="113"/>
      <c r="AE128" s="260"/>
      <c r="AF128" s="259"/>
      <c r="AG128" s="245">
        <f>AE127</f>
        <v>0.15</v>
      </c>
      <c r="AH128" s="14" t="s">
        <v>71</v>
      </c>
      <c r="AI128" s="141"/>
    </row>
    <row r="129" spans="1:35" s="21" customFormat="1" x14ac:dyDescent="0.25">
      <c r="A129" s="261"/>
      <c r="B129" s="260"/>
      <c r="C129" s="259"/>
      <c r="D129" s="241">
        <f>(B127-D128-D132-D138-D139-D140)/6</f>
        <v>0.12249999999999998</v>
      </c>
      <c r="E129" s="7" t="s">
        <v>480</v>
      </c>
      <c r="F129" s="113"/>
      <c r="G129" s="241">
        <v>1.92</v>
      </c>
      <c r="H129" s="240">
        <v>8.76</v>
      </c>
      <c r="I129" s="240"/>
      <c r="J129" s="113"/>
      <c r="K129" s="241">
        <v>4.6399999999999997</v>
      </c>
      <c r="L129" s="240">
        <v>8.76</v>
      </c>
      <c r="M129" s="241">
        <f>(K130+K129+K127-M132-M135-M138-M139-M140-M133-M136-M131-M130-M128)</f>
        <v>2.4124999999999992</v>
      </c>
      <c r="N129" s="7" t="s">
        <v>78</v>
      </c>
      <c r="O129" s="113"/>
      <c r="P129" s="241">
        <v>4.32</v>
      </c>
      <c r="Q129" s="240">
        <v>8.8000000000000007</v>
      </c>
      <c r="R129" s="241"/>
      <c r="S129" s="8"/>
      <c r="T129" s="113"/>
      <c r="U129" s="241">
        <v>4.29</v>
      </c>
      <c r="V129" s="240">
        <v>8.76</v>
      </c>
      <c r="W129" s="241"/>
      <c r="X129" s="8"/>
      <c r="Y129" s="113"/>
      <c r="Z129" s="241">
        <v>0.31</v>
      </c>
      <c r="AA129" s="240">
        <v>8.69</v>
      </c>
      <c r="AB129" s="241"/>
      <c r="AC129" s="8"/>
      <c r="AD129" s="113"/>
      <c r="AE129" s="241">
        <v>7.0000000000000007E-2</v>
      </c>
      <c r="AF129" s="240">
        <v>8.7100000000000009</v>
      </c>
      <c r="AG129" s="241"/>
      <c r="AH129" s="8"/>
      <c r="AI129" s="141"/>
    </row>
    <row r="130" spans="1:35" s="21" customFormat="1" x14ac:dyDescent="0.25">
      <c r="A130" s="261"/>
      <c r="B130" s="260"/>
      <c r="C130" s="259"/>
      <c r="D130" s="241">
        <f>D129</f>
        <v>0.12249999999999998</v>
      </c>
      <c r="E130" s="7" t="s">
        <v>200</v>
      </c>
      <c r="F130" s="113"/>
      <c r="G130" s="260">
        <v>0.06</v>
      </c>
      <c r="H130" s="259">
        <v>8.86</v>
      </c>
      <c r="I130" s="240"/>
      <c r="J130" s="113"/>
      <c r="K130" s="260">
        <v>1.4</v>
      </c>
      <c r="L130" s="259">
        <v>8.8699999999999992</v>
      </c>
      <c r="M130" s="241">
        <f>D130</f>
        <v>0.12249999999999998</v>
      </c>
      <c r="N130" s="7" t="s">
        <v>200</v>
      </c>
      <c r="O130" s="113"/>
      <c r="P130" s="260">
        <v>2.93</v>
      </c>
      <c r="Q130" s="259">
        <v>8.92</v>
      </c>
      <c r="R130" s="241"/>
      <c r="S130" s="240"/>
      <c r="T130" s="113"/>
      <c r="U130" s="260">
        <v>0.28000000000000003</v>
      </c>
      <c r="V130" s="259">
        <v>8.89</v>
      </c>
      <c r="W130" s="241"/>
      <c r="X130" s="240"/>
      <c r="Y130" s="113"/>
      <c r="Z130" s="260">
        <v>4.34</v>
      </c>
      <c r="AA130" s="259">
        <v>8.81</v>
      </c>
      <c r="AB130" s="241"/>
      <c r="AC130" s="240"/>
      <c r="AD130" s="113"/>
      <c r="AE130" s="260">
        <v>3.69</v>
      </c>
      <c r="AF130" s="259">
        <v>8.7899999999999991</v>
      </c>
      <c r="AG130" s="241"/>
      <c r="AH130" s="240"/>
      <c r="AI130" s="141"/>
    </row>
    <row r="131" spans="1:35" s="21" customFormat="1" x14ac:dyDescent="0.25">
      <c r="A131" s="261"/>
      <c r="B131" s="260"/>
      <c r="C131" s="259"/>
      <c r="D131" s="241">
        <f>D130</f>
        <v>0.12249999999999998</v>
      </c>
      <c r="E131" s="59" t="s">
        <v>228</v>
      </c>
      <c r="F131" s="113"/>
      <c r="G131" s="260"/>
      <c r="H131" s="259"/>
      <c r="I131" s="240"/>
      <c r="J131" s="113"/>
      <c r="K131" s="260"/>
      <c r="L131" s="259"/>
      <c r="M131" s="241">
        <f>D131</f>
        <v>0.12249999999999998</v>
      </c>
      <c r="N131" s="59" t="s">
        <v>228</v>
      </c>
      <c r="O131" s="113"/>
      <c r="P131" s="260"/>
      <c r="Q131" s="259"/>
      <c r="R131" s="56"/>
      <c r="S131" s="56"/>
      <c r="T131" s="113"/>
      <c r="U131" s="260"/>
      <c r="V131" s="259"/>
      <c r="W131" s="56"/>
      <c r="X131" s="56"/>
      <c r="Y131" s="113"/>
      <c r="Z131" s="260"/>
      <c r="AA131" s="259"/>
      <c r="AB131" s="56"/>
      <c r="AC131" s="56"/>
      <c r="AD131" s="113"/>
      <c r="AE131" s="260"/>
      <c r="AF131" s="259"/>
      <c r="AG131" s="241"/>
      <c r="AH131" s="56"/>
      <c r="AI131" s="141"/>
    </row>
    <row r="132" spans="1:35" s="21" customFormat="1" x14ac:dyDescent="0.25">
      <c r="A132" s="261"/>
      <c r="B132" s="260"/>
      <c r="C132" s="259"/>
      <c r="D132" s="241">
        <f>R132</f>
        <v>0.89</v>
      </c>
      <c r="E132" s="59" t="s">
        <v>109</v>
      </c>
      <c r="F132" s="113"/>
      <c r="G132" s="260"/>
      <c r="H132" s="259"/>
      <c r="I132" s="240"/>
      <c r="J132" s="113"/>
      <c r="K132" s="260"/>
      <c r="L132" s="259"/>
      <c r="M132" s="241">
        <f>D132</f>
        <v>0.89</v>
      </c>
      <c r="N132" s="59" t="s">
        <v>109</v>
      </c>
      <c r="O132" s="113"/>
      <c r="P132" s="260"/>
      <c r="Q132" s="259"/>
      <c r="R132" s="241">
        <f>AB132</f>
        <v>0.89</v>
      </c>
      <c r="S132" s="59" t="s">
        <v>109</v>
      </c>
      <c r="T132" s="113"/>
      <c r="U132" s="260"/>
      <c r="V132" s="259"/>
      <c r="W132" s="241">
        <f>R132</f>
        <v>0.89</v>
      </c>
      <c r="X132" s="59" t="s">
        <v>109</v>
      </c>
      <c r="Y132" s="113"/>
      <c r="Z132" s="260"/>
      <c r="AA132" s="259"/>
      <c r="AB132" s="241">
        <v>0.89</v>
      </c>
      <c r="AC132" s="59" t="s">
        <v>109</v>
      </c>
      <c r="AD132" s="113"/>
      <c r="AE132" s="260"/>
      <c r="AF132" s="259"/>
      <c r="AG132" s="241">
        <f>AB132</f>
        <v>0.89</v>
      </c>
      <c r="AH132" s="59" t="s">
        <v>109</v>
      </c>
      <c r="AI132" s="141"/>
    </row>
    <row r="133" spans="1:35" s="21" customFormat="1" x14ac:dyDescent="0.25">
      <c r="A133" s="261"/>
      <c r="B133" s="260"/>
      <c r="C133" s="259"/>
      <c r="D133" s="241">
        <f>D131</f>
        <v>0.12249999999999998</v>
      </c>
      <c r="E133" s="59" t="s">
        <v>81</v>
      </c>
      <c r="F133" s="113"/>
      <c r="G133" s="260"/>
      <c r="H133" s="259"/>
      <c r="I133" s="240"/>
      <c r="J133" s="113"/>
      <c r="K133" s="260"/>
      <c r="L133" s="259"/>
      <c r="M133" s="241">
        <f>D133</f>
        <v>0.12249999999999998</v>
      </c>
      <c r="N133" s="59" t="s">
        <v>81</v>
      </c>
      <c r="O133" s="113"/>
      <c r="P133" s="260"/>
      <c r="Q133" s="259"/>
      <c r="R133" s="241"/>
      <c r="S133" s="56"/>
      <c r="T133" s="113"/>
      <c r="U133" s="260"/>
      <c r="V133" s="259"/>
      <c r="W133" s="241"/>
      <c r="X133" s="56"/>
      <c r="Y133" s="113"/>
      <c r="Z133" s="260"/>
      <c r="AA133" s="259"/>
      <c r="AB133" s="241"/>
      <c r="AC133" s="240"/>
      <c r="AD133" s="113"/>
      <c r="AE133" s="260"/>
      <c r="AF133" s="259"/>
      <c r="AG133" s="241"/>
      <c r="AH133" s="240"/>
      <c r="AI133" s="141"/>
    </row>
    <row r="134" spans="1:35" s="21" customFormat="1" x14ac:dyDescent="0.25">
      <c r="A134" s="261"/>
      <c r="B134" s="260"/>
      <c r="C134" s="259"/>
      <c r="D134" s="56"/>
      <c r="E134" s="56"/>
      <c r="F134" s="113"/>
      <c r="G134" s="260"/>
      <c r="H134" s="259"/>
      <c r="I134" s="240"/>
      <c r="J134" s="113"/>
      <c r="K134" s="260"/>
      <c r="L134" s="259"/>
      <c r="M134" s="56"/>
      <c r="N134" s="56"/>
      <c r="O134" s="113"/>
      <c r="P134" s="260"/>
      <c r="Q134" s="259"/>
      <c r="R134" s="241"/>
      <c r="S134" s="56"/>
      <c r="T134" s="113"/>
      <c r="U134" s="260"/>
      <c r="V134" s="259"/>
      <c r="W134" s="241"/>
      <c r="X134" s="56"/>
      <c r="Y134" s="113"/>
      <c r="Z134" s="260"/>
      <c r="AA134" s="259"/>
      <c r="AB134" s="241"/>
      <c r="AC134" s="240"/>
      <c r="AD134" s="113"/>
      <c r="AE134" s="260"/>
      <c r="AF134" s="259"/>
      <c r="AG134" s="241"/>
      <c r="AH134" s="240"/>
      <c r="AI134" s="141"/>
    </row>
    <row r="135" spans="1:35" s="21" customFormat="1" x14ac:dyDescent="0.25">
      <c r="A135" s="261"/>
      <c r="B135" s="260"/>
      <c r="C135" s="259"/>
      <c r="D135" s="241">
        <f>D130</f>
        <v>0.12249999999999998</v>
      </c>
      <c r="E135" s="249" t="s">
        <v>79</v>
      </c>
      <c r="F135" s="113"/>
      <c r="G135" s="260"/>
      <c r="H135" s="259"/>
      <c r="I135" s="240"/>
      <c r="J135" s="113"/>
      <c r="K135" s="260"/>
      <c r="L135" s="259"/>
      <c r="M135" s="241">
        <f t="shared" ref="M135:M140" si="2">D135</f>
        <v>0.12249999999999998</v>
      </c>
      <c r="N135" s="249" t="s">
        <v>79</v>
      </c>
      <c r="O135" s="113"/>
      <c r="P135" s="260"/>
      <c r="Q135" s="259"/>
      <c r="R135" s="241"/>
      <c r="S135" s="56"/>
      <c r="T135" s="113"/>
      <c r="U135" s="260"/>
      <c r="V135" s="259"/>
      <c r="W135" s="241"/>
      <c r="X135" s="56"/>
      <c r="Y135" s="113"/>
      <c r="Z135" s="260"/>
      <c r="AA135" s="259"/>
      <c r="AB135" s="241"/>
      <c r="AC135" s="240"/>
      <c r="AD135" s="113"/>
      <c r="AE135" s="260"/>
      <c r="AF135" s="259"/>
      <c r="AG135" s="241"/>
      <c r="AH135" s="240"/>
      <c r="AI135" s="141"/>
    </row>
    <row r="136" spans="1:35" s="21" customFormat="1" x14ac:dyDescent="0.25">
      <c r="A136" s="261"/>
      <c r="B136" s="260"/>
      <c r="C136" s="259"/>
      <c r="D136" s="241">
        <f>D131</f>
        <v>0.12249999999999998</v>
      </c>
      <c r="E136" s="249" t="s">
        <v>80</v>
      </c>
      <c r="F136" s="113"/>
      <c r="G136" s="260"/>
      <c r="H136" s="259"/>
      <c r="I136" s="240"/>
      <c r="J136" s="113"/>
      <c r="K136" s="260"/>
      <c r="L136" s="259"/>
      <c r="M136" s="241">
        <f t="shared" si="2"/>
        <v>0.12249999999999998</v>
      </c>
      <c r="N136" s="249" t="s">
        <v>80</v>
      </c>
      <c r="O136" s="113"/>
      <c r="P136" s="260"/>
      <c r="Q136" s="259"/>
      <c r="R136" s="241"/>
      <c r="S136" s="56"/>
      <c r="T136" s="113"/>
      <c r="U136" s="260"/>
      <c r="V136" s="259"/>
      <c r="W136" s="241"/>
      <c r="X136" s="56"/>
      <c r="Y136" s="113"/>
      <c r="Z136" s="260"/>
      <c r="AA136" s="259"/>
      <c r="AB136" s="241"/>
      <c r="AC136" s="19"/>
      <c r="AD136" s="113"/>
      <c r="AE136" s="260"/>
      <c r="AF136" s="259"/>
      <c r="AG136" s="241"/>
      <c r="AH136" s="240"/>
      <c r="AI136" s="141"/>
    </row>
    <row r="137" spans="1:35" s="21" customFormat="1" x14ac:dyDescent="0.25">
      <c r="A137" s="261"/>
      <c r="B137" s="260"/>
      <c r="C137" s="259"/>
      <c r="D137" s="56"/>
      <c r="E137" s="56"/>
      <c r="F137" s="113"/>
      <c r="G137" s="260"/>
      <c r="H137" s="259"/>
      <c r="I137" s="240"/>
      <c r="J137" s="113"/>
      <c r="K137" s="260"/>
      <c r="L137" s="259"/>
      <c r="M137" s="56"/>
      <c r="N137" s="56"/>
      <c r="O137" s="113"/>
      <c r="P137" s="260"/>
      <c r="Q137" s="259"/>
      <c r="R137" s="241">
        <v>1.65</v>
      </c>
      <c r="S137" s="249" t="s">
        <v>352</v>
      </c>
      <c r="T137" s="113"/>
      <c r="U137" s="260"/>
      <c r="V137" s="259"/>
      <c r="W137" s="241">
        <f>R137</f>
        <v>1.65</v>
      </c>
      <c r="X137" s="249" t="s">
        <v>352</v>
      </c>
      <c r="Y137" s="113"/>
      <c r="Z137" s="260"/>
      <c r="AA137" s="259"/>
      <c r="AB137" s="241"/>
      <c r="AC137" s="240"/>
      <c r="AD137" s="113"/>
      <c r="AE137" s="260"/>
      <c r="AF137" s="259"/>
      <c r="AG137" s="241"/>
      <c r="AH137" s="240"/>
      <c r="AI137" s="141"/>
    </row>
    <row r="138" spans="1:35" s="21" customFormat="1" x14ac:dyDescent="0.25">
      <c r="A138" s="261"/>
      <c r="B138" s="260"/>
      <c r="C138" s="259"/>
      <c r="D138" s="241">
        <v>0.23</v>
      </c>
      <c r="E138" s="6" t="s">
        <v>244</v>
      </c>
      <c r="F138" s="113"/>
      <c r="G138" s="260"/>
      <c r="H138" s="259"/>
      <c r="I138" s="149"/>
      <c r="J138" s="113"/>
      <c r="K138" s="260"/>
      <c r="L138" s="259"/>
      <c r="M138" s="241">
        <f t="shared" si="2"/>
        <v>0.23</v>
      </c>
      <c r="N138" s="6" t="s">
        <v>244</v>
      </c>
      <c r="O138" s="113"/>
      <c r="P138" s="260"/>
      <c r="Q138" s="259"/>
      <c r="R138" s="241"/>
      <c r="S138" s="118"/>
      <c r="T138" s="113"/>
      <c r="U138" s="260"/>
      <c r="V138" s="259"/>
      <c r="W138" s="241"/>
      <c r="X138" s="118"/>
      <c r="Y138" s="113"/>
      <c r="Z138" s="260"/>
      <c r="AA138" s="259"/>
      <c r="AB138" s="241"/>
      <c r="AC138" s="240"/>
      <c r="AD138" s="113"/>
      <c r="AE138" s="260"/>
      <c r="AF138" s="259"/>
      <c r="AG138" s="241"/>
      <c r="AH138" s="240"/>
      <c r="AI138" s="141"/>
    </row>
    <row r="139" spans="1:35" s="21" customFormat="1" x14ac:dyDescent="0.25">
      <c r="A139" s="261"/>
      <c r="B139" s="260"/>
      <c r="C139" s="259"/>
      <c r="D139" s="241">
        <f>R139-D203</f>
        <v>1.5050000000000012</v>
      </c>
      <c r="E139" s="62" t="s">
        <v>123</v>
      </c>
      <c r="F139" s="113"/>
      <c r="G139" s="260"/>
      <c r="H139" s="259"/>
      <c r="I139" s="240"/>
      <c r="J139" s="113"/>
      <c r="K139" s="260"/>
      <c r="L139" s="259"/>
      <c r="M139" s="241">
        <f t="shared" si="2"/>
        <v>1.5050000000000012</v>
      </c>
      <c r="N139" s="62" t="s">
        <v>123</v>
      </c>
      <c r="O139" s="113"/>
      <c r="P139" s="260"/>
      <c r="Q139" s="259"/>
      <c r="R139" s="241">
        <f>P130+P129-R132-R137-R140</f>
        <v>1.7700000000000014</v>
      </c>
      <c r="S139" s="62" t="s">
        <v>522</v>
      </c>
      <c r="T139" s="113"/>
      <c r="U139" s="260"/>
      <c r="V139" s="259"/>
      <c r="W139" s="241">
        <f>M139</f>
        <v>1.5050000000000012</v>
      </c>
      <c r="X139" s="62" t="s">
        <v>139</v>
      </c>
      <c r="Y139" s="113"/>
      <c r="Z139" s="260"/>
      <c r="AA139" s="259"/>
      <c r="AB139" s="241"/>
      <c r="AC139" s="240"/>
      <c r="AD139" s="113"/>
      <c r="AE139" s="260"/>
      <c r="AF139" s="259"/>
      <c r="AG139" s="241"/>
      <c r="AH139" s="240"/>
      <c r="AI139" s="141"/>
    </row>
    <row r="140" spans="1:35" s="21" customFormat="1" x14ac:dyDescent="0.25">
      <c r="A140" s="261"/>
      <c r="B140" s="260"/>
      <c r="C140" s="259"/>
      <c r="D140" s="240">
        <f>AG140</f>
        <v>2.9399999999999995</v>
      </c>
      <c r="E140" s="6" t="s">
        <v>25</v>
      </c>
      <c r="F140" s="113"/>
      <c r="G140" s="260"/>
      <c r="H140" s="259"/>
      <c r="I140" s="149"/>
      <c r="J140" s="113"/>
      <c r="K140" s="260"/>
      <c r="L140" s="259"/>
      <c r="M140" s="241">
        <f t="shared" si="2"/>
        <v>2.9399999999999995</v>
      </c>
      <c r="N140" s="6" t="s">
        <v>25</v>
      </c>
      <c r="O140" s="113"/>
      <c r="P140" s="260"/>
      <c r="Q140" s="259"/>
      <c r="R140" s="241">
        <f>D140</f>
        <v>2.9399999999999995</v>
      </c>
      <c r="S140" s="6" t="s">
        <v>25</v>
      </c>
      <c r="T140" s="113"/>
      <c r="U140" s="260"/>
      <c r="V140" s="259"/>
      <c r="W140" s="241">
        <f>U130-W132-W137+U129-W139+U128+U127-W127-W128</f>
        <v>0.50499999999999901</v>
      </c>
      <c r="X140" s="6" t="s">
        <v>25</v>
      </c>
      <c r="Y140" s="113"/>
      <c r="Z140" s="260"/>
      <c r="AA140" s="259"/>
      <c r="AB140" s="241">
        <f>R140</f>
        <v>2.9399999999999995</v>
      </c>
      <c r="AC140" s="6" t="s">
        <v>25</v>
      </c>
      <c r="AD140" s="113"/>
      <c r="AE140" s="241">
        <v>7.0000000000000007E-2</v>
      </c>
      <c r="AF140" s="240">
        <v>8.9</v>
      </c>
      <c r="AG140" s="241">
        <f>AE130+AE140-AG132+AE129</f>
        <v>2.9399999999999995</v>
      </c>
      <c r="AH140" s="6" t="s">
        <v>25</v>
      </c>
      <c r="AI140" s="141"/>
    </row>
    <row r="141" spans="1:35" s="21" customFormat="1" x14ac:dyDescent="0.25">
      <c r="A141" s="261">
        <v>37</v>
      </c>
      <c r="B141" s="260">
        <v>1.07</v>
      </c>
      <c r="C141" s="259">
        <v>8.98</v>
      </c>
      <c r="D141" s="240">
        <f>B141/3</f>
        <v>0.35666666666666669</v>
      </c>
      <c r="E141" s="7" t="s">
        <v>155</v>
      </c>
      <c r="F141" s="113"/>
      <c r="G141" s="260">
        <v>0.15</v>
      </c>
      <c r="H141" s="259">
        <v>8.93</v>
      </c>
      <c r="I141" s="240"/>
      <c r="J141" s="113"/>
      <c r="K141" s="260">
        <v>1.26</v>
      </c>
      <c r="L141" s="259">
        <v>8.93</v>
      </c>
      <c r="M141" s="241">
        <f>K141/3</f>
        <v>0.42</v>
      </c>
      <c r="N141" s="7" t="s">
        <v>155</v>
      </c>
      <c r="O141" s="113"/>
      <c r="P141" s="260">
        <v>1.18</v>
      </c>
      <c r="Q141" s="259">
        <v>9.02</v>
      </c>
      <c r="R141" s="245">
        <f>W141</f>
        <v>0.37</v>
      </c>
      <c r="S141" s="75" t="s">
        <v>45</v>
      </c>
      <c r="T141" s="113"/>
      <c r="U141" s="260">
        <v>0.56999999999999995</v>
      </c>
      <c r="V141" s="259">
        <v>8.99</v>
      </c>
      <c r="W141" s="241">
        <f>AB141</f>
        <v>0.37</v>
      </c>
      <c r="X141" s="75" t="s">
        <v>45</v>
      </c>
      <c r="Y141" s="113"/>
      <c r="Z141" s="260">
        <v>0.36</v>
      </c>
      <c r="AA141" s="259">
        <v>8.9700000000000006</v>
      </c>
      <c r="AB141" s="241">
        <f>Z157</f>
        <v>0.37</v>
      </c>
      <c r="AC141" s="75" t="s">
        <v>45</v>
      </c>
      <c r="AD141" s="113"/>
      <c r="AE141" s="260">
        <v>0.26</v>
      </c>
      <c r="AF141" s="259">
        <v>8.98</v>
      </c>
      <c r="AG141" s="241"/>
      <c r="AH141" s="240"/>
      <c r="AI141" s="141"/>
    </row>
    <row r="142" spans="1:35" s="21" customFormat="1" x14ac:dyDescent="0.25">
      <c r="A142" s="261"/>
      <c r="B142" s="260"/>
      <c r="C142" s="259"/>
      <c r="D142" s="240">
        <v>0.36</v>
      </c>
      <c r="E142" s="7" t="s">
        <v>72</v>
      </c>
      <c r="F142" s="113"/>
      <c r="G142" s="260"/>
      <c r="H142" s="259"/>
      <c r="I142" s="240"/>
      <c r="J142" s="113"/>
      <c r="K142" s="260"/>
      <c r="L142" s="259"/>
      <c r="M142" s="241">
        <v>0.42</v>
      </c>
      <c r="N142" s="7" t="s">
        <v>72</v>
      </c>
      <c r="O142" s="113"/>
      <c r="P142" s="260"/>
      <c r="Q142" s="259"/>
      <c r="R142" s="241">
        <f>D142</f>
        <v>0.36</v>
      </c>
      <c r="S142" s="7" t="s">
        <v>72</v>
      </c>
      <c r="T142" s="113"/>
      <c r="U142" s="260"/>
      <c r="V142" s="259"/>
      <c r="W142" s="241">
        <f>(U141-W144-W148-W149)/2</f>
        <v>1.9999999999999976E-2</v>
      </c>
      <c r="X142" s="7" t="s">
        <v>72</v>
      </c>
      <c r="Y142" s="113"/>
      <c r="Z142" s="260"/>
      <c r="AA142" s="259"/>
      <c r="AB142" s="241">
        <v>7.0000000000000007E-2</v>
      </c>
      <c r="AC142" s="7" t="s">
        <v>72</v>
      </c>
      <c r="AD142" s="113"/>
      <c r="AE142" s="260"/>
      <c r="AF142" s="259"/>
      <c r="AG142" s="241">
        <f>AE141</f>
        <v>0.26</v>
      </c>
      <c r="AH142" s="7" t="s">
        <v>72</v>
      </c>
      <c r="AI142" s="141"/>
    </row>
    <row r="143" spans="1:35" s="21" customFormat="1" x14ac:dyDescent="0.25">
      <c r="A143" s="261"/>
      <c r="B143" s="260"/>
      <c r="C143" s="259"/>
      <c r="D143" s="240">
        <f>B141/3</f>
        <v>0.35666666666666669</v>
      </c>
      <c r="E143" s="15" t="s">
        <v>255</v>
      </c>
      <c r="F143" s="113"/>
      <c r="G143" s="260">
        <v>1.1599999999999999</v>
      </c>
      <c r="H143" s="259">
        <v>9.01</v>
      </c>
      <c r="I143" s="240"/>
      <c r="J143" s="113"/>
      <c r="K143" s="260"/>
      <c r="L143" s="259"/>
      <c r="M143" s="241">
        <v>0.42</v>
      </c>
      <c r="N143" s="15" t="s">
        <v>255</v>
      </c>
      <c r="O143" s="113"/>
      <c r="P143" s="260"/>
      <c r="Q143" s="259"/>
      <c r="R143" s="241"/>
      <c r="S143" s="240"/>
      <c r="T143" s="113"/>
      <c r="U143" s="260"/>
      <c r="V143" s="259"/>
      <c r="W143" s="241"/>
      <c r="X143" s="240"/>
      <c r="Y143" s="113"/>
      <c r="Z143" s="260"/>
      <c r="AA143" s="259"/>
      <c r="AB143" s="241"/>
      <c r="AC143" s="240"/>
      <c r="AD143" s="113"/>
      <c r="AE143" s="260"/>
      <c r="AF143" s="259"/>
      <c r="AG143" s="241"/>
      <c r="AH143" s="240"/>
      <c r="AI143" s="141"/>
    </row>
    <row r="144" spans="1:35" s="21" customFormat="1" x14ac:dyDescent="0.25">
      <c r="A144" s="261"/>
      <c r="B144" s="260"/>
      <c r="C144" s="259"/>
      <c r="D144" s="240"/>
      <c r="E144" s="240"/>
      <c r="F144" s="113"/>
      <c r="G144" s="260"/>
      <c r="H144" s="259"/>
      <c r="I144" s="240"/>
      <c r="J144" s="113"/>
      <c r="K144" s="260"/>
      <c r="L144" s="259"/>
      <c r="M144" s="241"/>
      <c r="N144" s="240"/>
      <c r="O144" s="113"/>
      <c r="P144" s="260"/>
      <c r="Q144" s="259"/>
      <c r="R144" s="241"/>
      <c r="S144" s="19"/>
      <c r="T144" s="113"/>
      <c r="U144" s="260"/>
      <c r="V144" s="259"/>
      <c r="W144" s="241">
        <f>AB88</f>
        <v>0.28999999999999998</v>
      </c>
      <c r="X144" s="75" t="s">
        <v>554</v>
      </c>
      <c r="Y144" s="113"/>
      <c r="Z144" s="260"/>
      <c r="AA144" s="259"/>
      <c r="AB144" s="56"/>
      <c r="AC144" s="56"/>
      <c r="AD144" s="113"/>
      <c r="AE144" s="260"/>
      <c r="AF144" s="259"/>
      <c r="AG144" s="241"/>
      <c r="AH144" s="240"/>
      <c r="AI144" s="141"/>
    </row>
    <row r="145" spans="1:35" s="21" customFormat="1" x14ac:dyDescent="0.25">
      <c r="A145" s="261">
        <v>38</v>
      </c>
      <c r="B145" s="260">
        <v>0.64</v>
      </c>
      <c r="C145" s="259">
        <v>9.1</v>
      </c>
      <c r="D145" s="240"/>
      <c r="E145" s="240"/>
      <c r="F145" s="113"/>
      <c r="G145" s="263">
        <v>0.32</v>
      </c>
      <c r="H145" s="266">
        <v>9.06</v>
      </c>
      <c r="I145" s="240"/>
      <c r="J145" s="113"/>
      <c r="K145" s="260">
        <v>0.31</v>
      </c>
      <c r="L145" s="259">
        <v>9</v>
      </c>
      <c r="M145" s="241"/>
      <c r="N145" s="240"/>
      <c r="O145" s="113"/>
      <c r="P145" s="260"/>
      <c r="Q145" s="259"/>
      <c r="R145" s="241"/>
      <c r="S145" s="240"/>
      <c r="T145" s="113"/>
      <c r="U145" s="260"/>
      <c r="V145" s="259"/>
      <c r="W145" s="241"/>
      <c r="X145" s="240"/>
      <c r="Y145" s="113"/>
      <c r="Z145" s="241">
        <v>0.26</v>
      </c>
      <c r="AA145" s="240">
        <v>9.0299999999999994</v>
      </c>
      <c r="AB145" s="241"/>
      <c r="AC145" s="240"/>
      <c r="AD145" s="113"/>
      <c r="AE145" s="260">
        <v>0.13</v>
      </c>
      <c r="AF145" s="259">
        <v>9.0399999999999991</v>
      </c>
      <c r="AG145" s="241"/>
      <c r="AH145" s="240"/>
      <c r="AI145" s="141"/>
    </row>
    <row r="146" spans="1:35" s="21" customFormat="1" x14ac:dyDescent="0.25">
      <c r="A146" s="261"/>
      <c r="B146" s="260"/>
      <c r="C146" s="259"/>
      <c r="D146" s="240">
        <f>B145/3</f>
        <v>0.21333333333333335</v>
      </c>
      <c r="E146" s="7" t="s">
        <v>486</v>
      </c>
      <c r="F146" s="113"/>
      <c r="G146" s="264"/>
      <c r="H146" s="267"/>
      <c r="I146" s="240"/>
      <c r="J146" s="113"/>
      <c r="K146" s="260"/>
      <c r="L146" s="259"/>
      <c r="M146" s="241">
        <f>K145</f>
        <v>0.31</v>
      </c>
      <c r="N146" s="7" t="s">
        <v>82</v>
      </c>
      <c r="O146" s="113"/>
      <c r="P146" s="260"/>
      <c r="Q146" s="259"/>
      <c r="R146" s="241">
        <f>P141-R142-R148-R149</f>
        <v>0.57999999999999985</v>
      </c>
      <c r="S146" s="77" t="s">
        <v>164</v>
      </c>
      <c r="T146" s="113"/>
      <c r="U146" s="260"/>
      <c r="V146" s="259"/>
      <c r="W146" s="241">
        <f>W142</f>
        <v>1.9999999999999976E-2</v>
      </c>
      <c r="X146" s="77" t="s">
        <v>164</v>
      </c>
      <c r="Y146" s="113"/>
      <c r="Z146" s="241">
        <v>0.05</v>
      </c>
      <c r="AA146" s="240">
        <v>9.1</v>
      </c>
      <c r="AB146" s="241"/>
      <c r="AC146" s="240"/>
      <c r="AD146" s="113"/>
      <c r="AE146" s="260"/>
      <c r="AF146" s="259"/>
      <c r="AG146" s="241"/>
      <c r="AH146" s="240"/>
      <c r="AI146" s="141"/>
    </row>
    <row r="147" spans="1:35" s="21" customFormat="1" x14ac:dyDescent="0.25">
      <c r="A147" s="261"/>
      <c r="B147" s="260"/>
      <c r="C147" s="259"/>
      <c r="D147" s="240"/>
      <c r="E147" s="8"/>
      <c r="F147" s="113"/>
      <c r="G147" s="264"/>
      <c r="H147" s="267"/>
      <c r="I147" s="240"/>
      <c r="J147" s="113"/>
      <c r="K147" s="260"/>
      <c r="L147" s="259"/>
      <c r="M147" s="241"/>
      <c r="N147" s="8"/>
      <c r="O147" s="113"/>
      <c r="P147" s="260"/>
      <c r="Q147" s="259"/>
      <c r="R147" s="241"/>
      <c r="S147" s="8"/>
      <c r="T147" s="113"/>
      <c r="U147" s="260"/>
      <c r="V147" s="259"/>
      <c r="W147" s="241"/>
      <c r="X147" s="8"/>
      <c r="Y147" s="113"/>
      <c r="Z147" s="260">
        <v>7.0000000000000007E-2</v>
      </c>
      <c r="AA147" s="259">
        <v>9.1300000000000008</v>
      </c>
      <c r="AB147" s="241"/>
      <c r="AC147" s="8"/>
      <c r="AD147" s="113"/>
      <c r="AE147" s="260"/>
      <c r="AF147" s="259"/>
      <c r="AG147" s="241"/>
      <c r="AH147" s="240"/>
      <c r="AI147" s="141"/>
    </row>
    <row r="148" spans="1:35" s="21" customFormat="1" x14ac:dyDescent="0.25">
      <c r="A148" s="261"/>
      <c r="B148" s="260"/>
      <c r="C148" s="259"/>
      <c r="D148" s="240">
        <v>0.21</v>
      </c>
      <c r="E148" s="59" t="s">
        <v>110</v>
      </c>
      <c r="F148" s="113"/>
      <c r="G148" s="265"/>
      <c r="H148" s="268"/>
      <c r="I148" s="240"/>
      <c r="J148" s="113"/>
      <c r="K148" s="260">
        <v>0.41</v>
      </c>
      <c r="L148" s="259">
        <v>9.06</v>
      </c>
      <c r="M148" s="241">
        <f>K148/2</f>
        <v>0.20499999999999999</v>
      </c>
      <c r="N148" s="59" t="s">
        <v>110</v>
      </c>
      <c r="O148" s="113"/>
      <c r="P148" s="260"/>
      <c r="Q148" s="259"/>
      <c r="R148" s="241">
        <v>0.04</v>
      </c>
      <c r="S148" s="59" t="s">
        <v>110</v>
      </c>
      <c r="T148" s="113"/>
      <c r="U148" s="260"/>
      <c r="V148" s="259"/>
      <c r="W148" s="241">
        <v>0.04</v>
      </c>
      <c r="X148" s="59" t="s">
        <v>110</v>
      </c>
      <c r="Y148" s="113"/>
      <c r="Z148" s="260"/>
      <c r="AA148" s="259"/>
      <c r="AB148" s="241">
        <f>(Z147+Z146+Z145)/2</f>
        <v>0.19</v>
      </c>
      <c r="AC148" s="59" t="s">
        <v>110</v>
      </c>
      <c r="AD148" s="113"/>
      <c r="AE148" s="260"/>
      <c r="AF148" s="259"/>
      <c r="AG148" s="241">
        <f>AE145/2</f>
        <v>6.5000000000000002E-2</v>
      </c>
      <c r="AH148" s="59" t="s">
        <v>110</v>
      </c>
      <c r="AI148" s="141"/>
    </row>
    <row r="149" spans="1:35" s="21" customFormat="1" x14ac:dyDescent="0.25">
      <c r="A149" s="261"/>
      <c r="B149" s="260"/>
      <c r="C149" s="259"/>
      <c r="D149" s="240">
        <v>0.21</v>
      </c>
      <c r="E149" s="249" t="s">
        <v>111</v>
      </c>
      <c r="F149" s="113"/>
      <c r="G149" s="241">
        <v>0.91</v>
      </c>
      <c r="H149" s="240">
        <v>9.1300000000000008</v>
      </c>
      <c r="I149" s="240"/>
      <c r="J149" s="113"/>
      <c r="K149" s="260"/>
      <c r="L149" s="259"/>
      <c r="M149" s="241">
        <f>M148</f>
        <v>0.20499999999999999</v>
      </c>
      <c r="N149" s="249" t="s">
        <v>111</v>
      </c>
      <c r="O149" s="113"/>
      <c r="P149" s="260"/>
      <c r="Q149" s="259"/>
      <c r="R149" s="241">
        <v>0.2</v>
      </c>
      <c r="S149" s="249" t="s">
        <v>111</v>
      </c>
      <c r="T149" s="113"/>
      <c r="U149" s="260"/>
      <c r="V149" s="259"/>
      <c r="W149" s="241">
        <v>0.2</v>
      </c>
      <c r="X149" s="249" t="s">
        <v>111</v>
      </c>
      <c r="Y149" s="113"/>
      <c r="Z149" s="260"/>
      <c r="AA149" s="259"/>
      <c r="AB149" s="241">
        <f>AB148</f>
        <v>0.19</v>
      </c>
      <c r="AC149" s="249" t="s">
        <v>111</v>
      </c>
      <c r="AD149" s="113"/>
      <c r="AE149" s="260"/>
      <c r="AF149" s="259"/>
      <c r="AG149" s="241">
        <f>AG148</f>
        <v>6.5000000000000002E-2</v>
      </c>
      <c r="AH149" s="249" t="s">
        <v>111</v>
      </c>
      <c r="AI149" s="141"/>
    </row>
    <row r="150" spans="1:35" s="21" customFormat="1" x14ac:dyDescent="0.25">
      <c r="A150" s="261">
        <v>39</v>
      </c>
      <c r="B150" s="260">
        <v>3.35</v>
      </c>
      <c r="C150" s="259">
        <v>9.19</v>
      </c>
      <c r="D150" s="240">
        <f>M150</f>
        <v>0.28000000000000003</v>
      </c>
      <c r="E150" s="7" t="s">
        <v>155</v>
      </c>
      <c r="F150" s="113"/>
      <c r="G150" s="260">
        <v>3.31</v>
      </c>
      <c r="H150" s="259">
        <v>9.2100000000000009</v>
      </c>
      <c r="I150" s="240"/>
      <c r="J150" s="113"/>
      <c r="K150" s="260">
        <v>0.28000000000000003</v>
      </c>
      <c r="L150" s="259">
        <v>9.1300000000000008</v>
      </c>
      <c r="M150" s="241">
        <f>K150</f>
        <v>0.28000000000000003</v>
      </c>
      <c r="N150" s="7" t="s">
        <v>155</v>
      </c>
      <c r="O150" s="113"/>
      <c r="P150" s="260">
        <v>0.28000000000000003</v>
      </c>
      <c r="Q150" s="259">
        <v>9.15</v>
      </c>
      <c r="R150" s="241"/>
      <c r="S150" s="240"/>
      <c r="T150" s="113"/>
      <c r="U150" s="260">
        <v>0.12</v>
      </c>
      <c r="V150" s="259">
        <v>9.0399999999999991</v>
      </c>
      <c r="W150" s="241"/>
      <c r="X150" s="240"/>
      <c r="Y150" s="113"/>
      <c r="Z150" s="260">
        <v>7.0000000000000007E-2</v>
      </c>
      <c r="AA150" s="259">
        <v>9.16</v>
      </c>
      <c r="AB150" s="241"/>
      <c r="AC150" s="240"/>
      <c r="AD150" s="113"/>
      <c r="AE150" s="260">
        <v>0.04</v>
      </c>
      <c r="AF150" s="259">
        <v>9.11</v>
      </c>
      <c r="AG150" s="241"/>
      <c r="AH150" s="240"/>
      <c r="AI150" s="141"/>
    </row>
    <row r="151" spans="1:35" s="21" customFormat="1" x14ac:dyDescent="0.25">
      <c r="A151" s="261"/>
      <c r="B151" s="260"/>
      <c r="C151" s="259"/>
      <c r="D151" s="240"/>
      <c r="E151" s="45"/>
      <c r="F151" s="113"/>
      <c r="G151" s="260"/>
      <c r="H151" s="259"/>
      <c r="I151" s="240"/>
      <c r="J151" s="113"/>
      <c r="K151" s="260"/>
      <c r="L151" s="259"/>
      <c r="M151" s="241"/>
      <c r="N151" s="45"/>
      <c r="O151" s="113"/>
      <c r="P151" s="260"/>
      <c r="Q151" s="259"/>
      <c r="R151" s="241">
        <f>P150</f>
        <v>0.28000000000000003</v>
      </c>
      <c r="S151" s="249" t="s">
        <v>342</v>
      </c>
      <c r="T151" s="113"/>
      <c r="U151" s="260"/>
      <c r="V151" s="259"/>
      <c r="W151" s="241">
        <f>U150</f>
        <v>0.12</v>
      </c>
      <c r="X151" s="249" t="s">
        <v>342</v>
      </c>
      <c r="Y151" s="113"/>
      <c r="Z151" s="260"/>
      <c r="AA151" s="259"/>
      <c r="AB151" s="241"/>
      <c r="AC151" s="240"/>
      <c r="AD151" s="113"/>
      <c r="AE151" s="260"/>
      <c r="AF151" s="259"/>
      <c r="AG151" s="241"/>
      <c r="AH151" s="240"/>
      <c r="AI151" s="141"/>
    </row>
    <row r="152" spans="1:35" s="21" customFormat="1" x14ac:dyDescent="0.25">
      <c r="A152" s="261"/>
      <c r="B152" s="260"/>
      <c r="C152" s="259"/>
      <c r="D152" s="241">
        <f>M152</f>
        <v>0.19</v>
      </c>
      <c r="E152" s="77" t="s">
        <v>231</v>
      </c>
      <c r="F152" s="113"/>
      <c r="G152" s="260"/>
      <c r="H152" s="259"/>
      <c r="I152" s="240"/>
      <c r="J152" s="113"/>
      <c r="K152" s="260">
        <v>0.19</v>
      </c>
      <c r="L152" s="259">
        <v>9.19</v>
      </c>
      <c r="M152" s="241">
        <f>K152</f>
        <v>0.19</v>
      </c>
      <c r="N152" s="77" t="s">
        <v>231</v>
      </c>
      <c r="O152" s="113"/>
      <c r="P152" s="241"/>
      <c r="Q152" s="240"/>
      <c r="R152" s="241"/>
      <c r="S152" s="240"/>
      <c r="T152" s="113"/>
      <c r="U152" s="260"/>
      <c r="V152" s="259"/>
      <c r="W152" s="241"/>
      <c r="X152" s="240"/>
      <c r="Y152" s="113"/>
      <c r="Z152" s="241"/>
      <c r="AA152" s="240"/>
      <c r="AB152" s="241"/>
      <c r="AC152" s="240"/>
      <c r="AD152" s="113"/>
      <c r="AE152" s="241"/>
      <c r="AF152" s="240"/>
      <c r="AG152" s="241"/>
      <c r="AH152" s="240"/>
      <c r="AI152" s="141"/>
    </row>
    <row r="153" spans="1:35" s="21" customFormat="1" x14ac:dyDescent="0.25">
      <c r="A153" s="261"/>
      <c r="B153" s="260"/>
      <c r="C153" s="259"/>
      <c r="D153" s="8"/>
      <c r="E153" s="8"/>
      <c r="F153" s="113"/>
      <c r="G153" s="260"/>
      <c r="H153" s="259"/>
      <c r="I153" s="240"/>
      <c r="J153" s="113"/>
      <c r="K153" s="260"/>
      <c r="L153" s="259"/>
      <c r="M153" s="241"/>
      <c r="N153" s="8"/>
      <c r="O153" s="113"/>
      <c r="P153" s="241">
        <v>0.1</v>
      </c>
      <c r="Q153" s="240">
        <v>9.18</v>
      </c>
      <c r="R153" s="241"/>
      <c r="S153" s="240"/>
      <c r="T153" s="113"/>
      <c r="U153" s="260"/>
      <c r="V153" s="259"/>
      <c r="W153" s="241"/>
      <c r="X153" s="240"/>
      <c r="Y153" s="113"/>
      <c r="Z153" s="260">
        <v>1.04</v>
      </c>
      <c r="AA153" s="259">
        <v>9.25</v>
      </c>
      <c r="AB153" s="241"/>
      <c r="AC153" s="240"/>
      <c r="AD153" s="113"/>
      <c r="AE153" s="241">
        <v>0.12</v>
      </c>
      <c r="AF153" s="240">
        <v>9.16</v>
      </c>
      <c r="AG153" s="241"/>
      <c r="AH153" s="240"/>
      <c r="AI153" s="141"/>
    </row>
    <row r="154" spans="1:35" s="21" customFormat="1" x14ac:dyDescent="0.25">
      <c r="A154" s="261">
        <v>40</v>
      </c>
      <c r="B154" s="260">
        <v>0.3</v>
      </c>
      <c r="C154" s="259">
        <v>9.27</v>
      </c>
      <c r="D154" s="240"/>
      <c r="E154" s="240"/>
      <c r="F154" s="113"/>
      <c r="G154" s="263">
        <v>0.16</v>
      </c>
      <c r="H154" s="266">
        <v>9.31</v>
      </c>
      <c r="I154" s="240"/>
      <c r="J154" s="113"/>
      <c r="K154" s="260">
        <v>0.24</v>
      </c>
      <c r="L154" s="259">
        <v>9.25</v>
      </c>
      <c r="M154" s="241"/>
      <c r="N154" s="240"/>
      <c r="O154" s="113"/>
      <c r="P154" s="260">
        <v>0.38</v>
      </c>
      <c r="Q154" s="259">
        <v>9.24</v>
      </c>
      <c r="R154" s="241">
        <f>P154</f>
        <v>0.38</v>
      </c>
      <c r="S154" s="70" t="s">
        <v>526</v>
      </c>
      <c r="T154" s="113"/>
      <c r="U154" s="241">
        <v>7.0000000000000007E-2</v>
      </c>
      <c r="V154" s="240">
        <v>9.11</v>
      </c>
      <c r="W154" s="241">
        <f>U154+U155</f>
        <v>0.12000000000000001</v>
      </c>
      <c r="X154" s="70" t="s">
        <v>226</v>
      </c>
      <c r="Y154" s="113"/>
      <c r="Z154" s="260"/>
      <c r="AA154" s="259"/>
      <c r="AB154" s="241"/>
      <c r="AC154" s="240"/>
      <c r="AD154" s="113"/>
      <c r="AE154" s="260">
        <v>0.12</v>
      </c>
      <c r="AF154" s="259">
        <v>9.23</v>
      </c>
      <c r="AG154" s="241"/>
      <c r="AH154" s="240"/>
      <c r="AI154" s="141"/>
    </row>
    <row r="155" spans="1:35" s="21" customFormat="1" x14ac:dyDescent="0.25">
      <c r="A155" s="261"/>
      <c r="B155" s="260"/>
      <c r="C155" s="259"/>
      <c r="D155" s="240"/>
      <c r="E155" s="73"/>
      <c r="F155" s="113"/>
      <c r="G155" s="265"/>
      <c r="H155" s="268"/>
      <c r="I155" s="240"/>
      <c r="J155" s="113"/>
      <c r="K155" s="260"/>
      <c r="L155" s="259"/>
      <c r="M155" s="241"/>
      <c r="N155" s="73"/>
      <c r="O155" s="113"/>
      <c r="P155" s="260"/>
      <c r="Q155" s="259"/>
      <c r="R155" s="241"/>
      <c r="S155" s="73"/>
      <c r="T155" s="113"/>
      <c r="U155" s="241">
        <v>0.05</v>
      </c>
      <c r="V155" s="240">
        <v>9.15</v>
      </c>
      <c r="W155" s="241"/>
      <c r="X155" s="73"/>
      <c r="Y155" s="113"/>
      <c r="Z155" s="260"/>
      <c r="AA155" s="259"/>
      <c r="AB155" s="241"/>
      <c r="AC155" s="240"/>
      <c r="AD155" s="113"/>
      <c r="AE155" s="260"/>
      <c r="AF155" s="259"/>
      <c r="AG155" s="241"/>
      <c r="AH155" s="240"/>
      <c r="AI155" s="141"/>
    </row>
    <row r="156" spans="1:35" s="21" customFormat="1" x14ac:dyDescent="0.25">
      <c r="A156" s="261"/>
      <c r="B156" s="260"/>
      <c r="C156" s="259"/>
      <c r="D156" s="240">
        <f>M156</f>
        <v>0.24</v>
      </c>
      <c r="E156" s="7" t="s">
        <v>154</v>
      </c>
      <c r="F156" s="113"/>
      <c r="G156" s="241">
        <v>0.34</v>
      </c>
      <c r="H156" s="240">
        <v>9.34</v>
      </c>
      <c r="I156" s="240"/>
      <c r="J156" s="113"/>
      <c r="K156" s="260"/>
      <c r="L156" s="259"/>
      <c r="M156" s="241">
        <f>K154</f>
        <v>0.24</v>
      </c>
      <c r="N156" s="7" t="s">
        <v>154</v>
      </c>
      <c r="O156" s="113"/>
      <c r="P156" s="241">
        <v>0.16</v>
      </c>
      <c r="Q156" s="240">
        <v>9.31</v>
      </c>
      <c r="R156" s="241">
        <f>P157+P156-R141</f>
        <v>0.34000000000000008</v>
      </c>
      <c r="S156" s="75" t="s">
        <v>551</v>
      </c>
      <c r="T156" s="113"/>
      <c r="U156" s="260">
        <v>0.53</v>
      </c>
      <c r="V156" s="259">
        <v>9.27</v>
      </c>
      <c r="W156" s="241">
        <f>U156+U159+U155+U154-W141</f>
        <v>0.4</v>
      </c>
      <c r="X156" s="75" t="s">
        <v>317</v>
      </c>
      <c r="Y156" s="113"/>
      <c r="Z156" s="260"/>
      <c r="AA156" s="259"/>
      <c r="AB156" s="56"/>
      <c r="AC156" s="56"/>
      <c r="AD156" s="113"/>
      <c r="AE156" s="241">
        <v>0.25</v>
      </c>
      <c r="AF156" s="240">
        <v>9.2799999999999994</v>
      </c>
      <c r="AG156" s="241"/>
      <c r="AH156" s="240"/>
      <c r="AI156" s="141"/>
    </row>
    <row r="157" spans="1:35" s="21" customFormat="1" x14ac:dyDescent="0.25">
      <c r="A157" s="261">
        <v>41</v>
      </c>
      <c r="B157" s="260">
        <v>0.42</v>
      </c>
      <c r="C157" s="259">
        <v>9.42</v>
      </c>
      <c r="D157" s="240">
        <f>B157+B154+B150-D150-D152-D156</f>
        <v>3.3600000000000003</v>
      </c>
      <c r="E157" s="7" t="s">
        <v>458</v>
      </c>
      <c r="F157" s="113"/>
      <c r="G157" s="260">
        <v>0.68</v>
      </c>
      <c r="H157" s="259">
        <v>9.43</v>
      </c>
      <c r="I157" s="240"/>
      <c r="J157" s="113"/>
      <c r="K157" s="260">
        <v>0.7</v>
      </c>
      <c r="L157" s="259">
        <v>9.34</v>
      </c>
      <c r="M157" s="241">
        <f>K157</f>
        <v>0.7</v>
      </c>
      <c r="N157" s="7" t="s">
        <v>229</v>
      </c>
      <c r="O157" s="113"/>
      <c r="P157" s="260">
        <v>0.55000000000000004</v>
      </c>
      <c r="Q157" s="259">
        <v>9.4</v>
      </c>
      <c r="R157" s="56"/>
      <c r="S157" s="56"/>
      <c r="T157" s="113"/>
      <c r="U157" s="260"/>
      <c r="V157" s="259"/>
      <c r="W157" s="56"/>
      <c r="X157" s="56"/>
      <c r="Y157" s="113"/>
      <c r="Z157" s="260">
        <v>0.37</v>
      </c>
      <c r="AA157" s="259">
        <v>9.39</v>
      </c>
      <c r="AD157" s="113"/>
      <c r="AE157" s="260">
        <v>0.12</v>
      </c>
      <c r="AF157" s="259">
        <v>9.36</v>
      </c>
      <c r="AG157" s="241"/>
      <c r="AH157" s="240"/>
      <c r="AI157" s="141"/>
    </row>
    <row r="158" spans="1:35" s="21" customFormat="1" x14ac:dyDescent="0.25">
      <c r="A158" s="261"/>
      <c r="B158" s="260"/>
      <c r="C158" s="259"/>
      <c r="D158" s="240"/>
      <c r="E158" s="240"/>
      <c r="F158" s="113"/>
      <c r="G158" s="260"/>
      <c r="H158" s="259"/>
      <c r="I158" s="240"/>
      <c r="J158" s="113"/>
      <c r="K158" s="260"/>
      <c r="L158" s="259"/>
      <c r="M158" s="241"/>
      <c r="N158" s="240"/>
      <c r="O158" s="113"/>
      <c r="P158" s="260"/>
      <c r="Q158" s="259"/>
      <c r="R158" s="241"/>
      <c r="S158" s="240"/>
      <c r="T158" s="113"/>
      <c r="U158" s="260"/>
      <c r="V158" s="259"/>
      <c r="W158" s="241"/>
      <c r="X158" s="240"/>
      <c r="Y158" s="113"/>
      <c r="Z158" s="260"/>
      <c r="AA158" s="259"/>
      <c r="AB158" s="241"/>
      <c r="AC158" s="240"/>
      <c r="AD158" s="113"/>
      <c r="AE158" s="260"/>
      <c r="AF158" s="259"/>
      <c r="AG158" s="241"/>
      <c r="AH158" s="240"/>
      <c r="AI158" s="141"/>
    </row>
    <row r="159" spans="1:35" s="21" customFormat="1" x14ac:dyDescent="0.25">
      <c r="A159" s="261"/>
      <c r="B159" s="260"/>
      <c r="C159" s="259"/>
      <c r="D159" s="240"/>
      <c r="E159" s="8"/>
      <c r="F159" s="113"/>
      <c r="G159" s="260"/>
      <c r="H159" s="259"/>
      <c r="I159" s="240"/>
      <c r="J159" s="113"/>
      <c r="K159" s="260"/>
      <c r="L159" s="259"/>
      <c r="M159" s="241"/>
      <c r="N159" s="8"/>
      <c r="O159" s="113"/>
      <c r="P159" s="260"/>
      <c r="Q159" s="259"/>
      <c r="R159" s="241"/>
      <c r="S159" s="56"/>
      <c r="T159" s="113"/>
      <c r="U159" s="260">
        <v>0.12</v>
      </c>
      <c r="V159" s="259">
        <v>9.2899999999999991</v>
      </c>
      <c r="W159" s="241"/>
      <c r="X159" s="56"/>
      <c r="Y159" s="113"/>
      <c r="Z159" s="260"/>
      <c r="AA159" s="259"/>
      <c r="AB159" s="241"/>
      <c r="AC159" s="56"/>
      <c r="AD159" s="113"/>
      <c r="AE159" s="260">
        <v>7.0000000000000007E-2</v>
      </c>
      <c r="AF159" s="259">
        <v>9.42</v>
      </c>
      <c r="AG159" s="241"/>
      <c r="AH159" s="240"/>
      <c r="AI159" s="141"/>
    </row>
    <row r="160" spans="1:35" s="21" customFormat="1" x14ac:dyDescent="0.25">
      <c r="A160" s="261"/>
      <c r="B160" s="260"/>
      <c r="C160" s="259"/>
      <c r="D160" s="240"/>
      <c r="E160" s="19"/>
      <c r="F160" s="113"/>
      <c r="G160" s="260"/>
      <c r="H160" s="259"/>
      <c r="I160" s="240"/>
      <c r="J160" s="113"/>
      <c r="K160" s="260"/>
      <c r="L160" s="259"/>
      <c r="M160" s="241"/>
      <c r="N160" s="19"/>
      <c r="O160" s="113"/>
      <c r="P160" s="260"/>
      <c r="Q160" s="259"/>
      <c r="R160" s="241"/>
      <c r="S160" s="240"/>
      <c r="T160" s="113"/>
      <c r="U160" s="260"/>
      <c r="V160" s="259"/>
      <c r="W160" s="241"/>
      <c r="X160" s="240"/>
      <c r="Y160" s="113"/>
      <c r="Z160" s="260"/>
      <c r="AA160" s="259"/>
      <c r="AB160" s="241"/>
      <c r="AC160" s="240"/>
      <c r="AD160" s="113"/>
      <c r="AE160" s="260"/>
      <c r="AF160" s="259"/>
      <c r="AG160" s="241"/>
      <c r="AH160" s="240"/>
      <c r="AI160" s="141"/>
    </row>
    <row r="161" spans="1:35" s="21" customFormat="1" x14ac:dyDescent="0.25">
      <c r="A161" s="261">
        <v>42</v>
      </c>
      <c r="B161" s="260">
        <v>2.98</v>
      </c>
      <c r="C161" s="259">
        <v>9.52</v>
      </c>
      <c r="D161" s="241">
        <v>0.01</v>
      </c>
      <c r="E161" s="7" t="s">
        <v>155</v>
      </c>
      <c r="F161" s="113"/>
      <c r="G161" s="263">
        <v>0.16</v>
      </c>
      <c r="H161" s="266">
        <v>9.51</v>
      </c>
      <c r="I161" s="240"/>
      <c r="J161" s="113"/>
      <c r="K161" s="260">
        <v>17.18</v>
      </c>
      <c r="L161" s="259">
        <v>9.4499999999999993</v>
      </c>
      <c r="M161" s="241">
        <f>D161</f>
        <v>0.01</v>
      </c>
      <c r="N161" s="7" t="s">
        <v>155</v>
      </c>
      <c r="O161" s="113"/>
      <c r="P161" s="260">
        <v>4.29</v>
      </c>
      <c r="Q161" s="259">
        <v>9.5299999999999994</v>
      </c>
      <c r="R161" s="56"/>
      <c r="S161" s="56"/>
      <c r="T161" s="113"/>
      <c r="U161" s="260">
        <v>0.13</v>
      </c>
      <c r="V161" s="259">
        <v>9.35</v>
      </c>
      <c r="W161" s="241"/>
      <c r="X161" s="240"/>
      <c r="Y161" s="113"/>
      <c r="Z161" s="260">
        <v>3.04</v>
      </c>
      <c r="AA161" s="259">
        <v>9.5299999999999994</v>
      </c>
      <c r="AB161" s="241"/>
      <c r="AC161" s="240"/>
      <c r="AD161" s="113"/>
      <c r="AE161" s="260">
        <v>2.73</v>
      </c>
      <c r="AF161" s="259">
        <v>9.51</v>
      </c>
      <c r="AG161" s="241"/>
      <c r="AH161" s="240"/>
      <c r="AI161" s="141"/>
    </row>
    <row r="162" spans="1:35" s="21" customFormat="1" x14ac:dyDescent="0.25">
      <c r="A162" s="261"/>
      <c r="B162" s="260"/>
      <c r="C162" s="259"/>
      <c r="D162" s="240">
        <v>2.57</v>
      </c>
      <c r="E162" s="249" t="s">
        <v>477</v>
      </c>
      <c r="F162" s="113"/>
      <c r="G162" s="264"/>
      <c r="H162" s="267"/>
      <c r="I162" s="240"/>
      <c r="J162" s="113"/>
      <c r="K162" s="260"/>
      <c r="L162" s="259"/>
      <c r="M162" s="241">
        <f>K161+K168-M168-M171-M166-M161-M163-M164</f>
        <v>14.549999999999997</v>
      </c>
      <c r="N162" s="249" t="s">
        <v>271</v>
      </c>
      <c r="O162" s="113"/>
      <c r="P162" s="260"/>
      <c r="Q162" s="259"/>
      <c r="R162" s="241"/>
      <c r="S162" s="240"/>
      <c r="T162" s="113"/>
      <c r="U162" s="260"/>
      <c r="V162" s="259"/>
      <c r="W162" s="241"/>
      <c r="X162" s="240"/>
      <c r="Y162" s="113"/>
      <c r="Z162" s="260"/>
      <c r="AA162" s="259"/>
      <c r="AB162" s="241"/>
      <c r="AC162" s="240"/>
      <c r="AD162" s="113"/>
      <c r="AE162" s="260"/>
      <c r="AF162" s="259"/>
      <c r="AG162" s="241"/>
      <c r="AH162" s="240"/>
      <c r="AI162" s="141"/>
    </row>
    <row r="163" spans="1:35" s="21" customFormat="1" x14ac:dyDescent="0.25">
      <c r="A163" s="261"/>
      <c r="B163" s="260"/>
      <c r="C163" s="259"/>
      <c r="D163" s="241">
        <v>1.65</v>
      </c>
      <c r="E163" s="249" t="s">
        <v>91</v>
      </c>
      <c r="F163" s="113"/>
      <c r="G163" s="264"/>
      <c r="H163" s="267"/>
      <c r="I163" s="240"/>
      <c r="J163" s="113"/>
      <c r="K163" s="260"/>
      <c r="L163" s="259"/>
      <c r="M163" s="241">
        <f>D163</f>
        <v>1.65</v>
      </c>
      <c r="N163" s="249" t="s">
        <v>91</v>
      </c>
      <c r="O163" s="113"/>
      <c r="P163" s="260"/>
      <c r="Q163" s="259"/>
      <c r="R163" s="241"/>
      <c r="S163" s="240"/>
      <c r="T163" s="113"/>
      <c r="U163" s="260"/>
      <c r="V163" s="259"/>
      <c r="W163" s="241"/>
      <c r="X163" s="240"/>
      <c r="Y163" s="113"/>
      <c r="Z163" s="260"/>
      <c r="AA163" s="259"/>
      <c r="AB163" s="241"/>
      <c r="AC163" s="240"/>
      <c r="AD163" s="113"/>
      <c r="AE163" s="260"/>
      <c r="AF163" s="259"/>
      <c r="AG163" s="241"/>
      <c r="AH163" s="240"/>
      <c r="AI163" s="141"/>
    </row>
    <row r="164" spans="1:35" s="21" customFormat="1" x14ac:dyDescent="0.25">
      <c r="A164" s="261"/>
      <c r="B164" s="260"/>
      <c r="C164" s="259"/>
      <c r="D164" s="56"/>
      <c r="E164" s="56"/>
      <c r="F164" s="113"/>
      <c r="G164" s="264"/>
      <c r="H164" s="267"/>
      <c r="I164" s="240"/>
      <c r="J164" s="113"/>
      <c r="K164" s="260"/>
      <c r="L164" s="259"/>
      <c r="M164" s="19">
        <v>0.9</v>
      </c>
      <c r="N164" s="249" t="s">
        <v>84</v>
      </c>
      <c r="O164" s="113"/>
      <c r="P164" s="260"/>
      <c r="Q164" s="259"/>
      <c r="R164" s="241"/>
      <c r="S164" s="56"/>
      <c r="T164" s="113"/>
      <c r="U164" s="260"/>
      <c r="V164" s="259"/>
      <c r="W164" s="241"/>
      <c r="X164" s="56"/>
      <c r="Y164" s="113"/>
      <c r="Z164" s="260"/>
      <c r="AA164" s="259"/>
      <c r="AB164" s="241"/>
      <c r="AC164" s="240"/>
      <c r="AD164" s="113"/>
      <c r="AE164" s="260"/>
      <c r="AF164" s="259"/>
      <c r="AG164" s="241"/>
      <c r="AH164" s="240"/>
      <c r="AI164" s="141"/>
    </row>
    <row r="165" spans="1:35" s="21" customFormat="1" x14ac:dyDescent="0.25">
      <c r="A165" s="261"/>
      <c r="B165" s="260"/>
      <c r="C165" s="259"/>
      <c r="D165" s="240"/>
      <c r="E165" s="240"/>
      <c r="F165" s="113"/>
      <c r="G165" s="264"/>
      <c r="H165" s="267"/>
      <c r="I165" s="240"/>
      <c r="J165" s="113"/>
      <c r="K165" s="260"/>
      <c r="L165" s="259"/>
      <c r="M165" s="241"/>
      <c r="N165" s="240"/>
      <c r="O165" s="113"/>
      <c r="P165" s="260"/>
      <c r="Q165" s="259"/>
      <c r="R165" s="241"/>
      <c r="S165" s="240"/>
      <c r="T165" s="113"/>
      <c r="U165" s="260"/>
      <c r="V165" s="259"/>
      <c r="W165" s="241"/>
      <c r="X165" s="240"/>
      <c r="Y165" s="113"/>
      <c r="Z165" s="260"/>
      <c r="AA165" s="259"/>
      <c r="AB165" s="241"/>
      <c r="AC165" s="240"/>
      <c r="AD165" s="113"/>
      <c r="AE165" s="260"/>
      <c r="AF165" s="259"/>
      <c r="AG165" s="241"/>
      <c r="AH165" s="240"/>
      <c r="AI165" s="141"/>
    </row>
    <row r="166" spans="1:35" s="21" customFormat="1" x14ac:dyDescent="0.25">
      <c r="A166" s="261"/>
      <c r="B166" s="260"/>
      <c r="C166" s="259"/>
      <c r="D166" s="241">
        <f>R166</f>
        <v>0.19</v>
      </c>
      <c r="E166" s="14" t="s">
        <v>351</v>
      </c>
      <c r="F166" s="113"/>
      <c r="G166" s="265"/>
      <c r="H166" s="268"/>
      <c r="I166" s="240"/>
      <c r="J166" s="113"/>
      <c r="K166" s="260"/>
      <c r="L166" s="259"/>
      <c r="M166" s="241">
        <f>D166</f>
        <v>0.19</v>
      </c>
      <c r="N166" s="14" t="s">
        <v>351</v>
      </c>
      <c r="O166" s="113"/>
      <c r="P166" s="260"/>
      <c r="Q166" s="259"/>
      <c r="R166" s="241">
        <v>0.19</v>
      </c>
      <c r="S166" s="14" t="s">
        <v>351</v>
      </c>
      <c r="T166" s="113"/>
      <c r="U166" s="260"/>
      <c r="V166" s="259"/>
      <c r="W166" s="241">
        <f>U161</f>
        <v>0.13</v>
      </c>
      <c r="X166" s="14" t="s">
        <v>351</v>
      </c>
      <c r="Y166" s="113"/>
      <c r="Z166" s="260"/>
      <c r="AA166" s="259"/>
      <c r="AB166" s="241"/>
      <c r="AC166" s="240"/>
      <c r="AD166" s="113"/>
      <c r="AE166" s="260"/>
      <c r="AF166" s="259"/>
      <c r="AG166" s="241"/>
      <c r="AH166" s="240"/>
      <c r="AI166" s="141"/>
    </row>
    <row r="167" spans="1:35" s="21" customFormat="1" x14ac:dyDescent="0.25">
      <c r="A167" s="261"/>
      <c r="B167" s="260"/>
      <c r="C167" s="259"/>
      <c r="D167" s="56"/>
      <c r="E167" s="56"/>
      <c r="F167" s="113"/>
      <c r="G167" s="241">
        <v>0.35</v>
      </c>
      <c r="H167" s="240">
        <v>9.58</v>
      </c>
      <c r="I167" s="240"/>
      <c r="J167" s="113"/>
      <c r="K167" s="260"/>
      <c r="L167" s="259"/>
      <c r="M167" s="241"/>
      <c r="N167" s="56"/>
      <c r="O167" s="113"/>
      <c r="P167" s="260"/>
      <c r="Q167" s="259"/>
      <c r="R167" s="241"/>
      <c r="S167" s="56"/>
      <c r="T167" s="113"/>
      <c r="U167" s="260">
        <v>3.08</v>
      </c>
      <c r="V167" s="259">
        <v>9.48</v>
      </c>
      <c r="W167" s="241"/>
      <c r="X167" s="56"/>
      <c r="Y167" s="113"/>
      <c r="Z167" s="260"/>
      <c r="AA167" s="259"/>
      <c r="AB167" s="241"/>
      <c r="AC167" s="240"/>
      <c r="AD167" s="113"/>
      <c r="AE167" s="260"/>
      <c r="AF167" s="259"/>
      <c r="AG167" s="56"/>
      <c r="AH167" s="56"/>
      <c r="AI167" s="141"/>
    </row>
    <row r="168" spans="1:35" s="21" customFormat="1" x14ac:dyDescent="0.25">
      <c r="A168" s="261">
        <v>43</v>
      </c>
      <c r="B168" s="260">
        <v>7.94</v>
      </c>
      <c r="C168" s="259">
        <v>9.6300000000000008</v>
      </c>
      <c r="D168" s="240">
        <f>AG168</f>
        <v>2.5499999999999998</v>
      </c>
      <c r="E168" s="6" t="s">
        <v>26</v>
      </c>
      <c r="F168" s="113"/>
      <c r="G168" s="263">
        <v>7.27</v>
      </c>
      <c r="H168" s="266">
        <v>9.64</v>
      </c>
      <c r="I168" s="149"/>
      <c r="J168" s="113"/>
      <c r="K168" s="260">
        <v>2.99</v>
      </c>
      <c r="L168" s="259">
        <v>9.5500000000000007</v>
      </c>
      <c r="M168" s="241">
        <f>AB168</f>
        <v>2.86</v>
      </c>
      <c r="N168" s="6" t="s">
        <v>26</v>
      </c>
      <c r="O168" s="113"/>
      <c r="P168" s="260"/>
      <c r="Q168" s="259"/>
      <c r="R168" s="241">
        <f>W168</f>
        <v>2.9</v>
      </c>
      <c r="S168" s="6" t="s">
        <v>26</v>
      </c>
      <c r="T168" s="113"/>
      <c r="U168" s="260"/>
      <c r="V168" s="259"/>
      <c r="W168" s="241">
        <f>U167-W170</f>
        <v>2.9</v>
      </c>
      <c r="X168" s="6" t="s">
        <v>26</v>
      </c>
      <c r="Y168" s="113"/>
      <c r="Z168" s="260"/>
      <c r="AA168" s="259"/>
      <c r="AB168" s="241">
        <f>Z161-AB170</f>
        <v>2.86</v>
      </c>
      <c r="AC168" s="6" t="s">
        <v>26</v>
      </c>
      <c r="AD168" s="113"/>
      <c r="AE168" s="260"/>
      <c r="AF168" s="259"/>
      <c r="AG168" s="241">
        <f>AE161-AG170</f>
        <v>2.5499999999999998</v>
      </c>
      <c r="AH168" s="6" t="s">
        <v>26</v>
      </c>
      <c r="AI168" s="141"/>
    </row>
    <row r="169" spans="1:35" s="21" customFormat="1" x14ac:dyDescent="0.25">
      <c r="A169" s="261"/>
      <c r="B169" s="260"/>
      <c r="C169" s="259"/>
      <c r="D169" s="240"/>
      <c r="E169" s="240"/>
      <c r="F169" s="113"/>
      <c r="G169" s="264"/>
      <c r="H169" s="267"/>
      <c r="I169" s="240"/>
      <c r="J169" s="113"/>
      <c r="K169" s="260"/>
      <c r="L169" s="259"/>
      <c r="M169" s="241"/>
      <c r="N169" s="240"/>
      <c r="O169" s="113"/>
      <c r="P169" s="260"/>
      <c r="Q169" s="259"/>
      <c r="R169" s="241"/>
      <c r="S169" s="240"/>
      <c r="T169" s="113"/>
      <c r="U169" s="260"/>
      <c r="V169" s="259"/>
      <c r="W169" s="241"/>
      <c r="X169" s="240"/>
      <c r="Y169" s="113"/>
      <c r="Z169" s="260"/>
      <c r="AA169" s="259"/>
      <c r="AB169" s="241"/>
      <c r="AC169" s="240"/>
      <c r="AD169" s="113"/>
      <c r="AE169" s="260"/>
      <c r="AF169" s="259"/>
      <c r="AG169" s="241"/>
      <c r="AH169" s="240"/>
      <c r="AI169" s="141"/>
    </row>
    <row r="170" spans="1:35" s="21" customFormat="1" x14ac:dyDescent="0.25">
      <c r="A170" s="261"/>
      <c r="B170" s="260"/>
      <c r="C170" s="259"/>
      <c r="D170" s="240"/>
      <c r="E170" s="8"/>
      <c r="F170" s="113"/>
      <c r="G170" s="264"/>
      <c r="H170" s="267"/>
      <c r="I170" s="240"/>
      <c r="J170" s="113"/>
      <c r="K170" s="260"/>
      <c r="L170" s="259"/>
      <c r="M170" s="241"/>
      <c r="N170" s="8"/>
      <c r="O170" s="113"/>
      <c r="P170" s="260"/>
      <c r="Q170" s="259"/>
      <c r="R170" s="241"/>
      <c r="S170" s="56"/>
      <c r="T170" s="113"/>
      <c r="U170" s="260"/>
      <c r="V170" s="259"/>
      <c r="W170" s="241">
        <v>0.18</v>
      </c>
      <c r="X170" s="75" t="s">
        <v>180</v>
      </c>
      <c r="Y170" s="113"/>
      <c r="Z170" s="260"/>
      <c r="AA170" s="259"/>
      <c r="AB170" s="241">
        <v>0.18</v>
      </c>
      <c r="AC170" s="75" t="s">
        <v>180</v>
      </c>
      <c r="AD170" s="113"/>
      <c r="AE170" s="260"/>
      <c r="AF170" s="259"/>
      <c r="AG170" s="241">
        <f>AB170</f>
        <v>0.18</v>
      </c>
      <c r="AH170" s="75" t="s">
        <v>180</v>
      </c>
      <c r="AI170" s="141"/>
    </row>
    <row r="171" spans="1:35" s="21" customFormat="1" x14ac:dyDescent="0.25">
      <c r="A171" s="261"/>
      <c r="B171" s="260"/>
      <c r="C171" s="259"/>
      <c r="D171" s="241">
        <v>0.01</v>
      </c>
      <c r="E171" s="59" t="s">
        <v>233</v>
      </c>
      <c r="F171" s="113"/>
      <c r="G171" s="264"/>
      <c r="H171" s="267"/>
      <c r="I171" s="240"/>
      <c r="J171" s="113"/>
      <c r="K171" s="260"/>
      <c r="L171" s="259"/>
      <c r="M171" s="241">
        <f>D171</f>
        <v>0.01</v>
      </c>
      <c r="N171" s="59" t="s">
        <v>233</v>
      </c>
      <c r="O171" s="113"/>
      <c r="P171" s="260"/>
      <c r="Q171" s="259"/>
      <c r="R171" s="241"/>
      <c r="S171" s="240"/>
      <c r="T171" s="113"/>
      <c r="U171" s="260"/>
      <c r="V171" s="259"/>
      <c r="W171" s="241"/>
      <c r="X171" s="240"/>
      <c r="Y171" s="113"/>
      <c r="Z171" s="260"/>
      <c r="AA171" s="259"/>
      <c r="AB171" s="241"/>
      <c r="AC171" s="240"/>
      <c r="AD171" s="113"/>
      <c r="AE171" s="260"/>
      <c r="AF171" s="259"/>
      <c r="AG171" s="241"/>
      <c r="AH171" s="240"/>
      <c r="AI171" s="141"/>
    </row>
    <row r="172" spans="1:35" s="21" customFormat="1" x14ac:dyDescent="0.25">
      <c r="A172" s="261"/>
      <c r="B172" s="260"/>
      <c r="C172" s="259"/>
      <c r="D172" s="240"/>
      <c r="E172" s="118"/>
      <c r="F172" s="113"/>
      <c r="G172" s="264"/>
      <c r="H172" s="267"/>
      <c r="I172" s="240"/>
      <c r="J172" s="113"/>
      <c r="K172" s="260"/>
      <c r="L172" s="259"/>
      <c r="M172" s="241"/>
      <c r="N172" s="118"/>
      <c r="O172" s="113"/>
      <c r="P172" s="260"/>
      <c r="Q172" s="259"/>
      <c r="R172" s="241"/>
      <c r="S172" s="118"/>
      <c r="T172" s="113"/>
      <c r="U172" s="260"/>
      <c r="V172" s="259"/>
      <c r="W172" s="241"/>
      <c r="X172" s="118"/>
      <c r="Y172" s="113"/>
      <c r="Z172" s="260"/>
      <c r="AA172" s="259"/>
      <c r="AB172" s="241"/>
      <c r="AC172" s="240"/>
      <c r="AD172" s="113"/>
      <c r="AE172" s="260"/>
      <c r="AF172" s="259"/>
      <c r="AG172" s="241"/>
      <c r="AH172" s="240"/>
      <c r="AI172" s="141"/>
    </row>
    <row r="173" spans="1:35" s="21" customFormat="1" x14ac:dyDescent="0.25">
      <c r="A173" s="261"/>
      <c r="B173" s="260"/>
      <c r="C173" s="259"/>
      <c r="D173" s="56"/>
      <c r="E173" s="56"/>
      <c r="F173" s="113"/>
      <c r="G173" s="265"/>
      <c r="H173" s="268"/>
      <c r="I173" s="240"/>
      <c r="J173" s="113"/>
      <c r="K173" s="260"/>
      <c r="L173" s="259"/>
      <c r="M173" s="56"/>
      <c r="N173" s="56"/>
      <c r="O173" s="113"/>
      <c r="P173" s="260"/>
      <c r="Q173" s="259"/>
      <c r="R173" s="241"/>
      <c r="S173" s="240"/>
      <c r="T173" s="113"/>
      <c r="U173" s="260"/>
      <c r="V173" s="259"/>
      <c r="W173" s="241"/>
      <c r="X173" s="240"/>
      <c r="Y173" s="113"/>
      <c r="Z173" s="260"/>
      <c r="AA173" s="259"/>
      <c r="AB173" s="245"/>
      <c r="AC173" s="246"/>
      <c r="AD173" s="113"/>
      <c r="AE173" s="260"/>
      <c r="AF173" s="259"/>
      <c r="AG173" s="241"/>
      <c r="AH173" s="240"/>
      <c r="AI173" s="141"/>
    </row>
    <row r="174" spans="1:35" s="21" customFormat="1" x14ac:dyDescent="0.25">
      <c r="A174" s="261">
        <v>44</v>
      </c>
      <c r="B174" s="260">
        <v>0.47</v>
      </c>
      <c r="C174" s="259">
        <v>9.76</v>
      </c>
      <c r="D174" s="240">
        <f>B174-D175+B168+B161-D162-D163-D161-D166-D168-D171</f>
        <v>4.34</v>
      </c>
      <c r="E174" s="7" t="s">
        <v>537</v>
      </c>
      <c r="F174" s="113"/>
      <c r="G174" s="241">
        <v>0.25</v>
      </c>
      <c r="H174" s="240">
        <v>9.74</v>
      </c>
      <c r="I174" s="240"/>
      <c r="J174" s="113"/>
      <c r="K174" s="260">
        <v>0.71</v>
      </c>
      <c r="L174" s="259">
        <v>9.69</v>
      </c>
      <c r="M174" s="241">
        <f>K174-M175</f>
        <v>0.6399999999999999</v>
      </c>
      <c r="N174" s="7" t="s">
        <v>154</v>
      </c>
      <c r="O174" s="113"/>
      <c r="P174" s="241">
        <v>7.0000000000000007E-2</v>
      </c>
      <c r="Q174" s="240">
        <v>9.69</v>
      </c>
      <c r="R174" s="56"/>
      <c r="S174" s="56"/>
      <c r="T174" s="113"/>
      <c r="U174" s="260">
        <v>0.43</v>
      </c>
      <c r="V174" s="259">
        <v>9.68</v>
      </c>
      <c r="W174" s="56"/>
      <c r="X174" s="56"/>
      <c r="Y174" s="113"/>
      <c r="Z174" s="241"/>
      <c r="AA174" s="240"/>
      <c r="AB174" s="241"/>
      <c r="AC174" s="240"/>
      <c r="AD174" s="113"/>
      <c r="AE174" s="241"/>
      <c r="AF174" s="240"/>
      <c r="AG174" s="241"/>
      <c r="AH174" s="240"/>
      <c r="AI174" s="141"/>
    </row>
    <row r="175" spans="1:35" s="21" customFormat="1" x14ac:dyDescent="0.25">
      <c r="A175" s="261"/>
      <c r="B175" s="260"/>
      <c r="C175" s="259"/>
      <c r="D175" s="241">
        <f>R175</f>
        <v>7.0000000000000007E-2</v>
      </c>
      <c r="E175" s="68" t="s">
        <v>100</v>
      </c>
      <c r="F175" s="113"/>
      <c r="G175" s="241">
        <v>0.41</v>
      </c>
      <c r="H175" s="240">
        <v>9.81</v>
      </c>
      <c r="I175" s="240"/>
      <c r="J175" s="113"/>
      <c r="K175" s="260"/>
      <c r="L175" s="259"/>
      <c r="M175" s="241">
        <f>D175</f>
        <v>7.0000000000000007E-2</v>
      </c>
      <c r="N175" s="68" t="s">
        <v>100</v>
      </c>
      <c r="O175" s="113"/>
      <c r="P175" s="241">
        <v>0.65</v>
      </c>
      <c r="Q175" s="240">
        <v>9.76</v>
      </c>
      <c r="R175" s="241">
        <f>P174</f>
        <v>7.0000000000000007E-2</v>
      </c>
      <c r="S175" s="68" t="s">
        <v>100</v>
      </c>
      <c r="T175" s="113"/>
      <c r="U175" s="260"/>
      <c r="V175" s="259"/>
      <c r="W175" s="241">
        <f>U174</f>
        <v>0.43</v>
      </c>
      <c r="X175" s="68" t="s">
        <v>100</v>
      </c>
      <c r="Y175" s="113"/>
      <c r="Z175" s="241"/>
      <c r="AA175" s="240"/>
      <c r="AB175" s="241"/>
      <c r="AC175" s="240"/>
      <c r="AD175" s="113"/>
      <c r="AE175" s="241"/>
      <c r="AF175" s="240"/>
      <c r="AG175" s="241"/>
      <c r="AH175" s="240"/>
      <c r="AI175" s="141"/>
    </row>
    <row r="176" spans="1:35" s="21" customFormat="1" x14ac:dyDescent="0.25">
      <c r="A176" s="261">
        <v>45</v>
      </c>
      <c r="B176" s="260">
        <v>0.62</v>
      </c>
      <c r="C176" s="259">
        <v>9.9</v>
      </c>
      <c r="D176" s="56"/>
      <c r="E176" s="56"/>
      <c r="F176" s="113"/>
      <c r="G176" s="241">
        <v>0.22</v>
      </c>
      <c r="H176" s="240">
        <v>9.85</v>
      </c>
      <c r="I176" s="240"/>
      <c r="J176" s="113"/>
      <c r="K176" s="260">
        <v>0.72</v>
      </c>
      <c r="L176" s="259">
        <v>9.82</v>
      </c>
      <c r="M176" s="56"/>
      <c r="N176" s="56"/>
      <c r="O176" s="113"/>
      <c r="P176" s="241">
        <v>0.08</v>
      </c>
      <c r="Q176" s="240">
        <v>9.84</v>
      </c>
      <c r="R176" s="241"/>
      <c r="S176" s="240"/>
      <c r="T176" s="113"/>
      <c r="U176" s="260"/>
      <c r="V176" s="259"/>
      <c r="W176" s="241"/>
      <c r="X176" s="240"/>
      <c r="Y176" s="113"/>
      <c r="Z176" s="241"/>
      <c r="AA176" s="240"/>
      <c r="AB176" s="241"/>
      <c r="AC176" s="240"/>
      <c r="AD176" s="113"/>
      <c r="AE176" s="241"/>
      <c r="AF176" s="240"/>
      <c r="AG176" s="241"/>
      <c r="AH176" s="240"/>
      <c r="AI176" s="141"/>
    </row>
    <row r="177" spans="1:35" s="21" customFormat="1" x14ac:dyDescent="0.25">
      <c r="A177" s="261"/>
      <c r="B177" s="260"/>
      <c r="C177" s="259"/>
      <c r="D177" s="240">
        <f>B176-D178</f>
        <v>0.37</v>
      </c>
      <c r="E177" s="7" t="s">
        <v>469</v>
      </c>
      <c r="F177" s="113"/>
      <c r="G177" s="260">
        <v>0.66</v>
      </c>
      <c r="H177" s="259">
        <v>9.92</v>
      </c>
      <c r="I177" s="240"/>
      <c r="J177" s="113"/>
      <c r="K177" s="260"/>
      <c r="L177" s="259"/>
      <c r="M177" s="241">
        <f>K176</f>
        <v>0.72</v>
      </c>
      <c r="N177" s="7" t="s">
        <v>154</v>
      </c>
      <c r="O177" s="113"/>
      <c r="P177" s="241">
        <v>0.34</v>
      </c>
      <c r="Q177" s="240">
        <v>9.89</v>
      </c>
      <c r="R177" s="241">
        <f>P177</f>
        <v>0.34</v>
      </c>
      <c r="S177" s="75" t="s">
        <v>141</v>
      </c>
      <c r="T177" s="113"/>
      <c r="U177" s="241">
        <v>0.22</v>
      </c>
      <c r="V177" s="240">
        <v>9.83</v>
      </c>
      <c r="W177" s="241"/>
      <c r="X177" s="240"/>
      <c r="Y177" s="113"/>
      <c r="Z177" s="241"/>
      <c r="AA177" s="240"/>
      <c r="AB177" s="241"/>
      <c r="AC177" s="240"/>
      <c r="AD177" s="113"/>
      <c r="AE177" s="241"/>
      <c r="AF177" s="240"/>
      <c r="AG177" s="241"/>
      <c r="AH177" s="240"/>
      <c r="AI177" s="141"/>
    </row>
    <row r="178" spans="1:35" s="21" customFormat="1" x14ac:dyDescent="0.25">
      <c r="A178" s="261"/>
      <c r="B178" s="260"/>
      <c r="C178" s="259"/>
      <c r="D178" s="241">
        <v>0.25</v>
      </c>
      <c r="E178" s="59" t="s">
        <v>217</v>
      </c>
      <c r="F178" s="113"/>
      <c r="G178" s="260"/>
      <c r="H178" s="259"/>
      <c r="I178" s="240"/>
      <c r="J178" s="113"/>
      <c r="K178" s="260">
        <v>0.56000000000000005</v>
      </c>
      <c r="L178" s="259">
        <v>9.9</v>
      </c>
      <c r="M178" s="241">
        <f>K178</f>
        <v>0.56000000000000005</v>
      </c>
      <c r="N178" s="59" t="s">
        <v>217</v>
      </c>
      <c r="O178" s="113"/>
      <c r="P178" s="241">
        <v>0.38</v>
      </c>
      <c r="Q178" s="240">
        <v>9.9700000000000006</v>
      </c>
      <c r="R178" s="241"/>
      <c r="S178" s="240"/>
      <c r="T178" s="113"/>
      <c r="U178" s="260">
        <v>0.56000000000000005</v>
      </c>
      <c r="V178" s="259">
        <v>10.039999999999999</v>
      </c>
      <c r="W178" s="241"/>
      <c r="X178" s="240"/>
      <c r="Y178" s="113"/>
      <c r="Z178" s="241"/>
      <c r="AA178" s="240"/>
      <c r="AB178" s="241"/>
      <c r="AC178" s="240"/>
      <c r="AD178" s="113"/>
      <c r="AE178" s="241"/>
      <c r="AF178" s="240"/>
      <c r="AG178" s="241"/>
      <c r="AH178" s="240"/>
      <c r="AI178" s="141"/>
    </row>
    <row r="179" spans="1:35" s="21" customFormat="1" x14ac:dyDescent="0.25">
      <c r="A179" s="261"/>
      <c r="B179" s="260"/>
      <c r="C179" s="259"/>
      <c r="D179" s="240"/>
      <c r="E179" s="240"/>
      <c r="F179" s="113"/>
      <c r="G179" s="260"/>
      <c r="H179" s="259"/>
      <c r="I179" s="240"/>
      <c r="J179" s="113"/>
      <c r="K179" s="260"/>
      <c r="L179" s="259"/>
      <c r="M179" s="241"/>
      <c r="N179" s="240"/>
      <c r="O179" s="113"/>
      <c r="P179" s="260">
        <v>0.28999999999999998</v>
      </c>
      <c r="Q179" s="259">
        <v>10.01</v>
      </c>
      <c r="R179" s="241"/>
      <c r="S179" s="240"/>
      <c r="T179" s="113"/>
      <c r="U179" s="260"/>
      <c r="V179" s="259"/>
      <c r="W179" s="241"/>
      <c r="X179" s="240"/>
      <c r="Y179" s="113"/>
      <c r="Z179" s="241"/>
      <c r="AA179" s="240"/>
      <c r="AB179" s="241"/>
      <c r="AC179" s="240"/>
      <c r="AD179" s="113"/>
      <c r="AE179" s="241"/>
      <c r="AF179" s="240"/>
      <c r="AG179" s="241"/>
      <c r="AH179" s="240"/>
      <c r="AI179" s="141"/>
    </row>
    <row r="180" spans="1:35" s="21" customFormat="1" x14ac:dyDescent="0.25">
      <c r="A180" s="261"/>
      <c r="B180" s="260"/>
      <c r="C180" s="259"/>
      <c r="D180" s="240"/>
      <c r="E180" s="240"/>
      <c r="F180" s="113"/>
      <c r="G180" s="260">
        <v>0.13</v>
      </c>
      <c r="H180" s="259">
        <v>10</v>
      </c>
      <c r="I180" s="240"/>
      <c r="J180" s="113"/>
      <c r="K180" s="260">
        <v>0.59</v>
      </c>
      <c r="L180" s="259">
        <v>9.9700000000000006</v>
      </c>
      <c r="M180" s="241"/>
      <c r="N180" s="240"/>
      <c r="O180" s="113"/>
      <c r="P180" s="260"/>
      <c r="Q180" s="259"/>
      <c r="R180" s="241"/>
      <c r="S180" s="240"/>
      <c r="T180" s="113"/>
      <c r="U180" s="260"/>
      <c r="V180" s="259"/>
      <c r="W180" s="241"/>
      <c r="X180" s="240"/>
      <c r="Y180" s="113"/>
      <c r="Z180" s="241"/>
      <c r="AA180" s="240"/>
      <c r="AB180" s="241"/>
      <c r="AC180" s="240"/>
      <c r="AD180" s="113"/>
      <c r="AE180" s="241"/>
      <c r="AF180" s="240"/>
      <c r="AG180" s="241"/>
      <c r="AH180" s="240"/>
      <c r="AI180" s="141"/>
    </row>
    <row r="181" spans="1:35" s="21" customFormat="1" x14ac:dyDescent="0.25">
      <c r="A181" s="261"/>
      <c r="B181" s="260"/>
      <c r="C181" s="259"/>
      <c r="D181" s="240"/>
      <c r="E181" s="240"/>
      <c r="F181" s="113"/>
      <c r="G181" s="260"/>
      <c r="H181" s="259"/>
      <c r="I181" s="240"/>
      <c r="J181" s="113"/>
      <c r="K181" s="260"/>
      <c r="L181" s="259"/>
      <c r="M181" s="241"/>
      <c r="N181" s="240"/>
      <c r="O181" s="113"/>
      <c r="P181" s="260"/>
      <c r="Q181" s="259"/>
      <c r="R181" s="241"/>
      <c r="S181" s="240"/>
      <c r="T181" s="113"/>
      <c r="U181" s="260"/>
      <c r="V181" s="259"/>
      <c r="W181" s="241"/>
      <c r="X181" s="240"/>
      <c r="Y181" s="113"/>
      <c r="Z181" s="241"/>
      <c r="AA181" s="240"/>
      <c r="AB181" s="241"/>
      <c r="AC181" s="240"/>
      <c r="AD181" s="113"/>
      <c r="AE181" s="241"/>
      <c r="AF181" s="240"/>
      <c r="AG181" s="241"/>
      <c r="AH181" s="240"/>
      <c r="AI181" s="141"/>
    </row>
    <row r="182" spans="1:35" s="21" customFormat="1" x14ac:dyDescent="0.25">
      <c r="A182" s="261">
        <v>46</v>
      </c>
      <c r="B182" s="260">
        <v>1.37</v>
      </c>
      <c r="C182" s="259">
        <v>10.06</v>
      </c>
      <c r="D182" s="240"/>
      <c r="E182" s="240"/>
      <c r="F182" s="113"/>
      <c r="G182" s="260">
        <v>1.1299999999999999</v>
      </c>
      <c r="H182" s="259">
        <v>10.07</v>
      </c>
      <c r="I182" s="240"/>
      <c r="J182" s="113"/>
      <c r="K182" s="260">
        <v>5.24</v>
      </c>
      <c r="L182" s="259">
        <v>10.08</v>
      </c>
      <c r="M182" s="241"/>
      <c r="N182" s="240"/>
      <c r="O182" s="113"/>
      <c r="P182" s="260">
        <v>1.2</v>
      </c>
      <c r="Q182" s="259">
        <v>10.11</v>
      </c>
      <c r="R182" s="241"/>
      <c r="S182" s="240"/>
      <c r="T182" s="113"/>
      <c r="U182" s="260"/>
      <c r="V182" s="259"/>
      <c r="W182" s="241"/>
      <c r="X182" s="240"/>
      <c r="Y182" s="113"/>
      <c r="Z182" s="241"/>
      <c r="AA182" s="240"/>
      <c r="AB182" s="241"/>
      <c r="AC182" s="240"/>
      <c r="AD182" s="113"/>
      <c r="AE182" s="241"/>
      <c r="AF182" s="240"/>
      <c r="AG182" s="241"/>
      <c r="AH182" s="240"/>
      <c r="AI182" s="141"/>
    </row>
    <row r="183" spans="1:35" s="21" customFormat="1" x14ac:dyDescent="0.25">
      <c r="A183" s="261"/>
      <c r="B183" s="260"/>
      <c r="C183" s="259"/>
      <c r="D183" s="241">
        <v>0.1</v>
      </c>
      <c r="E183" s="7" t="s">
        <v>229</v>
      </c>
      <c r="F183" s="113"/>
      <c r="G183" s="260"/>
      <c r="H183" s="259"/>
      <c r="I183" s="240"/>
      <c r="J183" s="113"/>
      <c r="K183" s="260"/>
      <c r="L183" s="259"/>
      <c r="M183" s="241">
        <f>D183</f>
        <v>0.1</v>
      </c>
      <c r="N183" s="7" t="s">
        <v>229</v>
      </c>
      <c r="O183" s="113"/>
      <c r="P183" s="260"/>
      <c r="Q183" s="259"/>
      <c r="R183" s="56"/>
      <c r="S183" s="56"/>
      <c r="T183" s="113"/>
      <c r="U183" s="260"/>
      <c r="V183" s="259"/>
      <c r="W183" s="56"/>
      <c r="X183" s="56"/>
      <c r="Y183" s="113"/>
      <c r="Z183" s="241"/>
      <c r="AA183" s="240"/>
      <c r="AB183" s="241"/>
      <c r="AC183" s="240"/>
      <c r="AD183" s="113"/>
      <c r="AE183" s="241"/>
      <c r="AF183" s="240"/>
      <c r="AG183" s="241"/>
      <c r="AH183" s="240"/>
      <c r="AI183" s="141"/>
    </row>
    <row r="184" spans="1:35" s="21" customFormat="1" x14ac:dyDescent="0.25">
      <c r="A184" s="261"/>
      <c r="B184" s="260"/>
      <c r="C184" s="259"/>
      <c r="D184" s="241">
        <v>0.02</v>
      </c>
      <c r="E184" s="7" t="s">
        <v>173</v>
      </c>
      <c r="F184" s="113"/>
      <c r="G184" s="260"/>
      <c r="H184" s="259"/>
      <c r="I184" s="240"/>
      <c r="J184" s="113"/>
      <c r="K184" s="260"/>
      <c r="L184" s="259"/>
      <c r="M184" s="241">
        <f>D184</f>
        <v>0.02</v>
      </c>
      <c r="N184" s="7" t="s">
        <v>173</v>
      </c>
      <c r="O184" s="113"/>
      <c r="P184" s="260"/>
      <c r="Q184" s="259"/>
      <c r="R184" s="241"/>
      <c r="S184" s="240"/>
      <c r="T184" s="113"/>
      <c r="U184" s="260"/>
      <c r="V184" s="259"/>
      <c r="W184" s="241"/>
      <c r="X184" s="240"/>
      <c r="Y184" s="113"/>
      <c r="Z184" s="241"/>
      <c r="AA184" s="240"/>
      <c r="AB184" s="241"/>
      <c r="AC184" s="240"/>
      <c r="AD184" s="113"/>
      <c r="AE184" s="241"/>
      <c r="AF184" s="240"/>
      <c r="AG184" s="241"/>
      <c r="AH184" s="240"/>
      <c r="AI184" s="141"/>
    </row>
    <row r="185" spans="1:35" s="21" customFormat="1" x14ac:dyDescent="0.25">
      <c r="A185" s="261"/>
      <c r="B185" s="260"/>
      <c r="C185" s="259"/>
      <c r="D185" s="56"/>
      <c r="E185" s="56"/>
      <c r="F185" s="113"/>
      <c r="G185" s="260"/>
      <c r="H185" s="259"/>
      <c r="I185" s="240"/>
      <c r="J185" s="113"/>
      <c r="K185" s="260"/>
      <c r="L185" s="259"/>
      <c r="M185" s="56"/>
      <c r="N185" s="56"/>
      <c r="O185" s="113"/>
      <c r="P185" s="260"/>
      <c r="Q185" s="259"/>
      <c r="R185" s="241"/>
      <c r="S185" s="240"/>
      <c r="T185" s="113"/>
      <c r="U185" s="260"/>
      <c r="V185" s="259"/>
      <c r="W185" s="241"/>
      <c r="X185" s="240"/>
      <c r="Y185" s="113"/>
      <c r="Z185" s="241"/>
      <c r="AA185" s="240"/>
      <c r="AB185" s="241"/>
      <c r="AC185" s="240"/>
      <c r="AD185" s="113"/>
      <c r="AE185" s="241"/>
      <c r="AF185" s="240"/>
      <c r="AG185" s="241"/>
      <c r="AH185" s="240"/>
      <c r="AI185" s="141"/>
    </row>
    <row r="186" spans="1:35" s="21" customFormat="1" x14ac:dyDescent="0.25">
      <c r="A186" s="261"/>
      <c r="B186" s="260"/>
      <c r="C186" s="259"/>
      <c r="D186" s="56"/>
      <c r="E186" s="56"/>
      <c r="F186" s="113"/>
      <c r="G186" s="260"/>
      <c r="H186" s="259"/>
      <c r="I186" s="240"/>
      <c r="J186" s="113"/>
      <c r="K186" s="260"/>
      <c r="L186" s="259"/>
      <c r="M186" s="241">
        <v>2.42</v>
      </c>
      <c r="N186" s="249" t="s">
        <v>164</v>
      </c>
      <c r="O186" s="113"/>
      <c r="P186" s="260"/>
      <c r="Q186" s="259"/>
      <c r="R186" s="245">
        <f>P182+P179-R188</f>
        <v>0.92999999999999994</v>
      </c>
      <c r="S186" s="249" t="s">
        <v>164</v>
      </c>
      <c r="T186" s="113"/>
      <c r="U186" s="260"/>
      <c r="V186" s="259"/>
      <c r="W186" s="241"/>
      <c r="X186" s="240"/>
      <c r="Y186" s="113"/>
      <c r="Z186" s="241"/>
      <c r="AA186" s="240"/>
      <c r="AB186" s="241"/>
      <c r="AC186" s="240"/>
      <c r="AD186" s="113"/>
      <c r="AE186" s="241"/>
      <c r="AF186" s="240"/>
      <c r="AG186" s="241"/>
      <c r="AH186" s="240"/>
      <c r="AI186" s="141"/>
    </row>
    <row r="187" spans="1:35" s="21" customFormat="1" x14ac:dyDescent="0.25">
      <c r="A187" s="261"/>
      <c r="B187" s="260"/>
      <c r="C187" s="259"/>
      <c r="D187" s="241">
        <v>0.27</v>
      </c>
      <c r="E187" s="70" t="s">
        <v>249</v>
      </c>
      <c r="F187" s="113"/>
      <c r="G187" s="260"/>
      <c r="H187" s="259"/>
      <c r="I187" s="240"/>
      <c r="J187" s="113"/>
      <c r="K187" s="260"/>
      <c r="L187" s="259"/>
      <c r="M187" s="241">
        <f>D187</f>
        <v>0.27</v>
      </c>
      <c r="N187" s="70" t="s">
        <v>249</v>
      </c>
      <c r="O187" s="113"/>
      <c r="P187" s="260"/>
      <c r="Q187" s="259"/>
      <c r="R187" s="241"/>
      <c r="S187" s="240"/>
      <c r="T187" s="113"/>
      <c r="U187" s="260"/>
      <c r="V187" s="259"/>
      <c r="W187" s="241"/>
      <c r="X187" s="240"/>
      <c r="Y187" s="113"/>
      <c r="Z187" s="241"/>
      <c r="AA187" s="240"/>
      <c r="AB187" s="241"/>
      <c r="AC187" s="240"/>
      <c r="AD187" s="113"/>
      <c r="AE187" s="241"/>
      <c r="AF187" s="240"/>
      <c r="AG187" s="241"/>
      <c r="AH187" s="240"/>
      <c r="AI187" s="141"/>
    </row>
    <row r="188" spans="1:35" s="21" customFormat="1" x14ac:dyDescent="0.25">
      <c r="A188" s="261"/>
      <c r="B188" s="260"/>
      <c r="C188" s="259"/>
      <c r="D188" s="240">
        <v>0.56000000000000005</v>
      </c>
      <c r="E188" s="81" t="s">
        <v>411</v>
      </c>
      <c r="F188" s="113"/>
      <c r="G188" s="260"/>
      <c r="H188" s="259"/>
      <c r="I188" s="240"/>
      <c r="J188" s="113"/>
      <c r="K188" s="260"/>
      <c r="L188" s="259"/>
      <c r="M188" s="241">
        <f>D188</f>
        <v>0.56000000000000005</v>
      </c>
      <c r="N188" s="81" t="s">
        <v>411</v>
      </c>
      <c r="O188" s="113"/>
      <c r="P188" s="260"/>
      <c r="Q188" s="259"/>
      <c r="R188" s="241">
        <f>W188</f>
        <v>0.56000000000000005</v>
      </c>
      <c r="S188" s="81" t="s">
        <v>144</v>
      </c>
      <c r="T188" s="113"/>
      <c r="U188" s="260"/>
      <c r="V188" s="259"/>
      <c r="W188" s="241">
        <f>U178</f>
        <v>0.56000000000000005</v>
      </c>
      <c r="X188" s="81" t="s">
        <v>144</v>
      </c>
      <c r="Y188" s="113"/>
      <c r="Z188" s="241"/>
      <c r="AA188" s="240"/>
      <c r="AB188" s="241"/>
      <c r="AC188" s="240"/>
      <c r="AD188" s="113"/>
      <c r="AE188" s="241"/>
      <c r="AF188" s="240"/>
      <c r="AG188" s="241"/>
      <c r="AH188" s="240"/>
      <c r="AI188" s="141"/>
    </row>
    <row r="189" spans="1:35" s="21" customFormat="1" x14ac:dyDescent="0.25">
      <c r="A189" s="261">
        <v>47</v>
      </c>
      <c r="B189" s="260">
        <v>1.18</v>
      </c>
      <c r="C189" s="259">
        <v>10.199999999999999</v>
      </c>
      <c r="D189" s="240">
        <f>B189-D190</f>
        <v>0.89999999999999991</v>
      </c>
      <c r="E189" s="249" t="s">
        <v>544</v>
      </c>
      <c r="F189" s="113"/>
      <c r="G189" s="241">
        <v>0.31</v>
      </c>
      <c r="H189" s="240">
        <v>10.15</v>
      </c>
      <c r="I189" s="240"/>
      <c r="J189" s="113"/>
      <c r="K189" s="260"/>
      <c r="L189" s="259"/>
      <c r="M189" s="241">
        <f>K182+K180-M183-M184-M186-M187-M188-M190</f>
        <v>2.1800000000000006</v>
      </c>
      <c r="N189" s="249" t="s">
        <v>85</v>
      </c>
      <c r="O189" s="113"/>
      <c r="P189" s="260">
        <v>1.07</v>
      </c>
      <c r="Q189" s="259">
        <v>10.24</v>
      </c>
      <c r="R189" s="241">
        <f>P189-R191</f>
        <v>0.89000000000000012</v>
      </c>
      <c r="S189" s="249" t="s">
        <v>69</v>
      </c>
      <c r="T189" s="113"/>
      <c r="U189" s="260">
        <v>0.56000000000000005</v>
      </c>
      <c r="V189" s="259">
        <v>10.220000000000001</v>
      </c>
      <c r="W189" s="241">
        <f>U189-W191</f>
        <v>0.56000000000000005</v>
      </c>
      <c r="X189" s="249" t="s">
        <v>69</v>
      </c>
      <c r="Y189" s="113"/>
      <c r="Z189" s="241"/>
      <c r="AA189" s="240"/>
      <c r="AB189" s="56"/>
      <c r="AC189" s="56"/>
      <c r="AD189" s="113"/>
      <c r="AE189" s="241"/>
      <c r="AF189" s="240"/>
      <c r="AG189" s="241"/>
      <c r="AH189" s="240"/>
      <c r="AI189" s="141"/>
    </row>
    <row r="190" spans="1:35" s="21" customFormat="1" x14ac:dyDescent="0.25">
      <c r="A190" s="261"/>
      <c r="B190" s="260"/>
      <c r="C190" s="259"/>
      <c r="D190" s="241">
        <v>0.28000000000000003</v>
      </c>
      <c r="E190" s="249" t="s">
        <v>214</v>
      </c>
      <c r="F190" s="113"/>
      <c r="G190" s="241">
        <v>0.96</v>
      </c>
      <c r="H190" s="240">
        <v>10.210000000000001</v>
      </c>
      <c r="I190" s="240"/>
      <c r="J190" s="113"/>
      <c r="K190" s="260"/>
      <c r="L190" s="259"/>
      <c r="M190" s="241">
        <f>D190</f>
        <v>0.28000000000000003</v>
      </c>
      <c r="N190" s="249" t="s">
        <v>158</v>
      </c>
      <c r="O190" s="113"/>
      <c r="P190" s="260"/>
      <c r="Q190" s="259"/>
      <c r="R190" s="241"/>
      <c r="S190" s="56"/>
      <c r="T190" s="113"/>
      <c r="U190" s="260"/>
      <c r="V190" s="259"/>
      <c r="W190" s="241"/>
      <c r="X190" s="56"/>
      <c r="Y190" s="113"/>
      <c r="Z190" s="241"/>
      <c r="AA190" s="240"/>
      <c r="AB190" s="241"/>
      <c r="AC190" s="240"/>
      <c r="AD190" s="113"/>
      <c r="AE190" s="241"/>
      <c r="AF190" s="240"/>
      <c r="AG190" s="241"/>
      <c r="AH190" s="240"/>
      <c r="AI190" s="141"/>
    </row>
    <row r="191" spans="1:35" s="21" customFormat="1" x14ac:dyDescent="0.25">
      <c r="A191" s="261"/>
      <c r="B191" s="260"/>
      <c r="C191" s="259"/>
      <c r="D191" s="56"/>
      <c r="E191" s="56"/>
      <c r="F191" s="113"/>
      <c r="G191" s="241">
        <v>0.28000000000000003</v>
      </c>
      <c r="H191" s="240">
        <v>10.26</v>
      </c>
      <c r="I191" s="240"/>
      <c r="J191" s="113"/>
      <c r="K191" s="260"/>
      <c r="L191" s="259"/>
      <c r="M191" s="56"/>
      <c r="N191" s="56"/>
      <c r="O191" s="113"/>
      <c r="P191" s="260"/>
      <c r="Q191" s="259"/>
      <c r="R191" s="241">
        <v>0.18</v>
      </c>
      <c r="S191" s="75" t="s">
        <v>167</v>
      </c>
      <c r="T191" s="113"/>
      <c r="U191" s="260"/>
      <c r="V191" s="259"/>
      <c r="W191" s="245"/>
      <c r="X191" s="18"/>
      <c r="Y191" s="113"/>
      <c r="Z191" s="241"/>
      <c r="AA191" s="240"/>
      <c r="AB191" s="241"/>
      <c r="AC191" s="240"/>
      <c r="AD191" s="113"/>
      <c r="AE191" s="241"/>
      <c r="AF191" s="240"/>
      <c r="AG191" s="241"/>
      <c r="AH191" s="240"/>
      <c r="AI191" s="141"/>
    </row>
    <row r="192" spans="1:35" s="21" customFormat="1" x14ac:dyDescent="0.25">
      <c r="A192" s="261">
        <v>48</v>
      </c>
      <c r="B192" s="260">
        <v>1.41</v>
      </c>
      <c r="C192" s="259">
        <v>10.33</v>
      </c>
      <c r="D192" s="240"/>
      <c r="E192" s="240"/>
      <c r="F192" s="113"/>
      <c r="G192" s="260">
        <v>2.5</v>
      </c>
      <c r="H192" s="259">
        <v>10.35</v>
      </c>
      <c r="I192" s="240"/>
      <c r="J192" s="113"/>
      <c r="K192" s="260">
        <v>0.27</v>
      </c>
      <c r="L192" s="259">
        <v>10.32</v>
      </c>
      <c r="M192" s="241"/>
      <c r="N192" s="240"/>
      <c r="O192" s="113"/>
      <c r="P192" s="260">
        <v>0.17</v>
      </c>
      <c r="Q192" s="259">
        <v>10.38</v>
      </c>
      <c r="R192" s="241"/>
      <c r="S192" s="240"/>
      <c r="T192" s="113"/>
      <c r="U192" s="260">
        <v>0.27</v>
      </c>
      <c r="V192" s="259">
        <v>10.26</v>
      </c>
      <c r="W192" s="241"/>
      <c r="X192" s="240"/>
      <c r="Y192" s="113"/>
      <c r="Z192" s="241"/>
      <c r="AA192" s="240"/>
      <c r="AB192" s="241"/>
      <c r="AC192" s="240"/>
      <c r="AD192" s="113"/>
      <c r="AE192" s="241"/>
      <c r="AF192" s="240"/>
      <c r="AG192" s="241"/>
      <c r="AH192" s="240"/>
      <c r="AI192" s="141"/>
    </row>
    <row r="193" spans="1:35" s="21" customFormat="1" x14ac:dyDescent="0.25">
      <c r="A193" s="261"/>
      <c r="B193" s="260"/>
      <c r="C193" s="259"/>
      <c r="D193" s="240"/>
      <c r="E193" s="240"/>
      <c r="F193" s="113"/>
      <c r="G193" s="260"/>
      <c r="H193" s="259"/>
      <c r="I193" s="240"/>
      <c r="J193" s="113"/>
      <c r="K193" s="260"/>
      <c r="L193" s="259"/>
      <c r="M193" s="241"/>
      <c r="N193" s="240"/>
      <c r="O193" s="113"/>
      <c r="P193" s="260"/>
      <c r="Q193" s="259"/>
      <c r="R193" s="241"/>
      <c r="S193" s="240"/>
      <c r="T193" s="113"/>
      <c r="U193" s="260"/>
      <c r="V193" s="259"/>
      <c r="W193" s="241"/>
      <c r="X193" s="240"/>
      <c r="Y193" s="113"/>
      <c r="Z193" s="241"/>
      <c r="AA193" s="240"/>
      <c r="AB193" s="241"/>
      <c r="AC193" s="240"/>
      <c r="AD193" s="113"/>
      <c r="AE193" s="241"/>
      <c r="AF193" s="240"/>
      <c r="AG193" s="241"/>
      <c r="AH193" s="240"/>
      <c r="AI193" s="141"/>
    </row>
    <row r="194" spans="1:35" s="21" customFormat="1" x14ac:dyDescent="0.25">
      <c r="A194" s="261"/>
      <c r="B194" s="260"/>
      <c r="C194" s="259"/>
      <c r="D194" s="240">
        <f>B192</f>
        <v>1.41</v>
      </c>
      <c r="E194" s="249" t="s">
        <v>474</v>
      </c>
      <c r="F194" s="113"/>
      <c r="G194" s="260"/>
      <c r="H194" s="259"/>
      <c r="I194" s="240"/>
      <c r="J194" s="113"/>
      <c r="K194" s="260"/>
      <c r="L194" s="259"/>
      <c r="M194" s="241">
        <f>K192</f>
        <v>0.27</v>
      </c>
      <c r="N194" s="249" t="s">
        <v>337</v>
      </c>
      <c r="O194" s="113"/>
      <c r="P194" s="260"/>
      <c r="Q194" s="259"/>
      <c r="R194" s="241"/>
      <c r="S194" s="240"/>
      <c r="T194" s="113"/>
      <c r="U194" s="260"/>
      <c r="V194" s="259"/>
      <c r="W194" s="241"/>
      <c r="X194" s="240"/>
      <c r="Y194" s="113"/>
      <c r="Z194" s="241"/>
      <c r="AA194" s="240"/>
      <c r="AB194" s="241"/>
      <c r="AC194" s="240"/>
      <c r="AD194" s="113"/>
      <c r="AE194" s="241"/>
      <c r="AF194" s="240"/>
      <c r="AG194" s="241"/>
      <c r="AH194" s="240"/>
      <c r="AI194" s="141"/>
    </row>
    <row r="195" spans="1:35" s="21" customFormat="1" x14ac:dyDescent="0.25">
      <c r="A195" s="261">
        <v>49</v>
      </c>
      <c r="B195" s="260">
        <v>0.31</v>
      </c>
      <c r="C195" s="259">
        <v>10.47</v>
      </c>
      <c r="D195" s="56"/>
      <c r="E195" s="56"/>
      <c r="F195" s="113"/>
      <c r="G195" s="241">
        <v>0.24</v>
      </c>
      <c r="H195" s="240">
        <v>10.42</v>
      </c>
      <c r="I195" s="240"/>
      <c r="J195" s="113"/>
      <c r="K195" s="241">
        <v>0.08</v>
      </c>
      <c r="L195" s="240">
        <v>10.38</v>
      </c>
      <c r="M195" s="241"/>
      <c r="N195" s="56"/>
      <c r="O195" s="113"/>
      <c r="P195" s="241">
        <v>0.18</v>
      </c>
      <c r="Q195" s="240">
        <v>10.45</v>
      </c>
      <c r="R195" s="241"/>
      <c r="S195" s="240"/>
      <c r="T195" s="113"/>
      <c r="U195" s="260">
        <v>0.09</v>
      </c>
      <c r="V195" s="259">
        <v>10.4</v>
      </c>
      <c r="W195" s="241"/>
      <c r="X195" s="240"/>
      <c r="Y195" s="113"/>
      <c r="Z195" s="241"/>
      <c r="AA195" s="240"/>
      <c r="AB195" s="241"/>
      <c r="AC195" s="240"/>
      <c r="AD195" s="113"/>
      <c r="AE195" s="241"/>
      <c r="AF195" s="240"/>
      <c r="AG195" s="241"/>
      <c r="AH195" s="240"/>
      <c r="AI195" s="141"/>
    </row>
    <row r="196" spans="1:35" s="21" customFormat="1" x14ac:dyDescent="0.25">
      <c r="A196" s="261"/>
      <c r="B196" s="260"/>
      <c r="C196" s="259"/>
      <c r="D196" s="240"/>
      <c r="E196" s="240"/>
      <c r="F196" s="113"/>
      <c r="G196" s="241">
        <v>0.16</v>
      </c>
      <c r="H196" s="240">
        <v>10.47</v>
      </c>
      <c r="I196" s="240"/>
      <c r="J196" s="113"/>
      <c r="K196" s="260">
        <v>0.12</v>
      </c>
      <c r="L196" s="259">
        <v>10.43</v>
      </c>
      <c r="M196" s="241"/>
      <c r="N196" s="240"/>
      <c r="O196" s="113"/>
      <c r="P196" s="241">
        <v>0.03</v>
      </c>
      <c r="Q196" s="240">
        <v>10.53</v>
      </c>
      <c r="R196" s="241"/>
      <c r="S196" s="240"/>
      <c r="T196" s="113"/>
      <c r="U196" s="260"/>
      <c r="V196" s="259"/>
      <c r="W196" s="241"/>
      <c r="X196" s="240"/>
      <c r="Y196" s="113"/>
      <c r="Z196" s="241"/>
      <c r="AA196" s="240"/>
      <c r="AB196" s="241"/>
      <c r="AC196" s="240"/>
      <c r="AD196" s="113"/>
      <c r="AE196" s="241"/>
      <c r="AF196" s="240"/>
      <c r="AG196" s="241"/>
      <c r="AH196" s="240"/>
      <c r="AI196" s="141"/>
    </row>
    <row r="197" spans="1:35" s="21" customFormat="1" x14ac:dyDescent="0.25">
      <c r="A197" s="261"/>
      <c r="B197" s="260"/>
      <c r="C197" s="259"/>
      <c r="D197" s="240"/>
      <c r="E197" s="240"/>
      <c r="F197" s="113"/>
      <c r="G197" s="241">
        <v>0.09</v>
      </c>
      <c r="H197" s="240">
        <v>10.51</v>
      </c>
      <c r="I197" s="240"/>
      <c r="J197" s="113"/>
      <c r="K197" s="260"/>
      <c r="L197" s="259"/>
      <c r="M197" s="241"/>
      <c r="N197" s="240"/>
      <c r="O197" s="113"/>
      <c r="P197" s="241">
        <v>0.05</v>
      </c>
      <c r="Q197" s="240">
        <v>10.58</v>
      </c>
      <c r="R197" s="241"/>
      <c r="S197" s="240"/>
      <c r="T197" s="113"/>
      <c r="U197" s="260">
        <v>0.22</v>
      </c>
      <c r="V197" s="259">
        <v>10.67</v>
      </c>
      <c r="W197" s="241"/>
      <c r="X197" s="240"/>
      <c r="Y197" s="113"/>
      <c r="Z197" s="241"/>
      <c r="AA197" s="240"/>
      <c r="AB197" s="241"/>
      <c r="AC197" s="240"/>
      <c r="AD197" s="113"/>
      <c r="AE197" s="241"/>
      <c r="AF197" s="240"/>
      <c r="AG197" s="241"/>
      <c r="AH197" s="240"/>
      <c r="AI197" s="141"/>
    </row>
    <row r="198" spans="1:35" s="21" customFormat="1" x14ac:dyDescent="0.25">
      <c r="A198" s="261">
        <v>50</v>
      </c>
      <c r="B198" s="260">
        <v>0.16</v>
      </c>
      <c r="C198" s="259">
        <v>10.57</v>
      </c>
      <c r="D198" s="240"/>
      <c r="E198" s="240"/>
      <c r="F198" s="113"/>
      <c r="G198" s="260">
        <v>0.21</v>
      </c>
      <c r="H198" s="259">
        <v>10.54</v>
      </c>
      <c r="I198" s="240"/>
      <c r="J198" s="113"/>
      <c r="K198" s="241">
        <v>0.06</v>
      </c>
      <c r="L198" s="240">
        <v>10.49</v>
      </c>
      <c r="M198" s="241"/>
      <c r="N198" s="240"/>
      <c r="O198" s="113"/>
      <c r="P198" s="241">
        <v>0.04</v>
      </c>
      <c r="Q198" s="240">
        <v>10.62</v>
      </c>
      <c r="R198" s="241"/>
      <c r="S198" s="240"/>
      <c r="T198" s="113"/>
      <c r="U198" s="260"/>
      <c r="V198" s="259"/>
      <c r="W198" s="241"/>
      <c r="X198" s="240"/>
      <c r="Y198" s="113"/>
      <c r="Z198" s="241"/>
      <c r="AA198" s="240"/>
      <c r="AB198" s="241"/>
      <c r="AC198" s="240"/>
      <c r="AD198" s="113"/>
      <c r="AE198" s="241"/>
      <c r="AF198" s="240"/>
      <c r="AG198" s="241"/>
      <c r="AH198" s="240"/>
      <c r="AI198" s="141"/>
    </row>
    <row r="199" spans="1:35" s="21" customFormat="1" x14ac:dyDescent="0.25">
      <c r="A199" s="261"/>
      <c r="B199" s="260"/>
      <c r="C199" s="259"/>
      <c r="D199" s="240"/>
      <c r="E199" s="240"/>
      <c r="F199" s="113"/>
      <c r="G199" s="260"/>
      <c r="H199" s="259"/>
      <c r="I199" s="240"/>
      <c r="J199" s="113"/>
      <c r="K199" s="260">
        <v>0.1</v>
      </c>
      <c r="L199" s="259">
        <v>10.55</v>
      </c>
      <c r="M199" s="241"/>
      <c r="N199" s="240"/>
      <c r="O199" s="113"/>
      <c r="P199" s="260">
        <v>0.13</v>
      </c>
      <c r="Q199" s="259">
        <v>10.66</v>
      </c>
      <c r="R199" s="241"/>
      <c r="S199" s="240"/>
      <c r="T199" s="113"/>
      <c r="U199" s="260"/>
      <c r="V199" s="259"/>
      <c r="W199" s="241"/>
      <c r="X199" s="240"/>
      <c r="Y199" s="113"/>
      <c r="Z199" s="241"/>
      <c r="AA199" s="240"/>
      <c r="AB199" s="241"/>
      <c r="AC199" s="240"/>
      <c r="AD199" s="113"/>
      <c r="AE199" s="241"/>
      <c r="AF199" s="240"/>
      <c r="AG199" s="241"/>
      <c r="AH199" s="240"/>
      <c r="AI199" s="141"/>
    </row>
    <row r="200" spans="1:35" s="21" customFormat="1" x14ac:dyDescent="0.25">
      <c r="A200" s="261"/>
      <c r="B200" s="260"/>
      <c r="C200" s="259"/>
      <c r="D200" s="240"/>
      <c r="E200" s="240"/>
      <c r="F200" s="113"/>
      <c r="G200" s="260"/>
      <c r="H200" s="259"/>
      <c r="I200" s="240"/>
      <c r="J200" s="113"/>
      <c r="K200" s="260"/>
      <c r="L200" s="259"/>
      <c r="M200" s="241"/>
      <c r="N200" s="240"/>
      <c r="O200" s="113"/>
      <c r="P200" s="260"/>
      <c r="Q200" s="259"/>
      <c r="R200" s="241"/>
      <c r="S200" s="240"/>
      <c r="T200" s="113"/>
      <c r="U200" s="260"/>
      <c r="V200" s="259"/>
      <c r="W200" s="241"/>
      <c r="X200" s="240"/>
      <c r="Y200" s="113"/>
      <c r="Z200" s="241"/>
      <c r="AA200" s="240"/>
      <c r="AB200" s="241"/>
      <c r="AC200" s="240"/>
      <c r="AD200" s="113"/>
      <c r="AE200" s="241"/>
      <c r="AF200" s="240"/>
      <c r="AG200" s="241"/>
      <c r="AH200" s="240"/>
      <c r="AI200" s="141"/>
    </row>
    <row r="201" spans="1:35" s="21" customFormat="1" x14ac:dyDescent="0.25">
      <c r="A201" s="261">
        <v>51</v>
      </c>
      <c r="B201" s="260">
        <v>1.98</v>
      </c>
      <c r="C201" s="259">
        <v>10.75</v>
      </c>
      <c r="D201" s="240">
        <f>M201</f>
        <v>0.3</v>
      </c>
      <c r="E201" s="249" t="s">
        <v>85</v>
      </c>
      <c r="F201" s="113"/>
      <c r="G201" s="241">
        <v>0.32</v>
      </c>
      <c r="H201" s="240">
        <v>10.65</v>
      </c>
      <c r="I201" s="240"/>
      <c r="J201" s="113"/>
      <c r="K201" s="241">
        <v>0.3</v>
      </c>
      <c r="L201" s="240">
        <v>10.6</v>
      </c>
      <c r="M201" s="241">
        <f>K201</f>
        <v>0.3</v>
      </c>
      <c r="N201" s="249" t="s">
        <v>85</v>
      </c>
      <c r="O201" s="113"/>
      <c r="P201" s="260"/>
      <c r="Q201" s="259"/>
      <c r="R201" s="241"/>
      <c r="S201" s="240"/>
      <c r="T201" s="113"/>
      <c r="U201" s="241">
        <v>0.12</v>
      </c>
      <c r="V201" s="240">
        <v>10.79</v>
      </c>
      <c r="W201" s="241"/>
      <c r="X201" s="240"/>
      <c r="Y201" s="113"/>
      <c r="Z201" s="241"/>
      <c r="AA201" s="240"/>
      <c r="AB201" s="241"/>
      <c r="AC201" s="240"/>
      <c r="AD201" s="113"/>
      <c r="AE201" s="241"/>
      <c r="AF201" s="240"/>
      <c r="AG201" s="241"/>
      <c r="AH201" s="240"/>
      <c r="AI201" s="141"/>
    </row>
    <row r="202" spans="1:35" s="21" customFormat="1" x14ac:dyDescent="0.25">
      <c r="A202" s="261"/>
      <c r="B202" s="260"/>
      <c r="C202" s="259"/>
      <c r="D202" s="240"/>
      <c r="E202" s="240"/>
      <c r="F202" s="113"/>
      <c r="G202" s="241">
        <v>2.3199999999999998</v>
      </c>
      <c r="H202" s="240">
        <v>10.78</v>
      </c>
      <c r="I202" s="240"/>
      <c r="J202" s="113"/>
      <c r="K202" s="241">
        <v>4.37</v>
      </c>
      <c r="L202" s="240">
        <v>10.71</v>
      </c>
      <c r="M202" s="241"/>
      <c r="N202" s="240"/>
      <c r="O202" s="113"/>
      <c r="P202" s="241"/>
      <c r="Q202" s="240"/>
      <c r="R202" s="241"/>
      <c r="S202" s="240"/>
      <c r="T202" s="113"/>
      <c r="U202" s="241"/>
      <c r="V202" s="240"/>
      <c r="W202" s="241"/>
      <c r="X202" s="240"/>
      <c r="Y202" s="113"/>
      <c r="Z202" s="241"/>
      <c r="AA202" s="240"/>
      <c r="AB202" s="241"/>
      <c r="AC202" s="240"/>
      <c r="AD202" s="113"/>
      <c r="AE202" s="241"/>
      <c r="AF202" s="240"/>
      <c r="AG202" s="241"/>
      <c r="AH202" s="240"/>
      <c r="AI202" s="141"/>
    </row>
    <row r="203" spans="1:35" s="21" customFormat="1" x14ac:dyDescent="0.25">
      <c r="A203" s="261">
        <v>52</v>
      </c>
      <c r="B203" s="260">
        <v>0.53</v>
      </c>
      <c r="C203" s="259">
        <v>10.88</v>
      </c>
      <c r="D203" s="241">
        <f>B203/2</f>
        <v>0.26500000000000001</v>
      </c>
      <c r="E203" s="15" t="s">
        <v>484</v>
      </c>
      <c r="F203" s="113"/>
      <c r="G203" s="241">
        <v>0.28000000000000003</v>
      </c>
      <c r="H203" s="240">
        <v>10.89</v>
      </c>
      <c r="I203" s="240"/>
      <c r="J203" s="113"/>
      <c r="K203" s="260">
        <v>0.44</v>
      </c>
      <c r="L203" s="259">
        <v>10.82</v>
      </c>
      <c r="M203" s="241">
        <f>K203/2</f>
        <v>0.22</v>
      </c>
      <c r="N203" s="15" t="s">
        <v>236</v>
      </c>
      <c r="O203" s="113"/>
      <c r="P203" s="241"/>
      <c r="Q203" s="240"/>
      <c r="R203" s="241"/>
      <c r="S203" s="240"/>
      <c r="T203" s="113"/>
      <c r="U203" s="241"/>
      <c r="V203" s="240"/>
      <c r="W203" s="241"/>
      <c r="X203" s="240"/>
      <c r="Y203" s="113"/>
      <c r="Z203" s="241"/>
      <c r="AA203" s="240"/>
      <c r="AB203" s="241"/>
      <c r="AC203" s="240"/>
      <c r="AD203" s="113"/>
      <c r="AE203" s="241"/>
      <c r="AF203" s="240"/>
      <c r="AG203" s="241"/>
      <c r="AH203" s="240"/>
      <c r="AI203" s="141"/>
    </row>
    <row r="204" spans="1:35" s="21" customFormat="1" x14ac:dyDescent="0.25">
      <c r="A204" s="261"/>
      <c r="B204" s="260"/>
      <c r="C204" s="259"/>
      <c r="D204" s="240">
        <f>B203+B201-D203-D201</f>
        <v>1.9449999999999996</v>
      </c>
      <c r="E204" s="249" t="s">
        <v>431</v>
      </c>
      <c r="F204" s="113"/>
      <c r="G204" s="241">
        <v>0.24</v>
      </c>
      <c r="H204" s="240">
        <v>10.93</v>
      </c>
      <c r="I204" s="240"/>
      <c r="J204" s="113"/>
      <c r="K204" s="260"/>
      <c r="L204" s="259"/>
      <c r="M204" s="241">
        <f>K202+K203-M203</f>
        <v>4.5900000000000007</v>
      </c>
      <c r="N204" s="249" t="s">
        <v>337</v>
      </c>
      <c r="O204" s="113"/>
      <c r="P204" s="241"/>
      <c r="Q204" s="240"/>
      <c r="R204" s="241"/>
      <c r="S204" s="240"/>
      <c r="T204" s="113"/>
      <c r="U204" s="241"/>
      <c r="V204" s="240"/>
      <c r="W204" s="241"/>
      <c r="X204" s="240"/>
      <c r="Y204" s="113"/>
      <c r="Z204" s="241"/>
      <c r="AA204" s="240"/>
      <c r="AB204" s="241"/>
      <c r="AC204" s="240"/>
      <c r="AD204" s="113"/>
      <c r="AE204" s="241"/>
      <c r="AF204" s="240"/>
      <c r="AG204" s="241"/>
      <c r="AH204" s="240"/>
      <c r="AI204" s="141"/>
    </row>
    <row r="205" spans="1:35" s="21" customFormat="1" x14ac:dyDescent="0.25">
      <c r="A205" s="261"/>
      <c r="B205" s="260"/>
      <c r="C205" s="259"/>
      <c r="D205" s="240"/>
      <c r="E205" s="240"/>
      <c r="F205" s="113"/>
      <c r="G205" s="241">
        <v>0.11</v>
      </c>
      <c r="H205" s="240">
        <v>10.95</v>
      </c>
      <c r="I205" s="240"/>
      <c r="J205" s="113"/>
      <c r="K205" s="260"/>
      <c r="L205" s="259"/>
      <c r="M205" s="241"/>
      <c r="N205" s="240"/>
      <c r="O205" s="113"/>
      <c r="P205" s="241"/>
      <c r="Q205" s="240"/>
      <c r="R205" s="241"/>
      <c r="S205" s="240"/>
      <c r="T205" s="113"/>
      <c r="U205" s="241"/>
      <c r="V205" s="240"/>
      <c r="W205" s="241"/>
      <c r="X205" s="240"/>
      <c r="Y205" s="113"/>
      <c r="Z205" s="241"/>
      <c r="AA205" s="240"/>
      <c r="AB205" s="241"/>
      <c r="AC205" s="240"/>
      <c r="AD205" s="113"/>
      <c r="AE205" s="241"/>
      <c r="AF205" s="240"/>
      <c r="AG205" s="241"/>
      <c r="AH205" s="240"/>
      <c r="AI205" s="141"/>
    </row>
    <row r="206" spans="1:35" s="21" customFormat="1" x14ac:dyDescent="0.25">
      <c r="A206" s="261"/>
      <c r="B206" s="260"/>
      <c r="C206" s="259"/>
      <c r="D206" s="240"/>
      <c r="E206" s="240"/>
      <c r="F206" s="113"/>
      <c r="G206" s="241">
        <v>0.11</v>
      </c>
      <c r="H206" s="240">
        <v>11.01</v>
      </c>
      <c r="I206" s="240"/>
      <c r="J206" s="113"/>
      <c r="K206" s="260"/>
      <c r="L206" s="259"/>
      <c r="M206" s="241"/>
      <c r="N206" s="240"/>
      <c r="O206" s="113"/>
      <c r="P206" s="241"/>
      <c r="Q206" s="240"/>
      <c r="R206" s="241"/>
      <c r="S206" s="240"/>
      <c r="T206" s="113"/>
      <c r="U206" s="241"/>
      <c r="V206" s="240"/>
      <c r="W206" s="241"/>
      <c r="X206" s="240"/>
      <c r="Y206" s="113"/>
      <c r="Z206" s="241"/>
      <c r="AA206" s="240"/>
      <c r="AB206" s="241"/>
      <c r="AC206" s="240"/>
      <c r="AD206" s="113"/>
      <c r="AE206" s="241"/>
      <c r="AF206" s="240"/>
      <c r="AG206" s="241"/>
      <c r="AH206" s="240"/>
      <c r="AI206" s="141"/>
    </row>
    <row r="207" spans="1:35" s="21" customFormat="1" x14ac:dyDescent="0.25">
      <c r="A207" s="261">
        <v>53</v>
      </c>
      <c r="B207" s="260">
        <v>0.22</v>
      </c>
      <c r="C207" s="259">
        <v>11.06</v>
      </c>
      <c r="D207" s="241">
        <f>B207-D208</f>
        <v>4.0000000000000008E-2</v>
      </c>
      <c r="E207" s="249" t="s">
        <v>250</v>
      </c>
      <c r="F207" s="113"/>
      <c r="G207" s="260">
        <v>0.35</v>
      </c>
      <c r="H207" s="259">
        <v>11.07</v>
      </c>
      <c r="I207" s="240"/>
      <c r="J207" s="113"/>
      <c r="K207" s="260">
        <v>0.14000000000000001</v>
      </c>
      <c r="L207" s="259">
        <v>10.98</v>
      </c>
      <c r="M207" s="241">
        <f>D207</f>
        <v>4.0000000000000008E-2</v>
      </c>
      <c r="N207" s="249" t="s">
        <v>250</v>
      </c>
      <c r="O207" s="113"/>
      <c r="P207" s="241"/>
      <c r="Q207" s="240"/>
      <c r="R207" s="241"/>
      <c r="S207" s="240"/>
      <c r="T207" s="113"/>
      <c r="U207" s="241"/>
      <c r="V207" s="240"/>
      <c r="W207" s="241"/>
      <c r="X207" s="240"/>
      <c r="Y207" s="113"/>
      <c r="Z207" s="241"/>
      <c r="AA207" s="240"/>
      <c r="AB207" s="241"/>
      <c r="AC207" s="240"/>
      <c r="AD207" s="113"/>
      <c r="AE207" s="241"/>
      <c r="AF207" s="240"/>
      <c r="AG207" s="241"/>
      <c r="AH207" s="240"/>
      <c r="AI207" s="141"/>
    </row>
    <row r="208" spans="1:35" s="21" customFormat="1" x14ac:dyDescent="0.25">
      <c r="A208" s="261"/>
      <c r="B208" s="260"/>
      <c r="C208" s="259"/>
      <c r="D208" s="240">
        <v>0.18</v>
      </c>
      <c r="E208" s="75" t="s">
        <v>466</v>
      </c>
      <c r="F208" s="113"/>
      <c r="G208" s="260"/>
      <c r="H208" s="259"/>
      <c r="I208" s="240"/>
      <c r="J208" s="113"/>
      <c r="K208" s="260"/>
      <c r="L208" s="259"/>
      <c r="M208" s="241">
        <f>K207-M207</f>
        <v>0.1</v>
      </c>
      <c r="N208" s="75" t="s">
        <v>195</v>
      </c>
      <c r="O208" s="113"/>
      <c r="P208" s="241"/>
      <c r="Q208" s="240"/>
      <c r="R208" s="241"/>
      <c r="S208" s="240"/>
      <c r="T208" s="113"/>
      <c r="U208" s="241"/>
      <c r="V208" s="240"/>
      <c r="W208" s="241"/>
      <c r="X208" s="240"/>
      <c r="Y208" s="113"/>
      <c r="Z208" s="241"/>
      <c r="AA208" s="240"/>
      <c r="AB208" s="241"/>
      <c r="AC208" s="240"/>
      <c r="AD208" s="113"/>
      <c r="AE208" s="241"/>
      <c r="AF208" s="240"/>
      <c r="AG208" s="241"/>
      <c r="AH208" s="240"/>
      <c r="AI208" s="141"/>
    </row>
    <row r="209" spans="1:35" s="21" customFormat="1" x14ac:dyDescent="0.25">
      <c r="A209" s="261">
        <v>54</v>
      </c>
      <c r="B209" s="260">
        <v>9.86</v>
      </c>
      <c r="C209" s="259">
        <v>11.19</v>
      </c>
      <c r="D209" s="241">
        <v>0.01</v>
      </c>
      <c r="E209" s="249" t="s">
        <v>251</v>
      </c>
      <c r="F209" s="113"/>
      <c r="G209" s="260">
        <v>9.2799999999999994</v>
      </c>
      <c r="H209" s="259">
        <v>11.21</v>
      </c>
      <c r="I209" s="240"/>
      <c r="J209" s="113"/>
      <c r="K209" s="241">
        <v>0.25</v>
      </c>
      <c r="L209" s="240">
        <v>11.1</v>
      </c>
      <c r="M209" s="241">
        <f>D209</f>
        <v>0.01</v>
      </c>
      <c r="N209" s="249" t="s">
        <v>251</v>
      </c>
      <c r="O209" s="113"/>
      <c r="P209" s="241"/>
      <c r="Q209" s="240"/>
      <c r="R209" s="241"/>
      <c r="S209" s="240"/>
      <c r="T209" s="113"/>
      <c r="U209" s="241"/>
      <c r="V209" s="240"/>
      <c r="W209" s="241"/>
      <c r="X209" s="240"/>
      <c r="Y209" s="113"/>
      <c r="Z209" s="241"/>
      <c r="AA209" s="240"/>
      <c r="AB209" s="241"/>
      <c r="AC209" s="240"/>
      <c r="AD209" s="113"/>
      <c r="AE209" s="241"/>
      <c r="AF209" s="240"/>
      <c r="AG209" s="241"/>
      <c r="AH209" s="240"/>
      <c r="AI209" s="141"/>
    </row>
    <row r="210" spans="1:35" s="21" customFormat="1" x14ac:dyDescent="0.25">
      <c r="A210" s="261"/>
      <c r="B210" s="260"/>
      <c r="C210" s="259"/>
      <c r="D210" s="241">
        <v>0.01</v>
      </c>
      <c r="E210" s="249" t="s">
        <v>252</v>
      </c>
      <c r="F210" s="113"/>
      <c r="G210" s="260"/>
      <c r="H210" s="259"/>
      <c r="I210" s="240"/>
      <c r="J210" s="113"/>
      <c r="K210" s="260">
        <v>0.64</v>
      </c>
      <c r="L210" s="259">
        <v>11.19</v>
      </c>
      <c r="M210" s="241">
        <f>D210</f>
        <v>0.01</v>
      </c>
      <c r="N210" s="249" t="s">
        <v>252</v>
      </c>
      <c r="O210" s="113"/>
      <c r="P210" s="241"/>
      <c r="Q210" s="240"/>
      <c r="R210" s="241"/>
      <c r="S210" s="240"/>
      <c r="T210" s="113"/>
      <c r="U210" s="241"/>
      <c r="V210" s="240"/>
      <c r="W210" s="241"/>
      <c r="X210" s="240"/>
      <c r="Y210" s="113"/>
      <c r="Z210" s="241"/>
      <c r="AA210" s="240"/>
      <c r="AB210" s="241"/>
      <c r="AC210" s="240"/>
      <c r="AD210" s="113"/>
      <c r="AE210" s="241"/>
      <c r="AF210" s="240"/>
      <c r="AG210" s="241"/>
      <c r="AH210" s="240"/>
      <c r="AI210" s="141"/>
    </row>
    <row r="211" spans="1:35" s="21" customFormat="1" x14ac:dyDescent="0.25">
      <c r="A211" s="261"/>
      <c r="B211" s="260"/>
      <c r="C211" s="259"/>
      <c r="D211" s="241">
        <f>0.18</f>
        <v>0.18</v>
      </c>
      <c r="E211" s="22" t="s">
        <v>162</v>
      </c>
      <c r="F211" s="113"/>
      <c r="G211" s="260"/>
      <c r="H211" s="259"/>
      <c r="I211" s="240"/>
      <c r="J211" s="113"/>
      <c r="K211" s="260"/>
      <c r="L211" s="259"/>
      <c r="M211" s="241">
        <f>D211</f>
        <v>0.18</v>
      </c>
      <c r="N211" s="22" t="s">
        <v>162</v>
      </c>
      <c r="O211" s="113"/>
      <c r="P211" s="241"/>
      <c r="Q211" s="240"/>
      <c r="R211" s="241"/>
      <c r="S211" s="240"/>
      <c r="T211" s="113"/>
      <c r="U211" s="241"/>
      <c r="V211" s="240"/>
      <c r="W211" s="241"/>
      <c r="X211" s="240"/>
      <c r="Y211" s="113"/>
      <c r="Z211" s="241"/>
      <c r="AA211" s="240"/>
      <c r="AB211" s="241"/>
      <c r="AC211" s="240"/>
      <c r="AD211" s="113"/>
      <c r="AE211" s="241"/>
      <c r="AF211" s="240"/>
      <c r="AG211" s="241"/>
      <c r="AH211" s="240"/>
      <c r="AI211" s="141"/>
    </row>
    <row r="212" spans="1:35" s="21" customFormat="1" x14ac:dyDescent="0.25">
      <c r="A212" s="261"/>
      <c r="B212" s="260"/>
      <c r="C212" s="259"/>
      <c r="D212" s="240"/>
      <c r="E212" s="240"/>
      <c r="F212" s="113"/>
      <c r="G212" s="260"/>
      <c r="H212" s="259"/>
      <c r="I212" s="240"/>
      <c r="J212" s="113"/>
      <c r="K212" s="260"/>
      <c r="L212" s="259"/>
      <c r="M212" s="241"/>
      <c r="N212" s="240"/>
      <c r="O212" s="113"/>
      <c r="P212" s="241"/>
      <c r="Q212" s="240"/>
      <c r="R212" s="241"/>
      <c r="S212" s="240"/>
      <c r="T212" s="113"/>
      <c r="U212" s="241"/>
      <c r="V212" s="240"/>
      <c r="W212" s="241"/>
      <c r="X212" s="240"/>
      <c r="Y212" s="113"/>
      <c r="Z212" s="241"/>
      <c r="AA212" s="240"/>
      <c r="AB212" s="241"/>
      <c r="AC212" s="240"/>
      <c r="AD212" s="113"/>
      <c r="AE212" s="241"/>
      <c r="AF212" s="240"/>
      <c r="AG212" s="241"/>
      <c r="AH212" s="240"/>
      <c r="AI212" s="141"/>
    </row>
    <row r="213" spans="1:35" s="21" customFormat="1" x14ac:dyDescent="0.25">
      <c r="A213" s="261"/>
      <c r="B213" s="260"/>
      <c r="C213" s="259"/>
      <c r="D213" s="240">
        <f>B209-D209-D210-D211</f>
        <v>9.66</v>
      </c>
      <c r="E213" s="249" t="s">
        <v>450</v>
      </c>
      <c r="F213" s="113"/>
      <c r="G213" s="260"/>
      <c r="H213" s="259"/>
      <c r="I213" s="240"/>
      <c r="J213" s="113"/>
      <c r="K213" s="260"/>
      <c r="L213" s="259"/>
      <c r="M213" s="241">
        <f>K210+K209-M209-M210-M211</f>
        <v>0.69</v>
      </c>
      <c r="N213" s="249" t="s">
        <v>161</v>
      </c>
      <c r="O213" s="113"/>
      <c r="P213" s="241"/>
      <c r="Q213" s="240"/>
      <c r="R213" s="241"/>
      <c r="S213" s="240"/>
      <c r="T213" s="113"/>
      <c r="U213" s="241"/>
      <c r="V213" s="240"/>
      <c r="W213" s="241"/>
      <c r="X213" s="240"/>
      <c r="Y213" s="113"/>
      <c r="Z213" s="241"/>
      <c r="AA213" s="240"/>
      <c r="AB213" s="241"/>
      <c r="AC213" s="240"/>
      <c r="AD213" s="113"/>
      <c r="AE213" s="241"/>
      <c r="AF213" s="240"/>
      <c r="AG213" s="241"/>
      <c r="AH213" s="240"/>
      <c r="AI213" s="141"/>
    </row>
    <row r="214" spans="1:35" s="21" customFormat="1" x14ac:dyDescent="0.25">
      <c r="A214" s="261">
        <v>55</v>
      </c>
      <c r="B214" s="260">
        <v>0.37</v>
      </c>
      <c r="C214" s="259">
        <v>11.32</v>
      </c>
      <c r="D214" s="240"/>
      <c r="E214" s="240"/>
      <c r="F214" s="113"/>
      <c r="G214" s="241">
        <v>0.14000000000000001</v>
      </c>
      <c r="H214" s="240">
        <v>11.34</v>
      </c>
      <c r="I214" s="240"/>
      <c r="J214" s="113"/>
      <c r="K214" s="260">
        <v>7.0000000000000007E-2</v>
      </c>
      <c r="L214" s="259">
        <v>11.28</v>
      </c>
      <c r="M214" s="241"/>
      <c r="N214" s="240"/>
      <c r="O214" s="113"/>
      <c r="P214" s="241"/>
      <c r="Q214" s="240"/>
      <c r="R214" s="241"/>
      <c r="S214" s="240"/>
      <c r="T214" s="113"/>
      <c r="U214" s="241"/>
      <c r="V214" s="240"/>
      <c r="W214" s="241"/>
      <c r="X214" s="240"/>
      <c r="Y214" s="113"/>
      <c r="Z214" s="241"/>
      <c r="AA214" s="240"/>
      <c r="AB214" s="241"/>
      <c r="AC214" s="240"/>
      <c r="AD214" s="113"/>
      <c r="AE214" s="241"/>
      <c r="AF214" s="240"/>
      <c r="AG214" s="241"/>
      <c r="AH214" s="240"/>
      <c r="AI214" s="141"/>
    </row>
    <row r="215" spans="1:35" s="21" customFormat="1" x14ac:dyDescent="0.25">
      <c r="A215" s="261"/>
      <c r="B215" s="260"/>
      <c r="C215" s="259"/>
      <c r="D215" s="240"/>
      <c r="E215" s="240"/>
      <c r="F215" s="113"/>
      <c r="G215" s="241">
        <v>0.22</v>
      </c>
      <c r="H215" s="240">
        <v>11.37</v>
      </c>
      <c r="I215" s="240"/>
      <c r="J215" s="113"/>
      <c r="K215" s="260"/>
      <c r="L215" s="259"/>
      <c r="M215" s="241"/>
      <c r="N215" s="240"/>
      <c r="O215" s="113"/>
      <c r="P215" s="241"/>
      <c r="Q215" s="240"/>
      <c r="R215" s="241"/>
      <c r="S215" s="240"/>
      <c r="T215" s="113"/>
      <c r="U215" s="241"/>
      <c r="V215" s="240"/>
      <c r="W215" s="241"/>
      <c r="X215" s="240"/>
      <c r="Y215" s="113"/>
      <c r="Z215" s="241"/>
      <c r="AA215" s="240"/>
      <c r="AB215" s="241"/>
      <c r="AC215" s="240"/>
      <c r="AD215" s="113"/>
      <c r="AE215" s="241"/>
      <c r="AF215" s="240"/>
      <c r="AG215" s="241"/>
      <c r="AH215" s="240"/>
      <c r="AI215" s="141"/>
    </row>
    <row r="216" spans="1:35" s="21" customFormat="1" x14ac:dyDescent="0.25">
      <c r="A216" s="261"/>
      <c r="B216" s="260"/>
      <c r="C216" s="259"/>
      <c r="D216" s="240">
        <f>B214</f>
        <v>0.37</v>
      </c>
      <c r="E216" s="75" t="s">
        <v>35</v>
      </c>
      <c r="F216" s="113"/>
      <c r="G216" s="241">
        <v>0.28999999999999998</v>
      </c>
      <c r="H216" s="240">
        <v>11.42</v>
      </c>
      <c r="I216" s="240"/>
      <c r="J216" s="113"/>
      <c r="K216" s="260"/>
      <c r="L216" s="259"/>
      <c r="M216" s="241">
        <f>K214</f>
        <v>7.0000000000000007E-2</v>
      </c>
      <c r="N216" s="75" t="s">
        <v>35</v>
      </c>
      <c r="O216" s="113"/>
      <c r="P216" s="241"/>
      <c r="Q216" s="240"/>
      <c r="R216" s="241"/>
      <c r="S216" s="240"/>
      <c r="T216" s="113"/>
      <c r="U216" s="241"/>
      <c r="V216" s="240"/>
      <c r="W216" s="241"/>
      <c r="X216" s="240"/>
      <c r="Y216" s="113"/>
      <c r="Z216" s="241"/>
      <c r="AA216" s="240"/>
      <c r="AB216" s="241"/>
      <c r="AC216" s="240"/>
      <c r="AD216" s="113"/>
      <c r="AE216" s="241"/>
      <c r="AF216" s="240"/>
      <c r="AG216" s="241"/>
      <c r="AH216" s="240"/>
      <c r="AI216" s="141"/>
    </row>
    <row r="217" spans="1:35" s="21" customFormat="1" x14ac:dyDescent="0.25">
      <c r="A217" s="261">
        <v>56</v>
      </c>
      <c r="B217" s="260">
        <v>0.46</v>
      </c>
      <c r="C217" s="259">
        <v>11.48</v>
      </c>
      <c r="D217" s="240"/>
      <c r="E217" s="240"/>
      <c r="F217" s="113"/>
      <c r="G217" s="241">
        <v>0.33</v>
      </c>
      <c r="H217" s="240">
        <v>11.48</v>
      </c>
      <c r="I217" s="240"/>
      <c r="J217" s="113"/>
      <c r="K217" s="260">
        <v>0.93</v>
      </c>
      <c r="L217" s="259">
        <v>11.37</v>
      </c>
      <c r="M217" s="241"/>
      <c r="N217" s="240"/>
      <c r="O217" s="113"/>
      <c r="P217" s="241"/>
      <c r="Q217" s="240"/>
      <c r="R217" s="241"/>
      <c r="S217" s="240"/>
      <c r="T217" s="113"/>
      <c r="U217" s="241"/>
      <c r="V217" s="240"/>
      <c r="W217" s="241"/>
      <c r="X217" s="240"/>
      <c r="Y217" s="113"/>
      <c r="Z217" s="241"/>
      <c r="AA217" s="240"/>
      <c r="AB217" s="241"/>
      <c r="AC217" s="240"/>
      <c r="AD217" s="113"/>
      <c r="AE217" s="241"/>
      <c r="AF217" s="240"/>
      <c r="AG217" s="241"/>
      <c r="AH217" s="240"/>
      <c r="AI217" s="141"/>
    </row>
    <row r="218" spans="1:35" s="21" customFormat="1" x14ac:dyDescent="0.25">
      <c r="A218" s="261"/>
      <c r="B218" s="260"/>
      <c r="C218" s="259"/>
      <c r="D218" s="240"/>
      <c r="E218" s="240"/>
      <c r="F218" s="113"/>
      <c r="G218" s="241">
        <v>0.31</v>
      </c>
      <c r="H218" s="240">
        <v>11.51</v>
      </c>
      <c r="I218" s="240"/>
      <c r="J218" s="113"/>
      <c r="K218" s="260"/>
      <c r="L218" s="259"/>
      <c r="M218" s="241"/>
      <c r="N218" s="240"/>
      <c r="O218" s="113"/>
      <c r="P218" s="241"/>
      <c r="Q218" s="240"/>
      <c r="R218" s="241"/>
      <c r="S218" s="240"/>
      <c r="T218" s="113"/>
      <c r="U218" s="241"/>
      <c r="V218" s="240"/>
      <c r="W218" s="241"/>
      <c r="X218" s="240"/>
      <c r="Y218" s="113"/>
      <c r="Z218" s="241"/>
      <c r="AA218" s="240"/>
      <c r="AB218" s="241"/>
      <c r="AC218" s="240"/>
      <c r="AD218" s="113"/>
      <c r="AE218" s="241"/>
      <c r="AF218" s="240"/>
      <c r="AG218" s="241"/>
      <c r="AH218" s="240"/>
      <c r="AI218" s="141"/>
    </row>
    <row r="219" spans="1:35" s="21" customFormat="1" x14ac:dyDescent="0.25">
      <c r="A219" s="261">
        <v>57</v>
      </c>
      <c r="B219" s="260">
        <v>10.11</v>
      </c>
      <c r="C219" s="259">
        <v>11.6</v>
      </c>
      <c r="D219" s="240">
        <f>B219+B223+B226-D227-D228-D226-D223-D222</f>
        <v>11.739999999999998</v>
      </c>
      <c r="E219" s="249" t="s">
        <v>432</v>
      </c>
      <c r="F219" s="113"/>
      <c r="G219" s="260">
        <v>9.6</v>
      </c>
      <c r="H219" s="259">
        <v>11.62</v>
      </c>
      <c r="I219" s="240"/>
      <c r="J219" s="113"/>
      <c r="K219" s="260"/>
      <c r="L219" s="259"/>
      <c r="M219" s="241">
        <f>K217/2</f>
        <v>0.46500000000000002</v>
      </c>
      <c r="N219" s="249" t="s">
        <v>161</v>
      </c>
      <c r="O219" s="113"/>
      <c r="P219" s="241"/>
      <c r="Q219" s="240"/>
      <c r="R219" s="241"/>
      <c r="S219" s="240"/>
      <c r="T219" s="113"/>
      <c r="U219" s="241"/>
      <c r="V219" s="240"/>
      <c r="W219" s="241"/>
      <c r="X219" s="240"/>
      <c r="Y219" s="113"/>
      <c r="Z219" s="241"/>
      <c r="AA219" s="240"/>
      <c r="AB219" s="241"/>
      <c r="AC219" s="240"/>
      <c r="AD219" s="113"/>
      <c r="AE219" s="241"/>
      <c r="AF219" s="240"/>
      <c r="AG219" s="241"/>
      <c r="AH219" s="240"/>
      <c r="AI219" s="141"/>
    </row>
    <row r="220" spans="1:35" s="21" customFormat="1" x14ac:dyDescent="0.25">
      <c r="A220" s="261"/>
      <c r="B220" s="260"/>
      <c r="C220" s="259"/>
      <c r="D220" s="240"/>
      <c r="E220" s="240"/>
      <c r="F220" s="113"/>
      <c r="G220" s="260"/>
      <c r="H220" s="259"/>
      <c r="I220" s="240"/>
      <c r="J220" s="113"/>
      <c r="K220" s="260"/>
      <c r="L220" s="259"/>
      <c r="M220" s="241"/>
      <c r="N220" s="240"/>
      <c r="O220" s="113"/>
      <c r="P220" s="241"/>
      <c r="Q220" s="240"/>
      <c r="R220" s="241"/>
      <c r="S220" s="240"/>
      <c r="T220" s="113"/>
      <c r="U220" s="241"/>
      <c r="V220" s="240"/>
      <c r="W220" s="241"/>
      <c r="X220" s="240"/>
      <c r="Y220" s="113"/>
      <c r="Z220" s="241"/>
      <c r="AA220" s="240"/>
      <c r="AB220" s="241"/>
      <c r="AC220" s="240"/>
      <c r="AD220" s="113"/>
      <c r="AE220" s="241"/>
      <c r="AF220" s="240"/>
      <c r="AG220" s="241"/>
      <c r="AH220" s="240"/>
      <c r="AI220" s="141"/>
    </row>
    <row r="221" spans="1:35" s="21" customFormat="1" x14ac:dyDescent="0.25">
      <c r="A221" s="261"/>
      <c r="B221" s="260"/>
      <c r="C221" s="259"/>
      <c r="D221" s="240"/>
      <c r="E221" s="240"/>
      <c r="F221" s="113"/>
      <c r="G221" s="260"/>
      <c r="H221" s="259"/>
      <c r="I221" s="240"/>
      <c r="J221" s="113"/>
      <c r="K221" s="260"/>
      <c r="L221" s="259"/>
      <c r="M221" s="241"/>
      <c r="N221" s="240"/>
      <c r="O221" s="113"/>
      <c r="P221" s="241"/>
      <c r="Q221" s="240"/>
      <c r="R221" s="241"/>
      <c r="S221" s="240"/>
      <c r="T221" s="113"/>
      <c r="U221" s="241"/>
      <c r="V221" s="240"/>
      <c r="W221" s="241"/>
      <c r="X221" s="240"/>
      <c r="Y221" s="113"/>
      <c r="Z221" s="241"/>
      <c r="AA221" s="240"/>
      <c r="AB221" s="241"/>
      <c r="AC221" s="240"/>
      <c r="AD221" s="113"/>
      <c r="AE221" s="241"/>
      <c r="AF221" s="240"/>
      <c r="AG221" s="241"/>
      <c r="AH221" s="240"/>
      <c r="AI221" s="141"/>
    </row>
    <row r="222" spans="1:35" s="21" customFormat="1" x14ac:dyDescent="0.25">
      <c r="A222" s="261"/>
      <c r="B222" s="260"/>
      <c r="C222" s="259"/>
      <c r="D222" s="241">
        <f>R189-D207</f>
        <v>0.85000000000000009</v>
      </c>
      <c r="E222" s="249" t="s">
        <v>483</v>
      </c>
      <c r="F222" s="113"/>
      <c r="G222" s="260"/>
      <c r="H222" s="259"/>
      <c r="I222" s="240"/>
      <c r="J222" s="113"/>
      <c r="K222" s="260"/>
      <c r="L222" s="259"/>
      <c r="M222" s="241">
        <f>M219</f>
        <v>0.46500000000000002</v>
      </c>
      <c r="N222" s="249" t="s">
        <v>253</v>
      </c>
      <c r="O222" s="113"/>
      <c r="P222" s="241"/>
      <c r="Q222" s="240"/>
      <c r="R222" s="241"/>
      <c r="S222" s="240"/>
      <c r="T222" s="113"/>
      <c r="U222" s="241"/>
      <c r="V222" s="240"/>
      <c r="W222" s="241"/>
      <c r="X222" s="240"/>
      <c r="Y222" s="113"/>
      <c r="Z222" s="241"/>
      <c r="AA222" s="240"/>
      <c r="AB222" s="241"/>
      <c r="AC222" s="240"/>
      <c r="AD222" s="113"/>
      <c r="AE222" s="241"/>
      <c r="AF222" s="240"/>
      <c r="AG222" s="241"/>
      <c r="AH222" s="240"/>
      <c r="AI222" s="141"/>
    </row>
    <row r="223" spans="1:35" s="21" customFormat="1" x14ac:dyDescent="0.25">
      <c r="A223" s="261">
        <v>58</v>
      </c>
      <c r="B223" s="260">
        <v>0.33</v>
      </c>
      <c r="C223" s="259">
        <v>11.74</v>
      </c>
      <c r="D223" s="240">
        <f>B223</f>
        <v>0.33</v>
      </c>
      <c r="E223" s="75" t="s">
        <v>36</v>
      </c>
      <c r="F223" s="113"/>
      <c r="G223" s="263">
        <v>0.18</v>
      </c>
      <c r="H223" s="266">
        <v>11.8</v>
      </c>
      <c r="I223" s="240"/>
      <c r="J223" s="113"/>
      <c r="K223" s="260">
        <v>0.45</v>
      </c>
      <c r="L223" s="259">
        <v>11.5</v>
      </c>
      <c r="M223" s="241">
        <f>K223</f>
        <v>0.45</v>
      </c>
      <c r="N223" s="75" t="s">
        <v>36</v>
      </c>
      <c r="O223" s="113"/>
      <c r="P223" s="241"/>
      <c r="Q223" s="240"/>
      <c r="R223" s="241"/>
      <c r="S223" s="240"/>
      <c r="T223" s="113"/>
      <c r="U223" s="241"/>
      <c r="V223" s="240"/>
      <c r="W223" s="241"/>
      <c r="X223" s="240"/>
      <c r="Y223" s="113"/>
      <c r="Z223" s="241"/>
      <c r="AA223" s="240"/>
      <c r="AB223" s="241"/>
      <c r="AC223" s="240"/>
      <c r="AD223" s="113"/>
      <c r="AE223" s="241"/>
      <c r="AF223" s="240"/>
      <c r="AG223" s="241"/>
      <c r="AH223" s="240"/>
      <c r="AI223" s="141"/>
    </row>
    <row r="224" spans="1:35" s="21" customFormat="1" x14ac:dyDescent="0.25">
      <c r="A224" s="261"/>
      <c r="B224" s="260"/>
      <c r="C224" s="259"/>
      <c r="D224" s="240"/>
      <c r="E224" s="240"/>
      <c r="F224" s="113"/>
      <c r="G224" s="265"/>
      <c r="H224" s="268"/>
      <c r="I224" s="240"/>
      <c r="J224" s="113"/>
      <c r="K224" s="260"/>
      <c r="L224" s="259"/>
      <c r="M224" s="241"/>
      <c r="N224" s="240"/>
      <c r="O224" s="113"/>
      <c r="P224" s="241"/>
      <c r="Q224" s="240"/>
      <c r="R224" s="241"/>
      <c r="S224" s="240"/>
      <c r="T224" s="113"/>
      <c r="U224" s="241"/>
      <c r="V224" s="240"/>
      <c r="W224" s="241"/>
      <c r="X224" s="240"/>
      <c r="Y224" s="113"/>
      <c r="Z224" s="241"/>
      <c r="AA224" s="240"/>
      <c r="AB224" s="241"/>
      <c r="AC224" s="240"/>
      <c r="AD224" s="113"/>
      <c r="AE224" s="241"/>
      <c r="AF224" s="240"/>
      <c r="AG224" s="241"/>
      <c r="AH224" s="240"/>
      <c r="AI224" s="141"/>
    </row>
    <row r="225" spans="1:42" s="21" customFormat="1" x14ac:dyDescent="0.25">
      <c r="A225" s="261"/>
      <c r="B225" s="260"/>
      <c r="C225" s="259"/>
      <c r="D225" s="56"/>
      <c r="E225" s="56"/>
      <c r="F225" s="113"/>
      <c r="G225" s="241">
        <v>0.21</v>
      </c>
      <c r="H225" s="240">
        <v>11.86</v>
      </c>
      <c r="I225" s="240"/>
      <c r="J225" s="113"/>
      <c r="K225" s="260"/>
      <c r="L225" s="259"/>
      <c r="M225" s="56"/>
      <c r="N225" s="56"/>
      <c r="O225" s="113"/>
      <c r="P225" s="241"/>
      <c r="Q225" s="240"/>
      <c r="R225" s="241"/>
      <c r="S225" s="240"/>
      <c r="T225" s="113"/>
      <c r="U225" s="241"/>
      <c r="V225" s="240"/>
      <c r="W225" s="241"/>
      <c r="X225" s="240"/>
      <c r="Y225" s="113"/>
      <c r="Z225" s="241"/>
      <c r="AA225" s="240"/>
      <c r="AB225" s="241"/>
      <c r="AC225" s="240"/>
      <c r="AD225" s="113"/>
      <c r="AE225" s="241"/>
      <c r="AF225" s="240"/>
      <c r="AG225" s="241"/>
      <c r="AH225" s="240"/>
      <c r="AI225" s="141"/>
    </row>
    <row r="226" spans="1:42" s="21" customFormat="1" x14ac:dyDescent="0.25">
      <c r="A226" s="261">
        <v>59</v>
      </c>
      <c r="B226" s="260">
        <v>5.19</v>
      </c>
      <c r="C226" s="259">
        <v>12.02</v>
      </c>
      <c r="D226" s="240">
        <f>(B226-D228)/2</f>
        <v>2.5300000000000002</v>
      </c>
      <c r="E226" s="249" t="s">
        <v>538</v>
      </c>
      <c r="F226" s="113"/>
      <c r="G226" s="241">
        <v>0.35</v>
      </c>
      <c r="H226" s="240">
        <v>11.95</v>
      </c>
      <c r="I226" s="240"/>
      <c r="J226" s="113"/>
      <c r="K226" s="260">
        <v>0.08</v>
      </c>
      <c r="L226" s="259">
        <v>11.71</v>
      </c>
      <c r="M226" s="241">
        <f>K226/2</f>
        <v>0.04</v>
      </c>
      <c r="N226" s="249" t="s">
        <v>86</v>
      </c>
      <c r="O226" s="113"/>
      <c r="P226" s="241"/>
      <c r="Q226" s="240"/>
      <c r="R226" s="241"/>
      <c r="S226" s="240"/>
      <c r="T226" s="113"/>
      <c r="U226" s="241"/>
      <c r="V226" s="240"/>
      <c r="W226" s="241"/>
      <c r="X226" s="240"/>
      <c r="Y226" s="113"/>
      <c r="Z226" s="241"/>
      <c r="AA226" s="240"/>
      <c r="AB226" s="241"/>
      <c r="AC226" s="240"/>
      <c r="AD226" s="113"/>
      <c r="AE226" s="241"/>
      <c r="AF226" s="240"/>
      <c r="AG226" s="241"/>
      <c r="AH226" s="240"/>
      <c r="AI226" s="141"/>
    </row>
    <row r="227" spans="1:42" s="21" customFormat="1" x14ac:dyDescent="0.25">
      <c r="A227" s="261"/>
      <c r="B227" s="260"/>
      <c r="C227" s="259"/>
      <c r="D227" s="241">
        <f>M227</f>
        <v>0.05</v>
      </c>
      <c r="E227" s="249" t="s">
        <v>92</v>
      </c>
      <c r="F227" s="113"/>
      <c r="G227" s="241">
        <v>4.17</v>
      </c>
      <c r="H227" s="240">
        <v>12.05</v>
      </c>
      <c r="I227" s="240"/>
      <c r="J227" s="113"/>
      <c r="K227" s="260"/>
      <c r="L227" s="259"/>
      <c r="M227" s="241">
        <f>K228</f>
        <v>0.05</v>
      </c>
      <c r="N227" s="249" t="s">
        <v>92</v>
      </c>
      <c r="O227" s="113"/>
      <c r="P227" s="241"/>
      <c r="Q227" s="240"/>
      <c r="R227" s="241"/>
      <c r="S227" s="240"/>
      <c r="T227" s="113"/>
      <c r="U227" s="241"/>
      <c r="V227" s="240"/>
      <c r="W227" s="241"/>
      <c r="X227" s="240"/>
      <c r="Y227" s="113"/>
      <c r="Z227" s="241"/>
      <c r="AA227" s="240"/>
      <c r="AB227" s="241"/>
      <c r="AC227" s="240"/>
      <c r="AD227" s="113"/>
      <c r="AE227" s="241"/>
      <c r="AF227" s="240"/>
      <c r="AG227" s="241"/>
      <c r="AH227" s="240"/>
      <c r="AI227" s="141"/>
    </row>
    <row r="228" spans="1:42" s="21" customFormat="1" x14ac:dyDescent="0.25">
      <c r="A228" s="261"/>
      <c r="B228" s="260"/>
      <c r="C228" s="259"/>
      <c r="D228" s="241">
        <f>M228</f>
        <v>0.13</v>
      </c>
      <c r="E228" s="61" t="s">
        <v>254</v>
      </c>
      <c r="F228" s="113"/>
      <c r="G228" s="241">
        <v>0.51</v>
      </c>
      <c r="H228" s="240">
        <v>12.2</v>
      </c>
      <c r="I228" s="240"/>
      <c r="J228" s="113"/>
      <c r="K228" s="241">
        <v>0.05</v>
      </c>
      <c r="L228" s="240">
        <v>11.77</v>
      </c>
      <c r="M228" s="241">
        <f>M226+K229+K230</f>
        <v>0.13</v>
      </c>
      <c r="N228" s="61" t="s">
        <v>254</v>
      </c>
      <c r="O228" s="113"/>
      <c r="P228" s="241"/>
      <c r="Q228" s="240"/>
      <c r="R228" s="241"/>
      <c r="S228" s="240"/>
      <c r="T228" s="113"/>
      <c r="U228" s="241"/>
      <c r="V228" s="240"/>
      <c r="W228" s="241"/>
      <c r="X228" s="240"/>
      <c r="Y228" s="113"/>
      <c r="Z228" s="241"/>
      <c r="AA228" s="240"/>
      <c r="AB228" s="241"/>
      <c r="AC228" s="240"/>
      <c r="AD228" s="113"/>
      <c r="AE228" s="241"/>
      <c r="AF228" s="240"/>
      <c r="AG228" s="241"/>
      <c r="AH228" s="240"/>
      <c r="AI228" s="141"/>
    </row>
    <row r="229" spans="1:42" s="21" customFormat="1" x14ac:dyDescent="0.25">
      <c r="A229" s="261"/>
      <c r="B229" s="260"/>
      <c r="C229" s="259"/>
      <c r="D229" s="56"/>
      <c r="E229" s="56"/>
      <c r="F229" s="113"/>
      <c r="G229" s="241">
        <v>0.14000000000000001</v>
      </c>
      <c r="H229" s="240">
        <v>12.26</v>
      </c>
      <c r="I229" s="240"/>
      <c r="J229" s="113"/>
      <c r="K229" s="241">
        <v>7.0000000000000007E-2</v>
      </c>
      <c r="L229" s="240">
        <v>11.84</v>
      </c>
      <c r="M229" s="56"/>
      <c r="N229" s="56"/>
      <c r="O229" s="113"/>
      <c r="P229" s="241"/>
      <c r="Q229" s="240"/>
      <c r="R229" s="241"/>
      <c r="S229" s="240"/>
      <c r="T229" s="113"/>
      <c r="U229" s="241"/>
      <c r="V229" s="240"/>
      <c r="W229" s="241"/>
      <c r="X229" s="240"/>
      <c r="Y229" s="113"/>
      <c r="Z229" s="241"/>
      <c r="AA229" s="240"/>
      <c r="AB229" s="241"/>
      <c r="AC229" s="240"/>
      <c r="AD229" s="113"/>
      <c r="AE229" s="241"/>
      <c r="AF229" s="240"/>
      <c r="AG229" s="241"/>
      <c r="AH229" s="240"/>
      <c r="AI229" s="141"/>
    </row>
    <row r="230" spans="1:42" s="21" customFormat="1" x14ac:dyDescent="0.25">
      <c r="A230" s="261"/>
      <c r="B230" s="260"/>
      <c r="C230" s="259"/>
      <c r="D230" s="240"/>
      <c r="E230" s="240"/>
      <c r="F230" s="113"/>
      <c r="G230" s="241">
        <v>0.11</v>
      </c>
      <c r="H230" s="240">
        <v>12.29</v>
      </c>
      <c r="I230" s="240"/>
      <c r="J230" s="113"/>
      <c r="K230" s="241">
        <v>0.02</v>
      </c>
      <c r="L230" s="240">
        <v>11.9</v>
      </c>
      <c r="M230" s="241"/>
      <c r="N230" s="240"/>
      <c r="O230" s="113"/>
      <c r="P230" s="241"/>
      <c r="Q230" s="240"/>
      <c r="R230" s="241"/>
      <c r="S230" s="240"/>
      <c r="T230" s="113"/>
      <c r="U230" s="241"/>
      <c r="V230" s="240"/>
      <c r="W230" s="241"/>
      <c r="X230" s="240"/>
      <c r="Y230" s="113"/>
      <c r="Z230" s="241"/>
      <c r="AA230" s="240"/>
      <c r="AB230" s="241"/>
      <c r="AC230" s="240"/>
      <c r="AD230" s="113"/>
      <c r="AE230" s="241"/>
      <c r="AF230" s="240"/>
      <c r="AG230" s="241"/>
      <c r="AH230" s="240"/>
      <c r="AI230" s="141"/>
    </row>
    <row r="231" spans="1:42" s="21" customFormat="1" x14ac:dyDescent="0.25">
      <c r="A231" s="261">
        <v>60</v>
      </c>
      <c r="B231" s="260">
        <v>2.42</v>
      </c>
      <c r="C231" s="259">
        <v>12.41</v>
      </c>
      <c r="D231" s="240"/>
      <c r="E231" s="240"/>
      <c r="F231" s="113"/>
      <c r="G231" s="241">
        <v>7.0000000000000007E-2</v>
      </c>
      <c r="H231" s="240">
        <v>12.34</v>
      </c>
      <c r="I231" s="240"/>
      <c r="J231" s="113"/>
      <c r="K231" s="241"/>
      <c r="L231" s="240"/>
      <c r="M231" s="241"/>
      <c r="N231" s="240"/>
      <c r="O231" s="113"/>
      <c r="P231" s="241"/>
      <c r="Q231" s="240"/>
      <c r="R231" s="241"/>
      <c r="S231" s="240"/>
      <c r="T231" s="113"/>
      <c r="U231" s="241"/>
      <c r="V231" s="240"/>
      <c r="W231" s="241"/>
      <c r="X231" s="240"/>
      <c r="Y231" s="113"/>
      <c r="Z231" s="241"/>
      <c r="AA231" s="240"/>
      <c r="AB231" s="241"/>
      <c r="AC231" s="240"/>
      <c r="AD231" s="113"/>
      <c r="AE231" s="241"/>
      <c r="AF231" s="240"/>
      <c r="AG231" s="241"/>
      <c r="AH231" s="240"/>
      <c r="AI231" s="141"/>
    </row>
    <row r="232" spans="1:42" s="21" customFormat="1" x14ac:dyDescent="0.25">
      <c r="A232" s="261"/>
      <c r="B232" s="260"/>
      <c r="C232" s="259"/>
      <c r="D232" s="240">
        <f>B231</f>
        <v>2.42</v>
      </c>
      <c r="E232" s="249" t="s">
        <v>259</v>
      </c>
      <c r="F232" s="113"/>
      <c r="G232" s="241">
        <v>2.0099999999999998</v>
      </c>
      <c r="H232" s="240">
        <v>12.42</v>
      </c>
      <c r="I232" s="240"/>
      <c r="J232" s="113"/>
      <c r="K232" s="241"/>
      <c r="L232" s="240"/>
      <c r="M232" s="241"/>
      <c r="N232" s="246"/>
      <c r="O232" s="113"/>
      <c r="P232" s="241"/>
      <c r="Q232" s="240"/>
      <c r="R232" s="241"/>
      <c r="S232" s="240"/>
      <c r="T232" s="113"/>
      <c r="U232" s="241"/>
      <c r="V232" s="240"/>
      <c r="W232" s="241"/>
      <c r="X232" s="240"/>
      <c r="Y232" s="113"/>
      <c r="Z232" s="241"/>
      <c r="AA232" s="240"/>
      <c r="AB232" s="241"/>
      <c r="AC232" s="240"/>
      <c r="AD232" s="113"/>
      <c r="AE232" s="241"/>
      <c r="AF232" s="240"/>
      <c r="AG232" s="241"/>
      <c r="AH232" s="240"/>
      <c r="AI232" s="141"/>
    </row>
    <row r="233" spans="1:42" s="21" customFormat="1" x14ac:dyDescent="0.25">
      <c r="A233" s="261"/>
      <c r="B233" s="260"/>
      <c r="C233" s="259"/>
      <c r="D233" s="240"/>
      <c r="E233" s="240"/>
      <c r="F233" s="113"/>
      <c r="G233" s="241">
        <v>0.17</v>
      </c>
      <c r="H233" s="240">
        <v>12.55</v>
      </c>
      <c r="I233" s="240"/>
      <c r="J233" s="113"/>
      <c r="K233" s="241"/>
      <c r="L233" s="240"/>
      <c r="M233" s="241"/>
      <c r="N233" s="240"/>
      <c r="O233" s="113"/>
      <c r="P233" s="241"/>
      <c r="Q233" s="240"/>
      <c r="R233" s="241"/>
      <c r="S233" s="240"/>
      <c r="T233" s="113"/>
      <c r="U233" s="241"/>
      <c r="V233" s="240"/>
      <c r="W233" s="241"/>
      <c r="X233" s="240"/>
      <c r="Y233" s="113"/>
      <c r="Z233" s="241"/>
      <c r="AA233" s="240"/>
      <c r="AB233" s="241"/>
      <c r="AC233" s="240"/>
      <c r="AD233" s="113"/>
      <c r="AE233" s="241"/>
      <c r="AF233" s="240"/>
      <c r="AG233" s="241"/>
      <c r="AH233" s="240"/>
      <c r="AI233" s="141"/>
    </row>
    <row r="234" spans="1:42" s="21" customFormat="1" x14ac:dyDescent="0.25">
      <c r="A234" s="261"/>
      <c r="B234" s="260"/>
      <c r="C234" s="259"/>
      <c r="D234" s="240"/>
      <c r="E234" s="240"/>
      <c r="F234" s="113"/>
      <c r="G234" s="241">
        <v>0.25</v>
      </c>
      <c r="H234" s="240">
        <v>12.6</v>
      </c>
      <c r="I234" s="240"/>
      <c r="J234" s="113"/>
      <c r="K234" s="241"/>
      <c r="L234" s="240"/>
      <c r="M234" s="241"/>
      <c r="N234" s="240"/>
      <c r="O234" s="113"/>
      <c r="P234" s="241"/>
      <c r="Q234" s="240"/>
      <c r="R234" s="241"/>
      <c r="S234" s="240"/>
      <c r="T234" s="113"/>
      <c r="U234" s="241"/>
      <c r="V234" s="240"/>
      <c r="W234" s="241"/>
      <c r="X234" s="240"/>
      <c r="Y234" s="113"/>
      <c r="Z234" s="241"/>
      <c r="AA234" s="240"/>
      <c r="AB234" s="241"/>
      <c r="AC234" s="240"/>
      <c r="AD234" s="113"/>
      <c r="AE234" s="241"/>
      <c r="AF234" s="240"/>
      <c r="AG234" s="241"/>
      <c r="AH234" s="240"/>
      <c r="AI234" s="141"/>
    </row>
    <row r="235" spans="1:42" s="21" customFormat="1" x14ac:dyDescent="0.25">
      <c r="A235" s="261"/>
      <c r="B235" s="260"/>
      <c r="C235" s="259"/>
      <c r="D235" s="240"/>
      <c r="E235" s="240"/>
      <c r="F235" s="113"/>
      <c r="G235" s="241">
        <v>0.22</v>
      </c>
      <c r="H235" s="240">
        <v>12.67</v>
      </c>
      <c r="I235" s="240"/>
      <c r="J235" s="113"/>
      <c r="K235" s="241"/>
      <c r="L235" s="240"/>
      <c r="M235" s="241"/>
      <c r="N235" s="240"/>
      <c r="O235" s="113"/>
      <c r="P235" s="241"/>
      <c r="Q235" s="240"/>
      <c r="R235" s="241"/>
      <c r="S235" s="240"/>
      <c r="T235" s="113"/>
      <c r="U235" s="241"/>
      <c r="V235" s="240"/>
      <c r="W235" s="241"/>
      <c r="X235" s="240"/>
      <c r="Y235" s="113"/>
      <c r="Z235" s="241"/>
      <c r="AA235" s="240"/>
      <c r="AB235" s="241"/>
      <c r="AC235" s="240"/>
      <c r="AD235" s="113"/>
      <c r="AE235" s="241"/>
      <c r="AF235" s="240"/>
      <c r="AG235" s="241"/>
      <c r="AH235" s="240"/>
      <c r="AI235" s="141"/>
    </row>
    <row r="236" spans="1:42" s="21" customFormat="1" x14ac:dyDescent="0.25">
      <c r="A236" s="261"/>
      <c r="B236" s="260"/>
      <c r="C236" s="259"/>
      <c r="D236" s="240"/>
      <c r="E236" s="240"/>
      <c r="F236" s="113"/>
      <c r="G236" s="241">
        <v>0.13</v>
      </c>
      <c r="H236" s="240">
        <v>12.72</v>
      </c>
      <c r="I236" s="240"/>
      <c r="J236" s="113"/>
      <c r="K236" s="241"/>
      <c r="L236" s="240"/>
      <c r="M236" s="241"/>
      <c r="N236" s="240"/>
      <c r="O236" s="113"/>
      <c r="P236" s="241"/>
      <c r="Q236" s="240"/>
      <c r="R236" s="241"/>
      <c r="S236" s="240"/>
      <c r="T236" s="113"/>
      <c r="U236" s="241"/>
      <c r="V236" s="240"/>
      <c r="W236" s="241"/>
      <c r="X236" s="240"/>
      <c r="Y236" s="113"/>
      <c r="Z236" s="241"/>
      <c r="AA236" s="240"/>
      <c r="AB236" s="241"/>
      <c r="AC236" s="240"/>
      <c r="AD236" s="113"/>
      <c r="AE236" s="241"/>
      <c r="AF236" s="240"/>
      <c r="AG236" s="241"/>
      <c r="AH236" s="240"/>
      <c r="AI236" s="141"/>
    </row>
    <row r="237" spans="1:42" s="21" customFormat="1" x14ac:dyDescent="0.25">
      <c r="A237" s="261"/>
      <c r="B237" s="260"/>
      <c r="C237" s="259"/>
      <c r="D237" s="240"/>
      <c r="E237" s="240"/>
      <c r="F237" s="113"/>
      <c r="G237" s="241">
        <v>0.2</v>
      </c>
      <c r="H237" s="240">
        <v>12.76</v>
      </c>
      <c r="I237" s="240"/>
      <c r="J237" s="113"/>
      <c r="K237" s="241"/>
      <c r="L237" s="240"/>
      <c r="M237" s="241"/>
      <c r="N237" s="240"/>
      <c r="O237" s="113"/>
      <c r="P237" s="241"/>
      <c r="Q237" s="240"/>
      <c r="R237" s="241"/>
      <c r="S237" s="240"/>
      <c r="T237" s="113"/>
      <c r="U237" s="241"/>
      <c r="V237" s="240"/>
      <c r="W237" s="241"/>
      <c r="X237" s="240"/>
      <c r="Y237" s="113"/>
      <c r="Z237" s="241"/>
      <c r="AA237" s="240"/>
      <c r="AB237" s="241"/>
      <c r="AC237" s="240"/>
      <c r="AD237" s="113"/>
      <c r="AE237" s="241"/>
      <c r="AF237" s="240"/>
      <c r="AG237" s="241"/>
      <c r="AH237" s="240"/>
      <c r="AI237" s="141"/>
    </row>
    <row r="238" spans="1:42" s="21" customFormat="1" x14ac:dyDescent="0.25">
      <c r="A238" s="261">
        <v>61</v>
      </c>
      <c r="B238" s="260">
        <v>0.49</v>
      </c>
      <c r="C238" s="259">
        <v>12.84</v>
      </c>
      <c r="D238" s="240"/>
      <c r="E238" s="240"/>
      <c r="F238" s="113"/>
      <c r="G238" s="241">
        <v>0.55000000000000004</v>
      </c>
      <c r="H238" s="240">
        <v>12.86</v>
      </c>
      <c r="I238" s="240"/>
      <c r="J238" s="113"/>
      <c r="K238" s="241"/>
      <c r="L238" s="240"/>
      <c r="M238" s="241"/>
      <c r="N238" s="240"/>
      <c r="O238" s="113"/>
      <c r="P238" s="241"/>
      <c r="Q238" s="240"/>
      <c r="R238" s="241"/>
      <c r="S238" s="240"/>
      <c r="T238" s="113"/>
      <c r="U238" s="241"/>
      <c r="V238" s="240"/>
      <c r="W238" s="241"/>
      <c r="X238" s="240"/>
      <c r="Y238" s="113"/>
      <c r="Z238" s="241"/>
      <c r="AA238" s="240"/>
      <c r="AB238" s="241"/>
      <c r="AC238" s="240"/>
      <c r="AD238" s="113"/>
      <c r="AE238" s="241"/>
      <c r="AF238" s="240"/>
      <c r="AG238" s="241"/>
      <c r="AH238" s="240"/>
      <c r="AI238" s="141"/>
    </row>
    <row r="239" spans="1:42" s="21" customFormat="1" x14ac:dyDescent="0.25">
      <c r="A239" s="261"/>
      <c r="B239" s="260"/>
      <c r="C239" s="259"/>
      <c r="D239" s="240"/>
      <c r="E239" s="240"/>
      <c r="F239" s="113"/>
      <c r="G239" s="241">
        <v>0.2</v>
      </c>
      <c r="H239" s="240">
        <v>12.95</v>
      </c>
      <c r="I239" s="240"/>
      <c r="J239" s="113"/>
      <c r="K239" s="241"/>
      <c r="L239" s="240"/>
      <c r="M239" s="241"/>
      <c r="N239" s="240"/>
      <c r="O239" s="113"/>
      <c r="P239" s="241"/>
      <c r="Q239" s="240"/>
      <c r="R239" s="241"/>
      <c r="S239" s="240"/>
      <c r="T239" s="113"/>
      <c r="U239" s="241"/>
      <c r="V239" s="240"/>
      <c r="W239" s="241"/>
      <c r="X239" s="240"/>
      <c r="Y239" s="113"/>
      <c r="Z239" s="241"/>
      <c r="AA239" s="240"/>
      <c r="AB239" s="241"/>
      <c r="AC239" s="240"/>
      <c r="AD239" s="113"/>
      <c r="AE239" s="241"/>
      <c r="AF239" s="240"/>
      <c r="AG239" s="241"/>
      <c r="AH239" s="240"/>
      <c r="AI239" s="141"/>
    </row>
    <row r="240" spans="1:42" s="21" customFormat="1" x14ac:dyDescent="0.25">
      <c r="A240" s="261">
        <v>62</v>
      </c>
      <c r="B240" s="260">
        <v>0.2</v>
      </c>
      <c r="C240" s="259">
        <v>13</v>
      </c>
      <c r="D240" s="240"/>
      <c r="E240" s="240"/>
      <c r="F240" s="113"/>
      <c r="G240" s="241">
        <v>0.46</v>
      </c>
      <c r="H240" s="240">
        <v>13.06</v>
      </c>
      <c r="I240" s="240"/>
      <c r="J240" s="113"/>
      <c r="K240" s="241"/>
      <c r="L240" s="240"/>
      <c r="M240" s="241"/>
      <c r="N240" s="240"/>
      <c r="O240" s="113"/>
      <c r="P240" s="241"/>
      <c r="Q240" s="240"/>
      <c r="R240" s="241"/>
      <c r="S240" s="240"/>
      <c r="T240" s="113"/>
      <c r="U240" s="241"/>
      <c r="V240" s="240"/>
      <c r="W240" s="241"/>
      <c r="X240" s="240"/>
      <c r="Y240" s="113"/>
      <c r="Z240" s="241"/>
      <c r="AA240" s="240"/>
      <c r="AB240" s="241"/>
      <c r="AC240" s="240"/>
      <c r="AD240" s="113"/>
      <c r="AE240" s="241"/>
      <c r="AF240" s="240"/>
      <c r="AG240" s="241"/>
      <c r="AH240" s="240"/>
      <c r="AI240" s="141"/>
      <c r="AJ240" s="25"/>
      <c r="AK240" s="25"/>
      <c r="AL240" s="25"/>
      <c r="AM240" s="25"/>
      <c r="AN240" s="25"/>
      <c r="AO240" s="25"/>
      <c r="AP240" s="25"/>
    </row>
    <row r="241" spans="1:42" s="21" customFormat="1" x14ac:dyDescent="0.25">
      <c r="A241" s="261"/>
      <c r="B241" s="260"/>
      <c r="C241" s="259"/>
      <c r="D241" s="240"/>
      <c r="E241" s="240"/>
      <c r="F241" s="113"/>
      <c r="G241" s="241">
        <v>0.65</v>
      </c>
      <c r="H241" s="240">
        <v>13.19</v>
      </c>
      <c r="I241" s="240"/>
      <c r="J241" s="113"/>
      <c r="K241" s="241"/>
      <c r="L241" s="240"/>
      <c r="M241" s="241"/>
      <c r="N241" s="240"/>
      <c r="O241" s="113"/>
      <c r="P241" s="241"/>
      <c r="Q241" s="240"/>
      <c r="R241" s="241"/>
      <c r="S241" s="240"/>
      <c r="T241" s="113"/>
      <c r="U241" s="241"/>
      <c r="V241" s="240"/>
      <c r="W241" s="241"/>
      <c r="X241" s="240"/>
      <c r="Y241" s="113"/>
      <c r="Z241" s="241"/>
      <c r="AA241" s="240"/>
      <c r="AB241" s="241"/>
      <c r="AC241" s="240"/>
      <c r="AD241" s="113"/>
      <c r="AE241" s="241"/>
      <c r="AF241" s="240"/>
      <c r="AG241" s="241"/>
      <c r="AH241" s="240"/>
      <c r="AI241" s="141"/>
      <c r="AJ241" s="29"/>
      <c r="AK241" s="29"/>
      <c r="AL241" s="29"/>
      <c r="AM241" s="29"/>
      <c r="AN241" s="29"/>
      <c r="AO241" s="29"/>
      <c r="AP241" s="29"/>
    </row>
    <row r="242" spans="1:42" x14ac:dyDescent="0.25">
      <c r="A242" s="85" t="s">
        <v>224</v>
      </c>
      <c r="B242" s="138">
        <f>SUM(B3:B241)</f>
        <v>100.03</v>
      </c>
      <c r="C242" s="153"/>
      <c r="D242" s="111">
        <f>SUM(D3:D241)</f>
        <v>96.976666666666688</v>
      </c>
      <c r="E242" s="153"/>
      <c r="G242" s="21">
        <f>SUM(G3:G241)</f>
        <v>100.00999999999998</v>
      </c>
      <c r="H242" s="50"/>
      <c r="I242" s="50"/>
      <c r="K242" s="21">
        <f>SUM(K3:K241)</f>
        <v>99.95999999999998</v>
      </c>
      <c r="L242" s="50"/>
      <c r="M242" s="111">
        <f>SUM(M3:M241)</f>
        <v>98.630000000000052</v>
      </c>
      <c r="N242" s="50"/>
      <c r="P242" s="21">
        <f>SUM(P3:P241)</f>
        <v>99.960000000000008</v>
      </c>
      <c r="Q242" s="50"/>
      <c r="R242" s="111">
        <f>SUM(R3:R241)</f>
        <v>94.550000000000011</v>
      </c>
      <c r="S242" s="50"/>
      <c r="U242" s="111">
        <f>SUM(U3:U241)</f>
        <v>99.990000000000038</v>
      </c>
      <c r="V242" s="153"/>
      <c r="W242" s="111">
        <f>SUM(W3:W241)</f>
        <v>93.400000000000048</v>
      </c>
      <c r="X242" s="153"/>
      <c r="Z242" s="111">
        <f>SUM(Z3:Z241)</f>
        <v>100.03</v>
      </c>
      <c r="AA242" s="153"/>
      <c r="AB242" s="111">
        <f>SUM(AB3:AB241)</f>
        <v>92.813333333333318</v>
      </c>
      <c r="AC242" s="153"/>
      <c r="AE242" s="111">
        <f>SUM(AE3:AE241)</f>
        <v>99.990000000000023</v>
      </c>
      <c r="AF242" s="153"/>
      <c r="AG242" s="111">
        <f>SUM(AG3:AG241)</f>
        <v>97.320000000000007</v>
      </c>
      <c r="AH242" s="154"/>
    </row>
    <row r="243" spans="1:42" x14ac:dyDescent="0.25">
      <c r="U243" s="138"/>
      <c r="V243" s="154"/>
      <c r="W243" s="138"/>
      <c r="X243" s="154"/>
      <c r="Z243" s="138"/>
      <c r="AA243" s="154"/>
      <c r="AB243" s="138"/>
      <c r="AC243" s="154"/>
      <c r="AE243" s="138"/>
      <c r="AF243" s="154"/>
      <c r="AG243" s="138"/>
      <c r="AH243" s="154"/>
    </row>
    <row r="244" spans="1:42" x14ac:dyDescent="0.25">
      <c r="A244" s="121" t="s">
        <v>399</v>
      </c>
      <c r="U244" s="138"/>
      <c r="V244" s="154"/>
      <c r="W244" s="138"/>
      <c r="X244" s="154"/>
      <c r="Z244" s="138"/>
      <c r="AA244" s="154"/>
      <c r="AB244" s="138"/>
      <c r="AC244" s="154"/>
      <c r="AE244" s="138"/>
      <c r="AF244" s="154"/>
      <c r="AG244" s="138"/>
      <c r="AH244" s="154"/>
    </row>
    <row r="245" spans="1:42" x14ac:dyDescent="0.25">
      <c r="U245" s="138"/>
      <c r="V245" s="154"/>
      <c r="W245" s="138"/>
      <c r="X245" s="154"/>
      <c r="Z245" s="138"/>
      <c r="AA245" s="154"/>
      <c r="AB245" s="138"/>
      <c r="AC245" s="154"/>
      <c r="AE245" s="138"/>
      <c r="AF245" s="154"/>
      <c r="AG245" s="138"/>
      <c r="AH245" s="154"/>
    </row>
    <row r="246" spans="1:42" x14ac:dyDescent="0.25">
      <c r="U246" s="138"/>
      <c r="V246" s="154"/>
      <c r="W246" s="138"/>
      <c r="X246" s="154"/>
      <c r="Z246" s="138"/>
      <c r="AA246" s="154"/>
      <c r="AB246" s="138"/>
      <c r="AC246" s="154"/>
      <c r="AE246" s="138"/>
      <c r="AF246" s="154"/>
      <c r="AG246" s="138"/>
      <c r="AH246" s="154"/>
    </row>
  </sheetData>
  <mergeCells count="709">
    <mergeCell ref="Z1:AC1"/>
    <mergeCell ref="AE1:AH1"/>
    <mergeCell ref="U159:U160"/>
    <mergeCell ref="V159:V160"/>
    <mergeCell ref="L70:L72"/>
    <mergeCell ref="L66:L69"/>
    <mergeCell ref="V12:V13"/>
    <mergeCell ref="U12:U13"/>
    <mergeCell ref="L21:L22"/>
    <mergeCell ref="V42:V46"/>
    <mergeCell ref="V38:V41"/>
    <mergeCell ref="U38:U41"/>
    <mergeCell ref="L42:L44"/>
    <mergeCell ref="L45:L46"/>
    <mergeCell ref="L38:L41"/>
    <mergeCell ref="Q154:Q155"/>
    <mergeCell ref="P113:P118"/>
    <mergeCell ref="Q113:Q118"/>
    <mergeCell ref="L122:L126"/>
    <mergeCell ref="P150:P151"/>
    <mergeCell ref="Q150:Q151"/>
    <mergeCell ref="V122:V126"/>
    <mergeCell ref="Q125:Q126"/>
    <mergeCell ref="P105:P107"/>
    <mergeCell ref="U1:X1"/>
    <mergeCell ref="K21:K22"/>
    <mergeCell ref="K45:K46"/>
    <mergeCell ref="K42:K44"/>
    <mergeCell ref="K38:K41"/>
    <mergeCell ref="Q32:Q33"/>
    <mergeCell ref="K15:K16"/>
    <mergeCell ref="L15:L16"/>
    <mergeCell ref="K19:K20"/>
    <mergeCell ref="L19:L20"/>
    <mergeCell ref="V35:V37"/>
    <mergeCell ref="U35:U37"/>
    <mergeCell ref="U32:U33"/>
    <mergeCell ref="V32:V33"/>
    <mergeCell ref="L25:L27"/>
    <mergeCell ref="L32:L33"/>
    <mergeCell ref="A1:B1"/>
    <mergeCell ref="C1:E1"/>
    <mergeCell ref="K1:N1"/>
    <mergeCell ref="P1:S1"/>
    <mergeCell ref="B35:B37"/>
    <mergeCell ref="G3:G5"/>
    <mergeCell ref="B12:B13"/>
    <mergeCell ref="C12:C13"/>
    <mergeCell ref="H28:H31"/>
    <mergeCell ref="B3:B5"/>
    <mergeCell ref="Q28:Q30"/>
    <mergeCell ref="B15:B18"/>
    <mergeCell ref="C15:C18"/>
    <mergeCell ref="K25:K27"/>
    <mergeCell ref="C3:C5"/>
    <mergeCell ref="B6:B7"/>
    <mergeCell ref="C6:C7"/>
    <mergeCell ref="B8:B10"/>
    <mergeCell ref="C8:C10"/>
    <mergeCell ref="C19:C22"/>
    <mergeCell ref="H19:H20"/>
    <mergeCell ref="A3:A5"/>
    <mergeCell ref="A6:A7"/>
    <mergeCell ref="A8:A10"/>
    <mergeCell ref="Z12:Z13"/>
    <mergeCell ref="P19:P22"/>
    <mergeCell ref="Q15:Q16"/>
    <mergeCell ref="AF35:AF41"/>
    <mergeCell ref="AE47:AE50"/>
    <mergeCell ref="AF47:AF50"/>
    <mergeCell ref="AF42:AF44"/>
    <mergeCell ref="AF45:AF46"/>
    <mergeCell ref="U14:U18"/>
    <mergeCell ref="V20:V23"/>
    <mergeCell ref="V14:V18"/>
    <mergeCell ref="U20:U23"/>
    <mergeCell ref="AA12:AA13"/>
    <mergeCell ref="P47:P49"/>
    <mergeCell ref="Q19:Q22"/>
    <mergeCell ref="P28:P30"/>
    <mergeCell ref="P25:P27"/>
    <mergeCell ref="Q25:Q27"/>
    <mergeCell ref="AA22:AA23"/>
    <mergeCell ref="Z22:Z23"/>
    <mergeCell ref="AA15:AA18"/>
    <mergeCell ref="Z15:Z18"/>
    <mergeCell ref="P12:P13"/>
    <mergeCell ref="Q12:Q13"/>
    <mergeCell ref="Z45:Z46"/>
    <mergeCell ref="AE51:AE53"/>
    <mergeCell ref="Z32:Z34"/>
    <mergeCell ref="AE35:AE41"/>
    <mergeCell ref="AA47:AA53"/>
    <mergeCell ref="AE54:AE55"/>
    <mergeCell ref="Q47:Q49"/>
    <mergeCell ref="Q38:Q41"/>
    <mergeCell ref="P38:P41"/>
    <mergeCell ref="Q35:Q37"/>
    <mergeCell ref="P35:P37"/>
    <mergeCell ref="V47:V53"/>
    <mergeCell ref="U47:U53"/>
    <mergeCell ref="Z35:Z44"/>
    <mergeCell ref="Q45:Q46"/>
    <mergeCell ref="Z60:Z65"/>
    <mergeCell ref="Z47:Z53"/>
    <mergeCell ref="U66:U69"/>
    <mergeCell ref="U42:U46"/>
    <mergeCell ref="AA25:AA27"/>
    <mergeCell ref="V82:V84"/>
    <mergeCell ref="AA60:AA65"/>
    <mergeCell ref="AA73:AA74"/>
    <mergeCell ref="Q57:Q59"/>
    <mergeCell ref="AA35:AA44"/>
    <mergeCell ref="AA32:AA34"/>
    <mergeCell ref="AA28:AA31"/>
    <mergeCell ref="AA54:AA56"/>
    <mergeCell ref="Z54:Z56"/>
    <mergeCell ref="V24:V27"/>
    <mergeCell ref="U24:U27"/>
    <mergeCell ref="U28:U31"/>
    <mergeCell ref="V28:V31"/>
    <mergeCell ref="Q42:Q44"/>
    <mergeCell ref="Z57:Z58"/>
    <mergeCell ref="AA57:AA58"/>
    <mergeCell ref="Z25:Z27"/>
    <mergeCell ref="Z28:Z31"/>
    <mergeCell ref="AA45:AA46"/>
    <mergeCell ref="AF6:AF7"/>
    <mergeCell ref="AE6:AE7"/>
    <mergeCell ref="AF19:AF20"/>
    <mergeCell ref="AE32:AE34"/>
    <mergeCell ref="AF32:AF34"/>
    <mergeCell ref="AF11:AF13"/>
    <mergeCell ref="AE11:AE13"/>
    <mergeCell ref="AE15:AE18"/>
    <mergeCell ref="AF15:AF18"/>
    <mergeCell ref="AE29:AE31"/>
    <mergeCell ref="AF29:AF31"/>
    <mergeCell ref="AF25:AF27"/>
    <mergeCell ref="AE25:AE27"/>
    <mergeCell ref="AE19:AE20"/>
    <mergeCell ref="AE8:AE10"/>
    <mergeCell ref="AF8:AF10"/>
    <mergeCell ref="AE161:AE173"/>
    <mergeCell ref="AF161:AF173"/>
    <mergeCell ref="AE84:AE85"/>
    <mergeCell ref="AF84:AF85"/>
    <mergeCell ref="AE97:AE99"/>
    <mergeCell ref="AE100:AE104"/>
    <mergeCell ref="AF100:AF104"/>
    <mergeCell ref="AF105:AF107"/>
    <mergeCell ref="AE105:AE107"/>
    <mergeCell ref="AE110:AE111"/>
    <mergeCell ref="AF110:AF111"/>
    <mergeCell ref="AF127:AF128"/>
    <mergeCell ref="AE127:AE128"/>
    <mergeCell ref="AF97:AF99"/>
    <mergeCell ref="AF89:AF95"/>
    <mergeCell ref="AE89:AE95"/>
    <mergeCell ref="AF159:AF160"/>
    <mergeCell ref="AE159:AE160"/>
    <mergeCell ref="AF154:AF155"/>
    <mergeCell ref="AE154:AE155"/>
    <mergeCell ref="AE130:AE139"/>
    <mergeCell ref="AF130:AF139"/>
    <mergeCell ref="AE157:AE158"/>
    <mergeCell ref="AF157:AF158"/>
    <mergeCell ref="Q192:Q194"/>
    <mergeCell ref="Q157:Q160"/>
    <mergeCell ref="Q189:Q191"/>
    <mergeCell ref="Q182:Q188"/>
    <mergeCell ref="Q179:Q181"/>
    <mergeCell ref="Q161:Q173"/>
    <mergeCell ref="Q100:Q104"/>
    <mergeCell ref="Q97:Q99"/>
    <mergeCell ref="Q122:Q124"/>
    <mergeCell ref="Q141:Q149"/>
    <mergeCell ref="Q130:Q140"/>
    <mergeCell ref="Q119:Q121"/>
    <mergeCell ref="Q108:Q111"/>
    <mergeCell ref="Q105:Q107"/>
    <mergeCell ref="Q127:Q128"/>
    <mergeCell ref="G73:G74"/>
    <mergeCell ref="K214:K216"/>
    <mergeCell ref="K82:K86"/>
    <mergeCell ref="K127:K128"/>
    <mergeCell ref="L127:L128"/>
    <mergeCell ref="K119:K121"/>
    <mergeCell ref="L210:L213"/>
    <mergeCell ref="K210:K213"/>
    <mergeCell ref="L203:L206"/>
    <mergeCell ref="K203:K206"/>
    <mergeCell ref="L207:L208"/>
    <mergeCell ref="K207:K208"/>
    <mergeCell ref="H207:H208"/>
    <mergeCell ref="L148:L149"/>
    <mergeCell ref="K148:K149"/>
    <mergeCell ref="H130:H140"/>
    <mergeCell ref="H127:H128"/>
    <mergeCell ref="K161:K167"/>
    <mergeCell ref="L161:L167"/>
    <mergeCell ref="L214:L216"/>
    <mergeCell ref="L192:L194"/>
    <mergeCell ref="L119:L121"/>
    <mergeCell ref="L107:L111"/>
    <mergeCell ref="L178:L179"/>
    <mergeCell ref="B203:B206"/>
    <mergeCell ref="H113:H118"/>
    <mergeCell ref="L130:L140"/>
    <mergeCell ref="B100:B104"/>
    <mergeCell ref="C100:C104"/>
    <mergeCell ref="P192:P194"/>
    <mergeCell ref="P157:P160"/>
    <mergeCell ref="P189:P191"/>
    <mergeCell ref="P179:P181"/>
    <mergeCell ref="P182:P188"/>
    <mergeCell ref="P161:P173"/>
    <mergeCell ref="K157:K160"/>
    <mergeCell ref="H143:H144"/>
    <mergeCell ref="H122:H126"/>
    <mergeCell ref="L157:L160"/>
    <mergeCell ref="B119:B121"/>
    <mergeCell ref="C157:C160"/>
    <mergeCell ref="C176:C181"/>
    <mergeCell ref="C141:C144"/>
    <mergeCell ref="H182:H188"/>
    <mergeCell ref="H177:H179"/>
    <mergeCell ref="B112:B118"/>
    <mergeCell ref="C112:C118"/>
    <mergeCell ref="B105:B111"/>
    <mergeCell ref="C119:C121"/>
    <mergeCell ref="H108:H109"/>
    <mergeCell ref="H110:H111"/>
    <mergeCell ref="B127:B140"/>
    <mergeCell ref="C127:C140"/>
    <mergeCell ref="B141:B144"/>
    <mergeCell ref="C122:C126"/>
    <mergeCell ref="B122:B126"/>
    <mergeCell ref="G108:G109"/>
    <mergeCell ref="G130:G140"/>
    <mergeCell ref="G127:G128"/>
    <mergeCell ref="K107:K111"/>
    <mergeCell ref="L152:L153"/>
    <mergeCell ref="K152:K153"/>
    <mergeCell ref="L141:L144"/>
    <mergeCell ref="P100:P104"/>
    <mergeCell ref="P97:P99"/>
    <mergeCell ref="C198:C200"/>
    <mergeCell ref="G97:G99"/>
    <mergeCell ref="H97:H99"/>
    <mergeCell ref="C105:C111"/>
    <mergeCell ref="G161:G166"/>
    <mergeCell ref="H161:H166"/>
    <mergeCell ref="K192:K194"/>
    <mergeCell ref="L182:L191"/>
    <mergeCell ref="L154:L156"/>
    <mergeCell ref="L196:L197"/>
    <mergeCell ref="K196:K197"/>
    <mergeCell ref="P154:P155"/>
    <mergeCell ref="P125:P126"/>
    <mergeCell ref="P122:P124"/>
    <mergeCell ref="P130:P140"/>
    <mergeCell ref="P141:P149"/>
    <mergeCell ref="P119:P121"/>
    <mergeCell ref="P127:P128"/>
    <mergeCell ref="B209:B213"/>
    <mergeCell ref="C209:C213"/>
    <mergeCell ref="B207:B208"/>
    <mergeCell ref="C207:C208"/>
    <mergeCell ref="B195:B197"/>
    <mergeCell ref="C195:C197"/>
    <mergeCell ref="C145:C149"/>
    <mergeCell ref="B176:B181"/>
    <mergeCell ref="B174:B175"/>
    <mergeCell ref="B157:B160"/>
    <mergeCell ref="B182:B188"/>
    <mergeCell ref="C182:C188"/>
    <mergeCell ref="B161:B167"/>
    <mergeCell ref="C161:C167"/>
    <mergeCell ref="C192:C194"/>
    <mergeCell ref="B192:B194"/>
    <mergeCell ref="B150:B153"/>
    <mergeCell ref="C150:C153"/>
    <mergeCell ref="B154:B156"/>
    <mergeCell ref="C154:C156"/>
    <mergeCell ref="C174:C175"/>
    <mergeCell ref="B189:B191"/>
    <mergeCell ref="C189:C191"/>
    <mergeCell ref="C203:C206"/>
    <mergeCell ref="H83:H85"/>
    <mergeCell ref="L60:L64"/>
    <mergeCell ref="L87:L96"/>
    <mergeCell ref="L57:L58"/>
    <mergeCell ref="Q66:Q69"/>
    <mergeCell ref="Q86:Q88"/>
    <mergeCell ref="Q54:Q56"/>
    <mergeCell ref="Q60:Q65"/>
    <mergeCell ref="Q80:Q81"/>
    <mergeCell ref="L54:L56"/>
    <mergeCell ref="P86:P88"/>
    <mergeCell ref="P82:P85"/>
    <mergeCell ref="P73:P74"/>
    <mergeCell ref="P70:P72"/>
    <mergeCell ref="P60:P65"/>
    <mergeCell ref="K60:K64"/>
    <mergeCell ref="L80:L81"/>
    <mergeCell ref="K80:K81"/>
    <mergeCell ref="L82:L86"/>
    <mergeCell ref="P80:P81"/>
    <mergeCell ref="K70:K72"/>
    <mergeCell ref="Q73:Q74"/>
    <mergeCell ref="P75:P79"/>
    <mergeCell ref="Q75:Q79"/>
    <mergeCell ref="K66:K69"/>
    <mergeCell ref="K87:K96"/>
    <mergeCell ref="L73:L74"/>
    <mergeCell ref="K75:K79"/>
    <mergeCell ref="L75:L79"/>
    <mergeCell ref="K73:K74"/>
    <mergeCell ref="V54:V56"/>
    <mergeCell ref="U54:U56"/>
    <mergeCell ref="U57:U59"/>
    <mergeCell ref="V60:V65"/>
    <mergeCell ref="Q70:Q72"/>
    <mergeCell ref="Q82:Q85"/>
    <mergeCell ref="P66:P69"/>
    <mergeCell ref="V57:V59"/>
    <mergeCell ref="P89:P96"/>
    <mergeCell ref="Q89:Q96"/>
    <mergeCell ref="B73:B74"/>
    <mergeCell ref="B75:B79"/>
    <mergeCell ref="C80:C81"/>
    <mergeCell ref="C75:C79"/>
    <mergeCell ref="C73:C74"/>
    <mergeCell ref="B87:B96"/>
    <mergeCell ref="K54:K56"/>
    <mergeCell ref="K47:K53"/>
    <mergeCell ref="H48:H53"/>
    <mergeCell ref="C87:C96"/>
    <mergeCell ref="B80:B81"/>
    <mergeCell ref="C60:C65"/>
    <mergeCell ref="B70:B72"/>
    <mergeCell ref="B60:B65"/>
    <mergeCell ref="C70:C72"/>
    <mergeCell ref="G83:G85"/>
    <mergeCell ref="B66:B69"/>
    <mergeCell ref="B57:B59"/>
    <mergeCell ref="C57:C59"/>
    <mergeCell ref="H75:H79"/>
    <mergeCell ref="H73:H74"/>
    <mergeCell ref="G75:G79"/>
    <mergeCell ref="H70:H71"/>
    <mergeCell ref="G70:G71"/>
    <mergeCell ref="C45:C46"/>
    <mergeCell ref="B45:B46"/>
    <mergeCell ref="G41:G44"/>
    <mergeCell ref="G57:G58"/>
    <mergeCell ref="H45:H46"/>
    <mergeCell ref="K57:K58"/>
    <mergeCell ref="P32:P33"/>
    <mergeCell ref="K32:K33"/>
    <mergeCell ref="P54:P56"/>
    <mergeCell ref="P57:P59"/>
    <mergeCell ref="P45:P46"/>
    <mergeCell ref="P42:P44"/>
    <mergeCell ref="L35:L37"/>
    <mergeCell ref="G48:G53"/>
    <mergeCell ref="G32:G33"/>
    <mergeCell ref="H32:H33"/>
    <mergeCell ref="K35:K37"/>
    <mergeCell ref="B32:B34"/>
    <mergeCell ref="B47:B53"/>
    <mergeCell ref="C47:C53"/>
    <mergeCell ref="C54:C56"/>
    <mergeCell ref="B54:B56"/>
    <mergeCell ref="H57:H58"/>
    <mergeCell ref="L47:L53"/>
    <mergeCell ref="B38:B41"/>
    <mergeCell ref="C38:C41"/>
    <mergeCell ref="C35:C37"/>
    <mergeCell ref="H34:H35"/>
    <mergeCell ref="G34:G35"/>
    <mergeCell ref="G19:G20"/>
    <mergeCell ref="C25:C27"/>
    <mergeCell ref="B28:B31"/>
    <mergeCell ref="C28:C31"/>
    <mergeCell ref="B25:B27"/>
    <mergeCell ref="B19:B22"/>
    <mergeCell ref="H41:H44"/>
    <mergeCell ref="B42:B44"/>
    <mergeCell ref="C42:C44"/>
    <mergeCell ref="B240:B241"/>
    <mergeCell ref="B238:B239"/>
    <mergeCell ref="C238:C239"/>
    <mergeCell ref="K6:K7"/>
    <mergeCell ref="L6:L7"/>
    <mergeCell ref="Q6:Q7"/>
    <mergeCell ref="P6:P7"/>
    <mergeCell ref="K28:K31"/>
    <mergeCell ref="L28:L31"/>
    <mergeCell ref="Q50:Q53"/>
    <mergeCell ref="P50:P53"/>
    <mergeCell ref="C83:C86"/>
    <mergeCell ref="B83:B86"/>
    <mergeCell ref="H60:H65"/>
    <mergeCell ref="G60:G65"/>
    <mergeCell ref="C97:C99"/>
    <mergeCell ref="B97:B99"/>
    <mergeCell ref="K226:K227"/>
    <mergeCell ref="L226:L227"/>
    <mergeCell ref="L217:L222"/>
    <mergeCell ref="K217:K222"/>
    <mergeCell ref="P15:P16"/>
    <mergeCell ref="C66:C69"/>
    <mergeCell ref="C32:C34"/>
    <mergeCell ref="AA3:AA5"/>
    <mergeCell ref="K3:K5"/>
    <mergeCell ref="L3:L5"/>
    <mergeCell ref="Z3:Z5"/>
    <mergeCell ref="Z6:Z7"/>
    <mergeCell ref="AA6:AA7"/>
    <mergeCell ref="Q4:Q5"/>
    <mergeCell ref="P4:P5"/>
    <mergeCell ref="L8:L10"/>
    <mergeCell ref="K8:K10"/>
    <mergeCell ref="P8:P10"/>
    <mergeCell ref="Q8:Q10"/>
    <mergeCell ref="AA8:AA10"/>
    <mergeCell ref="Z8:Z10"/>
    <mergeCell ref="V3:V5"/>
    <mergeCell ref="U3:U5"/>
    <mergeCell ref="V6:V10"/>
    <mergeCell ref="U6:U10"/>
    <mergeCell ref="G168:G173"/>
    <mergeCell ref="B168:B173"/>
    <mergeCell ref="C168:C173"/>
    <mergeCell ref="G113:G118"/>
    <mergeCell ref="G180:G181"/>
    <mergeCell ref="K174:K175"/>
    <mergeCell ref="L174:L175"/>
    <mergeCell ref="K180:K181"/>
    <mergeCell ref="K141:K144"/>
    <mergeCell ref="K178:K179"/>
    <mergeCell ref="K176:K177"/>
    <mergeCell ref="L168:L173"/>
    <mergeCell ref="K168:K173"/>
    <mergeCell ref="L145:L147"/>
    <mergeCell ref="K145:K147"/>
    <mergeCell ref="L176:L177"/>
    <mergeCell ref="L180:L181"/>
    <mergeCell ref="G177:G179"/>
    <mergeCell ref="G141:G142"/>
    <mergeCell ref="G143:G144"/>
    <mergeCell ref="K154:K156"/>
    <mergeCell ref="L150:L151"/>
    <mergeCell ref="K150:K151"/>
    <mergeCell ref="B145:B149"/>
    <mergeCell ref="Z127:Z128"/>
    <mergeCell ref="AA127:AA128"/>
    <mergeCell ref="G110:G111"/>
    <mergeCell ref="G122:G126"/>
    <mergeCell ref="H101:H103"/>
    <mergeCell ref="G101:G103"/>
    <mergeCell ref="G150:G153"/>
    <mergeCell ref="G157:G160"/>
    <mergeCell ref="H141:H142"/>
    <mergeCell ref="H150:H153"/>
    <mergeCell ref="H157:H160"/>
    <mergeCell ref="G119:G120"/>
    <mergeCell ref="H119:H120"/>
    <mergeCell ref="H145:H148"/>
    <mergeCell ref="G145:G148"/>
    <mergeCell ref="H154:H155"/>
    <mergeCell ref="G154:G155"/>
    <mergeCell ref="L97:L104"/>
    <mergeCell ref="K97:K104"/>
    <mergeCell ref="L112:L118"/>
    <mergeCell ref="K122:K126"/>
    <mergeCell ref="K130:K140"/>
    <mergeCell ref="P108:P111"/>
    <mergeCell ref="K112:K118"/>
    <mergeCell ref="U150:U153"/>
    <mergeCell ref="V167:V173"/>
    <mergeCell ref="V156:V158"/>
    <mergeCell ref="V150:V153"/>
    <mergeCell ref="V130:V140"/>
    <mergeCell ref="AA141:AA144"/>
    <mergeCell ref="Z141:Z144"/>
    <mergeCell ref="Z150:Z151"/>
    <mergeCell ref="Z147:Z149"/>
    <mergeCell ref="Z130:Z140"/>
    <mergeCell ref="U130:U140"/>
    <mergeCell ref="V141:V149"/>
    <mergeCell ref="U141:U149"/>
    <mergeCell ref="AA153:AA156"/>
    <mergeCell ref="Z153:Z156"/>
    <mergeCell ref="AA147:AA149"/>
    <mergeCell ref="AA130:AA140"/>
    <mergeCell ref="AA150:AA151"/>
    <mergeCell ref="U197:U200"/>
    <mergeCell ref="V197:V200"/>
    <mergeCell ref="V195:V196"/>
    <mergeCell ref="U195:U196"/>
    <mergeCell ref="V178:V188"/>
    <mergeCell ref="U178:U188"/>
    <mergeCell ref="AA157:AA160"/>
    <mergeCell ref="Z157:Z160"/>
    <mergeCell ref="AA161:AA173"/>
    <mergeCell ref="Z161:Z173"/>
    <mergeCell ref="V174:V176"/>
    <mergeCell ref="U174:U176"/>
    <mergeCell ref="U167:U173"/>
    <mergeCell ref="U156:U158"/>
    <mergeCell ref="V161:V166"/>
    <mergeCell ref="U161:U166"/>
    <mergeCell ref="U189:U191"/>
    <mergeCell ref="V189:V191"/>
    <mergeCell ref="V192:V194"/>
    <mergeCell ref="U192:U194"/>
    <mergeCell ref="V119:V121"/>
    <mergeCell ref="Z119:Z121"/>
    <mergeCell ref="AA119:AA121"/>
    <mergeCell ref="AA122:AA126"/>
    <mergeCell ref="Z122:Z126"/>
    <mergeCell ref="U85:U88"/>
    <mergeCell ref="V73:V81"/>
    <mergeCell ref="U73:U81"/>
    <mergeCell ref="AA109:AA111"/>
    <mergeCell ref="AA82:AA85"/>
    <mergeCell ref="AA97:AA99"/>
    <mergeCell ref="AA100:AA104"/>
    <mergeCell ref="AA113:AA114"/>
    <mergeCell ref="Z113:Z114"/>
    <mergeCell ref="AA105:AA108"/>
    <mergeCell ref="V89:V96"/>
    <mergeCell ref="U119:U121"/>
    <mergeCell ref="AA89:AA95"/>
    <mergeCell ref="U89:U96"/>
    <mergeCell ref="U122:U126"/>
    <mergeCell ref="AA115:AA117"/>
    <mergeCell ref="Z115:Z117"/>
    <mergeCell ref="V113:V118"/>
    <mergeCell ref="U113:U118"/>
    <mergeCell ref="Z105:Z108"/>
    <mergeCell ref="Z109:Z111"/>
    <mergeCell ref="Z97:Z99"/>
    <mergeCell ref="Z100:Z104"/>
    <mergeCell ref="Z89:Z95"/>
    <mergeCell ref="Z66:Z69"/>
    <mergeCell ref="AA87:AA88"/>
    <mergeCell ref="AA66:AA69"/>
    <mergeCell ref="Z87:Z88"/>
    <mergeCell ref="AA70:AA72"/>
    <mergeCell ref="Z70:Z72"/>
    <mergeCell ref="AA75:AA81"/>
    <mergeCell ref="Z75:Z81"/>
    <mergeCell ref="Z73:Z74"/>
    <mergeCell ref="Z82:Z85"/>
    <mergeCell ref="U108:U111"/>
    <mergeCell ref="V108:V111"/>
    <mergeCell ref="V105:V107"/>
    <mergeCell ref="U105:U107"/>
    <mergeCell ref="U60:U65"/>
    <mergeCell ref="V70:V72"/>
    <mergeCell ref="U70:U72"/>
    <mergeCell ref="V97:V104"/>
    <mergeCell ref="U97:U104"/>
    <mergeCell ref="U82:U84"/>
    <mergeCell ref="V66:V69"/>
    <mergeCell ref="V85:V88"/>
    <mergeCell ref="AF54:AF55"/>
    <mergeCell ref="AF66:AF69"/>
    <mergeCell ref="AE66:AE69"/>
    <mergeCell ref="AE45:AE46"/>
    <mergeCell ref="AE42:AE44"/>
    <mergeCell ref="AF87:AF88"/>
    <mergeCell ref="AE87:AE88"/>
    <mergeCell ref="AF51:AF53"/>
    <mergeCell ref="AF79:AF81"/>
    <mergeCell ref="AE79:AE81"/>
    <mergeCell ref="AF75:AF78"/>
    <mergeCell ref="AF70:AF72"/>
    <mergeCell ref="AF82:AF83"/>
    <mergeCell ref="AE82:AE83"/>
    <mergeCell ref="AE70:AE72"/>
    <mergeCell ref="AE75:AE78"/>
    <mergeCell ref="AF60:AF65"/>
    <mergeCell ref="AE60:AE65"/>
    <mergeCell ref="AF150:AF151"/>
    <mergeCell ref="AE150:AE151"/>
    <mergeCell ref="AE145:AE149"/>
    <mergeCell ref="AF145:AF149"/>
    <mergeCell ref="AF141:AF144"/>
    <mergeCell ref="AE141:AE144"/>
    <mergeCell ref="AF122:AF126"/>
    <mergeCell ref="AE115:AE117"/>
    <mergeCell ref="AE119:AE121"/>
    <mergeCell ref="AE122:AE126"/>
    <mergeCell ref="AF119:AF121"/>
    <mergeCell ref="AF115:AF117"/>
    <mergeCell ref="A12:A13"/>
    <mergeCell ref="A15:A18"/>
    <mergeCell ref="A19:A22"/>
    <mergeCell ref="A25:A27"/>
    <mergeCell ref="A28:A31"/>
    <mergeCell ref="A32:A34"/>
    <mergeCell ref="A35:A37"/>
    <mergeCell ref="A38:A41"/>
    <mergeCell ref="A42:A44"/>
    <mergeCell ref="A45:A46"/>
    <mergeCell ref="A47:A53"/>
    <mergeCell ref="A54:A56"/>
    <mergeCell ref="A57:A59"/>
    <mergeCell ref="A60:A65"/>
    <mergeCell ref="A66:A69"/>
    <mergeCell ref="A70:A72"/>
    <mergeCell ref="A73:A74"/>
    <mergeCell ref="A75:A79"/>
    <mergeCell ref="A80:A81"/>
    <mergeCell ref="A83:A86"/>
    <mergeCell ref="A87:A96"/>
    <mergeCell ref="A97:A99"/>
    <mergeCell ref="A100:A104"/>
    <mergeCell ref="A105:A111"/>
    <mergeCell ref="A112:A118"/>
    <mergeCell ref="A119:A121"/>
    <mergeCell ref="A122:A126"/>
    <mergeCell ref="A127:A140"/>
    <mergeCell ref="A141:A144"/>
    <mergeCell ref="A145:A149"/>
    <mergeCell ref="A150:A153"/>
    <mergeCell ref="A154:A156"/>
    <mergeCell ref="A157:A160"/>
    <mergeCell ref="A161:A167"/>
    <mergeCell ref="A168:A173"/>
    <mergeCell ref="A174:A175"/>
    <mergeCell ref="A176:A181"/>
    <mergeCell ref="A182:A188"/>
    <mergeCell ref="A189:A191"/>
    <mergeCell ref="A192:A194"/>
    <mergeCell ref="A195:A197"/>
    <mergeCell ref="A198:A200"/>
    <mergeCell ref="P199:P201"/>
    <mergeCell ref="Q199:Q201"/>
    <mergeCell ref="A231:A237"/>
    <mergeCell ref="L199:L200"/>
    <mergeCell ref="K199:K200"/>
    <mergeCell ref="L223:L225"/>
    <mergeCell ref="K223:K225"/>
    <mergeCell ref="H180:H181"/>
    <mergeCell ref="H198:H200"/>
    <mergeCell ref="G198:G200"/>
    <mergeCell ref="H192:H194"/>
    <mergeCell ref="G192:G194"/>
    <mergeCell ref="G182:G188"/>
    <mergeCell ref="K182:K191"/>
    <mergeCell ref="C214:C216"/>
    <mergeCell ref="B201:B202"/>
    <mergeCell ref="C201:C202"/>
    <mergeCell ref="B198:B200"/>
    <mergeCell ref="A240:A241"/>
    <mergeCell ref="A201:A202"/>
    <mergeCell ref="A203:A206"/>
    <mergeCell ref="A207:A208"/>
    <mergeCell ref="A209:A213"/>
    <mergeCell ref="A214:A216"/>
    <mergeCell ref="A217:A218"/>
    <mergeCell ref="A219:A222"/>
    <mergeCell ref="A223:A225"/>
    <mergeCell ref="A226:A230"/>
    <mergeCell ref="A238:A239"/>
    <mergeCell ref="C219:C222"/>
    <mergeCell ref="C217:C218"/>
    <mergeCell ref="B217:B218"/>
    <mergeCell ref="B214:B216"/>
    <mergeCell ref="G219:G222"/>
    <mergeCell ref="C240:C241"/>
    <mergeCell ref="H80:H81"/>
    <mergeCell ref="G80:G81"/>
    <mergeCell ref="H87:H96"/>
    <mergeCell ref="G87:G96"/>
    <mergeCell ref="H209:H213"/>
    <mergeCell ref="B231:B237"/>
    <mergeCell ref="C231:C237"/>
    <mergeCell ref="C226:C230"/>
    <mergeCell ref="B226:B230"/>
    <mergeCell ref="H223:H224"/>
    <mergeCell ref="H219:H222"/>
    <mergeCell ref="G223:G224"/>
    <mergeCell ref="G207:G208"/>
    <mergeCell ref="G209:G213"/>
    <mergeCell ref="C223:C225"/>
    <mergeCell ref="B223:B225"/>
    <mergeCell ref="B219:B222"/>
    <mergeCell ref="H168:H173"/>
    <mergeCell ref="G45:G46"/>
    <mergeCell ref="H66:H69"/>
    <mergeCell ref="G66:G69"/>
    <mergeCell ref="G1:I1"/>
    <mergeCell ref="H12:H13"/>
    <mergeCell ref="G12:G13"/>
    <mergeCell ref="H24:H26"/>
    <mergeCell ref="G24:G26"/>
    <mergeCell ref="H38:H40"/>
    <mergeCell ref="G38:G40"/>
    <mergeCell ref="H36:H37"/>
    <mergeCell ref="G36:G37"/>
    <mergeCell ref="H3:H5"/>
    <mergeCell ref="G28:G31"/>
  </mergeCells>
  <pageMargins left="0.7" right="0.7" top="0.75" bottom="0.75" header="0.3" footer="0.3"/>
  <pageSetup paperSize="8" scale="38" fitToHeight="2" orientation="portrait" r:id="rId1"/>
  <ignoredErrors>
    <ignoredError sqref="AO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W276"/>
  <sheetViews>
    <sheetView topLeftCell="V1" zoomScale="80" zoomScaleNormal="80" workbookViewId="0">
      <pane ySplit="1" topLeftCell="A48" activePane="bottomLeft" state="frozen"/>
      <selection pane="bottomLeft" activeCell="AJ68" sqref="AJ68:AJ70"/>
    </sheetView>
  </sheetViews>
  <sheetFormatPr defaultColWidth="9.140625" defaultRowHeight="15" x14ac:dyDescent="0.25"/>
  <cols>
    <col min="1" max="1" width="16.7109375" style="5" bestFit="1" customWidth="1"/>
    <col min="2" max="2" width="9.7109375" style="27" bestFit="1" customWidth="1"/>
    <col min="3" max="3" width="7.85546875" style="5" bestFit="1" customWidth="1"/>
    <col min="4" max="4" width="8.85546875" style="5" bestFit="1" customWidth="1"/>
    <col min="5" max="5" width="23.85546875" style="5" bestFit="1" customWidth="1"/>
    <col min="6" max="6" width="2.140625" style="113" customWidth="1"/>
    <col min="7" max="7" width="9.7109375" style="27" bestFit="1" customWidth="1"/>
    <col min="8" max="8" width="7.85546875" style="5" bestFit="1" customWidth="1"/>
    <col min="9" max="9" width="9.7109375" style="5" bestFit="1" customWidth="1"/>
    <col min="10" max="10" width="2.140625" style="113" customWidth="1"/>
    <col min="11" max="11" width="9.7109375" style="27" bestFit="1" customWidth="1"/>
    <col min="12" max="12" width="7.85546875" style="5" bestFit="1" customWidth="1"/>
    <col min="13" max="13" width="8.85546875" style="27" bestFit="1" customWidth="1"/>
    <col min="14" max="14" width="23.85546875" style="5" bestFit="1" customWidth="1"/>
    <col min="15" max="15" width="2.140625" style="113" customWidth="1"/>
    <col min="16" max="16" width="8.140625" style="27" bestFit="1" customWidth="1"/>
    <col min="17" max="17" width="7.85546875" style="5" bestFit="1" customWidth="1"/>
    <col min="18" max="18" width="8.85546875" style="27" bestFit="1" customWidth="1"/>
    <col min="19" max="19" width="21.5703125" style="5" bestFit="1" customWidth="1"/>
    <col min="20" max="20" width="2.140625" style="113" customWidth="1"/>
    <col min="21" max="21" width="9.7109375" style="27" bestFit="1" customWidth="1"/>
    <col min="22" max="22" width="7.85546875" style="5" bestFit="1" customWidth="1"/>
    <col min="23" max="23" width="8.85546875" style="196" bestFit="1" customWidth="1"/>
    <col min="24" max="24" width="22.42578125" style="5" bestFit="1" customWidth="1"/>
    <col min="25" max="25" width="2.140625" style="113" customWidth="1"/>
    <col min="26" max="26" width="9.7109375" style="27" bestFit="1" customWidth="1"/>
    <col min="27" max="27" width="6.85546875" style="5" bestFit="1" customWidth="1"/>
    <col min="28" max="28" width="8.85546875" style="27" bestFit="1" customWidth="1"/>
    <col min="29" max="29" width="22.42578125" style="5" bestFit="1" customWidth="1"/>
    <col min="30" max="30" width="2.140625" style="113" customWidth="1"/>
    <col min="31" max="31" width="9.7109375" style="138" bestFit="1" customWidth="1"/>
    <col min="32" max="32" width="6.85546875" style="154" bestFit="1" customWidth="1"/>
    <col min="33" max="33" width="8.85546875" style="138" bestFit="1" customWidth="1"/>
    <col min="34" max="34" width="23.42578125" style="138" customWidth="1"/>
    <col min="35" max="35" width="2.140625" style="157" customWidth="1"/>
    <col min="36" max="36" width="26.7109375" style="27" bestFit="1" customWidth="1"/>
    <col min="37" max="39" width="6.85546875" style="27" bestFit="1" customWidth="1"/>
    <col min="40" max="40" width="11.42578125" style="27" bestFit="1" customWidth="1"/>
    <col min="41" max="41" width="11.140625" style="27" bestFit="1" customWidth="1"/>
    <col min="42" max="42" width="17.140625" style="27" bestFit="1" customWidth="1"/>
    <col min="43" max="16384" width="9.140625" style="27"/>
  </cols>
  <sheetData>
    <row r="1" spans="1:49" x14ac:dyDescent="0.25">
      <c r="A1" s="278" t="s">
        <v>13</v>
      </c>
      <c r="B1" s="278"/>
      <c r="C1" s="279" t="s">
        <v>1</v>
      </c>
      <c r="D1" s="279"/>
      <c r="E1" s="279"/>
      <c r="G1" s="274" t="s">
        <v>3</v>
      </c>
      <c r="H1" s="274"/>
      <c r="I1" s="274"/>
      <c r="K1" s="279" t="s">
        <v>2</v>
      </c>
      <c r="L1" s="279"/>
      <c r="M1" s="279"/>
      <c r="N1" s="279"/>
      <c r="P1" s="279" t="s">
        <v>4</v>
      </c>
      <c r="Q1" s="279"/>
      <c r="R1" s="279"/>
      <c r="S1" s="279"/>
      <c r="U1" s="272" t="s">
        <v>16</v>
      </c>
      <c r="V1" s="272"/>
      <c r="W1" s="272"/>
      <c r="X1" s="272"/>
      <c r="Z1" s="279" t="s">
        <v>5</v>
      </c>
      <c r="AA1" s="279"/>
      <c r="AB1" s="279"/>
      <c r="AC1" s="279"/>
      <c r="AE1" s="272" t="s">
        <v>6</v>
      </c>
      <c r="AF1" s="272"/>
      <c r="AG1" s="272"/>
      <c r="AH1" s="272"/>
    </row>
    <row r="2" spans="1:49" x14ac:dyDescent="0.25">
      <c r="A2" s="112" t="s">
        <v>55</v>
      </c>
      <c r="B2" s="134" t="s">
        <v>7</v>
      </c>
      <c r="C2" s="134" t="s">
        <v>8</v>
      </c>
      <c r="D2" s="18" t="s">
        <v>213</v>
      </c>
      <c r="E2" s="8" t="s">
        <v>17</v>
      </c>
      <c r="G2" s="134" t="s">
        <v>7</v>
      </c>
      <c r="H2" s="134" t="s">
        <v>8</v>
      </c>
      <c r="I2" s="49" t="s">
        <v>17</v>
      </c>
      <c r="K2" s="134" t="s">
        <v>7</v>
      </c>
      <c r="L2" s="134" t="s">
        <v>8</v>
      </c>
      <c r="M2" s="18" t="s">
        <v>213</v>
      </c>
      <c r="N2" s="8" t="s">
        <v>17</v>
      </c>
      <c r="P2" s="212" t="s">
        <v>7</v>
      </c>
      <c r="Q2" s="134" t="s">
        <v>8</v>
      </c>
      <c r="R2" s="18" t="s">
        <v>213</v>
      </c>
      <c r="S2" s="8" t="s">
        <v>17</v>
      </c>
      <c r="U2" s="134" t="s">
        <v>7</v>
      </c>
      <c r="V2" s="134" t="s">
        <v>8</v>
      </c>
      <c r="W2" s="18" t="s">
        <v>213</v>
      </c>
      <c r="X2" s="8" t="s">
        <v>17</v>
      </c>
      <c r="Z2" s="134" t="s">
        <v>7</v>
      </c>
      <c r="AA2" s="134" t="s">
        <v>8</v>
      </c>
      <c r="AB2" s="18" t="s">
        <v>213</v>
      </c>
      <c r="AC2" s="8" t="s">
        <v>17</v>
      </c>
      <c r="AE2" s="45" t="s">
        <v>7</v>
      </c>
      <c r="AF2" s="45" t="s">
        <v>8</v>
      </c>
      <c r="AG2" s="18" t="s">
        <v>213</v>
      </c>
      <c r="AH2" s="8" t="s">
        <v>17</v>
      </c>
    </row>
    <row r="3" spans="1:49" s="21" customFormat="1" x14ac:dyDescent="0.25">
      <c r="A3" s="261">
        <v>1</v>
      </c>
      <c r="B3" s="260">
        <v>18.46</v>
      </c>
      <c r="C3" s="259">
        <v>4.13</v>
      </c>
      <c r="D3" s="240"/>
      <c r="E3" s="240"/>
      <c r="F3" s="113"/>
      <c r="G3" s="260">
        <v>20.57</v>
      </c>
      <c r="H3" s="259">
        <v>4.12</v>
      </c>
      <c r="I3" s="240"/>
      <c r="J3" s="113"/>
      <c r="K3" s="260">
        <v>19.579999999999998</v>
      </c>
      <c r="L3" s="259">
        <v>4.12</v>
      </c>
      <c r="M3" s="241"/>
      <c r="N3" s="240"/>
      <c r="O3" s="113"/>
      <c r="P3" s="241">
        <v>0.13</v>
      </c>
      <c r="Q3" s="240">
        <v>4.05</v>
      </c>
      <c r="R3" s="241"/>
      <c r="S3" s="240"/>
      <c r="T3" s="113"/>
      <c r="U3" s="260">
        <v>19.97</v>
      </c>
      <c r="V3" s="259">
        <v>4.13</v>
      </c>
      <c r="W3" s="241"/>
      <c r="X3" s="240"/>
      <c r="Y3" s="113"/>
      <c r="Z3" s="260">
        <v>18.03</v>
      </c>
      <c r="AA3" s="259">
        <v>4.13</v>
      </c>
      <c r="AB3" s="241"/>
      <c r="AC3" s="240"/>
      <c r="AD3" s="113"/>
      <c r="AE3" s="241">
        <v>0.09</v>
      </c>
      <c r="AF3" s="240">
        <v>4.08</v>
      </c>
      <c r="AG3" s="241"/>
      <c r="AH3" s="241"/>
      <c r="AI3" s="156"/>
    </row>
    <row r="4" spans="1:49" s="21" customFormat="1" x14ac:dyDescent="0.25">
      <c r="A4" s="261"/>
      <c r="B4" s="260"/>
      <c r="C4" s="259"/>
      <c r="D4" s="240">
        <f>B3-D5</f>
        <v>18.190000000000001</v>
      </c>
      <c r="E4" s="54" t="s">
        <v>34</v>
      </c>
      <c r="F4" s="113"/>
      <c r="G4" s="260"/>
      <c r="H4" s="259"/>
      <c r="I4" s="240"/>
      <c r="J4" s="113"/>
      <c r="K4" s="260"/>
      <c r="L4" s="259"/>
      <c r="M4" s="241">
        <f>K3-M5</f>
        <v>19.309999999999999</v>
      </c>
      <c r="N4" s="54" t="s">
        <v>34</v>
      </c>
      <c r="O4" s="113"/>
      <c r="P4" s="260">
        <v>18.54</v>
      </c>
      <c r="Q4" s="259">
        <v>4.17</v>
      </c>
      <c r="R4" s="241">
        <f>P4-R5</f>
        <v>18.27</v>
      </c>
      <c r="S4" s="54" t="s">
        <v>34</v>
      </c>
      <c r="T4" s="113"/>
      <c r="U4" s="260"/>
      <c r="V4" s="259"/>
      <c r="W4" s="241">
        <f>U3-W5</f>
        <v>19.7</v>
      </c>
      <c r="X4" s="54" t="s">
        <v>34</v>
      </c>
      <c r="Y4" s="113"/>
      <c r="Z4" s="260"/>
      <c r="AA4" s="259"/>
      <c r="AB4" s="241">
        <f>AG4</f>
        <v>17.760000000000002</v>
      </c>
      <c r="AC4" s="54" t="s">
        <v>34</v>
      </c>
      <c r="AD4" s="113"/>
      <c r="AE4" s="241">
        <v>17.760000000000002</v>
      </c>
      <c r="AF4" s="240">
        <v>4.17</v>
      </c>
      <c r="AG4" s="241">
        <f>AE4</f>
        <v>17.760000000000002</v>
      </c>
      <c r="AH4" s="54" t="s">
        <v>34</v>
      </c>
      <c r="AI4" s="156"/>
      <c r="AJ4" s="241"/>
      <c r="AK4" s="222" t="s">
        <v>1</v>
      </c>
      <c r="AL4" s="222" t="s">
        <v>2</v>
      </c>
      <c r="AM4" s="222" t="s">
        <v>4</v>
      </c>
      <c r="AN4" s="222" t="s">
        <v>16</v>
      </c>
      <c r="AO4" s="222" t="s">
        <v>5</v>
      </c>
      <c r="AP4" s="222" t="s">
        <v>6</v>
      </c>
    </row>
    <row r="5" spans="1:49" s="21" customFormat="1" ht="15.75" thickBot="1" x14ac:dyDescent="0.3">
      <c r="A5" s="261"/>
      <c r="B5" s="260"/>
      <c r="C5" s="259"/>
      <c r="D5" s="241">
        <f>R5</f>
        <v>0.26999999999999957</v>
      </c>
      <c r="E5" s="80" t="s">
        <v>28</v>
      </c>
      <c r="F5" s="113"/>
      <c r="G5" s="260"/>
      <c r="H5" s="259"/>
      <c r="I5" s="149"/>
      <c r="J5" s="113"/>
      <c r="K5" s="260"/>
      <c r="L5" s="259"/>
      <c r="M5" s="241">
        <f>D5</f>
        <v>0.26999999999999957</v>
      </c>
      <c r="N5" s="80" t="s">
        <v>28</v>
      </c>
      <c r="O5" s="113"/>
      <c r="P5" s="260"/>
      <c r="Q5" s="259"/>
      <c r="R5" s="241">
        <f>AB5</f>
        <v>0.26999999999999957</v>
      </c>
      <c r="S5" s="80" t="s">
        <v>28</v>
      </c>
      <c r="T5" s="113"/>
      <c r="U5" s="260"/>
      <c r="V5" s="259"/>
      <c r="W5" s="241">
        <f>R5</f>
        <v>0.26999999999999957</v>
      </c>
      <c r="X5" s="80" t="s">
        <v>28</v>
      </c>
      <c r="Y5" s="113"/>
      <c r="Z5" s="260"/>
      <c r="AA5" s="259"/>
      <c r="AB5" s="241">
        <f>Z3-AB4</f>
        <v>0.26999999999999957</v>
      </c>
      <c r="AC5" s="80" t="s">
        <v>28</v>
      </c>
      <c r="AD5" s="113"/>
      <c r="AE5" s="241">
        <v>14.71</v>
      </c>
      <c r="AF5" s="240">
        <v>4.29</v>
      </c>
      <c r="AG5" s="241">
        <f>AE5</f>
        <v>14.71</v>
      </c>
      <c r="AH5" s="80" t="s">
        <v>28</v>
      </c>
      <c r="AI5" s="156"/>
      <c r="AJ5" s="160" t="s">
        <v>32</v>
      </c>
      <c r="AK5" s="19">
        <f>D5+D38+D65+D83+D99+D103+D104+D110+D143+D146+D173</f>
        <v>16.29</v>
      </c>
      <c r="AL5" s="19">
        <f>M5+M38+M65+M83+M99+M103+M104+M110+M143+M146+M173</f>
        <v>13.03</v>
      </c>
      <c r="AM5" s="19">
        <f>R5+R38+R62+R65+R83+R94+R99+R104+R146+R173+R35+R63</f>
        <v>15.044</v>
      </c>
      <c r="AN5" s="19">
        <f>W5+W38+W62+W65+W83+W94+W99+W104+W146+W173+W35+W63</f>
        <v>13.28</v>
      </c>
      <c r="AO5" s="19">
        <f>AB5+AB38+AB62+AB65+AB83+AB99+AB104+AB146+AB173+AB35</f>
        <v>13.33</v>
      </c>
      <c r="AP5" s="241">
        <f>AG5+AG11+AG18+AG38+AG65+AG99+AG104+AG146+AG173</f>
        <v>34.770000000000003</v>
      </c>
      <c r="AQ5" s="160">
        <f>AVERAGE(AK5:AP5)</f>
        <v>17.623999999999999</v>
      </c>
      <c r="AR5" s="111"/>
      <c r="AS5" s="25"/>
      <c r="AT5" s="25"/>
      <c r="AU5" s="25"/>
      <c r="AV5" s="25"/>
      <c r="AW5" s="25"/>
    </row>
    <row r="6" spans="1:49" s="21" customFormat="1" x14ac:dyDescent="0.25">
      <c r="A6" s="261">
        <v>2</v>
      </c>
      <c r="B6" s="260">
        <v>0.04</v>
      </c>
      <c r="C6" s="259">
        <v>4.3</v>
      </c>
      <c r="D6" s="240"/>
      <c r="E6" s="240"/>
      <c r="F6" s="113"/>
      <c r="G6" s="241">
        <v>0.17</v>
      </c>
      <c r="H6" s="240">
        <v>4.32</v>
      </c>
      <c r="I6" s="240"/>
      <c r="J6" s="113"/>
      <c r="K6" s="260">
        <v>0.11</v>
      </c>
      <c r="L6" s="259">
        <v>4.29</v>
      </c>
      <c r="M6" s="241"/>
      <c r="N6" s="240"/>
      <c r="O6" s="113"/>
      <c r="P6" s="260">
        <v>0.03</v>
      </c>
      <c r="Q6" s="259">
        <v>4.4000000000000004</v>
      </c>
      <c r="R6" s="241"/>
      <c r="S6" s="240"/>
      <c r="T6" s="113"/>
      <c r="U6" s="260"/>
      <c r="V6" s="259"/>
      <c r="W6" s="241"/>
      <c r="X6" s="240"/>
      <c r="Y6" s="113"/>
      <c r="Z6" s="260">
        <v>0.09</v>
      </c>
      <c r="AA6" s="259">
        <v>4.3600000000000003</v>
      </c>
      <c r="AB6" s="241"/>
      <c r="AC6" s="240"/>
      <c r="AD6" s="113"/>
      <c r="AE6" s="260">
        <v>1.92</v>
      </c>
      <c r="AF6" s="259">
        <v>4.4000000000000004</v>
      </c>
      <c r="AG6" s="241"/>
      <c r="AH6" s="241"/>
      <c r="AI6" s="156"/>
      <c r="AJ6" s="161" t="s">
        <v>97</v>
      </c>
      <c r="AK6" s="19">
        <f>D12+D84+D123</f>
        <v>0.76</v>
      </c>
      <c r="AL6" s="19">
        <f>M12+M84+M123</f>
        <v>0.72</v>
      </c>
      <c r="AM6" s="19">
        <f>R12+R84+R123</f>
        <v>0.83000000000000007</v>
      </c>
      <c r="AN6" s="19">
        <f>W12+W84+W123</f>
        <v>1.2</v>
      </c>
      <c r="AO6" s="19">
        <f>AB12+AB84</f>
        <v>1.1499999999999999</v>
      </c>
      <c r="AP6" s="241">
        <f>AG12+AG49+AG84+AG19</f>
        <v>10.119999999999999</v>
      </c>
      <c r="AQ6" s="161">
        <f>AVERAGE(AK6:AO6)</f>
        <v>0.93200000000000005</v>
      </c>
      <c r="AR6" s="168">
        <f>AQ5+AQ6</f>
        <v>18.555999999999997</v>
      </c>
      <c r="AS6" s="169" t="s">
        <v>292</v>
      </c>
      <c r="AT6" s="111"/>
      <c r="AU6" s="25"/>
      <c r="AV6" s="174" t="s">
        <v>287</v>
      </c>
      <c r="AW6" s="175"/>
    </row>
    <row r="7" spans="1:49" s="21" customFormat="1" x14ac:dyDescent="0.25">
      <c r="A7" s="261"/>
      <c r="B7" s="260"/>
      <c r="C7" s="259"/>
      <c r="D7" s="240"/>
      <c r="E7" s="240"/>
      <c r="F7" s="113"/>
      <c r="G7" s="241">
        <v>0.04</v>
      </c>
      <c r="H7" s="240">
        <v>4.37</v>
      </c>
      <c r="I7" s="240"/>
      <c r="J7" s="113"/>
      <c r="K7" s="260"/>
      <c r="L7" s="259"/>
      <c r="M7" s="241"/>
      <c r="N7" s="240"/>
      <c r="O7" s="113"/>
      <c r="P7" s="260"/>
      <c r="Q7" s="259"/>
      <c r="R7" s="241"/>
      <c r="S7" s="240"/>
      <c r="T7" s="113"/>
      <c r="U7" s="260"/>
      <c r="V7" s="259"/>
      <c r="W7" s="241"/>
      <c r="X7" s="240"/>
      <c r="Y7" s="113"/>
      <c r="Z7" s="260"/>
      <c r="AA7" s="259"/>
      <c r="AB7" s="241"/>
      <c r="AC7" s="240"/>
      <c r="AD7" s="113"/>
      <c r="AE7" s="260"/>
      <c r="AF7" s="259"/>
      <c r="AG7" s="241"/>
      <c r="AH7" s="241"/>
      <c r="AI7" s="156"/>
      <c r="AJ7" s="162" t="s">
        <v>122</v>
      </c>
      <c r="AK7" s="19"/>
      <c r="AL7" s="19"/>
      <c r="AM7" s="19"/>
      <c r="AN7" s="19"/>
      <c r="AO7" s="19"/>
      <c r="AP7" s="19"/>
      <c r="AQ7" s="162">
        <v>0</v>
      </c>
      <c r="AR7" s="111"/>
      <c r="AS7" s="111"/>
      <c r="AT7" s="111"/>
      <c r="AU7" s="25"/>
      <c r="AV7" s="176" t="s">
        <v>288</v>
      </c>
      <c r="AW7" s="177"/>
    </row>
    <row r="8" spans="1:49" s="21" customFormat="1" x14ac:dyDescent="0.25">
      <c r="A8" s="261">
        <v>3</v>
      </c>
      <c r="B8" s="260">
        <v>0.03</v>
      </c>
      <c r="C8" s="259">
        <v>4.46</v>
      </c>
      <c r="D8" s="240"/>
      <c r="E8" s="240"/>
      <c r="F8" s="113"/>
      <c r="G8" s="241">
        <v>0.03</v>
      </c>
      <c r="H8" s="240">
        <v>4.4400000000000004</v>
      </c>
      <c r="I8" s="240"/>
      <c r="J8" s="113"/>
      <c r="K8" s="260">
        <v>0.08</v>
      </c>
      <c r="L8" s="259">
        <v>4.43</v>
      </c>
      <c r="M8" s="241"/>
      <c r="N8" s="240"/>
      <c r="O8" s="113"/>
      <c r="P8" s="260">
        <v>0.13</v>
      </c>
      <c r="Q8" s="259">
        <v>4.5199999999999996</v>
      </c>
      <c r="R8" s="241"/>
      <c r="S8" s="240"/>
      <c r="T8" s="113"/>
      <c r="U8" s="260">
        <v>0.14000000000000001</v>
      </c>
      <c r="V8" s="259">
        <v>4.4400000000000004</v>
      </c>
      <c r="W8" s="241"/>
      <c r="X8" s="240"/>
      <c r="Y8" s="113"/>
      <c r="Z8" s="260">
        <v>0.09</v>
      </c>
      <c r="AA8" s="259">
        <v>4.49</v>
      </c>
      <c r="AB8" s="241"/>
      <c r="AC8" s="240"/>
      <c r="AD8" s="113"/>
      <c r="AE8" s="260">
        <v>7.0000000000000007E-2</v>
      </c>
      <c r="AF8" s="259">
        <v>4.62</v>
      </c>
      <c r="AG8" s="241"/>
      <c r="AH8" s="241"/>
      <c r="AI8" s="156"/>
      <c r="AJ8" s="162" t="s">
        <v>124</v>
      </c>
      <c r="AK8" s="19">
        <f>D18+D32+D86</f>
        <v>0.19</v>
      </c>
      <c r="AL8" s="19">
        <f>M18+M32+M86</f>
        <v>0.19</v>
      </c>
      <c r="AM8" s="19">
        <f>R18+R32+R40</f>
        <v>0.19</v>
      </c>
      <c r="AN8" s="19">
        <f>W18+W32+W40</f>
        <v>0.19</v>
      </c>
      <c r="AO8" s="19">
        <f>AB18+AB20</f>
        <v>0.26</v>
      </c>
      <c r="AP8" s="241">
        <f>AG20</f>
        <v>0.26</v>
      </c>
      <c r="AQ8" s="162">
        <f t="shared" ref="AQ8:AQ21" si="0">AVERAGE(AK8:AO8)</f>
        <v>0.20400000000000001</v>
      </c>
      <c r="AR8" s="111"/>
      <c r="AS8" s="111"/>
      <c r="AT8" s="111"/>
      <c r="AU8" s="25"/>
      <c r="AV8" s="178" t="s">
        <v>289</v>
      </c>
      <c r="AW8" s="179"/>
    </row>
    <row r="9" spans="1:49" s="21" customFormat="1" x14ac:dyDescent="0.25">
      <c r="A9" s="261"/>
      <c r="B9" s="260"/>
      <c r="C9" s="259"/>
      <c r="D9" s="240"/>
      <c r="E9" s="240"/>
      <c r="F9" s="113"/>
      <c r="G9" s="241">
        <v>7.0000000000000007E-2</v>
      </c>
      <c r="H9" s="240">
        <v>4.49</v>
      </c>
      <c r="I9" s="240"/>
      <c r="J9" s="113"/>
      <c r="K9" s="260"/>
      <c r="L9" s="259"/>
      <c r="M9" s="241"/>
      <c r="N9" s="240"/>
      <c r="O9" s="113"/>
      <c r="P9" s="260"/>
      <c r="Q9" s="259"/>
      <c r="R9" s="241"/>
      <c r="S9" s="240"/>
      <c r="T9" s="113"/>
      <c r="U9" s="260"/>
      <c r="V9" s="259"/>
      <c r="W9" s="241"/>
      <c r="X9" s="240"/>
      <c r="Y9" s="113"/>
      <c r="Z9" s="260"/>
      <c r="AA9" s="259"/>
      <c r="AB9" s="241"/>
      <c r="AC9" s="240"/>
      <c r="AD9" s="113"/>
      <c r="AE9" s="260"/>
      <c r="AF9" s="259"/>
      <c r="AG9" s="241"/>
      <c r="AH9" s="241"/>
      <c r="AI9" s="156"/>
      <c r="AJ9" s="162" t="s">
        <v>31</v>
      </c>
      <c r="AK9" s="241"/>
      <c r="AL9" s="241"/>
      <c r="AM9" s="241"/>
      <c r="AN9" s="241"/>
      <c r="AO9" s="241"/>
      <c r="AP9" s="241"/>
      <c r="AQ9" s="162">
        <v>0</v>
      </c>
      <c r="AR9" s="111"/>
      <c r="AS9" s="169" t="s">
        <v>193</v>
      </c>
      <c r="AT9" s="111"/>
      <c r="AU9" s="25"/>
      <c r="AV9" s="180" t="s">
        <v>290</v>
      </c>
      <c r="AW9" s="181"/>
    </row>
    <row r="10" spans="1:49" s="21" customFormat="1" ht="15.75" thickBot="1" x14ac:dyDescent="0.3">
      <c r="A10" s="261"/>
      <c r="B10" s="260"/>
      <c r="C10" s="259"/>
      <c r="D10" s="240"/>
      <c r="E10" s="240"/>
      <c r="F10" s="113"/>
      <c r="G10" s="241">
        <v>0.02</v>
      </c>
      <c r="H10" s="240">
        <v>4.54</v>
      </c>
      <c r="I10" s="240"/>
      <c r="J10" s="113"/>
      <c r="K10" s="260"/>
      <c r="L10" s="259"/>
      <c r="M10" s="241"/>
      <c r="N10" s="240"/>
      <c r="O10" s="113"/>
      <c r="P10" s="260"/>
      <c r="Q10" s="259"/>
      <c r="R10" s="241"/>
      <c r="S10" s="240"/>
      <c r="T10" s="113"/>
      <c r="U10" s="260"/>
      <c r="V10" s="259"/>
      <c r="W10" s="241"/>
      <c r="X10" s="240"/>
      <c r="Y10" s="113"/>
      <c r="Z10" s="260"/>
      <c r="AA10" s="259"/>
      <c r="AB10" s="241"/>
      <c r="AC10" s="240"/>
      <c r="AD10" s="113"/>
      <c r="AE10" s="260"/>
      <c r="AF10" s="259"/>
      <c r="AG10" s="241"/>
      <c r="AH10" s="241"/>
      <c r="AI10" s="156"/>
      <c r="AJ10" s="162" t="s">
        <v>59</v>
      </c>
      <c r="AK10" s="19">
        <f>D26+D47</f>
        <v>0.46500000000000002</v>
      </c>
      <c r="AL10" s="19">
        <f>M26+M47</f>
        <v>0.47500000000000003</v>
      </c>
      <c r="AM10" s="241">
        <f>R26+R47</f>
        <v>0.46499999999999997</v>
      </c>
      <c r="AN10" s="241">
        <f>W26+W47</f>
        <v>0.71500000000000008</v>
      </c>
      <c r="AO10" s="241">
        <f>AB26</f>
        <v>0.46499999999999997</v>
      </c>
      <c r="AP10" s="241">
        <f>AG26</f>
        <v>0.19</v>
      </c>
      <c r="AQ10" s="162">
        <f t="shared" si="0"/>
        <v>0.51700000000000002</v>
      </c>
      <c r="AR10" s="170">
        <f>SUM(AQ7:AQ10)</f>
        <v>0.72100000000000009</v>
      </c>
      <c r="AS10" s="169" t="s">
        <v>293</v>
      </c>
      <c r="AT10" s="111"/>
      <c r="AU10" s="25"/>
      <c r="AV10" s="182" t="s">
        <v>291</v>
      </c>
      <c r="AW10" s="183"/>
    </row>
    <row r="11" spans="1:49" s="21" customFormat="1" x14ac:dyDescent="0.25">
      <c r="A11" s="242">
        <v>4</v>
      </c>
      <c r="B11" s="241">
        <v>0.1</v>
      </c>
      <c r="C11" s="240">
        <v>4.63</v>
      </c>
      <c r="D11" s="240"/>
      <c r="E11" s="19"/>
      <c r="F11" s="113"/>
      <c r="G11" s="241">
        <v>0.1</v>
      </c>
      <c r="H11" s="240">
        <v>4.6100000000000003</v>
      </c>
      <c r="I11" s="240"/>
      <c r="J11" s="113"/>
      <c r="K11" s="241">
        <v>0.06</v>
      </c>
      <c r="L11" s="240">
        <v>4.59</v>
      </c>
      <c r="M11" s="241"/>
      <c r="N11" s="19"/>
      <c r="O11" s="113"/>
      <c r="P11" s="241">
        <v>0.06</v>
      </c>
      <c r="Q11" s="240">
        <v>4.67</v>
      </c>
      <c r="R11" s="241"/>
      <c r="S11" s="19"/>
      <c r="T11" s="113"/>
      <c r="U11" s="241">
        <v>0.11</v>
      </c>
      <c r="V11" s="240">
        <v>4.5999999999999996</v>
      </c>
      <c r="W11" s="241"/>
      <c r="X11" s="19"/>
      <c r="Y11" s="113"/>
      <c r="Z11" s="241">
        <v>0.12</v>
      </c>
      <c r="AA11" s="240">
        <v>4.5999999999999996</v>
      </c>
      <c r="AB11" s="245"/>
      <c r="AC11" s="16"/>
      <c r="AD11" s="113"/>
      <c r="AE11" s="260">
        <v>13.71</v>
      </c>
      <c r="AF11" s="259">
        <v>4.75</v>
      </c>
      <c r="AG11" s="241">
        <f>AE11-AG12</f>
        <v>7.7100000000000009</v>
      </c>
      <c r="AH11" s="109" t="s">
        <v>37</v>
      </c>
      <c r="AI11" s="156"/>
      <c r="AJ11" s="163" t="s">
        <v>29</v>
      </c>
      <c r="AK11" s="241">
        <f>D22+D40+D42+D70+D69+D115+D130+D162+D181+D182</f>
        <v>5.2200000000000006</v>
      </c>
      <c r="AL11" s="241">
        <f>M22+M40+M42+M70+M69+M115+M130+M162+M181+M182</f>
        <v>6.5650000000000004</v>
      </c>
      <c r="AM11" s="241">
        <f>R22+R70+R42</f>
        <v>5.29</v>
      </c>
      <c r="AN11" s="241">
        <f>W22+W70+W42</f>
        <v>6.22</v>
      </c>
      <c r="AO11" s="241">
        <f>AB22</f>
        <v>5.29</v>
      </c>
      <c r="AP11" s="241"/>
      <c r="AQ11" s="163">
        <f t="shared" si="0"/>
        <v>5.7169999999999996</v>
      </c>
      <c r="AR11" s="111"/>
      <c r="AS11" s="111"/>
      <c r="AT11" s="111"/>
      <c r="AU11" s="25"/>
      <c r="AV11" s="25"/>
      <c r="AW11" s="25"/>
    </row>
    <row r="12" spans="1:49" s="21" customFormat="1" x14ac:dyDescent="0.25">
      <c r="A12" s="242">
        <v>5</v>
      </c>
      <c r="B12" s="241">
        <v>0.46</v>
      </c>
      <c r="C12" s="240">
        <v>4.72</v>
      </c>
      <c r="D12" s="240">
        <f>B12</f>
        <v>0.46</v>
      </c>
      <c r="E12" s="15" t="s">
        <v>19</v>
      </c>
      <c r="F12" s="113"/>
      <c r="G12" s="241">
        <v>0.1</v>
      </c>
      <c r="H12" s="240">
        <v>4.71</v>
      </c>
      <c r="I12" s="240"/>
      <c r="J12" s="113"/>
      <c r="K12" s="241">
        <v>0.42</v>
      </c>
      <c r="L12" s="240">
        <v>4.68</v>
      </c>
      <c r="M12" s="241">
        <f>K12</f>
        <v>0.42</v>
      </c>
      <c r="N12" s="15" t="s">
        <v>19</v>
      </c>
      <c r="O12" s="113"/>
      <c r="P12" s="241">
        <v>0.39</v>
      </c>
      <c r="Q12" s="240">
        <v>4.75</v>
      </c>
      <c r="R12" s="241">
        <f>P12</f>
        <v>0.39</v>
      </c>
      <c r="S12" s="15" t="s">
        <v>19</v>
      </c>
      <c r="T12" s="113"/>
      <c r="U12" s="241">
        <v>0.43</v>
      </c>
      <c r="V12" s="240">
        <v>4.6900000000000004</v>
      </c>
      <c r="W12" s="241">
        <f>U12</f>
        <v>0.43</v>
      </c>
      <c r="X12" s="15" t="s">
        <v>19</v>
      </c>
      <c r="Y12" s="113"/>
      <c r="Z12" s="241">
        <v>0.38</v>
      </c>
      <c r="AA12" s="240">
        <v>4.72</v>
      </c>
      <c r="AB12" s="241">
        <f>Z12</f>
        <v>0.38</v>
      </c>
      <c r="AC12" s="15" t="s">
        <v>19</v>
      </c>
      <c r="AD12" s="113"/>
      <c r="AE12" s="260"/>
      <c r="AF12" s="259"/>
      <c r="AG12" s="241">
        <v>6</v>
      </c>
      <c r="AH12" s="15" t="s">
        <v>19</v>
      </c>
      <c r="AI12" s="156"/>
      <c r="AJ12" s="163" t="s">
        <v>58</v>
      </c>
      <c r="AK12" s="19">
        <f>D29+D55+D82+D107+D114+D132+D163+D188</f>
        <v>2.0249999999999999</v>
      </c>
      <c r="AL12" s="19">
        <f>M29+M55+M82+M107+M114+M132+M163+M188</f>
        <v>2.3450000000000002</v>
      </c>
      <c r="AM12" s="241">
        <f>R29+R55+R82</f>
        <v>1.615</v>
      </c>
      <c r="AN12" s="241">
        <f>W29+W55+W82</f>
        <v>2.375</v>
      </c>
      <c r="AO12" s="241">
        <f>AB29</f>
        <v>2</v>
      </c>
      <c r="AP12" s="241">
        <f>AG29</f>
        <v>0.27</v>
      </c>
      <c r="AQ12" s="163">
        <f t="shared" si="0"/>
        <v>2.0720000000000001</v>
      </c>
      <c r="AR12" s="111"/>
      <c r="AS12" s="111"/>
      <c r="AT12" s="111"/>
      <c r="AU12" s="25"/>
      <c r="AV12" s="25"/>
      <c r="AW12" s="25"/>
    </row>
    <row r="13" spans="1:49" s="21" customFormat="1" x14ac:dyDescent="0.25">
      <c r="A13" s="242">
        <v>6</v>
      </c>
      <c r="B13" s="241">
        <v>9.1199999999999992</v>
      </c>
      <c r="C13" s="240">
        <v>4.84</v>
      </c>
      <c r="D13" s="240">
        <f>B13</f>
        <v>9.1199999999999992</v>
      </c>
      <c r="E13" s="54" t="s">
        <v>34</v>
      </c>
      <c r="F13" s="113"/>
      <c r="G13" s="241">
        <v>9.9700000000000006</v>
      </c>
      <c r="H13" s="240">
        <v>4.83</v>
      </c>
      <c r="I13" s="240"/>
      <c r="J13" s="113"/>
      <c r="K13" s="241">
        <v>9.27</v>
      </c>
      <c r="L13" s="240">
        <v>4.8099999999999996</v>
      </c>
      <c r="M13" s="241">
        <f>K13</f>
        <v>9.27</v>
      </c>
      <c r="N13" s="54" t="s">
        <v>34</v>
      </c>
      <c r="O13" s="113"/>
      <c r="P13" s="241">
        <v>9.16</v>
      </c>
      <c r="Q13" s="240">
        <v>4.8899999999999997</v>
      </c>
      <c r="R13" s="241">
        <f>P13</f>
        <v>9.16</v>
      </c>
      <c r="S13" s="54" t="s">
        <v>34</v>
      </c>
      <c r="T13" s="113"/>
      <c r="U13" s="241">
        <v>9.43</v>
      </c>
      <c r="V13" s="240">
        <v>4.83</v>
      </c>
      <c r="W13" s="241">
        <f>U13</f>
        <v>9.43</v>
      </c>
      <c r="X13" s="54" t="s">
        <v>34</v>
      </c>
      <c r="Y13" s="113"/>
      <c r="Z13" s="241">
        <v>9.1</v>
      </c>
      <c r="AA13" s="240">
        <v>4.84</v>
      </c>
      <c r="AB13" s="241">
        <f>Z13</f>
        <v>9.1</v>
      </c>
      <c r="AC13" s="54" t="s">
        <v>34</v>
      </c>
      <c r="AD13" s="113"/>
      <c r="AE13" s="241">
        <v>9.9499999999999993</v>
      </c>
      <c r="AF13" s="240">
        <v>4.88</v>
      </c>
      <c r="AG13" s="241">
        <f>AE13</f>
        <v>9.9499999999999993</v>
      </c>
      <c r="AH13" s="54" t="s">
        <v>34</v>
      </c>
      <c r="AI13" s="156"/>
      <c r="AJ13" s="163" t="s">
        <v>18</v>
      </c>
      <c r="AK13" s="19">
        <f>D50+D74+D183</f>
        <v>0.68499999999999994</v>
      </c>
      <c r="AL13" s="19">
        <f>M50+M74+M183</f>
        <v>0.76</v>
      </c>
      <c r="AM13" s="19">
        <f>R50+R74</f>
        <v>0.68499999999999994</v>
      </c>
      <c r="AN13" s="19">
        <f>W50+W74</f>
        <v>0.53666666666666663</v>
      </c>
      <c r="AO13" s="19">
        <f>AB27</f>
        <v>0.69</v>
      </c>
      <c r="AP13" s="241">
        <f>AG27</f>
        <v>0.01</v>
      </c>
      <c r="AQ13" s="163">
        <f t="shared" si="0"/>
        <v>0.67133333333333334</v>
      </c>
      <c r="AR13" s="111"/>
      <c r="AS13" s="111"/>
      <c r="AT13" s="111"/>
      <c r="AU13" s="25"/>
      <c r="AV13" s="25"/>
      <c r="AW13" s="25"/>
    </row>
    <row r="14" spans="1:49" s="21" customFormat="1" x14ac:dyDescent="0.25">
      <c r="A14" s="261">
        <v>7</v>
      </c>
      <c r="B14" s="260">
        <v>0.11</v>
      </c>
      <c r="C14" s="259">
        <v>5.09</v>
      </c>
      <c r="D14" s="240"/>
      <c r="E14" s="240"/>
      <c r="F14" s="113"/>
      <c r="G14" s="241">
        <v>0.03</v>
      </c>
      <c r="H14" s="240">
        <v>5.01</v>
      </c>
      <c r="I14" s="240"/>
      <c r="J14" s="113"/>
      <c r="K14" s="260">
        <v>0.06</v>
      </c>
      <c r="L14" s="259">
        <v>5.04</v>
      </c>
      <c r="M14" s="241"/>
      <c r="N14" s="240"/>
      <c r="O14" s="113"/>
      <c r="P14" s="260">
        <v>0.03</v>
      </c>
      <c r="Q14" s="259">
        <v>5.05</v>
      </c>
      <c r="R14" s="241"/>
      <c r="S14" s="240"/>
      <c r="T14" s="113"/>
      <c r="U14" s="260">
        <v>0.11</v>
      </c>
      <c r="V14" s="259">
        <v>5</v>
      </c>
      <c r="W14" s="241"/>
      <c r="X14" s="240"/>
      <c r="Y14" s="113"/>
      <c r="Z14" s="260">
        <v>0.04</v>
      </c>
      <c r="AA14" s="259">
        <v>5.01</v>
      </c>
      <c r="AB14" s="241"/>
      <c r="AC14" s="240"/>
      <c r="AD14" s="113"/>
      <c r="AE14" s="260">
        <v>0.28000000000000003</v>
      </c>
      <c r="AF14" s="259">
        <v>5.13</v>
      </c>
      <c r="AG14" s="241"/>
      <c r="AH14" s="241"/>
      <c r="AI14" s="156"/>
      <c r="AJ14" s="163" t="s">
        <v>60</v>
      </c>
      <c r="AK14" s="19">
        <f>D88+D96+D127+D137+D177</f>
        <v>0.72</v>
      </c>
      <c r="AL14" s="19">
        <f>M88+M96+M127+M137+M177</f>
        <v>0.99</v>
      </c>
      <c r="AM14" s="19">
        <f>R30+R54+R88+R96</f>
        <v>0.85000000000000009</v>
      </c>
      <c r="AN14" s="19">
        <f>W30+W54+W88+W96</f>
        <v>1.83</v>
      </c>
      <c r="AO14" s="19">
        <f>AB30</f>
        <v>0.89</v>
      </c>
      <c r="AP14" s="241">
        <f>AG30</f>
        <v>0.01</v>
      </c>
      <c r="AQ14" s="163">
        <f t="shared" si="0"/>
        <v>1.056</v>
      </c>
      <c r="AR14" s="171">
        <f>SUM(AQ11:AQ14)</f>
        <v>9.516333333333332</v>
      </c>
      <c r="AS14" s="169" t="s">
        <v>296</v>
      </c>
      <c r="AT14" s="111"/>
      <c r="AU14" s="25"/>
      <c r="AV14" s="25"/>
      <c r="AW14" s="25"/>
    </row>
    <row r="15" spans="1:49" s="21" customFormat="1" x14ac:dyDescent="0.25">
      <c r="A15" s="261"/>
      <c r="B15" s="260"/>
      <c r="C15" s="259"/>
      <c r="D15" s="240"/>
      <c r="E15" s="240"/>
      <c r="F15" s="113"/>
      <c r="G15" s="241">
        <v>0.04</v>
      </c>
      <c r="H15" s="240">
        <v>5.05</v>
      </c>
      <c r="I15" s="240"/>
      <c r="J15" s="113"/>
      <c r="K15" s="260"/>
      <c r="L15" s="259"/>
      <c r="M15" s="241"/>
      <c r="N15" s="240"/>
      <c r="O15" s="113"/>
      <c r="P15" s="260"/>
      <c r="Q15" s="259"/>
      <c r="R15" s="241"/>
      <c r="S15" s="240"/>
      <c r="T15" s="113"/>
      <c r="U15" s="260"/>
      <c r="V15" s="259"/>
      <c r="W15" s="241"/>
      <c r="X15" s="240"/>
      <c r="Y15" s="113"/>
      <c r="Z15" s="260"/>
      <c r="AA15" s="259"/>
      <c r="AB15" s="241"/>
      <c r="AC15" s="240"/>
      <c r="AD15" s="113"/>
      <c r="AE15" s="260"/>
      <c r="AF15" s="259"/>
      <c r="AG15" s="241"/>
      <c r="AH15" s="241"/>
      <c r="AI15" s="156"/>
      <c r="AJ15" s="164" t="s">
        <v>27</v>
      </c>
      <c r="AK15" s="19">
        <f>D28+D51+D90+D168+D201+D214+D220+D230+D236</f>
        <v>10.834999999999999</v>
      </c>
      <c r="AL15" s="19">
        <f>M28+M51+M90+M168+M201+M214+M224+M230+M236</f>
        <v>9.9849999999999994</v>
      </c>
      <c r="AM15" s="19">
        <f>R28+R51+R90+R121+R122+R124</f>
        <v>10.375</v>
      </c>
      <c r="AN15" s="19">
        <f>W51+W90+W121+W122+W124+W28</f>
        <v>9.7966666666666669</v>
      </c>
      <c r="AO15" s="19">
        <f>AB28</f>
        <v>10.92</v>
      </c>
      <c r="AP15" s="241">
        <f>AG28</f>
        <v>0.01</v>
      </c>
      <c r="AQ15" s="164">
        <f t="shared" si="0"/>
        <v>10.382333333333333</v>
      </c>
      <c r="AR15" s="111"/>
      <c r="AS15" s="111"/>
      <c r="AT15" s="111"/>
      <c r="AU15" s="25"/>
      <c r="AV15" s="25"/>
      <c r="AW15" s="25"/>
    </row>
    <row r="16" spans="1:49" s="21" customFormat="1" x14ac:dyDescent="0.25">
      <c r="A16" s="261"/>
      <c r="B16" s="260"/>
      <c r="C16" s="259"/>
      <c r="D16" s="240"/>
      <c r="E16" s="240"/>
      <c r="F16" s="113"/>
      <c r="G16" s="241">
        <v>0.02</v>
      </c>
      <c r="H16" s="240">
        <v>5.1100000000000003</v>
      </c>
      <c r="I16" s="240"/>
      <c r="J16" s="113"/>
      <c r="K16" s="241">
        <v>0.04</v>
      </c>
      <c r="L16" s="240">
        <v>5.09</v>
      </c>
      <c r="M16" s="241"/>
      <c r="N16" s="240"/>
      <c r="O16" s="113"/>
      <c r="P16" s="241">
        <v>0.05</v>
      </c>
      <c r="Q16" s="240">
        <v>5.1100000000000003</v>
      </c>
      <c r="R16" s="241"/>
      <c r="S16" s="240"/>
      <c r="T16" s="113"/>
      <c r="U16" s="260"/>
      <c r="V16" s="259"/>
      <c r="W16" s="241"/>
      <c r="X16" s="240"/>
      <c r="Y16" s="113"/>
      <c r="Z16" s="260"/>
      <c r="AA16" s="259"/>
      <c r="AB16" s="241"/>
      <c r="AC16" s="240"/>
      <c r="AD16" s="113"/>
      <c r="AE16" s="260"/>
      <c r="AF16" s="259"/>
      <c r="AG16" s="241"/>
      <c r="AH16" s="241"/>
      <c r="AI16" s="156"/>
      <c r="AJ16" s="164" t="s">
        <v>61</v>
      </c>
      <c r="AK16" s="16">
        <f>D31+D91+D109+D141+D179+D195+D210+D238</f>
        <v>4.46</v>
      </c>
      <c r="AL16" s="16">
        <f>M31+M91+M109+M141+M179+M195+M210+M237</f>
        <v>4.7099999999999991</v>
      </c>
      <c r="AM16" s="16">
        <f>R31+R91+R109+R138</f>
        <v>3.4099999999999993</v>
      </c>
      <c r="AN16" s="16">
        <f>W31+W91+W109+W138</f>
        <v>3.3999999999999995</v>
      </c>
      <c r="AO16" s="16">
        <f>AB31</f>
        <v>3.92</v>
      </c>
      <c r="AP16" s="241">
        <f>AG31+AG47</f>
        <v>1.4999999999999999E-2</v>
      </c>
      <c r="AQ16" s="164">
        <f t="shared" si="0"/>
        <v>3.9799999999999995</v>
      </c>
      <c r="AR16" s="111"/>
      <c r="AS16" s="111"/>
      <c r="AT16" s="111"/>
      <c r="AU16" s="25"/>
      <c r="AV16" s="25"/>
      <c r="AW16" s="25"/>
    </row>
    <row r="17" spans="1:49" s="21" customFormat="1" x14ac:dyDescent="0.25">
      <c r="A17" s="261"/>
      <c r="B17" s="260"/>
      <c r="C17" s="259"/>
      <c r="D17" s="240"/>
      <c r="E17" s="240"/>
      <c r="F17" s="115"/>
      <c r="G17" s="241">
        <v>0.13</v>
      </c>
      <c r="H17" s="240">
        <v>5.16</v>
      </c>
      <c r="I17" s="240"/>
      <c r="J17" s="115"/>
      <c r="K17" s="241">
        <v>0.01</v>
      </c>
      <c r="L17" s="240">
        <v>5.12</v>
      </c>
      <c r="M17" s="241"/>
      <c r="N17" s="240"/>
      <c r="O17" s="115"/>
      <c r="P17" s="241">
        <v>0.02</v>
      </c>
      <c r="Q17" s="240">
        <v>5.17</v>
      </c>
      <c r="R17" s="241"/>
      <c r="S17" s="240"/>
      <c r="T17" s="115"/>
      <c r="U17" s="241">
        <v>0.02</v>
      </c>
      <c r="V17" s="240">
        <v>5.12</v>
      </c>
      <c r="W17" s="241"/>
      <c r="X17" s="240"/>
      <c r="Y17" s="115"/>
      <c r="Z17" s="260"/>
      <c r="AA17" s="259"/>
      <c r="AB17" s="241"/>
      <c r="AC17" s="240"/>
      <c r="AD17" s="115"/>
      <c r="AE17" s="260"/>
      <c r="AF17" s="259"/>
      <c r="AG17" s="241"/>
      <c r="AH17" s="241"/>
      <c r="AI17" s="156"/>
      <c r="AJ17" s="164" t="s">
        <v>21</v>
      </c>
      <c r="AK17" s="16"/>
      <c r="AL17" s="16"/>
      <c r="AM17" s="16"/>
      <c r="AN17" s="16"/>
      <c r="AO17" s="16"/>
      <c r="AP17" s="241"/>
      <c r="AQ17" s="164">
        <v>0</v>
      </c>
      <c r="AR17" s="111"/>
      <c r="AS17" s="111"/>
      <c r="AT17" s="111"/>
      <c r="AU17" s="25"/>
      <c r="AV17" s="25"/>
      <c r="AW17" s="25"/>
    </row>
    <row r="18" spans="1:49" s="21" customFormat="1" x14ac:dyDescent="0.25">
      <c r="A18" s="261">
        <v>8</v>
      </c>
      <c r="B18" s="260">
        <v>0.19</v>
      </c>
      <c r="C18" s="259">
        <v>5.28</v>
      </c>
      <c r="D18" s="240"/>
      <c r="E18" s="19"/>
      <c r="F18" s="113"/>
      <c r="G18" s="260">
        <v>0.09</v>
      </c>
      <c r="H18" s="259">
        <v>5.27</v>
      </c>
      <c r="I18" s="240"/>
      <c r="J18" s="113"/>
      <c r="K18" s="260">
        <v>0.13</v>
      </c>
      <c r="L18" s="259">
        <v>5.26</v>
      </c>
      <c r="M18" s="241"/>
      <c r="N18" s="19"/>
      <c r="O18" s="113"/>
      <c r="P18" s="260">
        <v>0.15</v>
      </c>
      <c r="Q18" s="259">
        <v>5.31</v>
      </c>
      <c r="R18" s="241"/>
      <c r="S18" s="19"/>
      <c r="T18" s="113"/>
      <c r="U18" s="260">
        <v>0.17</v>
      </c>
      <c r="V18" s="259">
        <v>5.25</v>
      </c>
      <c r="W18" s="241"/>
      <c r="X18" s="19"/>
      <c r="Y18" s="113"/>
      <c r="Z18" s="241">
        <v>0.17</v>
      </c>
      <c r="AA18" s="240">
        <v>5.13</v>
      </c>
      <c r="AB18" s="245"/>
      <c r="AC18" s="16"/>
      <c r="AD18" s="113"/>
      <c r="AE18" s="260">
        <v>3.66</v>
      </c>
      <c r="AF18" s="259">
        <v>5.22</v>
      </c>
      <c r="AG18" s="241">
        <v>0.31</v>
      </c>
      <c r="AH18" s="80" t="s">
        <v>30</v>
      </c>
      <c r="AI18" s="156"/>
      <c r="AJ18" s="164" t="s">
        <v>101</v>
      </c>
      <c r="AK18" s="16">
        <f>D53+D145+D215</f>
        <v>0.44000000000000006</v>
      </c>
      <c r="AL18" s="16">
        <f>M53+M145+M215</f>
        <v>0.44000000000000006</v>
      </c>
      <c r="AM18" s="16">
        <f>R53+R145</f>
        <v>0.44</v>
      </c>
      <c r="AN18" s="16">
        <f>W53+W145</f>
        <v>0.39999999999999997</v>
      </c>
      <c r="AO18" s="16">
        <f>AB53+AB61</f>
        <v>0.44</v>
      </c>
      <c r="AP18" s="241">
        <f>AG53</f>
        <v>0.3</v>
      </c>
      <c r="AQ18" s="164">
        <f>AVERAGE(AK18:AO18)</f>
        <v>0.43200000000000005</v>
      </c>
      <c r="AR18" s="172">
        <f>SUM(AQ15:AQ18)</f>
        <v>14.794333333333332</v>
      </c>
      <c r="AS18" s="169" t="s">
        <v>295</v>
      </c>
      <c r="AT18" s="111"/>
      <c r="AU18" s="25"/>
      <c r="AV18" s="25"/>
      <c r="AW18" s="25"/>
    </row>
    <row r="19" spans="1:49" s="21" customFormat="1" x14ac:dyDescent="0.25">
      <c r="A19" s="261"/>
      <c r="B19" s="260"/>
      <c r="C19" s="259"/>
      <c r="D19" s="240"/>
      <c r="E19" s="56"/>
      <c r="F19" s="113"/>
      <c r="G19" s="260"/>
      <c r="H19" s="259"/>
      <c r="I19" s="240"/>
      <c r="J19" s="113"/>
      <c r="K19" s="260"/>
      <c r="L19" s="259"/>
      <c r="M19" s="241"/>
      <c r="N19" s="56"/>
      <c r="O19" s="113"/>
      <c r="P19" s="260"/>
      <c r="Q19" s="259"/>
      <c r="R19" s="56"/>
      <c r="S19" s="56"/>
      <c r="T19" s="113"/>
      <c r="U19" s="260"/>
      <c r="V19" s="259"/>
      <c r="W19" s="241"/>
      <c r="X19" s="56"/>
      <c r="Y19" s="113"/>
      <c r="Z19" s="241">
        <v>0.02</v>
      </c>
      <c r="AA19" s="240">
        <v>5.17</v>
      </c>
      <c r="AB19" s="56"/>
      <c r="AC19" s="56"/>
      <c r="AD19" s="113"/>
      <c r="AE19" s="260"/>
      <c r="AF19" s="259"/>
      <c r="AG19" s="241">
        <f>AE18-AG18</f>
        <v>3.35</v>
      </c>
      <c r="AH19" s="74" t="s">
        <v>332</v>
      </c>
      <c r="AI19" s="156"/>
      <c r="AJ19" s="165" t="s">
        <v>22</v>
      </c>
      <c r="AK19" s="19"/>
      <c r="AL19" s="19"/>
      <c r="AM19" s="19"/>
      <c r="AN19" s="19"/>
      <c r="AO19" s="19"/>
      <c r="AP19" s="19"/>
      <c r="AQ19" s="165">
        <v>0</v>
      </c>
      <c r="AR19" s="111"/>
      <c r="AS19" s="111"/>
      <c r="AT19" s="111"/>
      <c r="AU19" s="25"/>
      <c r="AV19" s="25"/>
      <c r="AW19" s="25"/>
    </row>
    <row r="20" spans="1:49" s="21" customFormat="1" x14ac:dyDescent="0.25">
      <c r="A20" s="261"/>
      <c r="B20" s="260"/>
      <c r="C20" s="259"/>
      <c r="D20" s="240"/>
      <c r="E20" s="240"/>
      <c r="F20" s="113"/>
      <c r="G20" s="260"/>
      <c r="H20" s="259"/>
      <c r="I20" s="240"/>
      <c r="J20" s="113"/>
      <c r="K20" s="241">
        <v>0.08</v>
      </c>
      <c r="L20" s="240">
        <v>5.27</v>
      </c>
      <c r="M20" s="241"/>
      <c r="N20" s="240"/>
      <c r="O20" s="113"/>
      <c r="P20" s="260"/>
      <c r="Q20" s="259"/>
      <c r="R20" s="56"/>
      <c r="S20" s="56"/>
      <c r="T20" s="113"/>
      <c r="U20" s="260"/>
      <c r="V20" s="259"/>
      <c r="W20" s="241"/>
      <c r="X20" s="56"/>
      <c r="Y20" s="113"/>
      <c r="Z20" s="241">
        <v>0.26</v>
      </c>
      <c r="AA20" s="240">
        <v>5.3</v>
      </c>
      <c r="AB20" s="19">
        <f>Z20</f>
        <v>0.26</v>
      </c>
      <c r="AC20" s="61" t="s">
        <v>124</v>
      </c>
      <c r="AD20" s="113"/>
      <c r="AE20" s="241">
        <v>0.03</v>
      </c>
      <c r="AF20" s="240">
        <v>5.38</v>
      </c>
      <c r="AG20" s="241">
        <f>AB20</f>
        <v>0.26</v>
      </c>
      <c r="AH20" s="61" t="s">
        <v>124</v>
      </c>
      <c r="AI20" s="156"/>
      <c r="AJ20" s="165" t="s">
        <v>63</v>
      </c>
      <c r="AK20" s="19"/>
      <c r="AL20" s="19"/>
      <c r="AM20" s="19"/>
      <c r="AN20" s="19"/>
      <c r="AO20" s="19"/>
      <c r="AP20" s="19"/>
      <c r="AQ20" s="165">
        <v>0</v>
      </c>
      <c r="AR20" s="111"/>
      <c r="AS20" s="111"/>
      <c r="AT20" s="111"/>
      <c r="AU20" s="25"/>
      <c r="AV20" s="25"/>
      <c r="AW20" s="25"/>
    </row>
    <row r="21" spans="1:49" s="21" customFormat="1" x14ac:dyDescent="0.25">
      <c r="A21" s="261">
        <v>9</v>
      </c>
      <c r="B21" s="260">
        <v>0.05</v>
      </c>
      <c r="C21" s="259">
        <v>5.36</v>
      </c>
      <c r="D21" s="240"/>
      <c r="E21" s="18"/>
      <c r="F21" s="113"/>
      <c r="G21" s="260">
        <v>0.09</v>
      </c>
      <c r="H21" s="259">
        <v>5.35</v>
      </c>
      <c r="I21" s="240"/>
      <c r="J21" s="113"/>
      <c r="K21" s="260">
        <v>0.05</v>
      </c>
      <c r="L21" s="259">
        <v>5.36</v>
      </c>
      <c r="M21" s="241"/>
      <c r="N21" s="18"/>
      <c r="O21" s="113"/>
      <c r="P21" s="260">
        <v>0.06</v>
      </c>
      <c r="Q21" s="259">
        <v>5.44</v>
      </c>
      <c r="R21" s="245"/>
      <c r="S21" s="18"/>
      <c r="T21" s="113"/>
      <c r="U21" s="260">
        <v>0.1</v>
      </c>
      <c r="V21" s="259">
        <v>5.32</v>
      </c>
      <c r="W21" s="245"/>
      <c r="X21" s="18"/>
      <c r="Y21" s="113"/>
      <c r="Z21" s="260">
        <v>5.29</v>
      </c>
      <c r="AA21" s="259">
        <v>5.36</v>
      </c>
      <c r="AB21" s="245"/>
      <c r="AC21" s="18"/>
      <c r="AD21" s="113"/>
      <c r="AE21" s="260">
        <v>0.03</v>
      </c>
      <c r="AF21" s="259">
        <v>5.41</v>
      </c>
      <c r="AG21" s="241"/>
      <c r="AH21" s="241"/>
      <c r="AI21" s="156"/>
      <c r="AJ21" s="165" t="s">
        <v>39</v>
      </c>
      <c r="AK21" s="19">
        <f>D93+D191</f>
        <v>0.65000000000000013</v>
      </c>
      <c r="AL21" s="19">
        <f>M93+M191</f>
        <v>0.65000000000000013</v>
      </c>
      <c r="AM21" s="19">
        <f>R93+R56+R191</f>
        <v>0.65000000000000013</v>
      </c>
      <c r="AN21" s="19">
        <f>W93+W56+W191</f>
        <v>0.79</v>
      </c>
      <c r="AO21" s="19">
        <f>AB56</f>
        <v>0.38000000000000006</v>
      </c>
      <c r="AP21" s="19"/>
      <c r="AQ21" s="165">
        <f t="shared" si="0"/>
        <v>0.624</v>
      </c>
      <c r="AR21" s="111"/>
      <c r="AS21" s="111"/>
      <c r="AT21" s="111"/>
      <c r="AU21" s="25"/>
      <c r="AV21" s="25"/>
      <c r="AW21" s="25"/>
    </row>
    <row r="22" spans="1:49" s="21" customFormat="1" x14ac:dyDescent="0.25">
      <c r="A22" s="261"/>
      <c r="B22" s="260"/>
      <c r="C22" s="259"/>
      <c r="D22" s="240"/>
      <c r="E22" s="18"/>
      <c r="F22" s="113"/>
      <c r="G22" s="260"/>
      <c r="H22" s="259"/>
      <c r="I22" s="240"/>
      <c r="J22" s="113"/>
      <c r="K22" s="260"/>
      <c r="L22" s="259"/>
      <c r="M22" s="241"/>
      <c r="N22" s="18"/>
      <c r="O22" s="113"/>
      <c r="P22" s="260"/>
      <c r="Q22" s="259"/>
      <c r="R22" s="245"/>
      <c r="S22" s="18"/>
      <c r="T22" s="113"/>
      <c r="U22" s="260"/>
      <c r="V22" s="259"/>
      <c r="W22" s="245"/>
      <c r="X22" s="18"/>
      <c r="Y22" s="113"/>
      <c r="Z22" s="260"/>
      <c r="AA22" s="259"/>
      <c r="AB22" s="241">
        <f>Z21-AB21</f>
        <v>5.29</v>
      </c>
      <c r="AC22" s="7" t="s">
        <v>29</v>
      </c>
      <c r="AD22" s="113"/>
      <c r="AE22" s="260"/>
      <c r="AF22" s="259"/>
      <c r="AG22" s="241"/>
      <c r="AH22" s="241"/>
      <c r="AI22" s="156"/>
      <c r="AJ22" s="165" t="s">
        <v>98</v>
      </c>
      <c r="AK22" s="19">
        <f>D149</f>
        <v>0.28000000000000003</v>
      </c>
      <c r="AL22" s="19">
        <f>M149</f>
        <v>0.28000000000000003</v>
      </c>
      <c r="AM22" s="19">
        <f>R73+R80</f>
        <v>0.22</v>
      </c>
      <c r="AN22" s="19">
        <f>W73+W80</f>
        <v>0.28000000000000003</v>
      </c>
      <c r="AO22" s="19">
        <f>AB70</f>
        <v>0.28000000000000003</v>
      </c>
      <c r="AP22" s="19">
        <f>AG70</f>
        <v>0.48</v>
      </c>
      <c r="AQ22" s="165">
        <f>AVERAGE(AK22:AO22)</f>
        <v>0.26800000000000002</v>
      </c>
      <c r="AR22" s="173">
        <f>SUM(AQ19:AQ22)</f>
        <v>0.89200000000000002</v>
      </c>
      <c r="AS22" s="169" t="s">
        <v>294</v>
      </c>
      <c r="AT22" s="111"/>
      <c r="AU22" s="25"/>
      <c r="AV22" s="25"/>
      <c r="AW22" s="25"/>
    </row>
    <row r="23" spans="1:49" s="21" customFormat="1" x14ac:dyDescent="0.25">
      <c r="A23" s="242">
        <v>10</v>
      </c>
      <c r="B23" s="241">
        <v>0.06</v>
      </c>
      <c r="C23" s="240">
        <v>5.51</v>
      </c>
      <c r="D23" s="240"/>
      <c r="E23" s="240"/>
      <c r="F23" s="113"/>
      <c r="G23" s="241">
        <v>7.0000000000000007E-2</v>
      </c>
      <c r="H23" s="240">
        <v>5.44</v>
      </c>
      <c r="I23" s="240"/>
      <c r="J23" s="113"/>
      <c r="K23" s="241">
        <v>0.05</v>
      </c>
      <c r="L23" s="240">
        <v>5.45</v>
      </c>
      <c r="M23" s="241"/>
      <c r="N23" s="240"/>
      <c r="O23" s="113"/>
      <c r="P23" s="241">
        <v>0.04</v>
      </c>
      <c r="Q23" s="240">
        <v>5.53</v>
      </c>
      <c r="R23" s="241"/>
      <c r="S23" s="240"/>
      <c r="T23" s="113"/>
      <c r="U23" s="260">
        <v>11.12</v>
      </c>
      <c r="V23" s="259">
        <v>5.59</v>
      </c>
      <c r="W23" s="245"/>
      <c r="X23" s="246"/>
      <c r="Y23" s="113"/>
      <c r="Z23" s="241">
        <v>0.84</v>
      </c>
      <c r="AA23" s="240">
        <v>5.48</v>
      </c>
      <c r="AB23" s="241"/>
      <c r="AC23" s="240"/>
      <c r="AD23" s="113"/>
      <c r="AE23" s="241">
        <v>0.11</v>
      </c>
      <c r="AF23" s="240">
        <v>5.52</v>
      </c>
      <c r="AG23" s="241"/>
      <c r="AH23" s="241"/>
      <c r="AI23" s="156"/>
      <c r="AJ23" s="166" t="s">
        <v>182</v>
      </c>
      <c r="AK23" s="19">
        <f>D222+D219+D240</f>
        <v>1.4500000000000002</v>
      </c>
      <c r="AL23" s="19">
        <f>M222+M219+M240</f>
        <v>1.0699999999999998</v>
      </c>
      <c r="AM23" s="19">
        <f>R188+R190+R163</f>
        <v>1.56</v>
      </c>
      <c r="AN23" s="19">
        <f>W148+W163+W175</f>
        <v>1.8199999999999998</v>
      </c>
      <c r="AO23" s="19">
        <f>AB95+AB121+AB175</f>
        <v>1.2199999999999998</v>
      </c>
      <c r="AQ23" s="166">
        <f>AVERAGE(AK23:AO23)</f>
        <v>1.4239999999999999</v>
      </c>
      <c r="AR23" s="111"/>
      <c r="AS23" s="111"/>
      <c r="AT23" s="111"/>
      <c r="AU23" s="25"/>
      <c r="AV23" s="25"/>
      <c r="AW23" s="25"/>
    </row>
    <row r="24" spans="1:49" s="21" customFormat="1" x14ac:dyDescent="0.25">
      <c r="A24" s="261">
        <v>11</v>
      </c>
      <c r="B24" s="260">
        <v>10.92</v>
      </c>
      <c r="C24" s="259">
        <v>5.61</v>
      </c>
      <c r="D24" s="240"/>
      <c r="E24" s="8"/>
      <c r="F24" s="113"/>
      <c r="G24" s="260">
        <v>11.77</v>
      </c>
      <c r="H24" s="259">
        <v>5.59</v>
      </c>
      <c r="I24" s="240"/>
      <c r="J24" s="113"/>
      <c r="K24" s="260">
        <v>10.7</v>
      </c>
      <c r="L24" s="259">
        <v>5.57</v>
      </c>
      <c r="M24" s="241"/>
      <c r="N24" s="8"/>
      <c r="O24" s="113"/>
      <c r="P24" s="260">
        <v>11.06</v>
      </c>
      <c r="Q24" s="259">
        <v>5.67</v>
      </c>
      <c r="R24" s="241"/>
      <c r="S24" s="8"/>
      <c r="T24" s="113"/>
      <c r="U24" s="260"/>
      <c r="V24" s="259"/>
      <c r="W24" s="241"/>
      <c r="X24" s="8"/>
      <c r="Y24" s="113"/>
      <c r="Z24" s="260">
        <v>10.61</v>
      </c>
      <c r="AA24" s="259">
        <v>5.6</v>
      </c>
      <c r="AB24" s="241"/>
      <c r="AC24" s="240"/>
      <c r="AD24" s="113"/>
      <c r="AE24" s="260">
        <v>10.050000000000001</v>
      </c>
      <c r="AF24" s="259">
        <v>5.66</v>
      </c>
      <c r="AG24" s="241">
        <v>5</v>
      </c>
      <c r="AH24" s="74" t="s">
        <v>335</v>
      </c>
      <c r="AI24" s="156"/>
      <c r="AJ24" s="159" t="s">
        <v>183</v>
      </c>
      <c r="AK24" s="19">
        <f>D33+D34+D60+D64+D75+D76+D77+D87+D92+D89+D108+D125+D129+D135+D136+D140+D134+D133+D142+D138+D147+D148+D152+D154+D155+D156+D158+D164+D169+D167+D171+D172+D174+D178+D190+D189+D196+D217+D221+D232+D233+D239+D244</f>
        <v>7.5566666666666649</v>
      </c>
      <c r="AL24" s="19">
        <f>M33+M34+M60+M64+M75+M76+M77+M87+M92+M89+M108+M125+M129+M135+M136+M140+M134+M133+M142+M138+M147+M148+M152+M154+M155+M156+M158+M164+M169+M167+M171+M172+M174+M178+M190+M189+M196+M217+M232+M233+M239+M244+M194+M197</f>
        <v>8.4399999999999977</v>
      </c>
      <c r="AM24" s="19">
        <f>R33+R34+R60+R61+R64+R75+R76+R77+R87+R92+R89+R100+R102+R101+R108+R125+R126+R129+R136+R134+R140+R144+R147+R151+R154+R155+R161+R172+R171+R178+R197+R135+R86+R194</f>
        <v>8.4659999999999993</v>
      </c>
      <c r="AN24" s="19">
        <f>W33+W34+W60+W61+W64+W75+W76+W77+W87+W92+W89+W100+W102+W101+W108+W125+W126+W129+W136+W134+W140+W144+W147+W151+W154+W155+W161+W172+W171+W178+W197+W135+W86</f>
        <v>8.6033333333333317</v>
      </c>
      <c r="AO24" s="19">
        <f>AB33+AB60+AB61+AB64+AB75+AB73+AB77+AB92+AB89+AB125+AB135+AB136+AB134+AB154+AB155+AB46+AB178+AB101+AB102+AB129+AB144+AB161+AB171+AB138+AB47</f>
        <v>7.120000000000001</v>
      </c>
      <c r="AP24" s="244">
        <f>AG33+AG46+AG60+AG64+AG73+AG75+AG89+AG92+AG101+AG102+AG125+AG129+AG134+AG135+AG136+AG138+AG154+AG155+AG161+AG171+AG175+AG178+AG24+AG62+AG41+AG69</f>
        <v>8.6316666666666677</v>
      </c>
      <c r="AQ24" s="159">
        <f>AVERAGE(AK24:AP24)</f>
        <v>8.1362777777777762</v>
      </c>
      <c r="AR24" s="111"/>
      <c r="AS24" s="111"/>
      <c r="AT24" s="111"/>
      <c r="AU24" s="25"/>
      <c r="AV24" s="25"/>
      <c r="AW24" s="25"/>
    </row>
    <row r="25" spans="1:49" s="21" customFormat="1" x14ac:dyDescent="0.25">
      <c r="A25" s="261"/>
      <c r="B25" s="260"/>
      <c r="C25" s="259"/>
      <c r="D25" s="240">
        <f>B24-D24</f>
        <v>10.92</v>
      </c>
      <c r="E25" s="54" t="s">
        <v>34</v>
      </c>
      <c r="F25" s="113"/>
      <c r="G25" s="260"/>
      <c r="H25" s="259"/>
      <c r="I25" s="240"/>
      <c r="J25" s="113"/>
      <c r="K25" s="260"/>
      <c r="L25" s="259"/>
      <c r="M25" s="241">
        <f>K24-M24</f>
        <v>10.7</v>
      </c>
      <c r="N25" s="54" t="s">
        <v>34</v>
      </c>
      <c r="O25" s="113"/>
      <c r="P25" s="260"/>
      <c r="Q25" s="259"/>
      <c r="R25" s="241">
        <f>P24-R24</f>
        <v>11.06</v>
      </c>
      <c r="S25" s="54" t="s">
        <v>34</v>
      </c>
      <c r="T25" s="113"/>
      <c r="U25" s="260"/>
      <c r="V25" s="259"/>
      <c r="W25" s="241">
        <f>U23-W24+U26-W26-W28-W29</f>
        <v>9.620000000000001</v>
      </c>
      <c r="X25" s="54" t="s">
        <v>34</v>
      </c>
      <c r="Y25" s="113"/>
      <c r="Z25" s="260"/>
      <c r="AA25" s="259"/>
      <c r="AB25" s="241">
        <f>Z24</f>
        <v>10.61</v>
      </c>
      <c r="AC25" s="54" t="s">
        <v>34</v>
      </c>
      <c r="AD25" s="113"/>
      <c r="AE25" s="260"/>
      <c r="AF25" s="259"/>
      <c r="AG25" s="241">
        <f>AE24-AG24</f>
        <v>5.0500000000000007</v>
      </c>
      <c r="AH25" s="54" t="s">
        <v>34</v>
      </c>
      <c r="AI25" s="156"/>
      <c r="AJ25" s="19" t="s">
        <v>34</v>
      </c>
      <c r="AK25" s="19">
        <f>D25+D13+D4+D43+D68+D98</f>
        <v>44.769999999999996</v>
      </c>
      <c r="AL25" s="19">
        <f>M25+M13+M4+M43+M68+M98</f>
        <v>45.779999999999994</v>
      </c>
      <c r="AM25" s="19">
        <f>R4+R13+R25+R43+R68+R98</f>
        <v>45.99</v>
      </c>
      <c r="AN25" s="19">
        <f>W4+W13+W25+W43+W68+W98</f>
        <v>45.289999999999992</v>
      </c>
      <c r="AO25" s="19">
        <f>AB4+AB13+AB25+AB43+AB68+AB98</f>
        <v>45.419999999999995</v>
      </c>
      <c r="AP25" s="241">
        <f>AG4+AG13+AG25+AG43+AG68+AG98</f>
        <v>39.75</v>
      </c>
    </row>
    <row r="26" spans="1:49" s="21" customFormat="1" x14ac:dyDescent="0.25">
      <c r="A26" s="261">
        <v>12</v>
      </c>
      <c r="B26" s="260">
        <v>0.37</v>
      </c>
      <c r="C26" s="259">
        <v>5.83</v>
      </c>
      <c r="D26" s="240">
        <f>D29</f>
        <v>0.185</v>
      </c>
      <c r="E26" s="10" t="s">
        <v>59</v>
      </c>
      <c r="F26" s="113"/>
      <c r="G26" s="260">
        <v>0.14000000000000001</v>
      </c>
      <c r="H26" s="259">
        <v>5.73</v>
      </c>
      <c r="I26" s="240"/>
      <c r="J26" s="113"/>
      <c r="K26" s="260">
        <v>0.39</v>
      </c>
      <c r="L26" s="259">
        <v>5.76</v>
      </c>
      <c r="M26" s="241">
        <f>M29</f>
        <v>0.19500000000000001</v>
      </c>
      <c r="N26" s="10" t="s">
        <v>59</v>
      </c>
      <c r="O26" s="113"/>
      <c r="P26" s="260">
        <v>0.45</v>
      </c>
      <c r="Q26" s="259">
        <v>5.86</v>
      </c>
      <c r="R26" s="241">
        <f>R29</f>
        <v>0.22500000000000001</v>
      </c>
      <c r="S26" s="10" t="s">
        <v>59</v>
      </c>
      <c r="T26" s="113"/>
      <c r="U26" s="260">
        <v>0.65</v>
      </c>
      <c r="V26" s="259">
        <v>5.78</v>
      </c>
      <c r="W26" s="241">
        <f>W29</f>
        <v>0.32500000000000001</v>
      </c>
      <c r="X26" s="10" t="s">
        <v>59</v>
      </c>
      <c r="Y26" s="113"/>
      <c r="Z26" s="260">
        <v>16.55</v>
      </c>
      <c r="AA26" s="259">
        <v>5.83</v>
      </c>
      <c r="AB26" s="241">
        <f>R26+R47</f>
        <v>0.46499999999999997</v>
      </c>
      <c r="AC26" s="10" t="s">
        <v>59</v>
      </c>
      <c r="AD26" s="113"/>
      <c r="AE26" s="260">
        <v>0.21</v>
      </c>
      <c r="AF26" s="259">
        <v>5.85</v>
      </c>
      <c r="AG26" s="241">
        <v>0.19</v>
      </c>
      <c r="AH26" s="10" t="s">
        <v>59</v>
      </c>
      <c r="AI26" s="156"/>
      <c r="AJ26" s="19" t="s">
        <v>33</v>
      </c>
      <c r="AK26" s="241">
        <f t="shared" ref="AK26:AP26" si="1">SUM(AK5:AK25)</f>
        <v>96.796666666666653</v>
      </c>
      <c r="AL26" s="241">
        <f>SUM(AL5:AL25)</f>
        <v>96.429999999999993</v>
      </c>
      <c r="AM26" s="241">
        <f t="shared" si="1"/>
        <v>96.079999999999984</v>
      </c>
      <c r="AN26" s="241">
        <f t="shared" si="1"/>
        <v>96.726666666666659</v>
      </c>
      <c r="AO26" s="241">
        <f t="shared" si="1"/>
        <v>93.775000000000006</v>
      </c>
      <c r="AP26" s="241">
        <f t="shared" si="1"/>
        <v>94.816666666666663</v>
      </c>
    </row>
    <row r="27" spans="1:49" s="21" customFormat="1" x14ac:dyDescent="0.25">
      <c r="A27" s="261"/>
      <c r="B27" s="260"/>
      <c r="C27" s="259"/>
      <c r="D27" s="56"/>
      <c r="E27" s="56"/>
      <c r="F27" s="113"/>
      <c r="G27" s="260"/>
      <c r="H27" s="259"/>
      <c r="I27" s="240"/>
      <c r="J27" s="113"/>
      <c r="K27" s="260"/>
      <c r="L27" s="259"/>
      <c r="M27" s="56"/>
      <c r="N27" s="56"/>
      <c r="O27" s="113"/>
      <c r="P27" s="260"/>
      <c r="Q27" s="259"/>
      <c r="R27" s="56"/>
      <c r="S27" s="56"/>
      <c r="T27" s="113"/>
      <c r="U27" s="260"/>
      <c r="V27" s="259"/>
      <c r="W27" s="56"/>
      <c r="X27" s="56"/>
      <c r="Y27" s="113"/>
      <c r="Z27" s="260"/>
      <c r="AA27" s="259"/>
      <c r="AB27" s="241">
        <v>0.69</v>
      </c>
      <c r="AC27" s="58" t="s">
        <v>18</v>
      </c>
      <c r="AD27" s="113"/>
      <c r="AE27" s="260"/>
      <c r="AF27" s="259"/>
      <c r="AG27" s="241">
        <v>0.01</v>
      </c>
      <c r="AH27" s="58" t="s">
        <v>18</v>
      </c>
      <c r="AI27" s="156"/>
      <c r="AK27" s="117">
        <f>D253</f>
        <v>96.796666666666738</v>
      </c>
      <c r="AL27" s="117">
        <f>M253</f>
        <v>96.430000000000064</v>
      </c>
      <c r="AM27" s="117">
        <f>R253</f>
        <v>96.080000000000027</v>
      </c>
      <c r="AN27" s="117">
        <f>W253</f>
        <v>96.726666666666702</v>
      </c>
      <c r="AO27" s="117">
        <f>AB253</f>
        <v>93.775000000000006</v>
      </c>
      <c r="AP27" s="117">
        <f>AG253</f>
        <v>94.816666666666677</v>
      </c>
    </row>
    <row r="28" spans="1:49" s="21" customFormat="1" x14ac:dyDescent="0.25">
      <c r="A28" s="261"/>
      <c r="B28" s="260"/>
      <c r="C28" s="259"/>
      <c r="D28" s="240"/>
      <c r="E28" s="240"/>
      <c r="F28" s="113"/>
      <c r="G28" s="260">
        <v>0.55000000000000004</v>
      </c>
      <c r="H28" s="259">
        <v>5.8</v>
      </c>
      <c r="I28" s="240"/>
      <c r="J28" s="113"/>
      <c r="K28" s="260"/>
      <c r="L28" s="259"/>
      <c r="M28" s="241"/>
      <c r="N28" s="240"/>
      <c r="O28" s="113"/>
      <c r="P28" s="260"/>
      <c r="Q28" s="259"/>
      <c r="R28" s="241"/>
      <c r="S28" s="240"/>
      <c r="T28" s="113"/>
      <c r="U28" s="260"/>
      <c r="V28" s="259"/>
      <c r="W28" s="19">
        <v>1.5</v>
      </c>
      <c r="X28" s="249" t="s">
        <v>27</v>
      </c>
      <c r="Y28" s="113"/>
      <c r="Z28" s="260"/>
      <c r="AA28" s="259"/>
      <c r="AB28" s="241">
        <f>10.92</f>
        <v>10.92</v>
      </c>
      <c r="AC28" s="249" t="s">
        <v>27</v>
      </c>
      <c r="AD28" s="113"/>
      <c r="AE28" s="260"/>
      <c r="AF28" s="259"/>
      <c r="AG28" s="241">
        <v>0.01</v>
      </c>
      <c r="AH28" s="249" t="s">
        <v>27</v>
      </c>
      <c r="AI28" s="156"/>
    </row>
    <row r="29" spans="1:49" s="21" customFormat="1" x14ac:dyDescent="0.25">
      <c r="A29" s="261"/>
      <c r="B29" s="260"/>
      <c r="C29" s="259"/>
      <c r="D29" s="240">
        <f>B26/2</f>
        <v>0.185</v>
      </c>
      <c r="E29" s="7" t="s">
        <v>58</v>
      </c>
      <c r="F29" s="113"/>
      <c r="G29" s="260"/>
      <c r="H29" s="259"/>
      <c r="I29" s="240"/>
      <c r="J29" s="113"/>
      <c r="K29" s="260"/>
      <c r="L29" s="259"/>
      <c r="M29" s="241">
        <f>K26/2</f>
        <v>0.19500000000000001</v>
      </c>
      <c r="N29" s="7" t="s">
        <v>58</v>
      </c>
      <c r="O29" s="113"/>
      <c r="P29" s="260"/>
      <c r="Q29" s="259"/>
      <c r="R29" s="241">
        <f>P26/2</f>
        <v>0.22500000000000001</v>
      </c>
      <c r="S29" s="7" t="s">
        <v>58</v>
      </c>
      <c r="T29" s="113"/>
      <c r="U29" s="260"/>
      <c r="V29" s="259"/>
      <c r="W29" s="241">
        <f>U26/2</f>
        <v>0.32500000000000001</v>
      </c>
      <c r="X29" s="7" t="s">
        <v>58</v>
      </c>
      <c r="Y29" s="113"/>
      <c r="Z29" s="260"/>
      <c r="AA29" s="259"/>
      <c r="AB29" s="241">
        <v>2</v>
      </c>
      <c r="AC29" s="7" t="s">
        <v>58</v>
      </c>
      <c r="AD29" s="113"/>
      <c r="AE29" s="241">
        <v>0.27</v>
      </c>
      <c r="AF29" s="240">
        <v>5.96</v>
      </c>
      <c r="AG29" s="241">
        <f>AE29</f>
        <v>0.27</v>
      </c>
      <c r="AH29" s="7" t="s">
        <v>58</v>
      </c>
      <c r="AI29" s="156"/>
    </row>
    <row r="30" spans="1:49" s="21" customFormat="1" x14ac:dyDescent="0.25">
      <c r="A30" s="261">
        <v>13</v>
      </c>
      <c r="B30" s="260">
        <v>0.04</v>
      </c>
      <c r="C30" s="259">
        <v>5.91</v>
      </c>
      <c r="D30" s="240"/>
      <c r="E30" s="240"/>
      <c r="F30" s="113"/>
      <c r="G30" s="260">
        <v>0.19</v>
      </c>
      <c r="H30" s="259">
        <v>5.91</v>
      </c>
      <c r="I30" s="240"/>
      <c r="J30" s="113"/>
      <c r="K30" s="260">
        <v>0.06</v>
      </c>
      <c r="L30" s="259">
        <v>5.89</v>
      </c>
      <c r="M30" s="241"/>
      <c r="N30" s="240"/>
      <c r="O30" s="113"/>
      <c r="P30" s="241">
        <v>7.0000000000000007E-2</v>
      </c>
      <c r="Q30" s="240">
        <v>5.98</v>
      </c>
      <c r="R30" s="241">
        <f>P30</f>
        <v>7.0000000000000007E-2</v>
      </c>
      <c r="S30" s="58" t="s">
        <v>60</v>
      </c>
      <c r="T30" s="113"/>
      <c r="U30" s="241">
        <v>0.08</v>
      </c>
      <c r="V30" s="240">
        <v>5.91</v>
      </c>
      <c r="W30" s="241">
        <f>U30</f>
        <v>0.08</v>
      </c>
      <c r="X30" s="58" t="s">
        <v>60</v>
      </c>
      <c r="Y30" s="113"/>
      <c r="Z30" s="260">
        <v>1.78</v>
      </c>
      <c r="AA30" s="259">
        <v>5.95</v>
      </c>
      <c r="AB30" s="241">
        <f>Z30/2</f>
        <v>0.89</v>
      </c>
      <c r="AC30" s="58" t="s">
        <v>60</v>
      </c>
      <c r="AD30" s="113"/>
      <c r="AE30" s="260">
        <v>0.02</v>
      </c>
      <c r="AF30" s="259">
        <v>6.06</v>
      </c>
      <c r="AG30" s="241">
        <v>0.01</v>
      </c>
      <c r="AH30" s="58" t="s">
        <v>60</v>
      </c>
      <c r="AI30" s="156"/>
      <c r="AJ30" s="185" t="s">
        <v>311</v>
      </c>
      <c r="AK30" s="19">
        <f>D12+D26+D29+D47+D55+D82+D84+D86+D88+D89+D91+D92+D96+D107+D108+D109+D110+D114+D127+D132+D136+D137+D138+D141+D142+D145+D147+D148+D149+D154+D155+D156+D158+D163+D167+D172+D174+D177+D178+D179+D188+D195+D194+D210+D215+D219+D238+D244</f>
        <v>14.016666666666667</v>
      </c>
      <c r="AL30" s="19">
        <f>M12+M26+M29+M47+M55+M82+M84+M86+M88+M89+M91+M92+M96+M107+M108+M109+M110+M114+M127+M132+M136+M137+M138+M141+M142+M145+M147+M148+M149+M154+M155+M156+M158+M163+M167+M172+M174+M177+M178+M179+M188+M195+M194+M210+M215+M219+M238+M244</f>
        <v>15.509999999999994</v>
      </c>
      <c r="AM30" s="19">
        <f>R12+R26+R29+R47+R55+R82+R84+R86+R88+R89+R91+R92+R96+R107+R108+R109+R110+R114+R129+R132+R136+R137+R138+R141+R142+R145+R147+R148+R151+R154+R155+R156+R161+R166+R167+R172+R174+R177+R178+R179+R190+R196+R194+R210+R215+R219+R238+R244+R40+R30+R54+R80+R102</f>
        <v>13.459999999999997</v>
      </c>
      <c r="AN30" s="19">
        <f>W12+W26+W29+W47+W55+W82+W84+W86+W88+W89+W91+W92+W96+W107+W108+W109+W110+W114+W129+W132+W136+W137+W138+W141+W142+W145+W147+W149+W151+W154+W155+W156+W161+W166+W167+W172+W175+W177+W178+W179+W190+W196+W194+W210+W215+W219+W238+W244+W40+W30+W54+W80+W102+W53</f>
        <v>15.629999999999997</v>
      </c>
      <c r="AO30" s="19">
        <f>AB12+AB26+AB29+AB47+AB82+AB84+AB86+AB88+AB89+AB91+AB92+AB96+AB107+AB108+AB109+AB110+AB114+AB129+AB132+AB136+AB137+AB138+AB141+AB142+AB145+AB147+AB149+AB151+AB154+AB155+AB156+AB161+AB166+AB167+AB172+AB175+AB177+AB178+AB179+AB190+AB196+AB194+AB210+AB215+AB219+AB238+AB244+AB40+AB30+AB54+AB73+AB102+AB53+AB20+AB31</f>
        <v>13.22</v>
      </c>
      <c r="AP30" s="204">
        <f>AG12+AG20+AG26+AG29+AG30+AG31+AG47+AG49+AG53+AG70+AG73+AG84+AG89+AG92+AG102+AG129+AG136+AG138+AG154+AG155+AG161+AG175+AG178+AG19+AG62</f>
        <v>13.848333333333331</v>
      </c>
      <c r="AQ30" s="185">
        <f>AVERAGE(AK30:AP30)</f>
        <v>14.280833333333332</v>
      </c>
    </row>
    <row r="31" spans="1:49" s="21" customFormat="1" x14ac:dyDescent="0.25">
      <c r="A31" s="261"/>
      <c r="B31" s="260"/>
      <c r="C31" s="259"/>
      <c r="D31" s="240"/>
      <c r="E31" s="240"/>
      <c r="F31" s="113"/>
      <c r="G31" s="260"/>
      <c r="H31" s="259"/>
      <c r="I31" s="240"/>
      <c r="J31" s="113"/>
      <c r="K31" s="260"/>
      <c r="L31" s="259"/>
      <c r="M31" s="241"/>
      <c r="N31" s="240"/>
      <c r="O31" s="113"/>
      <c r="P31" s="241">
        <v>0.05</v>
      </c>
      <c r="Q31" s="240">
        <v>6.03</v>
      </c>
      <c r="R31" s="241"/>
      <c r="S31" s="240"/>
      <c r="T31" s="113"/>
      <c r="U31" s="241">
        <v>0.04</v>
      </c>
      <c r="V31" s="240">
        <v>5.98</v>
      </c>
      <c r="W31" s="241"/>
      <c r="X31" s="240"/>
      <c r="Y31" s="113"/>
      <c r="Z31" s="260"/>
      <c r="AA31" s="259"/>
      <c r="AB31" s="241">
        <f>Z30+Z33-AB30-AB33-AB35-AB38</f>
        <v>3.92</v>
      </c>
      <c r="AC31" s="249" t="s">
        <v>61</v>
      </c>
      <c r="AD31" s="113"/>
      <c r="AE31" s="260"/>
      <c r="AF31" s="259"/>
      <c r="AG31" s="241">
        <v>0.01</v>
      </c>
      <c r="AH31" s="249" t="s">
        <v>61</v>
      </c>
      <c r="AI31" s="156"/>
      <c r="AJ31" s="186" t="s">
        <v>312</v>
      </c>
      <c r="AK31" s="19">
        <f>D26+D47+D60+D50+D74+D88+D89+D93+D96+D127+D134+D137+D138+D145+D149+D154+D172+D177+D178+D183+D191+D215+D222</f>
        <v>4.4749999999999996</v>
      </c>
      <c r="AL31" s="19">
        <f>M26+M47+M60+M50+M74+M88+M89+M93+M96+M127+M134+M137+M138+M145+M149+M154+M172+M177+M178+M183+M191+M215+M222</f>
        <v>5.0650000000000004</v>
      </c>
      <c r="AM31" s="19">
        <f>R26+R47+R60+R50+R74+R88+R89+R93+R96+R129+R134+R137+R145+R161+R154+R172+R188+R178+R183+R191+R215+R222+R30+R54+R80</f>
        <v>5.9950000000000001</v>
      </c>
      <c r="AN31" s="19">
        <f>W26+W47+W60+W71+W74+W88+W89+W93+W96+W129+W134+W137+W148+W145+W161+W154+W172+W181+W178+W183+W191+W215+W222+W30+W54+W80+W50+W53</f>
        <v>7.4566666666666679</v>
      </c>
      <c r="AO31" s="19">
        <f>AB26+AB56+AB60+AB70+AB74+AB88+AB89+AB93+AB96+AB129+AB134+AB138+AB95+AB145+AB161+AB154+AB172+AB181+AB178+AB183+AB191+AB215+AB222+AB30+AB54+AB80+AB50+AB53+AB27</f>
        <v>5.3000000000000007</v>
      </c>
      <c r="AP31" s="19"/>
      <c r="AQ31" s="186">
        <f>AVERAGE(AK31:AP31)</f>
        <v>5.6583333333333332</v>
      </c>
    </row>
    <row r="32" spans="1:49" s="21" customFormat="1" x14ac:dyDescent="0.25">
      <c r="A32" s="261"/>
      <c r="B32" s="260"/>
      <c r="C32" s="259"/>
      <c r="D32" s="240"/>
      <c r="E32" s="8"/>
      <c r="F32" s="113"/>
      <c r="G32" s="260"/>
      <c r="H32" s="259"/>
      <c r="I32" s="240"/>
      <c r="J32" s="113"/>
      <c r="K32" s="241">
        <v>0.01</v>
      </c>
      <c r="L32" s="240">
        <v>5.96</v>
      </c>
      <c r="M32" s="241"/>
      <c r="N32" s="8"/>
      <c r="O32" s="113"/>
      <c r="P32" s="241">
        <v>0.01</v>
      </c>
      <c r="Q32" s="240">
        <v>6.07</v>
      </c>
      <c r="R32" s="241"/>
      <c r="S32" s="8"/>
      <c r="T32" s="113"/>
      <c r="U32" s="241">
        <v>0.02</v>
      </c>
      <c r="V32" s="240">
        <v>6.02</v>
      </c>
      <c r="W32" s="241"/>
      <c r="X32" s="8"/>
      <c r="Y32" s="113"/>
      <c r="Z32" s="260"/>
      <c r="AA32" s="259"/>
      <c r="AB32" s="241"/>
      <c r="AC32" s="240"/>
      <c r="AD32" s="113"/>
      <c r="AE32" s="260"/>
      <c r="AF32" s="259"/>
      <c r="AG32" s="241"/>
      <c r="AH32" s="240"/>
      <c r="AI32" s="156"/>
    </row>
    <row r="33" spans="1:41" s="21" customFormat="1" x14ac:dyDescent="0.25">
      <c r="A33" s="261">
        <v>14</v>
      </c>
      <c r="B33" s="260">
        <v>0.05</v>
      </c>
      <c r="C33" s="259">
        <v>6.03</v>
      </c>
      <c r="D33" s="240"/>
      <c r="E33" s="18"/>
      <c r="F33" s="113"/>
      <c r="G33" s="241">
        <v>0.23</v>
      </c>
      <c r="H33" s="240">
        <v>5.97</v>
      </c>
      <c r="I33" s="240"/>
      <c r="J33" s="113"/>
      <c r="K33" s="260">
        <v>0.03</v>
      </c>
      <c r="L33" s="259">
        <v>6.06</v>
      </c>
      <c r="M33" s="241"/>
      <c r="N33" s="18"/>
      <c r="O33" s="113"/>
      <c r="P33" s="260">
        <v>0.03</v>
      </c>
      <c r="Q33" s="259">
        <v>6.15</v>
      </c>
      <c r="R33" s="241"/>
      <c r="S33" s="8"/>
      <c r="T33" s="113"/>
      <c r="U33" s="260">
        <v>1.67</v>
      </c>
      <c r="V33" s="259">
        <v>6.14</v>
      </c>
      <c r="W33" s="241">
        <f>U33-W34-W35-W38</f>
        <v>0.58999999999999986</v>
      </c>
      <c r="X33" s="7" t="s">
        <v>95</v>
      </c>
      <c r="Y33" s="113"/>
      <c r="Z33" s="260">
        <v>6.76</v>
      </c>
      <c r="AA33" s="259">
        <v>6.21</v>
      </c>
      <c r="AB33" s="241">
        <v>2.34</v>
      </c>
      <c r="AC33" s="7" t="s">
        <v>95</v>
      </c>
      <c r="AD33" s="113"/>
      <c r="AE33" s="260">
        <v>1.58</v>
      </c>
      <c r="AF33" s="259">
        <v>6.21</v>
      </c>
      <c r="AG33" s="241">
        <v>0.01</v>
      </c>
      <c r="AH33" s="7" t="s">
        <v>95</v>
      </c>
      <c r="AI33" s="156"/>
    </row>
    <row r="34" spans="1:41" s="21" customFormat="1" x14ac:dyDescent="0.25">
      <c r="A34" s="261"/>
      <c r="B34" s="260"/>
      <c r="C34" s="259"/>
      <c r="D34" s="240"/>
      <c r="E34" s="18"/>
      <c r="F34" s="113"/>
      <c r="G34" s="260">
        <v>7.0000000000000007E-2</v>
      </c>
      <c r="H34" s="259">
        <v>6.05</v>
      </c>
      <c r="I34" s="240"/>
      <c r="J34" s="113"/>
      <c r="K34" s="260"/>
      <c r="L34" s="259"/>
      <c r="M34" s="241"/>
      <c r="N34" s="18"/>
      <c r="O34" s="113"/>
      <c r="P34" s="260"/>
      <c r="Q34" s="259"/>
      <c r="R34" s="241"/>
      <c r="S34" s="8"/>
      <c r="T34" s="113"/>
      <c r="U34" s="260"/>
      <c r="V34" s="259"/>
      <c r="W34" s="241"/>
      <c r="X34" s="8"/>
      <c r="Y34" s="113"/>
      <c r="Z34" s="260"/>
      <c r="AA34" s="259"/>
      <c r="AB34" s="56"/>
      <c r="AC34" s="56"/>
      <c r="AD34" s="113"/>
      <c r="AE34" s="260"/>
      <c r="AF34" s="259"/>
      <c r="AG34" s="241"/>
      <c r="AH34" s="241"/>
      <c r="AI34" s="156"/>
    </row>
    <row r="35" spans="1:41" s="21" customFormat="1" ht="15.75" thickBot="1" x14ac:dyDescent="0.3">
      <c r="A35" s="261"/>
      <c r="B35" s="260"/>
      <c r="C35" s="259"/>
      <c r="D35" s="240"/>
      <c r="E35" s="107"/>
      <c r="F35" s="113"/>
      <c r="G35" s="260"/>
      <c r="H35" s="259"/>
      <c r="I35" s="240"/>
      <c r="J35" s="113"/>
      <c r="K35" s="260"/>
      <c r="L35" s="259"/>
      <c r="M35" s="241"/>
      <c r="N35" s="73"/>
      <c r="O35" s="113"/>
      <c r="P35" s="260"/>
      <c r="Q35" s="259"/>
      <c r="R35" s="245"/>
      <c r="S35" s="246"/>
      <c r="T35" s="113"/>
      <c r="U35" s="260"/>
      <c r="V35" s="259"/>
      <c r="W35" s="245"/>
      <c r="X35" s="246"/>
      <c r="Y35" s="113"/>
      <c r="Z35" s="260"/>
      <c r="AA35" s="259"/>
      <c r="AB35" s="241">
        <f>R63+R35</f>
        <v>0.31000000000000005</v>
      </c>
      <c r="AC35" s="6" t="s">
        <v>170</v>
      </c>
      <c r="AD35" s="113"/>
      <c r="AE35" s="260"/>
      <c r="AF35" s="259"/>
      <c r="AG35" s="241"/>
      <c r="AH35" s="241"/>
      <c r="AI35" s="156"/>
    </row>
    <row r="36" spans="1:41" s="21" customFormat="1" x14ac:dyDescent="0.25">
      <c r="A36" s="261">
        <v>15</v>
      </c>
      <c r="B36" s="260">
        <v>1.08</v>
      </c>
      <c r="C36" s="259">
        <v>6.16</v>
      </c>
      <c r="D36" s="240"/>
      <c r="E36" s="18"/>
      <c r="F36" s="113"/>
      <c r="G36" s="260">
        <v>0.24</v>
      </c>
      <c r="H36" s="259">
        <v>6.16</v>
      </c>
      <c r="I36" s="240"/>
      <c r="J36" s="113"/>
      <c r="K36" s="260">
        <v>1.01</v>
      </c>
      <c r="L36" s="259">
        <v>6.12</v>
      </c>
      <c r="M36" s="241"/>
      <c r="N36" s="18"/>
      <c r="O36" s="113"/>
      <c r="P36" s="260">
        <v>1.08</v>
      </c>
      <c r="Q36" s="259">
        <v>6.23</v>
      </c>
      <c r="R36" s="241"/>
      <c r="S36" s="240"/>
      <c r="T36" s="113"/>
      <c r="U36" s="260"/>
      <c r="V36" s="259"/>
      <c r="W36" s="241"/>
      <c r="X36" s="240"/>
      <c r="Y36" s="113"/>
      <c r="Z36" s="260"/>
      <c r="AA36" s="259"/>
      <c r="AB36" s="241"/>
      <c r="AC36" s="56"/>
      <c r="AD36" s="113"/>
      <c r="AE36" s="260"/>
      <c r="AF36" s="259"/>
      <c r="AG36" s="241"/>
      <c r="AH36" s="241"/>
      <c r="AI36" s="156"/>
      <c r="AJ36" s="30" t="s">
        <v>174</v>
      </c>
      <c r="AK36" s="41" t="s">
        <v>1</v>
      </c>
      <c r="AL36" s="38" t="s">
        <v>2</v>
      </c>
      <c r="AM36" s="41" t="s">
        <v>4</v>
      </c>
      <c r="AN36" s="38" t="s">
        <v>16</v>
      </c>
      <c r="AO36" s="41" t="s">
        <v>5</v>
      </c>
    </row>
    <row r="37" spans="1:41" s="21" customFormat="1" x14ac:dyDescent="0.25">
      <c r="A37" s="261"/>
      <c r="B37" s="260"/>
      <c r="C37" s="259"/>
      <c r="D37" s="240"/>
      <c r="E37" s="18"/>
      <c r="F37" s="113"/>
      <c r="G37" s="260"/>
      <c r="H37" s="259"/>
      <c r="I37" s="240"/>
      <c r="J37" s="113"/>
      <c r="K37" s="260"/>
      <c r="L37" s="259"/>
      <c r="M37" s="241"/>
      <c r="N37" s="18"/>
      <c r="O37" s="113"/>
      <c r="P37" s="260"/>
      <c r="Q37" s="259"/>
      <c r="R37" s="241"/>
      <c r="S37" s="240"/>
      <c r="T37" s="113"/>
      <c r="U37" s="260"/>
      <c r="V37" s="259"/>
      <c r="W37" s="241"/>
      <c r="X37" s="240"/>
      <c r="Y37" s="113"/>
      <c r="Z37" s="260"/>
      <c r="AA37" s="259"/>
      <c r="AB37" s="241"/>
      <c r="AC37" s="240"/>
      <c r="AD37" s="113"/>
      <c r="AE37" s="260"/>
      <c r="AF37" s="259"/>
      <c r="AG37" s="241"/>
      <c r="AH37" s="241"/>
      <c r="AI37" s="156"/>
      <c r="AJ37" s="31" t="s">
        <v>175</v>
      </c>
      <c r="AK37" s="245"/>
      <c r="AL37" s="245"/>
      <c r="AM37" s="245"/>
      <c r="AN37" s="245"/>
      <c r="AO37" s="16"/>
    </row>
    <row r="38" spans="1:41" s="21" customFormat="1" x14ac:dyDescent="0.25">
      <c r="A38" s="261"/>
      <c r="B38" s="260"/>
      <c r="C38" s="259"/>
      <c r="D38" s="240">
        <f>B36</f>
        <v>1.08</v>
      </c>
      <c r="E38" s="6" t="s">
        <v>20</v>
      </c>
      <c r="F38" s="113"/>
      <c r="G38" s="260"/>
      <c r="H38" s="259"/>
      <c r="I38" s="149"/>
      <c r="J38" s="113"/>
      <c r="K38" s="260"/>
      <c r="L38" s="259"/>
      <c r="M38" s="241">
        <f>K36</f>
        <v>1.01</v>
      </c>
      <c r="N38" s="6" t="s">
        <v>20</v>
      </c>
      <c r="O38" s="113"/>
      <c r="P38" s="260"/>
      <c r="Q38" s="259"/>
      <c r="R38" s="241">
        <f>D38</f>
        <v>1.08</v>
      </c>
      <c r="S38" s="6" t="s">
        <v>20</v>
      </c>
      <c r="T38" s="113"/>
      <c r="U38" s="260"/>
      <c r="V38" s="259"/>
      <c r="W38" s="241">
        <f>AB38</f>
        <v>1.08</v>
      </c>
      <c r="X38" s="6" t="s">
        <v>20</v>
      </c>
      <c r="Y38" s="113"/>
      <c r="Z38" s="260"/>
      <c r="AA38" s="259"/>
      <c r="AB38" s="241">
        <f>R38</f>
        <v>1.08</v>
      </c>
      <c r="AC38" s="6" t="s">
        <v>20</v>
      </c>
      <c r="AD38" s="113"/>
      <c r="AE38" s="260"/>
      <c r="AF38" s="259"/>
      <c r="AG38" s="241">
        <v>1.57</v>
      </c>
      <c r="AH38" s="6" t="s">
        <v>20</v>
      </c>
      <c r="AI38" s="156"/>
      <c r="AJ38" s="31" t="s">
        <v>181</v>
      </c>
      <c r="AK38" s="245">
        <f>D219</f>
        <v>0.17</v>
      </c>
      <c r="AL38" s="245">
        <f>M219</f>
        <v>0.17</v>
      </c>
      <c r="AM38" s="245">
        <f>R190</f>
        <v>0.17</v>
      </c>
      <c r="AN38" s="245">
        <f>W175</f>
        <v>0.17</v>
      </c>
      <c r="AO38" s="16">
        <f>AB175</f>
        <v>0.17</v>
      </c>
    </row>
    <row r="39" spans="1:41" s="21" customFormat="1" x14ac:dyDescent="0.25">
      <c r="A39" s="261">
        <v>16</v>
      </c>
      <c r="B39" s="260">
        <v>0.26</v>
      </c>
      <c r="C39" s="259">
        <v>6.27</v>
      </c>
      <c r="D39" s="240"/>
      <c r="E39" s="18"/>
      <c r="F39" s="113"/>
      <c r="G39" s="260">
        <v>0.5</v>
      </c>
      <c r="H39" s="259">
        <v>6.26</v>
      </c>
      <c r="I39" s="240"/>
      <c r="J39" s="113"/>
      <c r="K39" s="260">
        <v>0.11</v>
      </c>
      <c r="L39" s="259">
        <v>6.25</v>
      </c>
      <c r="M39" s="241"/>
      <c r="N39" s="18"/>
      <c r="O39" s="113"/>
      <c r="P39" s="260">
        <v>0.19</v>
      </c>
      <c r="Q39" s="259">
        <v>6.34</v>
      </c>
      <c r="R39" s="241"/>
      <c r="S39" s="8"/>
      <c r="T39" s="113"/>
      <c r="U39" s="260">
        <v>5.32</v>
      </c>
      <c r="V39" s="259">
        <v>6.37</v>
      </c>
      <c r="W39" s="245"/>
      <c r="X39" s="18"/>
      <c r="Y39" s="113"/>
      <c r="Z39" s="260"/>
      <c r="AA39" s="259"/>
      <c r="AB39" s="241"/>
      <c r="AC39" s="56"/>
      <c r="AD39" s="113"/>
      <c r="AE39" s="260">
        <v>0.3</v>
      </c>
      <c r="AF39" s="259">
        <v>6.35</v>
      </c>
      <c r="AG39" s="241"/>
      <c r="AH39" s="241"/>
      <c r="AI39" s="156"/>
      <c r="AJ39" s="31" t="s">
        <v>176</v>
      </c>
      <c r="AK39" s="245"/>
      <c r="AL39" s="245"/>
      <c r="AM39" s="245"/>
      <c r="AN39" s="245"/>
      <c r="AO39" s="16"/>
    </row>
    <row r="40" spans="1:41" s="21" customFormat="1" x14ac:dyDescent="0.25">
      <c r="A40" s="261"/>
      <c r="B40" s="260"/>
      <c r="C40" s="259"/>
      <c r="D40" s="240"/>
      <c r="E40" s="18"/>
      <c r="F40" s="113"/>
      <c r="G40" s="260"/>
      <c r="H40" s="259"/>
      <c r="I40" s="240"/>
      <c r="J40" s="113"/>
      <c r="K40" s="260"/>
      <c r="L40" s="259"/>
      <c r="M40" s="241"/>
      <c r="N40" s="18"/>
      <c r="O40" s="113"/>
      <c r="P40" s="260"/>
      <c r="Q40" s="259"/>
      <c r="R40" s="241">
        <f>P39</f>
        <v>0.19</v>
      </c>
      <c r="S40" s="61" t="s">
        <v>320</v>
      </c>
      <c r="T40" s="113"/>
      <c r="U40" s="260"/>
      <c r="V40" s="259"/>
      <c r="W40" s="245">
        <f>R40</f>
        <v>0.19</v>
      </c>
      <c r="X40" s="61" t="s">
        <v>320</v>
      </c>
      <c r="Y40" s="113"/>
      <c r="Z40" s="260"/>
      <c r="AA40" s="259"/>
      <c r="AB40" s="241"/>
      <c r="AC40" s="56"/>
      <c r="AD40" s="113"/>
      <c r="AE40" s="260"/>
      <c r="AF40" s="259"/>
      <c r="AG40" s="241"/>
      <c r="AH40" s="241"/>
      <c r="AI40" s="156"/>
      <c r="AJ40" s="31" t="s">
        <v>177</v>
      </c>
      <c r="AK40" s="245">
        <f>D240</f>
        <v>0.75</v>
      </c>
      <c r="AL40" s="245">
        <f>M240</f>
        <v>0.37</v>
      </c>
      <c r="AM40" s="245">
        <f>R163</f>
        <v>0.64</v>
      </c>
      <c r="AN40" s="16">
        <f>W163</f>
        <v>0.66</v>
      </c>
      <c r="AO40" s="16">
        <f>AB121</f>
        <v>0.36</v>
      </c>
    </row>
    <row r="41" spans="1:41" s="21" customFormat="1" x14ac:dyDescent="0.25">
      <c r="A41" s="261"/>
      <c r="B41" s="260"/>
      <c r="C41" s="259"/>
      <c r="D41" s="240"/>
      <c r="E41" s="240"/>
      <c r="F41" s="113"/>
      <c r="G41" s="260"/>
      <c r="H41" s="259"/>
      <c r="I41" s="240"/>
      <c r="J41" s="113"/>
      <c r="K41" s="260"/>
      <c r="L41" s="259"/>
      <c r="M41" s="241"/>
      <c r="N41" s="240"/>
      <c r="O41" s="113"/>
      <c r="P41" s="260"/>
      <c r="Q41" s="259"/>
      <c r="R41" s="241"/>
      <c r="S41" s="246"/>
      <c r="T41" s="113"/>
      <c r="U41" s="260"/>
      <c r="V41" s="259"/>
      <c r="W41" s="245"/>
      <c r="X41" s="246"/>
      <c r="Y41" s="113"/>
      <c r="Z41" s="260"/>
      <c r="AA41" s="259"/>
      <c r="AB41" s="245"/>
      <c r="AC41" s="246"/>
      <c r="AD41" s="113"/>
      <c r="AE41" s="260"/>
      <c r="AF41" s="259"/>
      <c r="AG41" s="241">
        <f>AE39</f>
        <v>0.3</v>
      </c>
      <c r="AH41" s="74" t="s">
        <v>361</v>
      </c>
      <c r="AI41" s="156"/>
      <c r="AJ41" s="117" t="s">
        <v>208</v>
      </c>
      <c r="AK41" s="16"/>
      <c r="AL41" s="16"/>
      <c r="AM41" s="16"/>
      <c r="AN41" s="16"/>
      <c r="AO41" s="16"/>
    </row>
    <row r="42" spans="1:41" s="21" customFormat="1" x14ac:dyDescent="0.25">
      <c r="A42" s="261">
        <v>17</v>
      </c>
      <c r="B42" s="260">
        <v>3.83</v>
      </c>
      <c r="C42" s="259">
        <v>6.38</v>
      </c>
      <c r="D42" s="241">
        <f>B42-D43</f>
        <v>3.0000000000000249E-2</v>
      </c>
      <c r="E42" s="63" t="s">
        <v>435</v>
      </c>
      <c r="F42" s="113"/>
      <c r="G42" s="260">
        <v>4.46</v>
      </c>
      <c r="H42" s="259">
        <v>6.37</v>
      </c>
      <c r="I42" s="240"/>
      <c r="J42" s="113"/>
      <c r="K42" s="260">
        <v>3.83</v>
      </c>
      <c r="L42" s="259">
        <v>6.36</v>
      </c>
      <c r="M42" s="241">
        <f>D42</f>
        <v>3.0000000000000249E-2</v>
      </c>
      <c r="N42" s="63" t="s">
        <v>435</v>
      </c>
      <c r="O42" s="113"/>
      <c r="P42" s="260">
        <v>4.2</v>
      </c>
      <c r="Q42" s="259">
        <v>6.46</v>
      </c>
      <c r="R42" s="241">
        <f>P42-R43</f>
        <v>0.40000000000000036</v>
      </c>
      <c r="S42" s="63" t="s">
        <v>502</v>
      </c>
      <c r="T42" s="113"/>
      <c r="U42" s="260"/>
      <c r="V42" s="259"/>
      <c r="W42" s="241">
        <f>U39-W39-W40-W41-W43</f>
        <v>1.33</v>
      </c>
      <c r="X42" s="63" t="s">
        <v>46</v>
      </c>
      <c r="Y42" s="113"/>
      <c r="Z42" s="260">
        <v>3.8</v>
      </c>
      <c r="AA42" s="259">
        <v>6.38</v>
      </c>
      <c r="AB42" s="241"/>
      <c r="AC42" s="56"/>
      <c r="AD42" s="113"/>
      <c r="AE42" s="260">
        <v>3.8</v>
      </c>
      <c r="AF42" s="259">
        <v>6.45</v>
      </c>
      <c r="AG42" s="241"/>
      <c r="AH42" s="241"/>
      <c r="AI42" s="156"/>
      <c r="AJ42" s="31" t="s">
        <v>178</v>
      </c>
      <c r="AK42" s="245">
        <f>D222</f>
        <v>0.53</v>
      </c>
      <c r="AL42" s="245">
        <f>M222</f>
        <v>0.52999999999999992</v>
      </c>
      <c r="AM42" s="245">
        <f>R188</f>
        <v>0.75</v>
      </c>
      <c r="AN42" s="16">
        <f>W148</f>
        <v>0.99</v>
      </c>
      <c r="AO42" s="16">
        <f>AB95</f>
        <v>0.69</v>
      </c>
    </row>
    <row r="43" spans="1:41" s="21" customFormat="1" x14ac:dyDescent="0.25">
      <c r="A43" s="261"/>
      <c r="B43" s="260"/>
      <c r="C43" s="259"/>
      <c r="D43" s="240">
        <f>AG43</f>
        <v>3.8</v>
      </c>
      <c r="E43" s="54" t="s">
        <v>34</v>
      </c>
      <c r="F43" s="113"/>
      <c r="G43" s="260"/>
      <c r="H43" s="259"/>
      <c r="I43" s="240"/>
      <c r="J43" s="113"/>
      <c r="K43" s="260"/>
      <c r="L43" s="259"/>
      <c r="M43" s="241">
        <f>K42-M42</f>
        <v>3.8</v>
      </c>
      <c r="N43" s="54" t="s">
        <v>34</v>
      </c>
      <c r="O43" s="113"/>
      <c r="P43" s="260"/>
      <c r="Q43" s="259"/>
      <c r="R43" s="241">
        <f>AB43</f>
        <v>3.8</v>
      </c>
      <c r="S43" s="54" t="s">
        <v>34</v>
      </c>
      <c r="T43" s="113"/>
      <c r="U43" s="260"/>
      <c r="V43" s="259"/>
      <c r="W43" s="241">
        <f>AB43</f>
        <v>3.8</v>
      </c>
      <c r="X43" s="54" t="s">
        <v>34</v>
      </c>
      <c r="Y43" s="113"/>
      <c r="Z43" s="260"/>
      <c r="AA43" s="259"/>
      <c r="AB43" s="241">
        <f>AG43</f>
        <v>3.8</v>
      </c>
      <c r="AC43" s="54" t="s">
        <v>34</v>
      </c>
      <c r="AD43" s="113"/>
      <c r="AE43" s="260"/>
      <c r="AF43" s="259"/>
      <c r="AG43" s="241">
        <f>AE42</f>
        <v>3.8</v>
      </c>
      <c r="AH43" s="54" t="s">
        <v>34</v>
      </c>
      <c r="AI43" s="156"/>
      <c r="AJ43" s="25" t="s">
        <v>193</v>
      </c>
      <c r="AK43" s="98">
        <f>SUM(AK37:AK42)</f>
        <v>1.4500000000000002</v>
      </c>
      <c r="AL43" s="98">
        <f>SUM(AL37:AL42)</f>
        <v>1.0699999999999998</v>
      </c>
      <c r="AM43" s="98">
        <f>SUM(AM37:AM42)</f>
        <v>1.56</v>
      </c>
      <c r="AN43" s="98">
        <f>SUM(AN37:AN42)</f>
        <v>1.82</v>
      </c>
      <c r="AO43" s="98">
        <f>SUM(AO37:AO42)</f>
        <v>1.22</v>
      </c>
    </row>
    <row r="44" spans="1:41" s="21" customFormat="1" ht="15.75" thickBot="1" x14ac:dyDescent="0.3">
      <c r="A44" s="261">
        <v>18</v>
      </c>
      <c r="B44" s="260">
        <v>0.28000000000000003</v>
      </c>
      <c r="C44" s="259">
        <v>6.52</v>
      </c>
      <c r="D44" s="240"/>
      <c r="E44" s="96"/>
      <c r="F44" s="113"/>
      <c r="G44" s="260">
        <v>0.57999999999999996</v>
      </c>
      <c r="H44" s="259">
        <v>6.5</v>
      </c>
      <c r="I44" s="240"/>
      <c r="J44" s="113"/>
      <c r="K44" s="260">
        <v>0.28000000000000003</v>
      </c>
      <c r="L44" s="259">
        <v>6.5</v>
      </c>
      <c r="M44" s="241"/>
      <c r="N44" s="96"/>
      <c r="O44" s="113"/>
      <c r="P44" s="260">
        <v>0.15</v>
      </c>
      <c r="Q44" s="259">
        <v>6.59</v>
      </c>
      <c r="R44" s="241"/>
      <c r="S44" s="118"/>
      <c r="T44" s="113"/>
      <c r="U44" s="260">
        <v>0.39</v>
      </c>
      <c r="V44" s="259">
        <v>6.49</v>
      </c>
      <c r="W44" s="241"/>
      <c r="X44" s="118"/>
      <c r="Y44" s="113"/>
      <c r="Z44" s="260">
        <v>2.08</v>
      </c>
      <c r="AA44" s="259">
        <v>6.51</v>
      </c>
      <c r="AB44" s="241"/>
      <c r="AC44" s="118"/>
      <c r="AD44" s="113"/>
      <c r="AE44" s="260">
        <v>0.77</v>
      </c>
      <c r="AF44" s="259">
        <v>6.58</v>
      </c>
      <c r="AG44" s="241"/>
      <c r="AH44" s="241"/>
      <c r="AI44" s="156"/>
      <c r="AJ44" s="25"/>
      <c r="AK44" s="97"/>
      <c r="AL44" s="97"/>
      <c r="AM44" s="97"/>
      <c r="AN44" s="97"/>
      <c r="AO44" s="97"/>
    </row>
    <row r="45" spans="1:41" s="21" customFormat="1" x14ac:dyDescent="0.25">
      <c r="A45" s="261"/>
      <c r="B45" s="260"/>
      <c r="C45" s="259"/>
      <c r="D45" s="240"/>
      <c r="E45" s="246"/>
      <c r="F45" s="113"/>
      <c r="G45" s="260"/>
      <c r="H45" s="259"/>
      <c r="I45" s="240"/>
      <c r="J45" s="113"/>
      <c r="K45" s="260"/>
      <c r="L45" s="259"/>
      <c r="M45" s="241"/>
      <c r="N45" s="246"/>
      <c r="O45" s="113"/>
      <c r="P45" s="260"/>
      <c r="Q45" s="259"/>
      <c r="R45" s="241"/>
      <c r="S45" s="240"/>
      <c r="T45" s="113"/>
      <c r="U45" s="260"/>
      <c r="V45" s="259"/>
      <c r="W45" s="241"/>
      <c r="X45" s="240"/>
      <c r="Y45" s="113"/>
      <c r="Z45" s="260"/>
      <c r="AA45" s="259"/>
      <c r="AB45" s="241"/>
      <c r="AC45" s="240"/>
      <c r="AD45" s="113"/>
      <c r="AE45" s="260"/>
      <c r="AF45" s="259"/>
      <c r="AG45" s="241"/>
      <c r="AH45" s="56"/>
      <c r="AI45" s="156"/>
      <c r="AJ45" s="30" t="s">
        <v>179</v>
      </c>
      <c r="AK45" s="41" t="s">
        <v>1</v>
      </c>
      <c r="AL45" s="38" t="s">
        <v>2</v>
      </c>
      <c r="AM45" s="41" t="s">
        <v>4</v>
      </c>
      <c r="AN45" s="38" t="s">
        <v>16</v>
      </c>
      <c r="AO45" s="41" t="s">
        <v>5</v>
      </c>
    </row>
    <row r="46" spans="1:41" s="21" customFormat="1" x14ac:dyDescent="0.25">
      <c r="A46" s="261"/>
      <c r="B46" s="260"/>
      <c r="C46" s="259"/>
      <c r="D46" s="240"/>
      <c r="E46" s="56"/>
      <c r="F46" s="113"/>
      <c r="G46" s="260"/>
      <c r="H46" s="259"/>
      <c r="I46" s="240"/>
      <c r="J46" s="113"/>
      <c r="K46" s="260"/>
      <c r="L46" s="259"/>
      <c r="M46" s="241"/>
      <c r="N46" s="56"/>
      <c r="O46" s="113"/>
      <c r="P46" s="260">
        <v>0.09</v>
      </c>
      <c r="Q46" s="259">
        <v>6.61</v>
      </c>
      <c r="R46" s="241"/>
      <c r="S46" s="8"/>
      <c r="T46" s="113"/>
      <c r="U46" s="260"/>
      <c r="V46" s="259"/>
      <c r="W46" s="241"/>
      <c r="X46" s="8"/>
      <c r="Y46" s="113"/>
      <c r="Z46" s="260"/>
      <c r="AA46" s="259"/>
      <c r="AB46" s="241">
        <f>Z44-AB47</f>
        <v>0.14000000000000012</v>
      </c>
      <c r="AC46" s="7" t="s">
        <v>106</v>
      </c>
      <c r="AD46" s="113"/>
      <c r="AE46" s="260"/>
      <c r="AF46" s="259"/>
      <c r="AG46" s="241">
        <f>0.01/2</f>
        <v>5.0000000000000001E-3</v>
      </c>
      <c r="AH46" s="7" t="s">
        <v>106</v>
      </c>
      <c r="AI46" s="156"/>
      <c r="AJ46" s="31" t="s">
        <v>184</v>
      </c>
      <c r="AK46" s="241">
        <f>D34+D60</f>
        <v>0.1</v>
      </c>
      <c r="AL46" s="241">
        <f>M34+M60</f>
        <v>0.1</v>
      </c>
      <c r="AM46" s="241">
        <f>R34+R60</f>
        <v>0.1</v>
      </c>
      <c r="AN46" s="241">
        <f>W34+W60</f>
        <v>0.1</v>
      </c>
      <c r="AO46" s="241">
        <f>AB60</f>
        <v>0.1</v>
      </c>
    </row>
    <row r="47" spans="1:41" s="21" customFormat="1" x14ac:dyDescent="0.25">
      <c r="A47" s="261"/>
      <c r="B47" s="260"/>
      <c r="C47" s="259"/>
      <c r="D47" s="240">
        <f>B44</f>
        <v>0.28000000000000003</v>
      </c>
      <c r="E47" s="10" t="s">
        <v>441</v>
      </c>
      <c r="F47" s="113"/>
      <c r="G47" s="260"/>
      <c r="H47" s="259"/>
      <c r="I47" s="240"/>
      <c r="J47" s="113"/>
      <c r="K47" s="260"/>
      <c r="L47" s="259"/>
      <c r="M47" s="241">
        <f>K44</f>
        <v>0.28000000000000003</v>
      </c>
      <c r="N47" s="10" t="s">
        <v>441</v>
      </c>
      <c r="O47" s="113"/>
      <c r="P47" s="260"/>
      <c r="Q47" s="259"/>
      <c r="R47" s="241">
        <f>P46+P44</f>
        <v>0.24</v>
      </c>
      <c r="S47" s="10" t="s">
        <v>528</v>
      </c>
      <c r="T47" s="113"/>
      <c r="U47" s="260"/>
      <c r="V47" s="259"/>
      <c r="W47" s="241">
        <f>U44</f>
        <v>0.39</v>
      </c>
      <c r="X47" s="10" t="s">
        <v>323</v>
      </c>
      <c r="Y47" s="113"/>
      <c r="Z47" s="260"/>
      <c r="AA47" s="259"/>
      <c r="AB47" s="245">
        <v>1.94</v>
      </c>
      <c r="AC47" s="249" t="s">
        <v>61</v>
      </c>
      <c r="AD47" s="113"/>
      <c r="AE47" s="260"/>
      <c r="AF47" s="259"/>
      <c r="AG47" s="241">
        <f>AG46</f>
        <v>5.0000000000000001E-3</v>
      </c>
      <c r="AH47" s="249" t="s">
        <v>61</v>
      </c>
      <c r="AI47" s="156"/>
      <c r="AJ47" s="31" t="s">
        <v>185</v>
      </c>
      <c r="AK47" s="241"/>
      <c r="AL47" s="241"/>
      <c r="AM47" s="241"/>
      <c r="AN47" s="241"/>
      <c r="AO47" s="241"/>
    </row>
    <row r="48" spans="1:41" s="21" customFormat="1" x14ac:dyDescent="0.25">
      <c r="A48" s="261"/>
      <c r="B48" s="260"/>
      <c r="C48" s="259"/>
      <c r="D48" s="240"/>
      <c r="E48" s="240"/>
      <c r="F48" s="113"/>
      <c r="G48" s="260"/>
      <c r="H48" s="259"/>
      <c r="I48" s="240"/>
      <c r="J48" s="113"/>
      <c r="K48" s="260"/>
      <c r="L48" s="259"/>
      <c r="M48" s="241"/>
      <c r="N48" s="240"/>
      <c r="O48" s="113"/>
      <c r="P48" s="260"/>
      <c r="Q48" s="259"/>
      <c r="R48" s="241"/>
      <c r="S48" s="8"/>
      <c r="T48" s="113"/>
      <c r="U48" s="260"/>
      <c r="V48" s="259"/>
      <c r="W48" s="241"/>
      <c r="X48" s="8"/>
      <c r="Y48" s="113"/>
      <c r="Z48" s="260"/>
      <c r="AA48" s="259"/>
      <c r="AB48" s="241"/>
      <c r="AC48" s="8"/>
      <c r="AD48" s="113"/>
      <c r="AE48" s="260"/>
      <c r="AF48" s="259"/>
      <c r="AG48" s="56"/>
      <c r="AH48" s="56"/>
      <c r="AI48" s="156"/>
      <c r="AJ48" s="31" t="s">
        <v>186</v>
      </c>
      <c r="AK48" s="241">
        <f>D36+D64+D87+D125+D133+D152+D189+D33</f>
        <v>2.37</v>
      </c>
      <c r="AL48" s="241">
        <f>M36+M64+M87+M125+M133+M152+M189+M33</f>
        <v>2.4699999999999998</v>
      </c>
      <c r="AM48" s="241">
        <f>R64+R87+R125+R33</f>
        <v>2.12</v>
      </c>
      <c r="AN48" s="241">
        <f>W64+W87+W125+W33</f>
        <v>2.7199999999999998</v>
      </c>
      <c r="AO48" s="241">
        <f>AB33+AB64+AB125+AB46</f>
        <v>2.7399999999999998</v>
      </c>
    </row>
    <row r="49" spans="1:41" s="21" customFormat="1" x14ac:dyDescent="0.25">
      <c r="A49" s="261">
        <v>19</v>
      </c>
      <c r="B49" s="260">
        <v>0.32</v>
      </c>
      <c r="C49" s="259">
        <v>6.65</v>
      </c>
      <c r="D49" s="240"/>
      <c r="E49" s="56"/>
      <c r="F49" s="113"/>
      <c r="G49" s="241">
        <v>0.21</v>
      </c>
      <c r="H49" s="240">
        <v>6.6</v>
      </c>
      <c r="I49" s="240"/>
      <c r="J49" s="113"/>
      <c r="K49" s="260">
        <v>0.31</v>
      </c>
      <c r="L49" s="259">
        <v>6.6</v>
      </c>
      <c r="M49" s="56"/>
      <c r="N49" s="56"/>
      <c r="O49" s="113"/>
      <c r="P49" s="260">
        <v>0.46</v>
      </c>
      <c r="Q49" s="259">
        <v>6.71</v>
      </c>
      <c r="R49" s="241"/>
      <c r="S49" s="241"/>
      <c r="T49" s="113"/>
      <c r="U49" s="260">
        <v>0.8</v>
      </c>
      <c r="V49" s="259">
        <v>6.61</v>
      </c>
      <c r="W49" s="241"/>
      <c r="X49" s="241"/>
      <c r="Y49" s="113"/>
      <c r="Z49" s="260"/>
      <c r="AA49" s="259"/>
      <c r="AB49" s="241"/>
      <c r="AC49" s="241"/>
      <c r="AD49" s="113"/>
      <c r="AE49" s="260"/>
      <c r="AF49" s="259"/>
      <c r="AG49" s="241">
        <v>0.76</v>
      </c>
      <c r="AH49" s="15" t="s">
        <v>62</v>
      </c>
      <c r="AI49" s="156"/>
      <c r="AJ49" s="31" t="s">
        <v>187</v>
      </c>
      <c r="AK49" s="241">
        <f>D108+D136+D147+D148+D156+D167+D174+D76</f>
        <v>1.6266666666666665</v>
      </c>
      <c r="AL49" s="241">
        <f>M108+M136+M147+M148+M156+M167+M174+M177</f>
        <v>1.84</v>
      </c>
      <c r="AM49" s="241">
        <f>R76+R102+R108+R136+R147</f>
        <v>0.93</v>
      </c>
      <c r="AN49" s="241">
        <f>W76+W102+W108+W136+W147</f>
        <v>0.93</v>
      </c>
      <c r="AO49" s="241">
        <f>AB73+AB136+AB102</f>
        <v>0.31500000000000006</v>
      </c>
    </row>
    <row r="50" spans="1:41" s="21" customFormat="1" x14ac:dyDescent="0.25">
      <c r="A50" s="261"/>
      <c r="B50" s="260"/>
      <c r="C50" s="259"/>
      <c r="D50" s="240">
        <f>R50</f>
        <v>0.22500000000000001</v>
      </c>
      <c r="E50" s="59" t="s">
        <v>409</v>
      </c>
      <c r="F50" s="113"/>
      <c r="G50" s="260">
        <v>0.19</v>
      </c>
      <c r="H50" s="259">
        <v>6.65</v>
      </c>
      <c r="I50" s="240"/>
      <c r="J50" s="113"/>
      <c r="K50" s="260"/>
      <c r="L50" s="259"/>
      <c r="M50" s="241">
        <f>D50</f>
        <v>0.22500000000000001</v>
      </c>
      <c r="N50" s="59" t="s">
        <v>409</v>
      </c>
      <c r="O50" s="113"/>
      <c r="P50" s="260"/>
      <c r="Q50" s="259"/>
      <c r="R50" s="241">
        <v>0.22500000000000001</v>
      </c>
      <c r="S50" s="59" t="s">
        <v>529</v>
      </c>
      <c r="T50" s="113"/>
      <c r="U50" s="260"/>
      <c r="V50" s="259"/>
      <c r="W50" s="241">
        <f>W51</f>
        <v>0.26666666666666666</v>
      </c>
      <c r="X50" s="59" t="s">
        <v>51</v>
      </c>
      <c r="Y50" s="113"/>
      <c r="Z50" s="260">
        <v>0.62</v>
      </c>
      <c r="AA50" s="259">
        <v>6.63</v>
      </c>
      <c r="AB50" s="56"/>
      <c r="AC50" s="56"/>
      <c r="AD50" s="113"/>
      <c r="AE50" s="260">
        <v>0.22</v>
      </c>
      <c r="AF50" s="259">
        <v>6.67</v>
      </c>
      <c r="AG50" s="241"/>
      <c r="AH50" s="241"/>
      <c r="AI50" s="156"/>
      <c r="AJ50" s="31" t="s">
        <v>188</v>
      </c>
      <c r="AK50" s="241">
        <f>D44+D134</f>
        <v>0.06</v>
      </c>
      <c r="AL50" s="241">
        <f>M44+M134</f>
        <v>0.06</v>
      </c>
      <c r="AM50" s="241">
        <f>R134+R144</f>
        <v>0.06</v>
      </c>
      <c r="AN50" s="241">
        <f>W134+W144</f>
        <v>0.06</v>
      </c>
      <c r="AO50" s="241">
        <f>AB134+AB144</f>
        <v>0.06</v>
      </c>
    </row>
    <row r="51" spans="1:41" s="21" customFormat="1" x14ac:dyDescent="0.25">
      <c r="A51" s="261"/>
      <c r="B51" s="260"/>
      <c r="C51" s="259"/>
      <c r="D51" s="241">
        <f>B49-D50-D53</f>
        <v>9.5000000000000001E-2</v>
      </c>
      <c r="E51" s="249" t="s">
        <v>408</v>
      </c>
      <c r="F51" s="113"/>
      <c r="G51" s="260"/>
      <c r="H51" s="259"/>
      <c r="I51" s="240"/>
      <c r="J51" s="113"/>
      <c r="K51" s="260"/>
      <c r="L51" s="259"/>
      <c r="M51" s="241">
        <f>D51</f>
        <v>9.5000000000000001E-2</v>
      </c>
      <c r="N51" s="249" t="s">
        <v>408</v>
      </c>
      <c r="O51" s="113"/>
      <c r="P51" s="260"/>
      <c r="Q51" s="259"/>
      <c r="R51" s="241">
        <v>0.22500000000000001</v>
      </c>
      <c r="S51" s="249" t="s">
        <v>423</v>
      </c>
      <c r="T51" s="113"/>
      <c r="U51" s="260"/>
      <c r="V51" s="259"/>
      <c r="W51" s="241">
        <f>U49/3</f>
        <v>0.26666666666666666</v>
      </c>
      <c r="X51" s="249" t="s">
        <v>50</v>
      </c>
      <c r="Y51" s="113"/>
      <c r="Z51" s="260"/>
      <c r="AA51" s="259"/>
      <c r="AB51" s="241"/>
      <c r="AC51" s="240"/>
      <c r="AD51" s="113"/>
      <c r="AE51" s="260"/>
      <c r="AF51" s="259"/>
      <c r="AG51" s="241"/>
      <c r="AH51" s="241"/>
      <c r="AI51" s="156"/>
      <c r="AJ51" s="31" t="s">
        <v>189</v>
      </c>
      <c r="AK51" s="241">
        <f>D89+D138+D154+D178+D129</f>
        <v>0.50500000000000012</v>
      </c>
      <c r="AL51" s="241">
        <f>M89+M138+M154+M178+M129</f>
        <v>0.74</v>
      </c>
      <c r="AM51" s="241">
        <f>R89+R129+R154+R161+R178</f>
        <v>1.7349999999999999</v>
      </c>
      <c r="AN51" s="241">
        <f>W89+W129+W154+W161+W178</f>
        <v>1.7149999999999999</v>
      </c>
      <c r="AO51" s="241">
        <f>AB89+AB154+AB178+AB129+AB161</f>
        <v>1.2650000000000001</v>
      </c>
    </row>
    <row r="52" spans="1:41" s="21" customFormat="1" x14ac:dyDescent="0.25">
      <c r="A52" s="261"/>
      <c r="B52" s="260"/>
      <c r="C52" s="259"/>
      <c r="D52" s="56"/>
      <c r="E52" s="56"/>
      <c r="F52" s="113"/>
      <c r="G52" s="260"/>
      <c r="H52" s="259"/>
      <c r="I52" s="240"/>
      <c r="J52" s="113"/>
      <c r="K52" s="260"/>
      <c r="L52" s="259"/>
      <c r="M52" s="56"/>
      <c r="N52" s="56"/>
      <c r="O52" s="113"/>
      <c r="P52" s="260"/>
      <c r="Q52" s="259"/>
      <c r="R52" s="56"/>
      <c r="S52" s="56"/>
      <c r="T52" s="113"/>
      <c r="U52" s="260"/>
      <c r="V52" s="259"/>
      <c r="W52" s="56"/>
      <c r="X52" s="56"/>
      <c r="Y52" s="113"/>
      <c r="Z52" s="260"/>
      <c r="AA52" s="259"/>
      <c r="AB52" s="241"/>
      <c r="AC52" s="240"/>
      <c r="AD52" s="113"/>
      <c r="AE52" s="260"/>
      <c r="AF52" s="259"/>
      <c r="AG52" s="241"/>
      <c r="AH52" s="241"/>
      <c r="AI52" s="156"/>
      <c r="AJ52" s="31" t="s">
        <v>190</v>
      </c>
      <c r="AK52" s="241">
        <f>D45+D75+D135+D140+D164+D169+D190+D196+D217+D221+D233+D239</f>
        <v>0.7</v>
      </c>
      <c r="AL52" s="241">
        <f>M45+M75+M135+M140+M164+M169+M190+M196+M217+M233+M239</f>
        <v>0.65</v>
      </c>
      <c r="AM52" s="241">
        <f>R75+R100+R101+R135+R140+R171+R197</f>
        <v>0.91599999999999993</v>
      </c>
      <c r="AN52" s="241">
        <f>W75+W100+W101+W135+W140+W171+W197</f>
        <v>0.65333333333333332</v>
      </c>
      <c r="AO52" s="241">
        <f>AB75+AB135+AB101+AB171</f>
        <v>0.29500000000000004</v>
      </c>
    </row>
    <row r="53" spans="1:41" s="21" customFormat="1" x14ac:dyDescent="0.25">
      <c r="A53" s="261"/>
      <c r="B53" s="260"/>
      <c r="C53" s="259"/>
      <c r="D53" s="240"/>
      <c r="E53" s="246"/>
      <c r="F53" s="113"/>
      <c r="G53" s="241">
        <v>0.41</v>
      </c>
      <c r="H53" s="240">
        <v>6.69</v>
      </c>
      <c r="I53" s="240"/>
      <c r="J53" s="113"/>
      <c r="K53" s="260"/>
      <c r="L53" s="259"/>
      <c r="M53" s="241"/>
      <c r="N53" s="246"/>
      <c r="O53" s="113"/>
      <c r="P53" s="260"/>
      <c r="Q53" s="259"/>
      <c r="R53" s="245"/>
      <c r="S53" s="246"/>
      <c r="T53" s="113"/>
      <c r="U53" s="260"/>
      <c r="V53" s="259"/>
      <c r="W53" s="241">
        <f>W51</f>
        <v>0.26666666666666666</v>
      </c>
      <c r="X53" s="62" t="s">
        <v>101</v>
      </c>
      <c r="Y53" s="113"/>
      <c r="Z53" s="260"/>
      <c r="AA53" s="259"/>
      <c r="AB53" s="241">
        <v>0.44</v>
      </c>
      <c r="AC53" s="62" t="s">
        <v>101</v>
      </c>
      <c r="AD53" s="113"/>
      <c r="AE53" s="241">
        <v>0.08</v>
      </c>
      <c r="AF53" s="240">
        <v>6.72</v>
      </c>
      <c r="AG53" s="241">
        <f>AE53+AE50</f>
        <v>0.3</v>
      </c>
      <c r="AH53" s="62" t="s">
        <v>101</v>
      </c>
      <c r="AI53" s="156"/>
      <c r="AJ53" s="31" t="s">
        <v>191</v>
      </c>
      <c r="AK53" s="241">
        <f>D92+D142+D155+D158+D232+D244</f>
        <v>2.1549999999999998</v>
      </c>
      <c r="AL53" s="241">
        <f>M92+M142+M155+M158+M232+M244+M194</f>
        <v>2.44</v>
      </c>
      <c r="AM53" s="241">
        <f>R92+R151+R155+R194+R86</f>
        <v>2.5649999999999999</v>
      </c>
      <c r="AN53" s="241">
        <f>W92+W151+W155+W86</f>
        <v>2.3849999999999998</v>
      </c>
      <c r="AO53" s="241">
        <f>AB92+AB155+AB47</f>
        <v>2.3049999999999997</v>
      </c>
    </row>
    <row r="54" spans="1:41" s="21" customFormat="1" x14ac:dyDescent="0.25">
      <c r="A54" s="261">
        <v>20</v>
      </c>
      <c r="B54" s="260">
        <v>0.11</v>
      </c>
      <c r="C54" s="259">
        <v>6.74</v>
      </c>
      <c r="D54" s="240"/>
      <c r="E54" s="96"/>
      <c r="F54" s="113"/>
      <c r="G54" s="260">
        <v>0.15</v>
      </c>
      <c r="H54" s="259">
        <v>6.76</v>
      </c>
      <c r="I54" s="240"/>
      <c r="J54" s="113"/>
      <c r="K54" s="260">
        <v>0.02</v>
      </c>
      <c r="L54" s="259">
        <v>6.77</v>
      </c>
      <c r="M54" s="241"/>
      <c r="N54" s="96"/>
      <c r="O54" s="113"/>
      <c r="P54" s="260">
        <v>0.09</v>
      </c>
      <c r="Q54" s="259">
        <v>6.85</v>
      </c>
      <c r="R54" s="241">
        <v>0.01</v>
      </c>
      <c r="S54" s="59" t="s">
        <v>505</v>
      </c>
      <c r="T54" s="113"/>
      <c r="U54" s="260">
        <v>0.63</v>
      </c>
      <c r="V54" s="259">
        <v>6.74</v>
      </c>
      <c r="W54" s="241">
        <f>U54-W55</f>
        <v>0.55000000000000004</v>
      </c>
      <c r="X54" s="59" t="s">
        <v>126</v>
      </c>
      <c r="Y54" s="113"/>
      <c r="Z54" s="260">
        <v>0.2</v>
      </c>
      <c r="AA54" s="259">
        <v>6.76</v>
      </c>
      <c r="AB54" s="241"/>
      <c r="AC54" s="240"/>
      <c r="AD54" s="113"/>
      <c r="AE54" s="241">
        <v>0.03</v>
      </c>
      <c r="AF54" s="240">
        <v>6.79</v>
      </c>
      <c r="AG54" s="241"/>
      <c r="AH54" s="241"/>
      <c r="AI54" s="156"/>
      <c r="AJ54" s="36" t="s">
        <v>203</v>
      </c>
      <c r="AK54" s="240"/>
      <c r="AL54" s="19"/>
      <c r="AM54" s="19"/>
      <c r="AN54" s="19"/>
      <c r="AO54" s="19"/>
    </row>
    <row r="55" spans="1:41" s="21" customFormat="1" x14ac:dyDescent="0.25">
      <c r="A55" s="261"/>
      <c r="B55" s="260"/>
      <c r="C55" s="259"/>
      <c r="D55" s="240">
        <f>B54</f>
        <v>0.11</v>
      </c>
      <c r="E55" s="63" t="s">
        <v>436</v>
      </c>
      <c r="F55" s="113"/>
      <c r="G55" s="260"/>
      <c r="H55" s="259"/>
      <c r="I55" s="240"/>
      <c r="J55" s="113"/>
      <c r="K55" s="260"/>
      <c r="L55" s="259"/>
      <c r="M55" s="241">
        <f>K54</f>
        <v>0.02</v>
      </c>
      <c r="N55" s="63" t="s">
        <v>436</v>
      </c>
      <c r="O55" s="113"/>
      <c r="P55" s="260"/>
      <c r="Q55" s="259"/>
      <c r="R55" s="241">
        <v>0.08</v>
      </c>
      <c r="S55" s="63" t="s">
        <v>127</v>
      </c>
      <c r="T55" s="113"/>
      <c r="U55" s="260"/>
      <c r="V55" s="259"/>
      <c r="W55" s="241">
        <f>R55</f>
        <v>0.08</v>
      </c>
      <c r="X55" s="63" t="s">
        <v>127</v>
      </c>
      <c r="Y55" s="113"/>
      <c r="Z55" s="260"/>
      <c r="AA55" s="259"/>
      <c r="AB55" s="241"/>
      <c r="AC55" s="240"/>
      <c r="AD55" s="113"/>
      <c r="AE55" s="260">
        <v>0.11</v>
      </c>
      <c r="AF55" s="259">
        <v>6.83</v>
      </c>
      <c r="AG55" s="241"/>
      <c r="AH55" s="241"/>
      <c r="AI55" s="156"/>
      <c r="AJ55" s="36" t="s">
        <v>204</v>
      </c>
      <c r="AK55" s="19">
        <f>D172</f>
        <v>0.04</v>
      </c>
      <c r="AL55" s="19">
        <f>M172</f>
        <v>0.04</v>
      </c>
      <c r="AM55" s="19">
        <f>R172</f>
        <v>0.04</v>
      </c>
      <c r="AN55" s="19">
        <f>W172</f>
        <v>0.04</v>
      </c>
      <c r="AO55" s="19">
        <f>AB138</f>
        <v>0.04</v>
      </c>
    </row>
    <row r="56" spans="1:41" s="21" customFormat="1" x14ac:dyDescent="0.25">
      <c r="A56" s="261"/>
      <c r="B56" s="260"/>
      <c r="C56" s="259"/>
      <c r="D56" s="240"/>
      <c r="E56" s="56"/>
      <c r="F56" s="113"/>
      <c r="G56" s="260"/>
      <c r="H56" s="259"/>
      <c r="I56" s="240"/>
      <c r="J56" s="113"/>
      <c r="K56" s="260"/>
      <c r="L56" s="259"/>
      <c r="M56" s="241"/>
      <c r="N56" s="56"/>
      <c r="O56" s="113"/>
      <c r="P56" s="260"/>
      <c r="Q56" s="259"/>
      <c r="R56" s="241"/>
      <c r="S56" s="8"/>
      <c r="T56" s="113"/>
      <c r="U56" s="260"/>
      <c r="V56" s="259"/>
      <c r="W56" s="241"/>
      <c r="X56" s="8"/>
      <c r="Y56" s="113"/>
      <c r="Z56" s="260"/>
      <c r="AA56" s="259"/>
      <c r="AB56" s="241">
        <f>Z54+Z50-AB53</f>
        <v>0.38000000000000006</v>
      </c>
      <c r="AC56" s="68" t="s">
        <v>39</v>
      </c>
      <c r="AD56" s="113"/>
      <c r="AE56" s="260"/>
      <c r="AF56" s="259"/>
      <c r="AG56" s="241"/>
      <c r="AH56" s="241"/>
      <c r="AI56" s="156"/>
      <c r="AJ56" s="36" t="s">
        <v>198</v>
      </c>
      <c r="AK56" s="19"/>
      <c r="AL56" s="19"/>
      <c r="AM56" s="19"/>
      <c r="AN56" s="19"/>
      <c r="AO56" s="19"/>
    </row>
    <row r="57" spans="1:41" s="21" customFormat="1" x14ac:dyDescent="0.25">
      <c r="A57" s="261"/>
      <c r="B57" s="260"/>
      <c r="C57" s="259"/>
      <c r="D57" s="240"/>
      <c r="E57" s="240"/>
      <c r="F57" s="113"/>
      <c r="G57" s="241">
        <v>0.11</v>
      </c>
      <c r="H57" s="240">
        <v>6.8</v>
      </c>
      <c r="I57" s="240"/>
      <c r="J57" s="113"/>
      <c r="K57" s="241">
        <v>0.02</v>
      </c>
      <c r="L57" s="240">
        <v>6.81</v>
      </c>
      <c r="M57" s="241"/>
      <c r="N57" s="240"/>
      <c r="O57" s="113"/>
      <c r="P57" s="260"/>
      <c r="Q57" s="259"/>
      <c r="R57" s="241"/>
      <c r="S57" s="240"/>
      <c r="T57" s="113"/>
      <c r="U57" s="260"/>
      <c r="V57" s="259"/>
      <c r="W57" s="241"/>
      <c r="X57" s="240"/>
      <c r="Y57" s="113"/>
      <c r="Z57" s="241">
        <v>0.03</v>
      </c>
      <c r="AA57" s="240">
        <v>6.83</v>
      </c>
      <c r="AB57" s="241"/>
      <c r="AC57" s="240"/>
      <c r="AD57" s="113"/>
      <c r="AE57" s="241">
        <v>0.05</v>
      </c>
      <c r="AF57" s="240">
        <v>6.93</v>
      </c>
      <c r="AG57" s="241"/>
      <c r="AH57" s="241"/>
      <c r="AI57" s="156"/>
      <c r="AJ57" s="36" t="s">
        <v>199</v>
      </c>
      <c r="AK57" s="16"/>
      <c r="AL57" s="16"/>
      <c r="AM57" s="16"/>
      <c r="AN57" s="16"/>
      <c r="AO57" s="16"/>
    </row>
    <row r="58" spans="1:41" s="21" customFormat="1" x14ac:dyDescent="0.25">
      <c r="A58" s="261">
        <v>21</v>
      </c>
      <c r="B58" s="260">
        <v>0.43</v>
      </c>
      <c r="C58" s="259">
        <v>6.92</v>
      </c>
      <c r="D58" s="240"/>
      <c r="E58" s="246"/>
      <c r="F58" s="113"/>
      <c r="G58" s="260">
        <v>0.93</v>
      </c>
      <c r="H58" s="259">
        <v>6.92</v>
      </c>
      <c r="I58" s="240"/>
      <c r="J58" s="113"/>
      <c r="K58" s="260">
        <v>0.36</v>
      </c>
      <c r="L58" s="259">
        <v>6.89</v>
      </c>
      <c r="M58" s="241"/>
      <c r="N58" s="246"/>
      <c r="O58" s="113"/>
      <c r="P58" s="260">
        <v>0.42</v>
      </c>
      <c r="Q58" s="259">
        <v>7</v>
      </c>
      <c r="R58" s="241"/>
      <c r="S58" s="240"/>
      <c r="T58" s="113"/>
      <c r="U58" s="260">
        <v>0.8</v>
      </c>
      <c r="V58" s="259">
        <v>6.89</v>
      </c>
      <c r="W58" s="241"/>
      <c r="X58" s="240"/>
      <c r="Y58" s="113"/>
      <c r="Z58" s="260">
        <v>0.81</v>
      </c>
      <c r="AA58" s="259">
        <v>6.93</v>
      </c>
      <c r="AB58" s="241"/>
      <c r="AC58" s="240"/>
      <c r="AD58" s="113"/>
      <c r="AE58" s="260">
        <v>0.84</v>
      </c>
      <c r="AF58" s="259">
        <v>6.98</v>
      </c>
      <c r="AG58" s="241"/>
      <c r="AH58" s="241"/>
      <c r="AI58" s="156"/>
      <c r="AJ58" s="31" t="s">
        <v>192</v>
      </c>
      <c r="AK58" s="245"/>
      <c r="AL58" s="245"/>
      <c r="AM58" s="245"/>
      <c r="AN58" s="245"/>
      <c r="AO58" s="245"/>
    </row>
    <row r="59" spans="1:41" s="21" customFormat="1" x14ac:dyDescent="0.25">
      <c r="A59" s="261"/>
      <c r="B59" s="260"/>
      <c r="C59" s="259"/>
      <c r="D59" s="240"/>
      <c r="E59" s="246"/>
      <c r="F59" s="113"/>
      <c r="G59" s="260"/>
      <c r="H59" s="259"/>
      <c r="I59" s="240"/>
      <c r="J59" s="113"/>
      <c r="K59" s="260"/>
      <c r="L59" s="259"/>
      <c r="M59" s="241"/>
      <c r="N59" s="246"/>
      <c r="O59" s="113"/>
      <c r="P59" s="260"/>
      <c r="Q59" s="259"/>
      <c r="R59" s="241"/>
      <c r="S59" s="240"/>
      <c r="T59" s="113"/>
      <c r="U59" s="260"/>
      <c r="V59" s="259"/>
      <c r="W59" s="241"/>
      <c r="X59" s="240"/>
      <c r="Y59" s="113"/>
      <c r="Z59" s="260"/>
      <c r="AA59" s="259"/>
      <c r="AB59" s="241"/>
      <c r="AC59" s="240"/>
      <c r="AD59" s="113"/>
      <c r="AE59" s="260"/>
      <c r="AF59" s="259"/>
      <c r="AG59" s="241"/>
      <c r="AH59" s="241"/>
      <c r="AI59" s="156"/>
      <c r="AJ59" s="36" t="s">
        <v>205</v>
      </c>
      <c r="AK59" s="245"/>
      <c r="AL59" s="245"/>
      <c r="AM59" s="16"/>
      <c r="AN59" s="16"/>
      <c r="AO59" s="16"/>
    </row>
    <row r="60" spans="1:41" s="21" customFormat="1" x14ac:dyDescent="0.25">
      <c r="A60" s="261"/>
      <c r="B60" s="260"/>
      <c r="C60" s="259"/>
      <c r="D60" s="241">
        <v>0.1</v>
      </c>
      <c r="E60" s="10" t="s">
        <v>105</v>
      </c>
      <c r="F60" s="113"/>
      <c r="G60" s="260"/>
      <c r="H60" s="259"/>
      <c r="I60" s="240"/>
      <c r="J60" s="113"/>
      <c r="K60" s="260"/>
      <c r="L60" s="259"/>
      <c r="M60" s="241">
        <v>0.1</v>
      </c>
      <c r="N60" s="10" t="s">
        <v>105</v>
      </c>
      <c r="O60" s="113"/>
      <c r="P60" s="260"/>
      <c r="Q60" s="259"/>
      <c r="R60" s="241">
        <f>AB60</f>
        <v>0.1</v>
      </c>
      <c r="S60" s="10" t="s">
        <v>105</v>
      </c>
      <c r="T60" s="113"/>
      <c r="U60" s="260"/>
      <c r="V60" s="259"/>
      <c r="W60" s="241">
        <f>R60</f>
        <v>0.1</v>
      </c>
      <c r="X60" s="10" t="s">
        <v>105</v>
      </c>
      <c r="Y60" s="113"/>
      <c r="Z60" s="260"/>
      <c r="AA60" s="259"/>
      <c r="AB60" s="241">
        <v>0.1</v>
      </c>
      <c r="AC60" s="10" t="s">
        <v>105</v>
      </c>
      <c r="AD60" s="113"/>
      <c r="AE60" s="260"/>
      <c r="AF60" s="259"/>
      <c r="AG60" s="241">
        <f>AB60</f>
        <v>0.1</v>
      </c>
      <c r="AH60" s="10" t="s">
        <v>105</v>
      </c>
      <c r="AI60" s="156"/>
      <c r="AJ60" s="25" t="s">
        <v>193</v>
      </c>
      <c r="AK60" s="98">
        <f>SUM(AK46:AK59)</f>
        <v>7.5566666666666658</v>
      </c>
      <c r="AL60" s="98">
        <f>SUM(AL46:AL59)</f>
        <v>8.34</v>
      </c>
      <c r="AM60" s="98">
        <f>SUM(AM46:AM59)</f>
        <v>8.4659999999999993</v>
      </c>
      <c r="AN60" s="98">
        <f>SUM(AN46:AN59)</f>
        <v>8.6033333333333317</v>
      </c>
      <c r="AO60" s="98">
        <f>SUM(AO46:AO59)</f>
        <v>7.12</v>
      </c>
    </row>
    <row r="61" spans="1:41" s="21" customFormat="1" ht="15.75" thickBot="1" x14ac:dyDescent="0.3">
      <c r="A61" s="261"/>
      <c r="B61" s="260"/>
      <c r="C61" s="259"/>
      <c r="D61" s="240"/>
      <c r="E61" s="246"/>
      <c r="F61" s="113"/>
      <c r="G61" s="260"/>
      <c r="H61" s="259"/>
      <c r="I61" s="240"/>
      <c r="J61" s="113"/>
      <c r="K61" s="260"/>
      <c r="L61" s="259"/>
      <c r="M61" s="241"/>
      <c r="N61" s="246"/>
      <c r="O61" s="113"/>
      <c r="P61" s="260"/>
      <c r="Q61" s="259"/>
      <c r="R61" s="245"/>
      <c r="S61" s="246"/>
      <c r="T61" s="113"/>
      <c r="U61" s="260"/>
      <c r="V61" s="259"/>
      <c r="W61" s="241"/>
      <c r="X61" s="246"/>
      <c r="Y61" s="113"/>
      <c r="Z61" s="260"/>
      <c r="AA61" s="259"/>
      <c r="AB61" s="245"/>
      <c r="AC61" s="246"/>
      <c r="AD61" s="113"/>
      <c r="AE61" s="260"/>
      <c r="AF61" s="259"/>
      <c r="AG61" s="241"/>
      <c r="AH61" s="241"/>
      <c r="AI61" s="156"/>
      <c r="AK61" s="97"/>
      <c r="AL61" s="97"/>
      <c r="AM61" s="97"/>
      <c r="AN61" s="97"/>
      <c r="AO61" s="97"/>
    </row>
    <row r="62" spans="1:41" s="21" customFormat="1" x14ac:dyDescent="0.25">
      <c r="A62" s="261"/>
      <c r="B62" s="260"/>
      <c r="C62" s="259"/>
      <c r="D62" s="240"/>
      <c r="E62" s="246"/>
      <c r="F62" s="113"/>
      <c r="G62" s="260"/>
      <c r="H62" s="259"/>
      <c r="I62" s="240"/>
      <c r="J62" s="113"/>
      <c r="K62" s="260"/>
      <c r="L62" s="259"/>
      <c r="M62" s="241"/>
      <c r="N62" s="246"/>
      <c r="O62" s="113"/>
      <c r="P62" s="260"/>
      <c r="Q62" s="259"/>
      <c r="R62" s="241">
        <v>0.01</v>
      </c>
      <c r="S62" s="6" t="s">
        <v>121</v>
      </c>
      <c r="T62" s="113"/>
      <c r="U62" s="260"/>
      <c r="V62" s="259"/>
      <c r="W62" s="241">
        <f>U58-W58-W60-W63-W64</f>
        <v>0.17999999999999994</v>
      </c>
      <c r="X62" s="6" t="s">
        <v>121</v>
      </c>
      <c r="Y62" s="113"/>
      <c r="Z62" s="260"/>
      <c r="AA62" s="259"/>
      <c r="AB62" s="241">
        <v>0.5</v>
      </c>
      <c r="AC62" s="6" t="s">
        <v>121</v>
      </c>
      <c r="AD62" s="113"/>
      <c r="AE62" s="260"/>
      <c r="AF62" s="259"/>
      <c r="AG62" s="241">
        <f>AE58-AG60</f>
        <v>0.74</v>
      </c>
      <c r="AH62" s="74" t="s">
        <v>333</v>
      </c>
      <c r="AI62" s="156"/>
      <c r="AJ62" s="153" t="s">
        <v>277</v>
      </c>
      <c r="AK62" s="41" t="s">
        <v>1</v>
      </c>
      <c r="AL62" s="38" t="s">
        <v>2</v>
      </c>
      <c r="AM62" s="41" t="s">
        <v>4</v>
      </c>
    </row>
    <row r="63" spans="1:41" s="21" customFormat="1" x14ac:dyDescent="0.25">
      <c r="A63" s="261"/>
      <c r="B63" s="260"/>
      <c r="C63" s="259"/>
      <c r="D63" s="240"/>
      <c r="E63" s="246"/>
      <c r="F63" s="113"/>
      <c r="G63" s="260"/>
      <c r="H63" s="259"/>
      <c r="I63" s="240"/>
      <c r="J63" s="113"/>
      <c r="K63" s="260"/>
      <c r="L63" s="259"/>
      <c r="M63" s="241"/>
      <c r="N63" s="246"/>
      <c r="O63" s="113"/>
      <c r="P63" s="260"/>
      <c r="Q63" s="259"/>
      <c r="R63" s="241">
        <f>D103</f>
        <v>0.31000000000000005</v>
      </c>
      <c r="S63" s="6" t="s">
        <v>171</v>
      </c>
      <c r="T63" s="113"/>
      <c r="U63" s="260"/>
      <c r="V63" s="259"/>
      <c r="W63" s="241">
        <f>R63</f>
        <v>0.31000000000000005</v>
      </c>
      <c r="X63" s="6" t="s">
        <v>171</v>
      </c>
      <c r="Y63" s="113"/>
      <c r="Z63" s="260"/>
      <c r="AA63" s="259"/>
      <c r="AB63" s="241"/>
      <c r="AC63" s="240"/>
      <c r="AD63" s="113"/>
      <c r="AE63" s="260">
        <v>0.51</v>
      </c>
      <c r="AF63" s="259">
        <v>7.05</v>
      </c>
      <c r="AG63" s="241"/>
      <c r="AH63" s="241"/>
      <c r="AI63" s="156"/>
      <c r="AJ63" s="111" t="s">
        <v>272</v>
      </c>
      <c r="AK63" s="19">
        <f>D5+D38+D65+D83+D99+D111+D104+D112+D144+D146+D173+D12+D26+D29+D84</f>
        <v>16.430000000000003</v>
      </c>
      <c r="AL63" s="19">
        <f>M5+M38+M65+M83+M99+M111+M104+M112+M144+M146+M173+M12+M26+M29+M84</f>
        <v>13.190000000000001</v>
      </c>
      <c r="AM63" s="19">
        <f>R5+R38+R65+R83+R99+R111+R104+R112+R144+R146+R173+R12+R26+R29+R84+R30+R62+R86</f>
        <v>17.083999999999996</v>
      </c>
      <c r="AN63" s="19">
        <f>AVERAGE(AK63:AM63)</f>
        <v>15.568</v>
      </c>
      <c r="AO63" s="21" t="s">
        <v>297</v>
      </c>
    </row>
    <row r="64" spans="1:41" s="21" customFormat="1" x14ac:dyDescent="0.25">
      <c r="A64" s="261"/>
      <c r="B64" s="260"/>
      <c r="C64" s="259"/>
      <c r="D64" s="240">
        <f>B58-D60</f>
        <v>0.32999999999999996</v>
      </c>
      <c r="E64" s="7" t="s">
        <v>106</v>
      </c>
      <c r="F64" s="113"/>
      <c r="G64" s="260"/>
      <c r="H64" s="259"/>
      <c r="I64" s="240"/>
      <c r="J64" s="113"/>
      <c r="K64" s="241">
        <v>0.01</v>
      </c>
      <c r="L64" s="240">
        <v>6.96</v>
      </c>
      <c r="M64" s="241">
        <f>K64+K58-M60</f>
        <v>0.27</v>
      </c>
      <c r="N64" s="7" t="s">
        <v>106</v>
      </c>
      <c r="O64" s="113"/>
      <c r="P64" s="260"/>
      <c r="Q64" s="259"/>
      <c r="R64" s="241">
        <f>AB64</f>
        <v>0.21000000000000008</v>
      </c>
      <c r="S64" s="7" t="s">
        <v>106</v>
      </c>
      <c r="T64" s="113"/>
      <c r="U64" s="260"/>
      <c r="V64" s="259"/>
      <c r="W64" s="241">
        <f>R64</f>
        <v>0.21000000000000008</v>
      </c>
      <c r="X64" s="7" t="s">
        <v>106</v>
      </c>
      <c r="Y64" s="113"/>
      <c r="Z64" s="260"/>
      <c r="AA64" s="259"/>
      <c r="AB64" s="241">
        <f>Z58-AB60-AB62</f>
        <v>0.21000000000000008</v>
      </c>
      <c r="AC64" s="7" t="s">
        <v>106</v>
      </c>
      <c r="AD64" s="113"/>
      <c r="AE64" s="260"/>
      <c r="AF64" s="259"/>
      <c r="AG64" s="241">
        <f>AE63</f>
        <v>0.51</v>
      </c>
      <c r="AH64" s="7" t="s">
        <v>106</v>
      </c>
      <c r="AI64" s="156"/>
      <c r="AJ64" s="111" t="s">
        <v>273</v>
      </c>
      <c r="AK64" s="19">
        <f>D42+D47+D50+D51+D55+D60+D64+D75+D86+D89+D92+D93+D103+D110+D138+D142+D143</f>
        <v>2.73</v>
      </c>
      <c r="AL64" s="19">
        <f>M42+M47+M50+M55+M60+M64+M75+M86+M89+M92+M93+M103+M110+M138+M142+M143+M51</f>
        <v>2.9900000000000007</v>
      </c>
      <c r="AM64" s="19">
        <f>R42+R47+R50+R55+R60+R64+R75+R94+R89+R92+R93+R100+R102+R139+R142+R141+R51+R63+R54+R40</f>
        <v>2.8</v>
      </c>
      <c r="AN64" s="19">
        <f>AVERAGE(AK64:AM64)</f>
        <v>2.84</v>
      </c>
      <c r="AO64" s="21" t="s">
        <v>300</v>
      </c>
    </row>
    <row r="65" spans="1:41" s="21" customFormat="1" x14ac:dyDescent="0.25">
      <c r="A65" s="261">
        <v>22</v>
      </c>
      <c r="B65" s="260">
        <v>2.5099999999999998</v>
      </c>
      <c r="C65" s="259">
        <v>7.07</v>
      </c>
      <c r="D65" s="240">
        <f>B65</f>
        <v>2.5099999999999998</v>
      </c>
      <c r="E65" s="6" t="s">
        <v>48</v>
      </c>
      <c r="F65" s="113"/>
      <c r="G65" s="260">
        <v>0.18</v>
      </c>
      <c r="H65" s="259">
        <v>7.02</v>
      </c>
      <c r="I65" s="149"/>
      <c r="J65" s="113"/>
      <c r="K65" s="260">
        <v>2.5099999999999998</v>
      </c>
      <c r="L65" s="259">
        <v>7.04</v>
      </c>
      <c r="M65" s="241">
        <f>K65</f>
        <v>2.5099999999999998</v>
      </c>
      <c r="N65" s="6" t="s">
        <v>48</v>
      </c>
      <c r="O65" s="113"/>
      <c r="P65" s="260">
        <v>2.68</v>
      </c>
      <c r="Q65" s="259">
        <v>7.15</v>
      </c>
      <c r="R65" s="241">
        <f>P65</f>
        <v>2.68</v>
      </c>
      <c r="S65" s="6" t="s">
        <v>48</v>
      </c>
      <c r="T65" s="113"/>
      <c r="U65" s="260">
        <v>3.02</v>
      </c>
      <c r="V65" s="259">
        <v>7.04</v>
      </c>
      <c r="W65" s="241">
        <f>U65</f>
        <v>3.02</v>
      </c>
      <c r="X65" s="6" t="s">
        <v>48</v>
      </c>
      <c r="Y65" s="113"/>
      <c r="Z65" s="260">
        <v>2.76</v>
      </c>
      <c r="AA65" s="259">
        <v>7.07</v>
      </c>
      <c r="AB65" s="241">
        <f>Z65</f>
        <v>2.76</v>
      </c>
      <c r="AC65" s="6" t="s">
        <v>48</v>
      </c>
      <c r="AD65" s="113"/>
      <c r="AE65" s="260">
        <v>2.95</v>
      </c>
      <c r="AF65" s="259">
        <v>7.14</v>
      </c>
      <c r="AG65" s="241">
        <f>AE65</f>
        <v>2.95</v>
      </c>
      <c r="AH65" s="6" t="s">
        <v>48</v>
      </c>
      <c r="AI65" s="156"/>
      <c r="AJ65" s="111" t="s">
        <v>274</v>
      </c>
      <c r="AK65" s="19">
        <f>D70+D74+D82+D87+D88+D90+D96+D91+D107+D108+D114+D115+D125+D127+D130+D132+D133+D134+D135+D136+D137+D147+D148+D152+D154+D155+D156+D158+D162+D163+D164+D167+D174+D177+D181+D182+D183+D188+D189+D219+D141+D178</f>
        <v>12.456666666666662</v>
      </c>
      <c r="AL65" s="19">
        <f>M70+M74+M82+M87+M88+M90+M96+M91+M107+M108+M114+M115+M125+M127+M130+M132+M133+M134+M135+M136+M137+M147+M148+M152+M154+M155+M156+M158+M162+M163+M164+M167+M174+M177+M181+M182+M183+M188+M189+M219+M141+M178</f>
        <v>15.739999999999997</v>
      </c>
      <c r="AM65" s="19">
        <f>R70+R74+R82+R87+R88+R90+R96+R91+R107+R108+R114+R115+R125+R127+R129+R132+R133+R134+R135+R136+R137+R147+R148+R152+R154+R155+R156+R158+R161+R166+R164+R171+R174+R177+R180+R182+R183+R190+R219+R141+R178+R101</f>
        <v>12.205</v>
      </c>
      <c r="AN65" s="19">
        <f>AVERAGE(AK65:AM65)</f>
        <v>13.467222222222219</v>
      </c>
      <c r="AO65" s="21" t="s">
        <v>301</v>
      </c>
    </row>
    <row r="66" spans="1:41" s="21" customFormat="1" x14ac:dyDescent="0.25">
      <c r="A66" s="261"/>
      <c r="B66" s="260"/>
      <c r="C66" s="259"/>
      <c r="D66" s="240"/>
      <c r="E66" s="6" t="s">
        <v>49</v>
      </c>
      <c r="F66" s="113"/>
      <c r="G66" s="260"/>
      <c r="H66" s="259"/>
      <c r="I66" s="149"/>
      <c r="J66" s="113"/>
      <c r="K66" s="260"/>
      <c r="L66" s="259"/>
      <c r="M66" s="241"/>
      <c r="N66" s="6" t="s">
        <v>49</v>
      </c>
      <c r="O66" s="113"/>
      <c r="P66" s="260"/>
      <c r="Q66" s="259"/>
      <c r="R66" s="241"/>
      <c r="S66" s="6" t="s">
        <v>49</v>
      </c>
      <c r="T66" s="113"/>
      <c r="U66" s="260"/>
      <c r="V66" s="259"/>
      <c r="W66" s="241"/>
      <c r="X66" s="6" t="s">
        <v>49</v>
      </c>
      <c r="Y66" s="113"/>
      <c r="Z66" s="260"/>
      <c r="AA66" s="259"/>
      <c r="AB66" s="241"/>
      <c r="AC66" s="6" t="s">
        <v>49</v>
      </c>
      <c r="AD66" s="113"/>
      <c r="AE66" s="260"/>
      <c r="AF66" s="259"/>
      <c r="AG66" s="241"/>
      <c r="AH66" s="6" t="s">
        <v>49</v>
      </c>
      <c r="AI66" s="156"/>
      <c r="AJ66" s="111" t="s">
        <v>275</v>
      </c>
      <c r="AK66" s="19">
        <f>D244+D239+D238+D236+D233+D230+D220+D217+D215+D214+D210+D201+D196+D195+D190+D179+D172+D169+D168+D149+D145+D140+D109</f>
        <v>18.48</v>
      </c>
      <c r="AL66" s="19">
        <f>M244+M239+M238+M236+M233+M230+M220+M217+M215+M214+M210+M201+M196+M195+M190+M179+M172+M169+M168+M149+M145+M140+M109+M194</f>
        <v>17.079999999999998</v>
      </c>
      <c r="AM66" s="19">
        <f>R244+R239+R238+R236+R233+R230+R220+R217+R215+R214+R210+R201+R196+R197+R189+R179+R172+R169+R168+R151+R145+R138+R109+R194+R80+R121+R122+R124+R140</f>
        <v>15.971</v>
      </c>
      <c r="AN66" s="19">
        <f>AVERAGE(AK66:AM66)</f>
        <v>17.177000000000003</v>
      </c>
      <c r="AO66" s="21" t="s">
        <v>298</v>
      </c>
    </row>
    <row r="67" spans="1:41" s="21" customFormat="1" x14ac:dyDescent="0.25">
      <c r="A67" s="261"/>
      <c r="B67" s="260"/>
      <c r="C67" s="259"/>
      <c r="D67" s="240"/>
      <c r="E67" s="56"/>
      <c r="F67" s="113"/>
      <c r="G67" s="260"/>
      <c r="H67" s="259"/>
      <c r="I67" s="240"/>
      <c r="J67" s="113"/>
      <c r="K67" s="260"/>
      <c r="L67" s="259"/>
      <c r="M67" s="241"/>
      <c r="N67" s="56"/>
      <c r="O67" s="113"/>
      <c r="P67" s="260"/>
      <c r="Q67" s="259"/>
      <c r="R67" s="241"/>
      <c r="S67" s="240"/>
      <c r="T67" s="113"/>
      <c r="U67" s="260"/>
      <c r="V67" s="259"/>
      <c r="W67" s="241"/>
      <c r="X67" s="240"/>
      <c r="Y67" s="113"/>
      <c r="Z67" s="260"/>
      <c r="AA67" s="259"/>
      <c r="AB67" s="241"/>
      <c r="AC67" s="240"/>
      <c r="AD67" s="113"/>
      <c r="AE67" s="260"/>
      <c r="AF67" s="259"/>
      <c r="AG67" s="241"/>
      <c r="AH67" s="56"/>
      <c r="AI67" s="156"/>
      <c r="AJ67" s="111" t="s">
        <v>276</v>
      </c>
      <c r="AK67" s="19">
        <f>D191+D222+D240</f>
        <v>1.9200000000000002</v>
      </c>
      <c r="AL67" s="19">
        <f>M191+M222+M240</f>
        <v>1.54</v>
      </c>
      <c r="AM67" s="19">
        <f>R191+R222+R240+R188+R163</f>
        <v>2.0300000000000002</v>
      </c>
      <c r="AN67" s="19">
        <f>AVERAGE(AK67:AM67)</f>
        <v>1.83</v>
      </c>
      <c r="AO67" s="21" t="s">
        <v>299</v>
      </c>
    </row>
    <row r="68" spans="1:41" s="21" customFormat="1" x14ac:dyDescent="0.25">
      <c r="A68" s="261">
        <v>23</v>
      </c>
      <c r="B68" s="260">
        <v>2.91</v>
      </c>
      <c r="C68" s="259">
        <v>7.12</v>
      </c>
      <c r="D68" s="240">
        <f>AG68</f>
        <v>1.9100000000000001</v>
      </c>
      <c r="E68" s="54" t="s">
        <v>34</v>
      </c>
      <c r="F68" s="113"/>
      <c r="G68" s="260">
        <v>3</v>
      </c>
      <c r="H68" s="259">
        <v>7.11</v>
      </c>
      <c r="I68" s="240"/>
      <c r="J68" s="113"/>
      <c r="K68" s="260">
        <v>3.07</v>
      </c>
      <c r="L68" s="259">
        <v>7.1</v>
      </c>
      <c r="M68" s="241">
        <f>K68-M70</f>
        <v>1.8699999999999999</v>
      </c>
      <c r="N68" s="54" t="s">
        <v>34</v>
      </c>
      <c r="O68" s="113"/>
      <c r="P68" s="260">
        <v>7.27</v>
      </c>
      <c r="Q68" s="259">
        <v>7.23</v>
      </c>
      <c r="R68" s="241">
        <f>P68-R69-R70</f>
        <v>2.38</v>
      </c>
      <c r="S68" s="54" t="s">
        <v>34</v>
      </c>
      <c r="T68" s="113"/>
      <c r="U68" s="260">
        <v>6.8</v>
      </c>
      <c r="V68" s="259">
        <v>7.12</v>
      </c>
      <c r="W68" s="241">
        <f>AG68</f>
        <v>1.9100000000000001</v>
      </c>
      <c r="X68" s="54" t="s">
        <v>34</v>
      </c>
      <c r="Y68" s="113"/>
      <c r="Z68" s="260">
        <v>3.6</v>
      </c>
      <c r="AA68" s="259">
        <v>7.12</v>
      </c>
      <c r="AB68" s="241">
        <f>Z68-AB70</f>
        <v>3.3200000000000003</v>
      </c>
      <c r="AC68" s="54" t="s">
        <v>34</v>
      </c>
      <c r="AD68" s="113"/>
      <c r="AE68" s="260">
        <v>2.08</v>
      </c>
      <c r="AF68" s="259">
        <v>7.2</v>
      </c>
      <c r="AG68" s="241">
        <f>AE68-AG69</f>
        <v>1.9100000000000001</v>
      </c>
      <c r="AH68" s="54" t="s">
        <v>34</v>
      </c>
      <c r="AI68" s="156"/>
      <c r="AJ68" s="111" t="s">
        <v>555</v>
      </c>
      <c r="AN68" s="19">
        <f>R40+R42+R47+R50+R51+R54+R55+R63+R70+R74+R80+R82+R88+R90+R91+R93+R94+R96+R109+R122+R138+R163+R191</f>
        <v>22.54</v>
      </c>
    </row>
    <row r="69" spans="1:41" s="21" customFormat="1" x14ac:dyDescent="0.25">
      <c r="A69" s="261"/>
      <c r="B69" s="260"/>
      <c r="C69" s="259"/>
      <c r="D69" s="240"/>
      <c r="E69" s="240"/>
      <c r="F69" s="113"/>
      <c r="G69" s="260"/>
      <c r="H69" s="259"/>
      <c r="I69" s="240"/>
      <c r="J69" s="113"/>
      <c r="K69" s="260"/>
      <c r="L69" s="259"/>
      <c r="M69" s="241"/>
      <c r="N69" s="240"/>
      <c r="O69" s="113"/>
      <c r="P69" s="260"/>
      <c r="Q69" s="259"/>
      <c r="R69" s="245"/>
      <c r="S69" s="246"/>
      <c r="T69" s="113"/>
      <c r="U69" s="260"/>
      <c r="V69" s="259"/>
      <c r="W69" s="245"/>
      <c r="X69" s="246"/>
      <c r="Y69" s="113"/>
      <c r="Z69" s="260"/>
      <c r="AA69" s="259"/>
      <c r="AB69" s="241"/>
      <c r="AC69" s="241"/>
      <c r="AD69" s="113"/>
      <c r="AE69" s="260"/>
      <c r="AF69" s="259"/>
      <c r="AG69" s="241">
        <f>AB89-AG89</f>
        <v>0.17</v>
      </c>
      <c r="AH69" s="74" t="s">
        <v>338</v>
      </c>
      <c r="AI69" s="156"/>
      <c r="AJ69" s="111" t="s">
        <v>556</v>
      </c>
      <c r="AN69" s="19">
        <f>R121+R145+R188</f>
        <v>3.3300000000000005</v>
      </c>
    </row>
    <row r="70" spans="1:41" s="21" customFormat="1" x14ac:dyDescent="0.25">
      <c r="A70" s="261"/>
      <c r="B70" s="260"/>
      <c r="C70" s="259"/>
      <c r="D70" s="241">
        <f>B68-D68-D69</f>
        <v>1</v>
      </c>
      <c r="E70" s="63" t="s">
        <v>405</v>
      </c>
      <c r="F70" s="113"/>
      <c r="G70" s="241">
        <v>0.11</v>
      </c>
      <c r="H70" s="240">
        <v>7.19</v>
      </c>
      <c r="I70" s="240"/>
      <c r="J70" s="113"/>
      <c r="K70" s="260"/>
      <c r="L70" s="259"/>
      <c r="M70" s="241">
        <v>1.2</v>
      </c>
      <c r="N70" s="63" t="s">
        <v>405</v>
      </c>
      <c r="O70" s="113"/>
      <c r="P70" s="260"/>
      <c r="Q70" s="259"/>
      <c r="R70" s="241">
        <f>AB22-R22-R42</f>
        <v>4.8899999999999997</v>
      </c>
      <c r="S70" s="63" t="s">
        <v>222</v>
      </c>
      <c r="T70" s="113"/>
      <c r="U70" s="260"/>
      <c r="V70" s="259"/>
      <c r="W70" s="241">
        <f>U68-W68-W69</f>
        <v>4.8899999999999997</v>
      </c>
      <c r="X70" s="63" t="s">
        <v>222</v>
      </c>
      <c r="Y70" s="113"/>
      <c r="Z70" s="260"/>
      <c r="AA70" s="259"/>
      <c r="AB70" s="241">
        <v>0.28000000000000003</v>
      </c>
      <c r="AC70" s="68" t="s">
        <v>98</v>
      </c>
      <c r="AD70" s="113"/>
      <c r="AE70" s="241">
        <v>0.48</v>
      </c>
      <c r="AF70" s="240">
        <v>7.27</v>
      </c>
      <c r="AG70" s="241">
        <f>AE70</f>
        <v>0.48</v>
      </c>
      <c r="AH70" s="68" t="s">
        <v>98</v>
      </c>
      <c r="AI70" s="156"/>
      <c r="AJ70" s="111" t="s">
        <v>286</v>
      </c>
      <c r="AN70" s="19">
        <f>0</f>
        <v>0</v>
      </c>
    </row>
    <row r="71" spans="1:41" s="21" customFormat="1" x14ac:dyDescent="0.25">
      <c r="A71" s="261">
        <v>24</v>
      </c>
      <c r="B71" s="260">
        <v>0.04</v>
      </c>
      <c r="C71" s="259">
        <v>7.29</v>
      </c>
      <c r="D71" s="240"/>
      <c r="E71" s="240"/>
      <c r="F71" s="113"/>
      <c r="G71" s="260">
        <v>0.11</v>
      </c>
      <c r="H71" s="259">
        <v>7.25</v>
      </c>
      <c r="I71" s="240"/>
      <c r="J71" s="113"/>
      <c r="K71" s="260">
        <v>7.0000000000000007E-2</v>
      </c>
      <c r="L71" s="259">
        <v>7.25</v>
      </c>
      <c r="M71" s="241"/>
      <c r="N71" s="240"/>
      <c r="O71" s="113"/>
      <c r="P71" s="260">
        <v>0.89</v>
      </c>
      <c r="Q71" s="259">
        <v>7.36</v>
      </c>
      <c r="R71" s="241"/>
      <c r="S71" s="240"/>
      <c r="T71" s="113"/>
      <c r="U71" s="260">
        <v>0.76</v>
      </c>
      <c r="V71" s="259">
        <v>7.25</v>
      </c>
      <c r="W71" s="241"/>
      <c r="X71" s="240"/>
      <c r="Y71" s="113"/>
      <c r="Z71" s="260">
        <v>0.18</v>
      </c>
      <c r="AA71" s="259">
        <v>7.27</v>
      </c>
      <c r="AB71" s="241"/>
      <c r="AC71" s="240"/>
      <c r="AD71" s="113"/>
      <c r="AE71" s="241">
        <v>0.02</v>
      </c>
      <c r="AF71" s="240">
        <v>7.34</v>
      </c>
      <c r="AG71" s="241"/>
      <c r="AH71" s="240"/>
      <c r="AI71" s="156"/>
      <c r="AJ71" s="111" t="s">
        <v>547</v>
      </c>
      <c r="AN71" s="19">
        <f>R40+R42+R47+R50+R51+R54+R55+R63+R70+R74+R80+R82+R88+R90+R91+R93+R94+R96+R109+R122+R138+R163+R191+R121+R145+R188+R60+R75+R87+R89+R92+R108+R125+R129+R134+R135+R136+R140+R151+R154+R155+R172+R178+R190+R194+R197</f>
        <v>32.795999999999999</v>
      </c>
    </row>
    <row r="72" spans="1:41" s="21" customFormat="1" ht="15.75" thickBot="1" x14ac:dyDescent="0.3">
      <c r="A72" s="261"/>
      <c r="B72" s="260"/>
      <c r="C72" s="259"/>
      <c r="D72" s="240"/>
      <c r="E72" s="240"/>
      <c r="F72" s="113"/>
      <c r="G72" s="260"/>
      <c r="H72" s="259"/>
      <c r="I72" s="240"/>
      <c r="J72" s="113"/>
      <c r="K72" s="260"/>
      <c r="L72" s="259"/>
      <c r="M72" s="241"/>
      <c r="N72" s="240"/>
      <c r="O72" s="113"/>
      <c r="P72" s="260"/>
      <c r="Q72" s="259"/>
      <c r="R72" s="241"/>
      <c r="S72" s="240"/>
      <c r="T72" s="113"/>
      <c r="U72" s="260"/>
      <c r="V72" s="259"/>
      <c r="W72" s="241"/>
      <c r="X72" s="240"/>
      <c r="Y72" s="113"/>
      <c r="Z72" s="260"/>
      <c r="AA72" s="259"/>
      <c r="AB72" s="241"/>
      <c r="AC72" s="240"/>
      <c r="AD72" s="113"/>
      <c r="AE72" s="241">
        <v>7.0000000000000007E-2</v>
      </c>
      <c r="AF72" s="240">
        <v>7.41</v>
      </c>
      <c r="AG72" s="241"/>
      <c r="AH72" s="240"/>
      <c r="AI72" s="156"/>
    </row>
    <row r="73" spans="1:41" s="21" customFormat="1" x14ac:dyDescent="0.25">
      <c r="A73" s="261">
        <v>25</v>
      </c>
      <c r="B73" s="260">
        <v>0.26</v>
      </c>
      <c r="C73" s="259">
        <v>7.35</v>
      </c>
      <c r="D73" s="240"/>
      <c r="E73" s="18"/>
      <c r="F73" s="113"/>
      <c r="G73" s="260">
        <v>0.9</v>
      </c>
      <c r="H73" s="259">
        <v>7.33</v>
      </c>
      <c r="I73" s="240"/>
      <c r="J73" s="113"/>
      <c r="K73" s="260">
        <v>0.39</v>
      </c>
      <c r="L73" s="259">
        <v>7.31</v>
      </c>
      <c r="M73" s="241"/>
      <c r="N73" s="18"/>
      <c r="O73" s="113"/>
      <c r="P73" s="260">
        <v>0.47</v>
      </c>
      <c r="Q73" s="259">
        <v>7.42</v>
      </c>
      <c r="R73" s="241"/>
      <c r="S73" s="18"/>
      <c r="T73" s="113"/>
      <c r="U73" s="260">
        <v>0.28000000000000003</v>
      </c>
      <c r="V73" s="259">
        <v>7.31</v>
      </c>
      <c r="W73" s="241"/>
      <c r="X73" s="18"/>
      <c r="Y73" s="113"/>
      <c r="Z73" s="260">
        <v>0.39</v>
      </c>
      <c r="AA73" s="259">
        <v>7.38</v>
      </c>
      <c r="AB73" s="241">
        <f>AB75</f>
        <v>0.28500000000000003</v>
      </c>
      <c r="AC73" s="7" t="s">
        <v>75</v>
      </c>
      <c r="AD73" s="113"/>
      <c r="AE73" s="241">
        <v>0.06</v>
      </c>
      <c r="AF73" s="240">
        <v>7.45</v>
      </c>
      <c r="AG73" s="241">
        <f>AE73</f>
        <v>0.06</v>
      </c>
      <c r="AH73" s="7" t="s">
        <v>75</v>
      </c>
      <c r="AI73" s="156"/>
      <c r="AJ73" s="153" t="s">
        <v>278</v>
      </c>
      <c r="AK73" s="184" t="s">
        <v>1</v>
      </c>
    </row>
    <row r="74" spans="1:41" s="21" customFormat="1" x14ac:dyDescent="0.25">
      <c r="A74" s="261"/>
      <c r="B74" s="260"/>
      <c r="C74" s="259"/>
      <c r="D74" s="240">
        <f>B73-D75-D76-D77</f>
        <v>0.25</v>
      </c>
      <c r="E74" s="14" t="s">
        <v>420</v>
      </c>
      <c r="F74" s="113"/>
      <c r="G74" s="260"/>
      <c r="H74" s="259"/>
      <c r="I74" s="240"/>
      <c r="J74" s="113"/>
      <c r="K74" s="260"/>
      <c r="L74" s="259"/>
      <c r="M74" s="241">
        <f>K73-M75</f>
        <v>0.38</v>
      </c>
      <c r="N74" s="14" t="s">
        <v>420</v>
      </c>
      <c r="O74" s="113"/>
      <c r="P74" s="260"/>
      <c r="Q74" s="259"/>
      <c r="R74" s="241">
        <f>P73-R75-R76-R77</f>
        <v>0.45999999999999996</v>
      </c>
      <c r="S74" s="14" t="s">
        <v>508</v>
      </c>
      <c r="T74" s="113"/>
      <c r="U74" s="260"/>
      <c r="V74" s="259"/>
      <c r="W74" s="241">
        <f>U73-W75-W76-W77</f>
        <v>0.27</v>
      </c>
      <c r="X74" s="14" t="s">
        <v>129</v>
      </c>
      <c r="Y74" s="113"/>
      <c r="Z74" s="260"/>
      <c r="AA74" s="259"/>
      <c r="AB74" s="241"/>
      <c r="AC74" s="18"/>
      <c r="AD74" s="113"/>
      <c r="AE74" s="241"/>
      <c r="AF74" s="240"/>
      <c r="AG74" s="241"/>
      <c r="AH74" s="18"/>
      <c r="AI74" s="156"/>
      <c r="AJ74" s="111" t="s">
        <v>279</v>
      </c>
      <c r="AK74" s="19">
        <f>D5+D38+D65+D83+D99+D134+D104+D125+D140+D146+D173+D12+D26+D29+D84+D42+D47+D50+D51+D55+D60+D64+D70+D74+D75+D82+D87+D88+D89+D90+D91+D92+D93+D96+D108+D109+D110+D135+D136+D145+D148+D154+D155+D172+D178+D191</f>
        <v>23.821666666666669</v>
      </c>
      <c r="AO74" s="21" t="s">
        <v>302</v>
      </c>
    </row>
    <row r="75" spans="1:41" s="21" customFormat="1" ht="15.75" customHeight="1" x14ac:dyDescent="0.25">
      <c r="A75" s="261"/>
      <c r="B75" s="260"/>
      <c r="C75" s="259"/>
      <c r="D75" s="241">
        <v>0.01</v>
      </c>
      <c r="E75" s="249" t="s">
        <v>211</v>
      </c>
      <c r="F75" s="113"/>
      <c r="G75" s="260"/>
      <c r="H75" s="259"/>
      <c r="I75" s="240"/>
      <c r="J75" s="113"/>
      <c r="K75" s="260"/>
      <c r="L75" s="259"/>
      <c r="M75" s="241">
        <f>D75</f>
        <v>0.01</v>
      </c>
      <c r="N75" s="249" t="s">
        <v>211</v>
      </c>
      <c r="O75" s="113"/>
      <c r="P75" s="260"/>
      <c r="Q75" s="259"/>
      <c r="R75" s="241">
        <v>0.01</v>
      </c>
      <c r="S75" s="249" t="s">
        <v>211</v>
      </c>
      <c r="T75" s="113"/>
      <c r="U75" s="260"/>
      <c r="V75" s="259"/>
      <c r="W75" s="241">
        <f>R75</f>
        <v>0.01</v>
      </c>
      <c r="X75" s="249" t="s">
        <v>211</v>
      </c>
      <c r="Y75" s="113"/>
      <c r="Z75" s="260"/>
      <c r="AA75" s="259"/>
      <c r="AB75" s="241">
        <f>(Z73+Z71)/2</f>
        <v>0.28500000000000003</v>
      </c>
      <c r="AC75" s="249" t="s">
        <v>211</v>
      </c>
      <c r="AD75" s="113"/>
      <c r="AE75" s="260">
        <v>0.25</v>
      </c>
      <c r="AF75" s="259">
        <v>7.53</v>
      </c>
      <c r="AG75" s="241">
        <f>AE75</f>
        <v>0.25</v>
      </c>
      <c r="AH75" s="249" t="s">
        <v>211</v>
      </c>
      <c r="AI75" s="156"/>
      <c r="AJ75" s="111" t="s">
        <v>280</v>
      </c>
      <c r="AK75" s="19">
        <f>D86+D103+D138+D142+D143+D107+D114+D115+D127+D130+D141+D137+D133+D132+D147+D149+D156+D158+D164+D167+D168+D169+D174+D179+D190+D196+D217+D219+D222+D240</f>
        <v>7.1249999999999991</v>
      </c>
      <c r="AO75" s="21" t="s">
        <v>303</v>
      </c>
    </row>
    <row r="76" spans="1:41" s="21" customFormat="1" ht="15.75" customHeight="1" x14ac:dyDescent="0.25">
      <c r="A76" s="261"/>
      <c r="B76" s="260"/>
      <c r="C76" s="259"/>
      <c r="D76" s="240"/>
      <c r="E76" s="18"/>
      <c r="F76" s="113"/>
      <c r="G76" s="260"/>
      <c r="H76" s="259"/>
      <c r="I76" s="240"/>
      <c r="J76" s="113"/>
      <c r="K76" s="260"/>
      <c r="L76" s="259"/>
      <c r="M76" s="241"/>
      <c r="N76" s="18"/>
      <c r="O76" s="113"/>
      <c r="P76" s="260"/>
      <c r="Q76" s="259"/>
      <c r="R76" s="245"/>
      <c r="S76" s="18"/>
      <c r="T76" s="113"/>
      <c r="U76" s="260"/>
      <c r="V76" s="259"/>
      <c r="W76" s="245"/>
      <c r="X76" s="18"/>
      <c r="Y76" s="113"/>
      <c r="Z76" s="260"/>
      <c r="AA76" s="259"/>
      <c r="AB76" s="56"/>
      <c r="AC76" s="56"/>
      <c r="AD76" s="113"/>
      <c r="AE76" s="260"/>
      <c r="AF76" s="259"/>
      <c r="AG76" s="241"/>
      <c r="AH76" s="241"/>
      <c r="AI76" s="156"/>
      <c r="AJ76" s="111" t="s">
        <v>281</v>
      </c>
      <c r="AK76" s="19">
        <f>D233+D221+D215+D214+D210+D201+D195+D189+D188+D183+D182+D181+D177+D163+D162+D152</f>
        <v>7.36</v>
      </c>
      <c r="AO76" s="21" t="s">
        <v>304</v>
      </c>
    </row>
    <row r="77" spans="1:41" s="21" customFormat="1" ht="15.75" customHeight="1" x14ac:dyDescent="0.25">
      <c r="A77" s="261"/>
      <c r="B77" s="260"/>
      <c r="C77" s="259"/>
      <c r="D77" s="240"/>
      <c r="E77" s="18"/>
      <c r="F77" s="113"/>
      <c r="G77" s="260"/>
      <c r="H77" s="259"/>
      <c r="I77" s="240"/>
      <c r="J77" s="113"/>
      <c r="K77" s="260"/>
      <c r="L77" s="259"/>
      <c r="M77" s="241"/>
      <c r="N77" s="18"/>
      <c r="O77" s="113"/>
      <c r="P77" s="260"/>
      <c r="Q77" s="259"/>
      <c r="R77" s="245"/>
      <c r="S77" s="18"/>
      <c r="T77" s="113"/>
      <c r="U77" s="260"/>
      <c r="V77" s="259"/>
      <c r="W77" s="245"/>
      <c r="X77" s="18"/>
      <c r="Y77" s="113"/>
      <c r="Z77" s="260"/>
      <c r="AA77" s="259"/>
      <c r="AB77" s="245"/>
      <c r="AC77" s="18"/>
      <c r="AD77" s="113"/>
      <c r="AE77" s="260"/>
      <c r="AF77" s="259"/>
      <c r="AG77" s="241"/>
      <c r="AH77" s="241"/>
      <c r="AI77" s="156"/>
      <c r="AJ77" s="111" t="s">
        <v>282</v>
      </c>
      <c r="AK77" s="19">
        <f>D244+D239+D238+D230+D220</f>
        <v>13.1</v>
      </c>
      <c r="AO77" s="21" t="s">
        <v>305</v>
      </c>
    </row>
    <row r="78" spans="1:41" s="21" customFormat="1" x14ac:dyDescent="0.25">
      <c r="A78" s="261"/>
      <c r="B78" s="260"/>
      <c r="C78" s="259"/>
      <c r="D78" s="56"/>
      <c r="E78" s="56"/>
      <c r="F78" s="113"/>
      <c r="G78" s="260"/>
      <c r="H78" s="259"/>
      <c r="I78" s="240"/>
      <c r="J78" s="113"/>
      <c r="K78" s="260"/>
      <c r="L78" s="259"/>
      <c r="M78" s="56"/>
      <c r="N78" s="56"/>
      <c r="O78" s="113"/>
      <c r="P78" s="260"/>
      <c r="Q78" s="259"/>
      <c r="R78" s="56"/>
      <c r="S78" s="56"/>
      <c r="T78" s="113"/>
      <c r="U78" s="260"/>
      <c r="V78" s="259"/>
      <c r="W78" s="56"/>
      <c r="X78" s="56"/>
      <c r="Y78" s="113"/>
      <c r="Z78" s="260"/>
      <c r="AA78" s="259"/>
      <c r="AB78" s="241"/>
      <c r="AC78" s="240"/>
      <c r="AD78" s="113"/>
      <c r="AE78" s="260"/>
      <c r="AF78" s="259"/>
      <c r="AG78" s="241"/>
      <c r="AH78" s="241"/>
      <c r="AI78" s="156"/>
      <c r="AJ78" s="111" t="s">
        <v>283</v>
      </c>
      <c r="AK78" s="19">
        <f>D236</f>
        <v>0.62</v>
      </c>
      <c r="AO78" s="21" t="s">
        <v>306</v>
      </c>
    </row>
    <row r="79" spans="1:41" s="21" customFormat="1" x14ac:dyDescent="0.25">
      <c r="A79" s="261">
        <v>26</v>
      </c>
      <c r="B79" s="260">
        <v>0.03</v>
      </c>
      <c r="C79" s="259">
        <v>7.39</v>
      </c>
      <c r="D79" s="240"/>
      <c r="E79" s="240"/>
      <c r="F79" s="113"/>
      <c r="G79" s="260">
        <v>0.19</v>
      </c>
      <c r="H79" s="259">
        <v>7.44</v>
      </c>
      <c r="I79" s="240"/>
      <c r="J79" s="113"/>
      <c r="K79" s="260">
        <v>0.08</v>
      </c>
      <c r="L79" s="259">
        <v>7.37</v>
      </c>
      <c r="M79" s="241"/>
      <c r="N79" s="240"/>
      <c r="O79" s="113"/>
      <c r="P79" s="260">
        <v>0.22</v>
      </c>
      <c r="Q79" s="259">
        <v>7.49</v>
      </c>
      <c r="R79" s="241"/>
      <c r="S79" s="240"/>
      <c r="T79" s="113"/>
      <c r="U79" s="260">
        <v>0.28000000000000003</v>
      </c>
      <c r="V79" s="259">
        <v>7.38</v>
      </c>
      <c r="W79" s="241"/>
      <c r="X79" s="240"/>
      <c r="Y79" s="113"/>
      <c r="Z79" s="260"/>
      <c r="AA79" s="259"/>
      <c r="AB79" s="241"/>
      <c r="AC79" s="240"/>
      <c r="AD79" s="113"/>
      <c r="AE79" s="260"/>
      <c r="AF79" s="259"/>
      <c r="AG79" s="241"/>
      <c r="AH79" s="241"/>
      <c r="AI79" s="156"/>
      <c r="AJ79" s="111" t="s">
        <v>285</v>
      </c>
      <c r="AK79" s="19">
        <f>D241+D239+D244+D221+D236</f>
        <v>2.58</v>
      </c>
      <c r="AO79" s="21" t="s">
        <v>307</v>
      </c>
    </row>
    <row r="80" spans="1:41" s="21" customFormat="1" x14ac:dyDescent="0.25">
      <c r="A80" s="261"/>
      <c r="B80" s="260"/>
      <c r="C80" s="259"/>
      <c r="D80" s="240"/>
      <c r="E80" s="240"/>
      <c r="F80" s="113"/>
      <c r="G80" s="260"/>
      <c r="H80" s="259"/>
      <c r="I80" s="240"/>
      <c r="J80" s="113"/>
      <c r="K80" s="260"/>
      <c r="L80" s="259"/>
      <c r="M80" s="241"/>
      <c r="N80" s="240"/>
      <c r="O80" s="113"/>
      <c r="P80" s="260"/>
      <c r="Q80" s="259"/>
      <c r="R80" s="241">
        <f>P79</f>
        <v>0.22</v>
      </c>
      <c r="S80" s="15" t="s">
        <v>511</v>
      </c>
      <c r="T80" s="113"/>
      <c r="U80" s="260"/>
      <c r="V80" s="259"/>
      <c r="W80" s="241">
        <f>U79</f>
        <v>0.28000000000000003</v>
      </c>
      <c r="X80" s="15" t="s">
        <v>325</v>
      </c>
      <c r="Y80" s="113"/>
      <c r="Z80" s="260"/>
      <c r="AA80" s="259"/>
      <c r="AB80" s="241"/>
      <c r="AC80" s="240"/>
      <c r="AD80" s="113"/>
      <c r="AE80" s="260"/>
      <c r="AF80" s="259"/>
      <c r="AG80" s="241"/>
      <c r="AH80" s="241"/>
      <c r="AI80" s="156"/>
      <c r="AJ80" s="111" t="s">
        <v>284</v>
      </c>
      <c r="AK80" s="19">
        <f>D86+D103+D138+D142+D143+D107+D114+D115+D127+D130+D141+D137+D133+D132+D147+D149+D156+D158+D164+D167+D168+D169+D174+D179+D190+D196+D217+D219+D233+D224+D215+D214+D210+D202+D195+D189+D188+D182+D181+D177+D222+D152+D163+D183+D240</f>
        <v>11.384999999999996</v>
      </c>
      <c r="AO80" s="21" t="s">
        <v>308</v>
      </c>
    </row>
    <row r="81" spans="1:41" s="21" customFormat="1" x14ac:dyDescent="0.25">
      <c r="A81" s="242">
        <v>27</v>
      </c>
      <c r="B81" s="241">
        <v>0.03</v>
      </c>
      <c r="C81" s="240">
        <v>7.45</v>
      </c>
      <c r="D81" s="240"/>
      <c r="E81" s="240"/>
      <c r="F81" s="113"/>
      <c r="G81" s="241">
        <v>0.15</v>
      </c>
      <c r="H81" s="240">
        <v>7.48</v>
      </c>
      <c r="I81" s="240"/>
      <c r="J81" s="113"/>
      <c r="K81" s="260">
        <v>1</v>
      </c>
      <c r="L81" s="259">
        <v>7.52</v>
      </c>
      <c r="M81" s="241"/>
      <c r="N81" s="240"/>
      <c r="O81" s="113"/>
      <c r="P81" s="260">
        <v>1.94</v>
      </c>
      <c r="Q81" s="259">
        <v>7.64</v>
      </c>
      <c r="R81" s="56"/>
      <c r="S81" s="56"/>
      <c r="T81" s="113"/>
      <c r="U81" s="260">
        <v>2.93</v>
      </c>
      <c r="V81" s="259">
        <v>7.5</v>
      </c>
      <c r="W81" s="241"/>
      <c r="X81" s="56"/>
      <c r="Y81" s="113"/>
      <c r="Z81" s="260">
        <v>0.97</v>
      </c>
      <c r="AA81" s="259">
        <v>7.48</v>
      </c>
      <c r="AB81" s="241"/>
      <c r="AC81" s="240"/>
      <c r="AD81" s="113"/>
      <c r="AE81" s="260">
        <v>0.06</v>
      </c>
      <c r="AF81" s="259">
        <v>7.56</v>
      </c>
      <c r="AG81" s="241"/>
      <c r="AH81" s="241"/>
      <c r="AI81" s="156"/>
      <c r="AJ81" s="111" t="s">
        <v>286</v>
      </c>
      <c r="AK81" s="19">
        <f>D241+D238+D230+D220+D201+D160+D162+D153</f>
        <v>14.239999999999998</v>
      </c>
    </row>
    <row r="82" spans="1:41" s="21" customFormat="1" x14ac:dyDescent="0.25">
      <c r="A82" s="261">
        <v>28</v>
      </c>
      <c r="B82" s="260">
        <v>0.5</v>
      </c>
      <c r="C82" s="259">
        <v>7.55</v>
      </c>
      <c r="D82" s="241">
        <f>B82+B81-D83-D84</f>
        <v>4.0000000000000036E-2</v>
      </c>
      <c r="E82" s="7" t="s">
        <v>422</v>
      </c>
      <c r="F82" s="113"/>
      <c r="G82" s="260">
        <v>0.46</v>
      </c>
      <c r="H82" s="259">
        <v>7.53</v>
      </c>
      <c r="I82" s="240"/>
      <c r="J82" s="113"/>
      <c r="K82" s="260"/>
      <c r="L82" s="259"/>
      <c r="M82" s="241">
        <f>K81-M83-M84</f>
        <v>0.51</v>
      </c>
      <c r="N82" s="7" t="s">
        <v>422</v>
      </c>
      <c r="O82" s="113"/>
      <c r="P82" s="260"/>
      <c r="Q82" s="259"/>
      <c r="R82" s="241">
        <f>P81-R83-R84</f>
        <v>1.31</v>
      </c>
      <c r="S82" s="7" t="s">
        <v>509</v>
      </c>
      <c r="T82" s="113"/>
      <c r="U82" s="260"/>
      <c r="V82" s="259"/>
      <c r="W82" s="241">
        <f>U81-W83-W84</f>
        <v>1.9700000000000002</v>
      </c>
      <c r="X82" s="7" t="s">
        <v>266</v>
      </c>
      <c r="Y82" s="113"/>
      <c r="Z82" s="260"/>
      <c r="AA82" s="259"/>
      <c r="AB82" s="241"/>
      <c r="AC82" s="240"/>
      <c r="AD82" s="113"/>
      <c r="AE82" s="260"/>
      <c r="AF82" s="259"/>
      <c r="AG82" s="241"/>
      <c r="AH82" s="241"/>
      <c r="AI82" s="156"/>
      <c r="AJ82" s="111" t="s">
        <v>309</v>
      </c>
      <c r="AK82" s="19">
        <f>D86+D103+D138+D142+D143+D107+D114+D115+D127+D130+D141+D137+D133+D132+D147+D149+D156+D158+D164+D167+D168+D169+D174+D179+D190+D196+D217+D219+D222+D240+D233+D221+D215+D214+D210+D201+D195+D189+D188+D183+D182+D181+D177+D163+D162+D152+D230+D220+D236+D238+D239+D244</f>
        <v>28.205000000000002</v>
      </c>
      <c r="AO82" s="21" t="s">
        <v>310</v>
      </c>
    </row>
    <row r="83" spans="1:41" s="21" customFormat="1" x14ac:dyDescent="0.25">
      <c r="A83" s="261"/>
      <c r="B83" s="260"/>
      <c r="C83" s="259"/>
      <c r="D83" s="241">
        <f>R83</f>
        <v>0.19</v>
      </c>
      <c r="E83" s="6" t="s">
        <v>38</v>
      </c>
      <c r="F83" s="113"/>
      <c r="G83" s="260"/>
      <c r="H83" s="259"/>
      <c r="I83" s="149"/>
      <c r="J83" s="113"/>
      <c r="K83" s="260"/>
      <c r="L83" s="259"/>
      <c r="M83" s="241">
        <f>R83</f>
        <v>0.19</v>
      </c>
      <c r="N83" s="6" t="s">
        <v>38</v>
      </c>
      <c r="O83" s="113"/>
      <c r="P83" s="260"/>
      <c r="Q83" s="259"/>
      <c r="R83" s="241">
        <v>0.19</v>
      </c>
      <c r="S83" s="6" t="s">
        <v>38</v>
      </c>
      <c r="T83" s="113"/>
      <c r="U83" s="260"/>
      <c r="V83" s="259"/>
      <c r="W83" s="241">
        <v>0.19</v>
      </c>
      <c r="X83" s="6" t="s">
        <v>38</v>
      </c>
      <c r="Y83" s="113"/>
      <c r="Z83" s="260"/>
      <c r="AA83" s="259"/>
      <c r="AB83" s="241">
        <v>0.2</v>
      </c>
      <c r="AC83" s="6" t="s">
        <v>38</v>
      </c>
      <c r="AD83" s="113"/>
      <c r="AE83" s="260">
        <v>0.01</v>
      </c>
      <c r="AF83" s="259">
        <v>7.66</v>
      </c>
      <c r="AG83" s="241"/>
      <c r="AH83" s="241"/>
      <c r="AI83" s="156"/>
    </row>
    <row r="84" spans="1:41" s="21" customFormat="1" x14ac:dyDescent="0.25">
      <c r="A84" s="261"/>
      <c r="B84" s="260"/>
      <c r="C84" s="259"/>
      <c r="D84" s="240">
        <v>0.3</v>
      </c>
      <c r="E84" s="15" t="s">
        <v>68</v>
      </c>
      <c r="F84" s="113"/>
      <c r="G84" s="260"/>
      <c r="H84" s="259"/>
      <c r="I84" s="240"/>
      <c r="J84" s="113"/>
      <c r="K84" s="260"/>
      <c r="L84" s="259"/>
      <c r="M84" s="241">
        <v>0.3</v>
      </c>
      <c r="N84" s="15" t="s">
        <v>68</v>
      </c>
      <c r="O84" s="113"/>
      <c r="P84" s="260"/>
      <c r="Q84" s="259"/>
      <c r="R84" s="241">
        <v>0.44</v>
      </c>
      <c r="S84" s="15" t="s">
        <v>68</v>
      </c>
      <c r="T84" s="113"/>
      <c r="U84" s="260"/>
      <c r="V84" s="259"/>
      <c r="W84" s="241">
        <v>0.77</v>
      </c>
      <c r="X84" s="15" t="s">
        <v>68</v>
      </c>
      <c r="Y84" s="113"/>
      <c r="Z84" s="260"/>
      <c r="AA84" s="259"/>
      <c r="AB84" s="241">
        <v>0.77</v>
      </c>
      <c r="AC84" s="15" t="s">
        <v>68</v>
      </c>
      <c r="AD84" s="113"/>
      <c r="AE84" s="260"/>
      <c r="AF84" s="259"/>
      <c r="AG84" s="241">
        <f>AE83</f>
        <v>0.01</v>
      </c>
      <c r="AH84" s="15" t="s">
        <v>68</v>
      </c>
      <c r="AI84" s="156"/>
    </row>
    <row r="85" spans="1:41" s="21" customFormat="1" x14ac:dyDescent="0.25">
      <c r="A85" s="261"/>
      <c r="B85" s="260"/>
      <c r="C85" s="259"/>
      <c r="D85" s="240"/>
      <c r="E85" s="240"/>
      <c r="F85" s="113"/>
      <c r="G85" s="241">
        <v>0.28999999999999998</v>
      </c>
      <c r="H85" s="240">
        <v>7.6</v>
      </c>
      <c r="I85" s="240"/>
      <c r="J85" s="113"/>
      <c r="K85" s="260"/>
      <c r="L85" s="259"/>
      <c r="M85" s="241"/>
      <c r="N85" s="240"/>
      <c r="O85" s="113"/>
      <c r="P85" s="260">
        <v>0.27</v>
      </c>
      <c r="Q85" s="259">
        <v>7.72</v>
      </c>
      <c r="R85" s="241"/>
      <c r="S85" s="240"/>
      <c r="T85" s="113"/>
      <c r="U85" s="260">
        <v>1.55</v>
      </c>
      <c r="V85" s="259">
        <v>7.58</v>
      </c>
      <c r="W85" s="241"/>
      <c r="X85" s="240"/>
      <c r="Y85" s="113"/>
      <c r="Z85" s="241">
        <v>0.13</v>
      </c>
      <c r="AA85" s="240">
        <v>7.59</v>
      </c>
      <c r="AB85" s="241"/>
      <c r="AC85" s="240"/>
      <c r="AD85" s="113"/>
      <c r="AE85" s="241">
        <v>0.05</v>
      </c>
      <c r="AF85" s="240">
        <v>7.69</v>
      </c>
      <c r="AG85" s="241"/>
      <c r="AH85" s="240"/>
      <c r="AI85" s="156"/>
    </row>
    <row r="86" spans="1:41" s="21" customFormat="1" x14ac:dyDescent="0.25">
      <c r="A86" s="261">
        <v>29</v>
      </c>
      <c r="B86" s="260">
        <v>1.66</v>
      </c>
      <c r="C86" s="259">
        <v>7.72</v>
      </c>
      <c r="D86" s="241">
        <v>0.19</v>
      </c>
      <c r="E86" s="61" t="s">
        <v>145</v>
      </c>
      <c r="F86" s="113"/>
      <c r="G86" s="260">
        <v>1.91</v>
      </c>
      <c r="H86" s="259">
        <v>7.7</v>
      </c>
      <c r="I86" s="240"/>
      <c r="J86" s="113"/>
      <c r="K86" s="260">
        <v>2.16</v>
      </c>
      <c r="L86" s="259">
        <v>7.68</v>
      </c>
      <c r="M86" s="241">
        <v>0.19</v>
      </c>
      <c r="N86" s="61" t="s">
        <v>145</v>
      </c>
      <c r="O86" s="113"/>
      <c r="P86" s="260"/>
      <c r="Q86" s="259"/>
      <c r="R86" s="241">
        <f>M194-R194</f>
        <v>1.5</v>
      </c>
      <c r="S86" s="249" t="s">
        <v>65</v>
      </c>
      <c r="T86" s="113"/>
      <c r="U86" s="260"/>
      <c r="V86" s="259"/>
      <c r="W86" s="241">
        <f>M194</f>
        <v>1.94</v>
      </c>
      <c r="X86" s="249" t="s">
        <v>65</v>
      </c>
      <c r="Y86" s="113"/>
      <c r="Z86" s="241">
        <v>0.12</v>
      </c>
      <c r="AA86" s="240">
        <v>7.64</v>
      </c>
      <c r="AB86" s="241"/>
      <c r="AC86" s="240"/>
      <c r="AD86" s="113"/>
      <c r="AE86" s="241">
        <v>0.03</v>
      </c>
      <c r="AF86" s="240">
        <v>7.73</v>
      </c>
      <c r="AG86" s="241"/>
      <c r="AH86" s="240"/>
      <c r="AI86" s="156"/>
    </row>
    <row r="87" spans="1:41" s="21" customFormat="1" x14ac:dyDescent="0.25">
      <c r="A87" s="261"/>
      <c r="B87" s="260"/>
      <c r="C87" s="259"/>
      <c r="D87" s="240">
        <f>M87</f>
        <v>1.0900000000000001</v>
      </c>
      <c r="E87" s="7" t="s">
        <v>354</v>
      </c>
      <c r="F87" s="113"/>
      <c r="G87" s="260"/>
      <c r="H87" s="259"/>
      <c r="I87" s="240"/>
      <c r="J87" s="113"/>
      <c r="K87" s="260"/>
      <c r="L87" s="259"/>
      <c r="M87" s="241">
        <v>1.0900000000000001</v>
      </c>
      <c r="N87" s="7" t="s">
        <v>354</v>
      </c>
      <c r="O87" s="113"/>
      <c r="P87" s="260">
        <v>2.95</v>
      </c>
      <c r="Q87" s="259">
        <v>7.81</v>
      </c>
      <c r="R87" s="241">
        <f>P87+P85-R86-R88-R91-R93-R92-R89-R94-R90</f>
        <v>0.63000000000000012</v>
      </c>
      <c r="S87" s="7" t="s">
        <v>354</v>
      </c>
      <c r="T87" s="113"/>
      <c r="U87" s="260">
        <v>2.42</v>
      </c>
      <c r="V87" s="259">
        <v>7.68</v>
      </c>
      <c r="W87" s="241">
        <f>U87+U85-W86-W88-W91-W93-W92-W89-W94-W90</f>
        <v>0.93999999999999972</v>
      </c>
      <c r="X87" s="7" t="s">
        <v>354</v>
      </c>
      <c r="Y87" s="113"/>
      <c r="Z87" s="260">
        <v>0.15</v>
      </c>
      <c r="AA87" s="259">
        <v>7.68</v>
      </c>
      <c r="AB87" s="241"/>
      <c r="AC87" s="240"/>
      <c r="AD87" s="113"/>
      <c r="AE87" s="260">
        <v>0.08</v>
      </c>
      <c r="AF87" s="259">
        <v>7.77</v>
      </c>
      <c r="AG87" s="241"/>
      <c r="AH87" s="240"/>
      <c r="AI87" s="156"/>
    </row>
    <row r="88" spans="1:41" s="21" customFormat="1" x14ac:dyDescent="0.25">
      <c r="A88" s="261"/>
      <c r="B88" s="260"/>
      <c r="C88" s="259"/>
      <c r="D88" s="241">
        <v>0.01</v>
      </c>
      <c r="E88" s="58" t="s">
        <v>417</v>
      </c>
      <c r="F88" s="113"/>
      <c r="G88" s="260"/>
      <c r="H88" s="259"/>
      <c r="I88" s="240"/>
      <c r="J88" s="113"/>
      <c r="K88" s="260"/>
      <c r="L88" s="259"/>
      <c r="M88" s="241">
        <f>D88</f>
        <v>0.01</v>
      </c>
      <c r="N88" s="58" t="s">
        <v>417</v>
      </c>
      <c r="O88" s="113"/>
      <c r="P88" s="260"/>
      <c r="Q88" s="259"/>
      <c r="R88" s="241">
        <v>0.27</v>
      </c>
      <c r="S88" s="58" t="s">
        <v>130</v>
      </c>
      <c r="T88" s="113"/>
      <c r="U88" s="260"/>
      <c r="V88" s="259"/>
      <c r="W88" s="241">
        <f>R88</f>
        <v>0.27</v>
      </c>
      <c r="X88" s="58" t="s">
        <v>130</v>
      </c>
      <c r="Y88" s="113"/>
      <c r="Z88" s="260"/>
      <c r="AA88" s="259"/>
      <c r="AB88" s="241"/>
      <c r="AC88" s="240"/>
      <c r="AD88" s="113"/>
      <c r="AE88" s="260"/>
      <c r="AF88" s="259"/>
      <c r="AG88" s="241"/>
      <c r="AH88" s="240"/>
      <c r="AI88" s="156"/>
    </row>
    <row r="89" spans="1:41" s="21" customFormat="1" x14ac:dyDescent="0.25">
      <c r="A89" s="261"/>
      <c r="B89" s="260"/>
      <c r="C89" s="259"/>
      <c r="D89" s="241">
        <f>R89</f>
        <v>0.21000000000000002</v>
      </c>
      <c r="E89" s="59" t="s">
        <v>74</v>
      </c>
      <c r="F89" s="113"/>
      <c r="G89" s="260"/>
      <c r="H89" s="259"/>
      <c r="I89" s="240"/>
      <c r="J89" s="113"/>
      <c r="K89" s="260"/>
      <c r="L89" s="259"/>
      <c r="M89" s="241">
        <f>D89</f>
        <v>0.21000000000000002</v>
      </c>
      <c r="N89" s="59" t="s">
        <v>74</v>
      </c>
      <c r="O89" s="113"/>
      <c r="P89" s="260"/>
      <c r="Q89" s="259"/>
      <c r="R89" s="241">
        <f>AB89</f>
        <v>0.21000000000000002</v>
      </c>
      <c r="S89" s="59" t="s">
        <v>74</v>
      </c>
      <c r="T89" s="113"/>
      <c r="U89" s="260"/>
      <c r="V89" s="259"/>
      <c r="W89" s="241">
        <f>R89</f>
        <v>0.21000000000000002</v>
      </c>
      <c r="X89" s="59" t="s">
        <v>74</v>
      </c>
      <c r="Y89" s="113"/>
      <c r="Z89" s="260"/>
      <c r="AA89" s="259"/>
      <c r="AB89" s="241">
        <f>Z87+Z86+Z85+Z95-AB92</f>
        <v>0.21000000000000002</v>
      </c>
      <c r="AC89" s="59" t="s">
        <v>74</v>
      </c>
      <c r="AD89" s="113"/>
      <c r="AE89" s="260"/>
      <c r="AF89" s="259"/>
      <c r="AG89" s="241">
        <f>AE87/2</f>
        <v>0.04</v>
      </c>
      <c r="AH89" s="59" t="s">
        <v>74</v>
      </c>
      <c r="AI89" s="156"/>
    </row>
    <row r="90" spans="1:41" s="21" customFormat="1" x14ac:dyDescent="0.25">
      <c r="A90" s="261"/>
      <c r="B90" s="260"/>
      <c r="C90" s="259"/>
      <c r="D90" s="241">
        <f>B86-D87-D88-D91-D92-D93-D89-D86</f>
        <v>5.9999999999999776E-2</v>
      </c>
      <c r="E90" s="22" t="s">
        <v>406</v>
      </c>
      <c r="F90" s="113"/>
      <c r="G90" s="260"/>
      <c r="H90" s="259"/>
      <c r="I90" s="240"/>
      <c r="J90" s="113"/>
      <c r="K90" s="260"/>
      <c r="L90" s="259"/>
      <c r="M90" s="241">
        <f>K86-M88-M91-M93-M92-M89-M86-M87</f>
        <v>0.56000000000000072</v>
      </c>
      <c r="N90" s="22" t="s">
        <v>406</v>
      </c>
      <c r="O90" s="113"/>
      <c r="P90" s="260"/>
      <c r="Q90" s="259"/>
      <c r="R90" s="241">
        <v>0.01</v>
      </c>
      <c r="S90" s="22" t="s">
        <v>209</v>
      </c>
      <c r="T90" s="113"/>
      <c r="U90" s="260"/>
      <c r="V90" s="259"/>
      <c r="W90" s="241">
        <v>0.01</v>
      </c>
      <c r="X90" s="22" t="s">
        <v>209</v>
      </c>
      <c r="Y90" s="113"/>
      <c r="Z90" s="260"/>
      <c r="AA90" s="259"/>
      <c r="AB90" s="241"/>
      <c r="AC90" s="19"/>
      <c r="AD90" s="113"/>
      <c r="AE90" s="260"/>
      <c r="AF90" s="259"/>
      <c r="AG90" s="241"/>
      <c r="AH90" s="19"/>
      <c r="AI90" s="156"/>
    </row>
    <row r="91" spans="1:41" s="21" customFormat="1" x14ac:dyDescent="0.25">
      <c r="A91" s="261"/>
      <c r="B91" s="260"/>
      <c r="C91" s="259"/>
      <c r="D91" s="241">
        <v>0.01</v>
      </c>
      <c r="E91" s="249" t="s">
        <v>403</v>
      </c>
      <c r="F91" s="113"/>
      <c r="G91" s="260"/>
      <c r="H91" s="259"/>
      <c r="I91" s="240"/>
      <c r="J91" s="113"/>
      <c r="K91" s="260"/>
      <c r="L91" s="259"/>
      <c r="M91" s="241">
        <f>D91</f>
        <v>0.01</v>
      </c>
      <c r="N91" s="249" t="s">
        <v>403</v>
      </c>
      <c r="O91" s="113"/>
      <c r="P91" s="260"/>
      <c r="Q91" s="259"/>
      <c r="R91" s="241">
        <v>0.01</v>
      </c>
      <c r="S91" s="249" t="s">
        <v>131</v>
      </c>
      <c r="T91" s="113"/>
      <c r="U91" s="260"/>
      <c r="V91" s="259"/>
      <c r="W91" s="241">
        <f>R91</f>
        <v>0.01</v>
      </c>
      <c r="X91" s="249" t="s">
        <v>131</v>
      </c>
      <c r="Y91" s="113"/>
      <c r="Z91" s="260"/>
      <c r="AA91" s="259"/>
      <c r="AB91" s="56"/>
      <c r="AC91" s="56"/>
      <c r="AD91" s="113"/>
      <c r="AE91" s="260"/>
      <c r="AF91" s="259"/>
      <c r="AG91" s="241"/>
      <c r="AH91" s="56"/>
      <c r="AI91" s="156"/>
    </row>
    <row r="92" spans="1:41" s="21" customFormat="1" x14ac:dyDescent="0.25">
      <c r="A92" s="261"/>
      <c r="B92" s="260"/>
      <c r="C92" s="259"/>
      <c r="D92" s="241">
        <f>R92</f>
        <v>0.08</v>
      </c>
      <c r="E92" s="249" t="s">
        <v>73</v>
      </c>
      <c r="F92" s="113"/>
      <c r="G92" s="260"/>
      <c r="H92" s="259"/>
      <c r="I92" s="240"/>
      <c r="J92" s="113"/>
      <c r="K92" s="260"/>
      <c r="L92" s="259"/>
      <c r="M92" s="241">
        <f>D92</f>
        <v>0.08</v>
      </c>
      <c r="N92" s="249" t="s">
        <v>73</v>
      </c>
      <c r="O92" s="113"/>
      <c r="P92" s="260"/>
      <c r="Q92" s="259"/>
      <c r="R92" s="241">
        <v>0.08</v>
      </c>
      <c r="S92" s="249" t="s">
        <v>73</v>
      </c>
      <c r="T92" s="113"/>
      <c r="U92" s="260"/>
      <c r="V92" s="259"/>
      <c r="W92" s="241">
        <v>0.08</v>
      </c>
      <c r="X92" s="249" t="s">
        <v>73</v>
      </c>
      <c r="Y92" s="113"/>
      <c r="Z92" s="260"/>
      <c r="AA92" s="259"/>
      <c r="AB92" s="241">
        <v>0.33</v>
      </c>
      <c r="AC92" s="249" t="s">
        <v>73</v>
      </c>
      <c r="AD92" s="113"/>
      <c r="AE92" s="260"/>
      <c r="AF92" s="259"/>
      <c r="AG92" s="241">
        <f>AG89</f>
        <v>0.04</v>
      </c>
      <c r="AH92" s="249" t="s">
        <v>73</v>
      </c>
      <c r="AI92" s="156"/>
    </row>
    <row r="93" spans="1:41" s="21" customFormat="1" x14ac:dyDescent="0.25">
      <c r="A93" s="261"/>
      <c r="B93" s="260"/>
      <c r="C93" s="259"/>
      <c r="D93" s="241">
        <v>0.01</v>
      </c>
      <c r="E93" s="68" t="s">
        <v>440</v>
      </c>
      <c r="F93" s="113"/>
      <c r="G93" s="260"/>
      <c r="H93" s="259"/>
      <c r="I93" s="240"/>
      <c r="J93" s="113"/>
      <c r="K93" s="260"/>
      <c r="L93" s="259"/>
      <c r="M93" s="241">
        <f>D93</f>
        <v>0.01</v>
      </c>
      <c r="N93" s="68" t="s">
        <v>440</v>
      </c>
      <c r="O93" s="113"/>
      <c r="P93" s="260"/>
      <c r="Q93" s="259"/>
      <c r="R93" s="241">
        <v>0.01</v>
      </c>
      <c r="S93" s="68" t="s">
        <v>132</v>
      </c>
      <c r="T93" s="113"/>
      <c r="U93" s="260"/>
      <c r="V93" s="259"/>
      <c r="W93" s="241">
        <f>R93</f>
        <v>0.01</v>
      </c>
      <c r="X93" s="68" t="s">
        <v>132</v>
      </c>
      <c r="Y93" s="113"/>
      <c r="Z93" s="260"/>
      <c r="AA93" s="259"/>
      <c r="AB93" s="56"/>
      <c r="AC93" s="56"/>
      <c r="AD93" s="113"/>
      <c r="AE93" s="260"/>
      <c r="AF93" s="259"/>
      <c r="AG93" s="241"/>
      <c r="AH93" s="56"/>
      <c r="AI93" s="156"/>
    </row>
    <row r="94" spans="1:41" s="21" customFormat="1" x14ac:dyDescent="0.25">
      <c r="A94" s="261"/>
      <c r="B94" s="260"/>
      <c r="C94" s="259"/>
      <c r="D94" s="240"/>
      <c r="E94" s="56"/>
      <c r="F94" s="113"/>
      <c r="G94" s="260"/>
      <c r="H94" s="259"/>
      <c r="I94" s="240"/>
      <c r="J94" s="113"/>
      <c r="K94" s="260"/>
      <c r="L94" s="259"/>
      <c r="M94" s="56"/>
      <c r="N94" s="56"/>
      <c r="O94" s="113"/>
      <c r="P94" s="260"/>
      <c r="Q94" s="259"/>
      <c r="R94" s="241">
        <f>AB62</f>
        <v>0.5</v>
      </c>
      <c r="S94" s="6" t="s">
        <v>313</v>
      </c>
      <c r="T94" s="113"/>
      <c r="U94" s="260"/>
      <c r="V94" s="259"/>
      <c r="W94" s="241">
        <f>R94</f>
        <v>0.5</v>
      </c>
      <c r="X94" s="6" t="s">
        <v>313</v>
      </c>
      <c r="Y94" s="113"/>
      <c r="Z94" s="260"/>
      <c r="AA94" s="259"/>
      <c r="AB94" s="241"/>
      <c r="AC94" s="240"/>
      <c r="AD94" s="113"/>
      <c r="AE94" s="260"/>
      <c r="AF94" s="259"/>
      <c r="AG94" s="241"/>
      <c r="AH94" s="240"/>
      <c r="AI94" s="156"/>
    </row>
    <row r="95" spans="1:41" s="21" customFormat="1" x14ac:dyDescent="0.25">
      <c r="A95" s="261"/>
      <c r="B95" s="260"/>
      <c r="C95" s="259"/>
      <c r="D95" s="56"/>
      <c r="E95" s="56"/>
      <c r="F95" s="113"/>
      <c r="G95" s="260"/>
      <c r="H95" s="259"/>
      <c r="I95" s="240"/>
      <c r="J95" s="113"/>
      <c r="K95" s="260"/>
      <c r="L95" s="259"/>
      <c r="M95" s="56"/>
      <c r="N95" s="56"/>
      <c r="O95" s="113"/>
      <c r="P95" s="260"/>
      <c r="Q95" s="259"/>
      <c r="R95" s="56"/>
      <c r="S95" s="56"/>
      <c r="T95" s="113"/>
      <c r="U95" s="260"/>
      <c r="V95" s="259"/>
      <c r="W95" s="56"/>
      <c r="X95" s="56"/>
      <c r="Y95" s="113"/>
      <c r="Z95" s="241">
        <v>0.14000000000000001</v>
      </c>
      <c r="AA95" s="240">
        <v>7.74</v>
      </c>
      <c r="AB95" s="241">
        <v>0.69</v>
      </c>
      <c r="AC95" s="75" t="s">
        <v>196</v>
      </c>
      <c r="AD95" s="113"/>
      <c r="AE95" s="241">
        <v>0.09</v>
      </c>
      <c r="AF95" s="240">
        <v>7.82</v>
      </c>
      <c r="AG95" s="241"/>
      <c r="AH95" s="240"/>
      <c r="AI95" s="156"/>
    </row>
    <row r="96" spans="1:41" s="21" customFormat="1" x14ac:dyDescent="0.25">
      <c r="A96" s="261">
        <v>30</v>
      </c>
      <c r="B96" s="260">
        <v>1.46</v>
      </c>
      <c r="C96" s="259">
        <v>7.83</v>
      </c>
      <c r="D96" s="241">
        <f>B96-D98</f>
        <v>0.62999999999999989</v>
      </c>
      <c r="E96" s="22" t="s">
        <v>417</v>
      </c>
      <c r="F96" s="113"/>
      <c r="G96" s="260">
        <v>1.89</v>
      </c>
      <c r="H96" s="259">
        <v>7.82</v>
      </c>
      <c r="I96" s="240"/>
      <c r="J96" s="113"/>
      <c r="K96" s="260">
        <v>1.53</v>
      </c>
      <c r="L96" s="259">
        <v>7.82</v>
      </c>
      <c r="M96" s="241">
        <f>K96-M98</f>
        <v>0.7</v>
      </c>
      <c r="N96" s="22" t="s">
        <v>417</v>
      </c>
      <c r="O96" s="113"/>
      <c r="P96" s="260">
        <v>1.82</v>
      </c>
      <c r="Q96" s="259">
        <v>7.93</v>
      </c>
      <c r="R96" s="241">
        <v>0.5</v>
      </c>
      <c r="S96" s="22" t="s">
        <v>519</v>
      </c>
      <c r="T96" s="113"/>
      <c r="U96" s="260">
        <v>1.76</v>
      </c>
      <c r="V96" s="259">
        <v>7.81</v>
      </c>
      <c r="W96" s="241">
        <f>U96-W98</f>
        <v>0.92999999999999994</v>
      </c>
      <c r="X96" s="22" t="s">
        <v>130</v>
      </c>
      <c r="Y96" s="113"/>
      <c r="Z96" s="260">
        <v>1.38</v>
      </c>
      <c r="AA96" s="259">
        <v>7.84</v>
      </c>
      <c r="AB96" s="241"/>
      <c r="AC96" s="240"/>
      <c r="AD96" s="113"/>
      <c r="AE96" s="260">
        <v>1.28</v>
      </c>
      <c r="AF96" s="259">
        <v>7.93</v>
      </c>
      <c r="AG96" s="241"/>
      <c r="AH96" s="241"/>
      <c r="AI96" s="156"/>
    </row>
    <row r="97" spans="1:35" s="21" customFormat="1" x14ac:dyDescent="0.25">
      <c r="A97" s="261"/>
      <c r="B97" s="260"/>
      <c r="C97" s="259"/>
      <c r="D97" s="240"/>
      <c r="E97" s="246"/>
      <c r="F97" s="113"/>
      <c r="G97" s="260"/>
      <c r="H97" s="259"/>
      <c r="I97" s="240"/>
      <c r="J97" s="113"/>
      <c r="K97" s="260"/>
      <c r="L97" s="259"/>
      <c r="M97" s="241"/>
      <c r="N97" s="246"/>
      <c r="O97" s="113"/>
      <c r="P97" s="260"/>
      <c r="Q97" s="259"/>
      <c r="R97" s="241"/>
      <c r="S97" s="240"/>
      <c r="T97" s="113"/>
      <c r="U97" s="260"/>
      <c r="V97" s="259"/>
      <c r="W97" s="241"/>
      <c r="X97" s="240"/>
      <c r="Y97" s="113"/>
      <c r="Z97" s="260"/>
      <c r="AA97" s="259"/>
      <c r="AB97" s="241"/>
      <c r="AC97" s="240"/>
      <c r="AD97" s="113"/>
      <c r="AE97" s="260"/>
      <c r="AF97" s="259"/>
      <c r="AG97" s="241"/>
      <c r="AH97" s="241"/>
      <c r="AI97" s="156"/>
    </row>
    <row r="98" spans="1:35" s="21" customFormat="1" x14ac:dyDescent="0.25">
      <c r="A98" s="261"/>
      <c r="B98" s="260"/>
      <c r="C98" s="259"/>
      <c r="D98" s="240">
        <f>M98</f>
        <v>0.83000000000000007</v>
      </c>
      <c r="E98" s="54" t="s">
        <v>34</v>
      </c>
      <c r="F98" s="113"/>
      <c r="G98" s="260"/>
      <c r="H98" s="259"/>
      <c r="I98" s="240"/>
      <c r="J98" s="113"/>
      <c r="K98" s="260"/>
      <c r="L98" s="259"/>
      <c r="M98" s="241">
        <f>W98</f>
        <v>0.83000000000000007</v>
      </c>
      <c r="N98" s="54" t="s">
        <v>34</v>
      </c>
      <c r="O98" s="113"/>
      <c r="P98" s="260"/>
      <c r="Q98" s="259"/>
      <c r="R98" s="241">
        <f>P96-R96</f>
        <v>1.32</v>
      </c>
      <c r="S98" s="54" t="s">
        <v>34</v>
      </c>
      <c r="T98" s="113"/>
      <c r="U98" s="260"/>
      <c r="V98" s="259"/>
      <c r="W98" s="241">
        <f>AB98</f>
        <v>0.83000000000000007</v>
      </c>
      <c r="X98" s="54" t="s">
        <v>34</v>
      </c>
      <c r="Y98" s="113"/>
      <c r="Z98" s="260"/>
      <c r="AA98" s="259"/>
      <c r="AB98" s="241">
        <f>Z96+Z95-AB95</f>
        <v>0.83000000000000007</v>
      </c>
      <c r="AC98" s="54" t="s">
        <v>34</v>
      </c>
      <c r="AD98" s="113"/>
      <c r="AE98" s="260"/>
      <c r="AF98" s="259"/>
      <c r="AG98" s="241">
        <f>AE96</f>
        <v>1.28</v>
      </c>
      <c r="AH98" s="54" t="s">
        <v>34</v>
      </c>
      <c r="AI98" s="156"/>
    </row>
    <row r="99" spans="1:35" s="21" customFormat="1" x14ac:dyDescent="0.25">
      <c r="A99" s="261">
        <v>31</v>
      </c>
      <c r="B99" s="260">
        <v>2.33</v>
      </c>
      <c r="C99" s="259">
        <v>7.95</v>
      </c>
      <c r="D99" s="240">
        <f>AG99</f>
        <v>1.01</v>
      </c>
      <c r="E99" s="6" t="s">
        <v>23</v>
      </c>
      <c r="F99" s="113"/>
      <c r="G99" s="241">
        <v>0.16</v>
      </c>
      <c r="H99" s="240">
        <v>7.92</v>
      </c>
      <c r="I99" s="149"/>
      <c r="J99" s="113"/>
      <c r="K99" s="260">
        <v>2.2799999999999998</v>
      </c>
      <c r="L99" s="259">
        <v>7.93</v>
      </c>
      <c r="M99" s="241">
        <f>R99</f>
        <v>1.01</v>
      </c>
      <c r="N99" s="6" t="s">
        <v>23</v>
      </c>
      <c r="O99" s="113"/>
      <c r="P99" s="260">
        <v>2.11</v>
      </c>
      <c r="Q99" s="259">
        <v>8.0500000000000007</v>
      </c>
      <c r="R99" s="241">
        <f>AG99</f>
        <v>1.01</v>
      </c>
      <c r="S99" s="6" t="s">
        <v>23</v>
      </c>
      <c r="T99" s="113"/>
      <c r="U99" s="260">
        <v>2.27</v>
      </c>
      <c r="V99" s="259">
        <v>7.92</v>
      </c>
      <c r="W99" s="241">
        <f>(U99-W100-W102-W101)/2</f>
        <v>1.135</v>
      </c>
      <c r="X99" s="6" t="s">
        <v>23</v>
      </c>
      <c r="Y99" s="113"/>
      <c r="Z99" s="260">
        <v>2.02</v>
      </c>
      <c r="AA99" s="259">
        <v>7.96</v>
      </c>
      <c r="AB99" s="241">
        <f>(Z99-AB101-AB102)/2</f>
        <v>1.01</v>
      </c>
      <c r="AC99" s="6" t="s">
        <v>23</v>
      </c>
      <c r="AD99" s="113"/>
      <c r="AE99" s="260">
        <v>2.0099999999999998</v>
      </c>
      <c r="AF99" s="259">
        <v>8.0399999999999991</v>
      </c>
      <c r="AG99" s="241">
        <f>AB99</f>
        <v>1.01</v>
      </c>
      <c r="AH99" s="6" t="s">
        <v>23</v>
      </c>
      <c r="AI99" s="156"/>
    </row>
    <row r="100" spans="1:35" s="21" customFormat="1" x14ac:dyDescent="0.25">
      <c r="A100" s="261"/>
      <c r="B100" s="260"/>
      <c r="C100" s="259"/>
      <c r="D100" s="56"/>
      <c r="E100" s="56"/>
      <c r="F100" s="113"/>
      <c r="G100" s="260">
        <v>0.11</v>
      </c>
      <c r="H100" s="259">
        <v>7.96</v>
      </c>
      <c r="I100" s="240"/>
      <c r="J100" s="113"/>
      <c r="K100" s="260"/>
      <c r="L100" s="259"/>
      <c r="M100" s="241"/>
      <c r="N100" s="56"/>
      <c r="O100" s="113"/>
      <c r="P100" s="260"/>
      <c r="Q100" s="259"/>
      <c r="R100" s="245"/>
      <c r="S100" s="246"/>
      <c r="T100" s="113"/>
      <c r="U100" s="260"/>
      <c r="V100" s="259"/>
      <c r="W100" s="245"/>
      <c r="X100" s="246"/>
      <c r="Y100" s="113"/>
      <c r="Z100" s="260"/>
      <c r="AA100" s="259"/>
      <c r="AB100" s="56"/>
      <c r="AC100" s="56"/>
      <c r="AD100" s="113"/>
      <c r="AE100" s="260"/>
      <c r="AF100" s="259"/>
      <c r="AG100" s="241"/>
      <c r="AH100" s="241"/>
      <c r="AI100" s="156"/>
    </row>
    <row r="101" spans="1:35" s="21" customFormat="1" x14ac:dyDescent="0.25">
      <c r="A101" s="261"/>
      <c r="B101" s="260"/>
      <c r="C101" s="259"/>
      <c r="D101" s="240"/>
      <c r="E101" s="246"/>
      <c r="F101" s="113"/>
      <c r="G101" s="260"/>
      <c r="H101" s="259"/>
      <c r="I101" s="240"/>
      <c r="J101" s="113"/>
      <c r="K101" s="260"/>
      <c r="L101" s="259"/>
      <c r="M101" s="241"/>
      <c r="N101" s="246"/>
      <c r="O101" s="113"/>
      <c r="P101" s="260"/>
      <c r="Q101" s="259"/>
      <c r="R101" s="245"/>
      <c r="S101" s="246"/>
      <c r="T101" s="113"/>
      <c r="U101" s="260"/>
      <c r="V101" s="259"/>
      <c r="W101" s="245"/>
      <c r="X101" s="246"/>
      <c r="Y101" s="113"/>
      <c r="Z101" s="260"/>
      <c r="AA101" s="259"/>
      <c r="AB101" s="245"/>
      <c r="AC101" s="246"/>
      <c r="AD101" s="113"/>
      <c r="AE101" s="260"/>
      <c r="AF101" s="259"/>
      <c r="AG101" s="245"/>
      <c r="AH101" s="246"/>
      <c r="AI101" s="156"/>
    </row>
    <row r="102" spans="1:35" s="21" customFormat="1" x14ac:dyDescent="0.25">
      <c r="A102" s="261"/>
      <c r="B102" s="260"/>
      <c r="C102" s="259"/>
      <c r="D102" s="240"/>
      <c r="E102" s="240"/>
      <c r="F102" s="113"/>
      <c r="G102" s="260"/>
      <c r="H102" s="259"/>
      <c r="I102" s="240"/>
      <c r="J102" s="113"/>
      <c r="K102" s="260"/>
      <c r="L102" s="259"/>
      <c r="M102" s="241"/>
      <c r="N102" s="240"/>
      <c r="O102" s="113"/>
      <c r="P102" s="260"/>
      <c r="Q102" s="259"/>
      <c r="R102" s="245"/>
      <c r="S102" s="18"/>
      <c r="T102" s="113"/>
      <c r="U102" s="260"/>
      <c r="V102" s="259"/>
      <c r="W102" s="245"/>
      <c r="X102" s="18"/>
      <c r="Y102" s="113"/>
      <c r="Z102" s="260"/>
      <c r="AA102" s="259"/>
      <c r="AB102" s="245"/>
      <c r="AC102" s="18"/>
      <c r="AD102" s="113"/>
      <c r="AE102" s="260"/>
      <c r="AF102" s="259"/>
      <c r="AG102" s="245"/>
      <c r="AH102" s="18"/>
    </row>
    <row r="103" spans="1:35" s="21" customFormat="1" x14ac:dyDescent="0.25">
      <c r="A103" s="261"/>
      <c r="B103" s="260"/>
      <c r="C103" s="259"/>
      <c r="D103" s="241">
        <f>B99-D99-D104</f>
        <v>0.31000000000000005</v>
      </c>
      <c r="E103" s="6" t="s">
        <v>147</v>
      </c>
      <c r="F103" s="113"/>
      <c r="G103" s="260"/>
      <c r="H103" s="259"/>
      <c r="I103" s="149"/>
      <c r="J103" s="113"/>
      <c r="K103" s="260"/>
      <c r="L103" s="259"/>
      <c r="M103" s="241">
        <f>D103</f>
        <v>0.31000000000000005</v>
      </c>
      <c r="N103" s="6" t="s">
        <v>147</v>
      </c>
      <c r="O103" s="113"/>
      <c r="P103" s="260"/>
      <c r="Q103" s="259"/>
      <c r="R103" s="56"/>
      <c r="S103" s="56"/>
      <c r="T103" s="113"/>
      <c r="U103" s="260"/>
      <c r="V103" s="259"/>
      <c r="W103" s="56"/>
      <c r="X103" s="56"/>
      <c r="Y103" s="113"/>
      <c r="Z103" s="260"/>
      <c r="AA103" s="259"/>
      <c r="AB103" s="56"/>
      <c r="AC103" s="56"/>
      <c r="AD103" s="113"/>
      <c r="AE103" s="260"/>
      <c r="AF103" s="259"/>
      <c r="AG103" s="241"/>
      <c r="AH103" s="241"/>
      <c r="AI103" s="156"/>
    </row>
    <row r="104" spans="1:35" s="21" customFormat="1" x14ac:dyDescent="0.25">
      <c r="A104" s="261"/>
      <c r="B104" s="260"/>
      <c r="C104" s="259"/>
      <c r="D104" s="241">
        <f>AG104</f>
        <v>1.01</v>
      </c>
      <c r="E104" s="6" t="s">
        <v>24</v>
      </c>
      <c r="F104" s="113"/>
      <c r="G104" s="241">
        <v>0.1</v>
      </c>
      <c r="H104" s="240">
        <v>7.99</v>
      </c>
      <c r="I104" s="149"/>
      <c r="J104" s="113"/>
      <c r="K104" s="260"/>
      <c r="L104" s="259"/>
      <c r="M104" s="241">
        <f>M99</f>
        <v>1.01</v>
      </c>
      <c r="N104" s="6" t="s">
        <v>24</v>
      </c>
      <c r="O104" s="113"/>
      <c r="P104" s="260"/>
      <c r="Q104" s="259"/>
      <c r="R104" s="241">
        <f>AG104</f>
        <v>1.01</v>
      </c>
      <c r="S104" s="6" t="s">
        <v>24</v>
      </c>
      <c r="T104" s="113"/>
      <c r="U104" s="260"/>
      <c r="V104" s="259"/>
      <c r="W104" s="241">
        <f>W99</f>
        <v>1.135</v>
      </c>
      <c r="X104" s="6" t="s">
        <v>24</v>
      </c>
      <c r="Y104" s="113"/>
      <c r="Z104" s="260"/>
      <c r="AA104" s="259"/>
      <c r="AB104" s="241">
        <f>AB99</f>
        <v>1.01</v>
      </c>
      <c r="AC104" s="6" t="s">
        <v>24</v>
      </c>
      <c r="AD104" s="113"/>
      <c r="AE104" s="260"/>
      <c r="AF104" s="259"/>
      <c r="AG104" s="241">
        <f>AB104</f>
        <v>1.01</v>
      </c>
      <c r="AH104" s="6" t="s">
        <v>24</v>
      </c>
      <c r="AI104" s="156"/>
    </row>
    <row r="105" spans="1:35" s="21" customFormat="1" x14ac:dyDescent="0.25">
      <c r="A105" s="261">
        <v>32</v>
      </c>
      <c r="B105" s="260">
        <v>0.53</v>
      </c>
      <c r="C105" s="259">
        <v>8.0500000000000007</v>
      </c>
      <c r="D105" s="240"/>
      <c r="E105" s="246"/>
      <c r="F105" s="113"/>
      <c r="G105" s="241">
        <v>0.05</v>
      </c>
      <c r="H105" s="240">
        <v>8.0500000000000007</v>
      </c>
      <c r="I105" s="240"/>
      <c r="J105" s="113"/>
      <c r="K105" s="241">
        <v>0.22</v>
      </c>
      <c r="L105" s="240">
        <v>8.02</v>
      </c>
      <c r="M105" s="241"/>
      <c r="N105" s="246"/>
      <c r="O105" s="113"/>
      <c r="P105" s="260">
        <v>0.3</v>
      </c>
      <c r="Q105" s="259">
        <v>8.15</v>
      </c>
      <c r="R105" s="56"/>
      <c r="S105" s="56"/>
      <c r="T105" s="113"/>
      <c r="U105" s="260">
        <v>0.19</v>
      </c>
      <c r="V105" s="259">
        <v>8</v>
      </c>
      <c r="W105" s="56"/>
      <c r="X105" s="56"/>
      <c r="Y105" s="113"/>
      <c r="Z105" s="260">
        <v>0.41</v>
      </c>
      <c r="AA105" s="259">
        <v>8.1</v>
      </c>
      <c r="AB105" s="241"/>
      <c r="AC105" s="8"/>
      <c r="AD105" s="113"/>
      <c r="AE105" s="260">
        <v>0.21</v>
      </c>
      <c r="AF105" s="259">
        <v>8.15</v>
      </c>
      <c r="AG105" s="241"/>
      <c r="AH105" s="241"/>
      <c r="AI105" s="156"/>
    </row>
    <row r="106" spans="1:35" s="21" customFormat="1" x14ac:dyDescent="0.25">
      <c r="A106" s="261"/>
      <c r="B106" s="260"/>
      <c r="C106" s="259"/>
      <c r="D106" s="56"/>
      <c r="E106" s="56"/>
      <c r="F106" s="113"/>
      <c r="G106" s="241">
        <v>0.18</v>
      </c>
      <c r="H106" s="240">
        <v>8.08</v>
      </c>
      <c r="I106" s="240"/>
      <c r="J106" s="113"/>
      <c r="K106" s="241">
        <v>0.28999999999999998</v>
      </c>
      <c r="L106" s="240">
        <v>8.09</v>
      </c>
      <c r="M106" s="56"/>
      <c r="N106" s="56"/>
      <c r="O106" s="113"/>
      <c r="P106" s="260"/>
      <c r="Q106" s="259"/>
      <c r="R106" s="241"/>
      <c r="S106" s="240"/>
      <c r="T106" s="113"/>
      <c r="U106" s="260"/>
      <c r="V106" s="259"/>
      <c r="W106" s="241"/>
      <c r="X106" s="240"/>
      <c r="Y106" s="113"/>
      <c r="Z106" s="260"/>
      <c r="AA106" s="259"/>
      <c r="AB106" s="56"/>
      <c r="AC106" s="56"/>
      <c r="AD106" s="113"/>
      <c r="AE106" s="260"/>
      <c r="AF106" s="259"/>
      <c r="AG106" s="241"/>
      <c r="AH106" s="241"/>
      <c r="AI106" s="156"/>
    </row>
    <row r="107" spans="1:35" s="21" customFormat="1" x14ac:dyDescent="0.25">
      <c r="A107" s="261"/>
      <c r="B107" s="260"/>
      <c r="C107" s="259"/>
      <c r="D107" s="240">
        <v>0.18</v>
      </c>
      <c r="E107" s="7" t="s">
        <v>480</v>
      </c>
      <c r="F107" s="113"/>
      <c r="G107" s="241">
        <v>0.09</v>
      </c>
      <c r="H107" s="240">
        <v>8.1300000000000008</v>
      </c>
      <c r="I107" s="240"/>
      <c r="J107" s="113"/>
      <c r="K107" s="260">
        <v>0.05</v>
      </c>
      <c r="L107" s="259">
        <v>8.17</v>
      </c>
      <c r="M107" s="241">
        <f>M108</f>
        <v>0.14000000000000001</v>
      </c>
      <c r="N107" s="7" t="s">
        <v>78</v>
      </c>
      <c r="O107" s="113"/>
      <c r="P107" s="260"/>
      <c r="Q107" s="259"/>
      <c r="R107" s="241"/>
      <c r="S107" s="118"/>
      <c r="T107" s="113"/>
      <c r="U107" s="260"/>
      <c r="V107" s="259"/>
      <c r="W107" s="241"/>
      <c r="X107" s="118"/>
      <c r="Y107" s="113"/>
      <c r="Z107" s="260"/>
      <c r="AA107" s="259"/>
      <c r="AB107" s="241"/>
      <c r="AC107" s="118"/>
      <c r="AD107" s="113"/>
      <c r="AE107" s="260">
        <v>0.21</v>
      </c>
      <c r="AF107" s="259">
        <v>8.19</v>
      </c>
      <c r="AG107" s="241"/>
      <c r="AH107" s="241"/>
      <c r="AI107" s="156"/>
    </row>
    <row r="108" spans="1:35" s="21" customFormat="1" x14ac:dyDescent="0.25">
      <c r="A108" s="261"/>
      <c r="B108" s="260"/>
      <c r="C108" s="259"/>
      <c r="D108" s="240">
        <f>B105/3</f>
        <v>0.17666666666666667</v>
      </c>
      <c r="E108" s="7" t="s">
        <v>353</v>
      </c>
      <c r="F108" s="113"/>
      <c r="G108" s="260">
        <v>0.1</v>
      </c>
      <c r="H108" s="259">
        <v>8.16</v>
      </c>
      <c r="I108" s="240"/>
      <c r="J108" s="113"/>
      <c r="K108" s="260"/>
      <c r="L108" s="259"/>
      <c r="M108" s="241">
        <f>(K107+K105+K106)/4</f>
        <v>0.14000000000000001</v>
      </c>
      <c r="N108" s="7" t="s">
        <v>353</v>
      </c>
      <c r="O108" s="113"/>
      <c r="P108" s="260">
        <v>0.51</v>
      </c>
      <c r="Q108" s="259">
        <v>8.2200000000000006</v>
      </c>
      <c r="R108" s="241">
        <v>0.9</v>
      </c>
      <c r="S108" s="7" t="s">
        <v>353</v>
      </c>
      <c r="T108" s="113"/>
      <c r="U108" s="260">
        <v>0.69</v>
      </c>
      <c r="V108" s="259">
        <v>8.08</v>
      </c>
      <c r="W108" s="241">
        <f>R108</f>
        <v>0.9</v>
      </c>
      <c r="X108" s="7" t="s">
        <v>353</v>
      </c>
      <c r="Y108" s="113"/>
      <c r="Z108" s="260"/>
      <c r="AA108" s="259"/>
      <c r="AB108" s="241"/>
      <c r="AC108" s="240"/>
      <c r="AD108" s="113"/>
      <c r="AE108" s="260"/>
      <c r="AF108" s="259"/>
      <c r="AG108" s="241"/>
      <c r="AH108" s="241"/>
      <c r="AI108" s="156"/>
    </row>
    <row r="109" spans="1:35" s="21" customFormat="1" x14ac:dyDescent="0.25">
      <c r="A109" s="261"/>
      <c r="B109" s="260"/>
      <c r="C109" s="259"/>
      <c r="D109" s="240">
        <v>0.18</v>
      </c>
      <c r="E109" s="249" t="s">
        <v>269</v>
      </c>
      <c r="F109" s="113"/>
      <c r="G109" s="260"/>
      <c r="H109" s="259"/>
      <c r="I109" s="240"/>
      <c r="J109" s="113"/>
      <c r="K109" s="260"/>
      <c r="L109" s="259"/>
      <c r="M109" s="241">
        <f>M108</f>
        <v>0.14000000000000001</v>
      </c>
      <c r="N109" s="249" t="s">
        <v>269</v>
      </c>
      <c r="O109" s="113"/>
      <c r="P109" s="260"/>
      <c r="Q109" s="259"/>
      <c r="R109" s="241">
        <f>P108+P112+P105-R108</f>
        <v>2.11</v>
      </c>
      <c r="S109" s="249" t="s">
        <v>135</v>
      </c>
      <c r="T109" s="113"/>
      <c r="U109" s="260"/>
      <c r="V109" s="259"/>
      <c r="W109" s="241">
        <f>U108+U105+U112-W108</f>
        <v>2.5</v>
      </c>
      <c r="X109" s="249" t="s">
        <v>135</v>
      </c>
      <c r="Y109" s="113"/>
      <c r="Z109" s="260">
        <v>0.22</v>
      </c>
      <c r="AA109" s="259">
        <v>8.15</v>
      </c>
      <c r="AB109" s="241"/>
      <c r="AC109" s="56"/>
      <c r="AD109" s="113"/>
      <c r="AE109" s="241">
        <v>0.06</v>
      </c>
      <c r="AF109" s="240">
        <v>8.27</v>
      </c>
      <c r="AG109" s="241"/>
      <c r="AH109" s="241"/>
      <c r="AI109" s="156"/>
    </row>
    <row r="110" spans="1:35" s="21" customFormat="1" x14ac:dyDescent="0.25">
      <c r="A110" s="261"/>
      <c r="B110" s="260"/>
      <c r="C110" s="259"/>
      <c r="D110" s="240">
        <v>0.18</v>
      </c>
      <c r="E110" s="15" t="s">
        <v>70</v>
      </c>
      <c r="F110" s="113"/>
      <c r="G110" s="260">
        <v>0.22</v>
      </c>
      <c r="H110" s="259">
        <v>8.18</v>
      </c>
      <c r="I110" s="240"/>
      <c r="J110" s="113"/>
      <c r="K110" s="260"/>
      <c r="L110" s="259"/>
      <c r="M110" s="241">
        <f>M108</f>
        <v>0.14000000000000001</v>
      </c>
      <c r="N110" s="15" t="s">
        <v>70</v>
      </c>
      <c r="O110" s="113"/>
      <c r="P110" s="260"/>
      <c r="Q110" s="259"/>
      <c r="R110" s="56"/>
      <c r="S110" s="56"/>
      <c r="T110" s="113"/>
      <c r="U110" s="260"/>
      <c r="V110" s="259"/>
      <c r="W110" s="56"/>
      <c r="X110" s="56"/>
      <c r="Y110" s="113"/>
      <c r="Z110" s="260"/>
      <c r="AA110" s="259"/>
      <c r="AB110" s="241"/>
      <c r="AC110" s="56"/>
      <c r="AD110" s="113"/>
      <c r="AE110" s="260">
        <v>0.05</v>
      </c>
      <c r="AF110" s="259">
        <v>8.31</v>
      </c>
      <c r="AG110" s="241"/>
      <c r="AH110" s="241"/>
      <c r="AI110" s="156"/>
    </row>
    <row r="111" spans="1:35" s="21" customFormat="1" x14ac:dyDescent="0.25">
      <c r="A111" s="261"/>
      <c r="B111" s="260"/>
      <c r="C111" s="259"/>
      <c r="D111" s="240"/>
      <c r="E111" s="240"/>
      <c r="F111" s="113"/>
      <c r="G111" s="260"/>
      <c r="H111" s="259"/>
      <c r="I111" s="240"/>
      <c r="J111" s="113"/>
      <c r="K111" s="260"/>
      <c r="L111" s="259"/>
      <c r="M111" s="241"/>
      <c r="N111" s="240"/>
      <c r="O111" s="113"/>
      <c r="P111" s="260"/>
      <c r="Q111" s="259"/>
      <c r="R111" s="241"/>
      <c r="S111" s="240"/>
      <c r="T111" s="113"/>
      <c r="U111" s="260"/>
      <c r="V111" s="259"/>
      <c r="W111" s="241"/>
      <c r="X111" s="240"/>
      <c r="Y111" s="113"/>
      <c r="Z111" s="260"/>
      <c r="AA111" s="259"/>
      <c r="AB111" s="241"/>
      <c r="AC111" s="240"/>
      <c r="AD111" s="113"/>
      <c r="AE111" s="260"/>
      <c r="AF111" s="259"/>
      <c r="AG111" s="241"/>
      <c r="AH111" s="241"/>
      <c r="AI111" s="156"/>
    </row>
    <row r="112" spans="1:35" s="21" customFormat="1" x14ac:dyDescent="0.25">
      <c r="A112" s="261">
        <v>33</v>
      </c>
      <c r="B112" s="260">
        <v>1.27</v>
      </c>
      <c r="C112" s="259">
        <v>8.34</v>
      </c>
      <c r="D112" s="240"/>
      <c r="E112" s="240"/>
      <c r="F112" s="113"/>
      <c r="G112" s="260">
        <v>0.05</v>
      </c>
      <c r="H112" s="259">
        <v>8.23</v>
      </c>
      <c r="I112" s="240"/>
      <c r="J112" s="113"/>
      <c r="K112" s="260">
        <v>3.52</v>
      </c>
      <c r="L112" s="259">
        <v>8.3000000000000007</v>
      </c>
      <c r="M112" s="241"/>
      <c r="N112" s="240"/>
      <c r="O112" s="113"/>
      <c r="P112" s="260">
        <v>2.2000000000000002</v>
      </c>
      <c r="Q112" s="259">
        <v>8.35</v>
      </c>
      <c r="R112" s="56"/>
      <c r="S112" s="56"/>
      <c r="T112" s="113"/>
      <c r="U112" s="260">
        <v>2.52</v>
      </c>
      <c r="V112" s="259">
        <v>8.1999999999999993</v>
      </c>
      <c r="W112" s="241"/>
      <c r="X112" s="8"/>
      <c r="Y112" s="113"/>
      <c r="Z112" s="241"/>
      <c r="AA112" s="240"/>
      <c r="AB112" s="241"/>
      <c r="AC112" s="240"/>
      <c r="AD112" s="113"/>
      <c r="AE112" s="241"/>
      <c r="AF112" s="240"/>
      <c r="AG112" s="241"/>
      <c r="AH112" s="241"/>
      <c r="AI112" s="156"/>
    </row>
    <row r="113" spans="1:35" s="21" customFormat="1" x14ac:dyDescent="0.25">
      <c r="A113" s="261"/>
      <c r="B113" s="260"/>
      <c r="C113" s="259"/>
      <c r="D113" s="240"/>
      <c r="E113" s="240"/>
      <c r="F113" s="113"/>
      <c r="G113" s="260"/>
      <c r="H113" s="259"/>
      <c r="I113" s="240"/>
      <c r="J113" s="113"/>
      <c r="K113" s="260"/>
      <c r="L113" s="259"/>
      <c r="M113" s="241"/>
      <c r="N113" s="240"/>
      <c r="O113" s="113"/>
      <c r="P113" s="260"/>
      <c r="Q113" s="259"/>
      <c r="R113" s="56"/>
      <c r="S113" s="246"/>
      <c r="T113" s="113"/>
      <c r="U113" s="260"/>
      <c r="V113" s="259"/>
      <c r="W113" s="56"/>
      <c r="X113" s="246"/>
      <c r="Y113" s="113"/>
      <c r="Z113" s="241"/>
      <c r="AA113" s="240"/>
      <c r="AB113" s="241"/>
      <c r="AC113" s="240"/>
      <c r="AD113" s="113"/>
      <c r="AE113" s="241"/>
      <c r="AF113" s="240"/>
      <c r="AG113" s="241"/>
      <c r="AH113" s="241"/>
      <c r="AI113" s="156"/>
    </row>
    <row r="114" spans="1:35" s="21" customFormat="1" x14ac:dyDescent="0.25">
      <c r="A114" s="261"/>
      <c r="B114" s="260"/>
      <c r="C114" s="259"/>
      <c r="D114" s="240">
        <f>B112-D115-D123</f>
        <v>0.9</v>
      </c>
      <c r="E114" s="7" t="s">
        <v>78</v>
      </c>
      <c r="F114" s="113"/>
      <c r="G114" s="260"/>
      <c r="H114" s="259"/>
      <c r="I114" s="240"/>
      <c r="J114" s="113"/>
      <c r="K114" s="260"/>
      <c r="L114" s="259"/>
      <c r="M114" s="241">
        <f>D114</f>
        <v>0.9</v>
      </c>
      <c r="N114" s="7" t="s">
        <v>78</v>
      </c>
      <c r="O114" s="113"/>
      <c r="P114" s="260"/>
      <c r="Q114" s="259"/>
      <c r="R114" s="241"/>
      <c r="S114" s="240"/>
      <c r="T114" s="113"/>
      <c r="U114" s="260"/>
      <c r="V114" s="259"/>
      <c r="W114" s="241"/>
      <c r="X114" s="240"/>
      <c r="Y114" s="113"/>
      <c r="Z114" s="241"/>
      <c r="AA114" s="240"/>
      <c r="AB114" s="241"/>
      <c r="AC114" s="240"/>
      <c r="AD114" s="113"/>
      <c r="AE114" s="241"/>
      <c r="AF114" s="240"/>
      <c r="AG114" s="241"/>
      <c r="AH114" s="241"/>
      <c r="AI114" s="156"/>
    </row>
    <row r="115" spans="1:35" s="21" customFormat="1" x14ac:dyDescent="0.25">
      <c r="A115" s="261"/>
      <c r="B115" s="260"/>
      <c r="C115" s="259"/>
      <c r="D115" s="241">
        <v>0.37</v>
      </c>
      <c r="E115" s="7" t="s">
        <v>481</v>
      </c>
      <c r="F115" s="113"/>
      <c r="G115" s="260"/>
      <c r="H115" s="259"/>
      <c r="I115" s="240"/>
      <c r="J115" s="113"/>
      <c r="K115" s="260"/>
      <c r="L115" s="259"/>
      <c r="M115" s="241">
        <f>K112-M114-M123</f>
        <v>2.62</v>
      </c>
      <c r="N115" s="7" t="s">
        <v>149</v>
      </c>
      <c r="O115" s="113"/>
      <c r="P115" s="260"/>
      <c r="Q115" s="259"/>
      <c r="R115" s="241"/>
      <c r="S115" s="240"/>
      <c r="T115" s="113"/>
      <c r="U115" s="260"/>
      <c r="V115" s="259"/>
      <c r="W115" s="241"/>
      <c r="X115" s="240"/>
      <c r="Y115" s="113"/>
      <c r="Z115" s="241">
        <v>0.19</v>
      </c>
      <c r="AA115" s="240">
        <v>8.26</v>
      </c>
      <c r="AB115" s="241"/>
      <c r="AC115" s="240"/>
      <c r="AD115" s="113"/>
      <c r="AE115" s="241">
        <v>0.08</v>
      </c>
      <c r="AF115" s="240">
        <v>8.34</v>
      </c>
      <c r="AG115" s="241"/>
      <c r="AH115" s="241"/>
      <c r="AI115" s="156"/>
    </row>
    <row r="116" spans="1:35" s="21" customFormat="1" ht="16.5" customHeight="1" x14ac:dyDescent="0.25">
      <c r="A116" s="261"/>
      <c r="B116" s="260"/>
      <c r="C116" s="259"/>
      <c r="D116" s="240"/>
      <c r="E116" s="240"/>
      <c r="F116" s="113"/>
      <c r="G116" s="260">
        <v>1.67</v>
      </c>
      <c r="H116" s="259">
        <v>8.32</v>
      </c>
      <c r="I116" s="240"/>
      <c r="J116" s="113"/>
      <c r="K116" s="260"/>
      <c r="L116" s="259"/>
      <c r="M116" s="241"/>
      <c r="N116" s="240"/>
      <c r="O116" s="113"/>
      <c r="P116" s="260">
        <v>10.14</v>
      </c>
      <c r="Q116" s="259">
        <v>8.4600000000000009</v>
      </c>
      <c r="R116" s="241"/>
      <c r="S116" s="240"/>
      <c r="T116" s="113"/>
      <c r="U116" s="260">
        <v>8.02</v>
      </c>
      <c r="V116" s="259">
        <v>8.31</v>
      </c>
      <c r="W116" s="241"/>
      <c r="X116" s="240"/>
      <c r="Y116" s="113"/>
      <c r="Z116" s="260">
        <v>7.0000000000000007E-2</v>
      </c>
      <c r="AA116" s="259">
        <v>8.31</v>
      </c>
      <c r="AB116" s="241"/>
      <c r="AC116" s="240"/>
      <c r="AD116" s="113"/>
      <c r="AE116" s="260">
        <v>7.0000000000000007E-2</v>
      </c>
      <c r="AF116" s="259">
        <v>8.41</v>
      </c>
      <c r="AG116" s="241"/>
      <c r="AH116" s="241"/>
      <c r="AI116" s="156"/>
    </row>
    <row r="117" spans="1:35" s="21" customFormat="1" x14ac:dyDescent="0.25">
      <c r="A117" s="261"/>
      <c r="B117" s="260"/>
      <c r="C117" s="259"/>
      <c r="D117" s="56"/>
      <c r="E117" s="56"/>
      <c r="F117" s="113"/>
      <c r="G117" s="260"/>
      <c r="H117" s="259"/>
      <c r="I117" s="240"/>
      <c r="J117" s="113"/>
      <c r="K117" s="260"/>
      <c r="L117" s="259"/>
      <c r="M117" s="56"/>
      <c r="N117" s="56"/>
      <c r="O117" s="113"/>
      <c r="P117" s="260"/>
      <c r="Q117" s="259"/>
      <c r="R117" s="241"/>
      <c r="S117" s="240"/>
      <c r="T117" s="113"/>
      <c r="U117" s="260"/>
      <c r="V117" s="259"/>
      <c r="W117" s="241"/>
      <c r="X117" s="240"/>
      <c r="Y117" s="113"/>
      <c r="Z117" s="260"/>
      <c r="AA117" s="259"/>
      <c r="AB117" s="241"/>
      <c r="AC117" s="240"/>
      <c r="AD117" s="113"/>
      <c r="AE117" s="260"/>
      <c r="AF117" s="259"/>
      <c r="AG117" s="241"/>
      <c r="AH117" s="241"/>
      <c r="AI117" s="156"/>
    </row>
    <row r="118" spans="1:35" s="21" customFormat="1" x14ac:dyDescent="0.25">
      <c r="A118" s="261"/>
      <c r="B118" s="260"/>
      <c r="C118" s="259"/>
      <c r="D118" s="240"/>
      <c r="E118" s="240"/>
      <c r="F118" s="113"/>
      <c r="G118" s="260"/>
      <c r="H118" s="259"/>
      <c r="I118" s="240"/>
      <c r="J118" s="113"/>
      <c r="K118" s="260"/>
      <c r="L118" s="259"/>
      <c r="M118" s="241"/>
      <c r="N118" s="240"/>
      <c r="O118" s="113"/>
      <c r="P118" s="260"/>
      <c r="Q118" s="259"/>
      <c r="R118" s="241"/>
      <c r="S118" s="240"/>
      <c r="T118" s="113"/>
      <c r="U118" s="260"/>
      <c r="V118" s="259"/>
      <c r="W118" s="241"/>
      <c r="X118" s="240"/>
      <c r="Y118" s="113"/>
      <c r="Z118" s="260">
        <v>0.04</v>
      </c>
      <c r="AA118" s="259">
        <v>8.34</v>
      </c>
      <c r="AB118" s="241"/>
      <c r="AC118" s="240"/>
      <c r="AD118" s="113"/>
      <c r="AE118" s="260">
        <v>0.06</v>
      </c>
      <c r="AF118" s="259">
        <v>8.44</v>
      </c>
      <c r="AG118" s="241"/>
      <c r="AH118" s="241"/>
      <c r="AI118" s="156"/>
    </row>
    <row r="119" spans="1:35" s="21" customFormat="1" x14ac:dyDescent="0.25">
      <c r="A119" s="261"/>
      <c r="B119" s="260"/>
      <c r="C119" s="259"/>
      <c r="D119" s="240"/>
      <c r="E119" s="240"/>
      <c r="F119" s="113"/>
      <c r="G119" s="260"/>
      <c r="H119" s="259"/>
      <c r="I119" s="240"/>
      <c r="J119" s="113"/>
      <c r="K119" s="260"/>
      <c r="L119" s="259"/>
      <c r="M119" s="241"/>
      <c r="N119" s="240"/>
      <c r="O119" s="113"/>
      <c r="P119" s="260"/>
      <c r="Q119" s="259"/>
      <c r="R119" s="241"/>
      <c r="S119" s="240"/>
      <c r="T119" s="113"/>
      <c r="U119" s="260"/>
      <c r="V119" s="259"/>
      <c r="W119" s="241"/>
      <c r="X119" s="240"/>
      <c r="Y119" s="113"/>
      <c r="Z119" s="260"/>
      <c r="AA119" s="259"/>
      <c r="AB119" s="241"/>
      <c r="AC119" s="240"/>
      <c r="AD119" s="113"/>
      <c r="AE119" s="260"/>
      <c r="AF119" s="259"/>
      <c r="AG119" s="241"/>
      <c r="AH119" s="241"/>
      <c r="AI119" s="156"/>
    </row>
    <row r="120" spans="1:35" s="21" customFormat="1" x14ac:dyDescent="0.25">
      <c r="A120" s="261"/>
      <c r="B120" s="260"/>
      <c r="C120" s="259"/>
      <c r="D120" s="240"/>
      <c r="E120" s="240"/>
      <c r="F120" s="113"/>
      <c r="G120" s="260"/>
      <c r="H120" s="259"/>
      <c r="I120" s="240"/>
      <c r="J120" s="113"/>
      <c r="K120" s="260"/>
      <c r="L120" s="259"/>
      <c r="M120" s="241"/>
      <c r="N120" s="240"/>
      <c r="O120" s="113"/>
      <c r="P120" s="260"/>
      <c r="Q120" s="259"/>
      <c r="R120" s="241"/>
      <c r="S120" s="8"/>
      <c r="T120" s="113"/>
      <c r="U120" s="260"/>
      <c r="V120" s="259"/>
      <c r="W120" s="241"/>
      <c r="X120" s="8"/>
      <c r="Y120" s="113"/>
      <c r="Z120" s="260"/>
      <c r="AA120" s="259"/>
      <c r="AB120" s="241"/>
      <c r="AC120" s="240"/>
      <c r="AD120" s="113"/>
      <c r="AE120" s="260"/>
      <c r="AF120" s="259"/>
      <c r="AG120" s="241"/>
      <c r="AH120" s="241"/>
      <c r="AI120" s="156"/>
    </row>
    <row r="121" spans="1:35" s="21" customFormat="1" x14ac:dyDescent="0.25">
      <c r="A121" s="261"/>
      <c r="B121" s="260"/>
      <c r="C121" s="259"/>
      <c r="D121" s="240"/>
      <c r="E121" s="240"/>
      <c r="F121" s="113"/>
      <c r="G121" s="260"/>
      <c r="H121" s="259"/>
      <c r="I121" s="240"/>
      <c r="J121" s="113"/>
      <c r="K121" s="260"/>
      <c r="L121" s="259"/>
      <c r="M121" s="241"/>
      <c r="N121" s="240"/>
      <c r="O121" s="113"/>
      <c r="P121" s="260"/>
      <c r="Q121" s="259"/>
      <c r="R121" s="241">
        <f>P116-R122</f>
        <v>2.1400000000000006</v>
      </c>
      <c r="S121" s="249" t="s">
        <v>539</v>
      </c>
      <c r="T121" s="113"/>
      <c r="U121" s="260"/>
      <c r="V121" s="259"/>
      <c r="W121" s="241"/>
      <c r="X121" s="246"/>
      <c r="Y121" s="113"/>
      <c r="Z121" s="260">
        <v>0.06</v>
      </c>
      <c r="AA121" s="259">
        <v>8.3800000000000008</v>
      </c>
      <c r="AB121" s="241">
        <f>Z115+Z116+Z118+Z121</f>
        <v>0.36</v>
      </c>
      <c r="AC121" s="75" t="s">
        <v>43</v>
      </c>
      <c r="AD121" s="113"/>
      <c r="AE121" s="263">
        <v>0.06</v>
      </c>
      <c r="AF121" s="266">
        <v>8.52</v>
      </c>
      <c r="AG121" s="241"/>
      <c r="AH121" s="241"/>
      <c r="AI121" s="156"/>
    </row>
    <row r="122" spans="1:35" s="21" customFormat="1" x14ac:dyDescent="0.25">
      <c r="A122" s="261"/>
      <c r="B122" s="260"/>
      <c r="C122" s="259"/>
      <c r="D122" s="240"/>
      <c r="E122" s="240"/>
      <c r="F122" s="113"/>
      <c r="G122" s="260"/>
      <c r="H122" s="259"/>
      <c r="I122" s="240"/>
      <c r="J122" s="113"/>
      <c r="K122" s="260"/>
      <c r="L122" s="259"/>
      <c r="M122" s="241"/>
      <c r="N122" s="240"/>
      <c r="O122" s="113"/>
      <c r="P122" s="260"/>
      <c r="Q122" s="259"/>
      <c r="R122" s="241">
        <v>8</v>
      </c>
      <c r="S122" s="249" t="s">
        <v>427</v>
      </c>
      <c r="T122" s="113"/>
      <c r="U122" s="260"/>
      <c r="V122" s="259"/>
      <c r="W122" s="241">
        <f>U116</f>
        <v>8.02</v>
      </c>
      <c r="X122" s="249" t="s">
        <v>221</v>
      </c>
      <c r="Y122" s="113"/>
      <c r="Z122" s="260"/>
      <c r="AA122" s="259"/>
      <c r="AB122" s="241"/>
      <c r="AC122" s="240"/>
      <c r="AD122" s="113"/>
      <c r="AE122" s="264"/>
      <c r="AF122" s="267"/>
      <c r="AG122" s="241"/>
      <c r="AH122" s="241"/>
      <c r="AI122" s="156"/>
    </row>
    <row r="123" spans="1:35" s="21" customFormat="1" x14ac:dyDescent="0.25">
      <c r="A123" s="261"/>
      <c r="B123" s="260"/>
      <c r="C123" s="259"/>
      <c r="D123" s="240"/>
      <c r="E123" s="241"/>
      <c r="F123" s="113"/>
      <c r="G123" s="260"/>
      <c r="H123" s="259"/>
      <c r="I123" s="240"/>
      <c r="J123" s="113"/>
      <c r="K123" s="260"/>
      <c r="L123" s="259"/>
      <c r="M123" s="241"/>
      <c r="N123" s="241"/>
      <c r="O123" s="113"/>
      <c r="P123" s="260"/>
      <c r="Q123" s="259"/>
      <c r="R123" s="241"/>
      <c r="S123" s="241"/>
      <c r="T123" s="113"/>
      <c r="U123" s="260"/>
      <c r="V123" s="259"/>
      <c r="W123" s="19"/>
      <c r="X123" s="241"/>
      <c r="Y123" s="113"/>
      <c r="Z123" s="260"/>
      <c r="AA123" s="259"/>
      <c r="AB123" s="241"/>
      <c r="AC123" s="240"/>
      <c r="AD123" s="113"/>
      <c r="AE123" s="264"/>
      <c r="AF123" s="267"/>
      <c r="AG123" s="241"/>
      <c r="AH123" s="241"/>
      <c r="AI123" s="156"/>
    </row>
    <row r="124" spans="1:35" s="21" customFormat="1" x14ac:dyDescent="0.25">
      <c r="A124" s="261"/>
      <c r="B124" s="260"/>
      <c r="C124" s="259"/>
      <c r="D124" s="240"/>
      <c r="E124" s="240"/>
      <c r="F124" s="113"/>
      <c r="G124" s="260"/>
      <c r="H124" s="259"/>
      <c r="I124" s="240"/>
      <c r="J124" s="113"/>
      <c r="K124" s="260"/>
      <c r="L124" s="259"/>
      <c r="M124" s="241"/>
      <c r="N124" s="240"/>
      <c r="O124" s="113"/>
      <c r="P124" s="260"/>
      <c r="Q124" s="259"/>
      <c r="R124" s="241"/>
      <c r="S124" s="240"/>
      <c r="T124" s="113"/>
      <c r="U124" s="260"/>
      <c r="V124" s="259"/>
      <c r="W124" s="241"/>
      <c r="X124" s="246"/>
      <c r="Y124" s="113"/>
      <c r="Z124" s="260"/>
      <c r="AA124" s="259"/>
      <c r="AB124" s="241"/>
      <c r="AC124" s="240"/>
      <c r="AD124" s="113"/>
      <c r="AE124" s="265"/>
      <c r="AF124" s="268"/>
      <c r="AG124" s="241"/>
      <c r="AH124" s="240"/>
      <c r="AI124" s="156"/>
    </row>
    <row r="125" spans="1:35" s="21" customFormat="1" x14ac:dyDescent="0.25">
      <c r="A125" s="261">
        <v>34</v>
      </c>
      <c r="B125" s="260">
        <v>0.36</v>
      </c>
      <c r="C125" s="259">
        <v>8.4600000000000009</v>
      </c>
      <c r="D125" s="240">
        <f>B125-D127</f>
        <v>0.35</v>
      </c>
      <c r="E125" s="7" t="s">
        <v>107</v>
      </c>
      <c r="F125" s="113"/>
      <c r="G125" s="260">
        <v>0.16</v>
      </c>
      <c r="H125" s="259">
        <v>8.41</v>
      </c>
      <c r="I125" s="240"/>
      <c r="J125" s="113"/>
      <c r="K125" s="260">
        <v>0.49</v>
      </c>
      <c r="L125" s="259">
        <v>8.43</v>
      </c>
      <c r="M125" s="241">
        <f>K125-M127</f>
        <v>0.48</v>
      </c>
      <c r="N125" s="7" t="s">
        <v>107</v>
      </c>
      <c r="O125" s="113"/>
      <c r="P125" s="260">
        <v>1.28</v>
      </c>
      <c r="Q125" s="259">
        <v>8.59</v>
      </c>
      <c r="R125" s="241">
        <f>P125</f>
        <v>1.28</v>
      </c>
      <c r="S125" s="7" t="s">
        <v>107</v>
      </c>
      <c r="T125" s="113"/>
      <c r="U125" s="260">
        <v>0.98</v>
      </c>
      <c r="V125" s="259">
        <v>8.44</v>
      </c>
      <c r="W125" s="241">
        <f>U125</f>
        <v>0.98</v>
      </c>
      <c r="X125" s="7" t="s">
        <v>107</v>
      </c>
      <c r="Y125" s="113"/>
      <c r="Z125" s="260">
        <v>0.05</v>
      </c>
      <c r="AA125" s="259">
        <v>8.4700000000000006</v>
      </c>
      <c r="AB125" s="241">
        <f>Z125</f>
        <v>0.05</v>
      </c>
      <c r="AC125" s="7" t="s">
        <v>107</v>
      </c>
      <c r="AD125" s="113"/>
      <c r="AE125" s="260">
        <v>0.05</v>
      </c>
      <c r="AF125" s="259">
        <v>8.57</v>
      </c>
      <c r="AG125" s="241">
        <f>AE125</f>
        <v>0.05</v>
      </c>
      <c r="AH125" s="7" t="s">
        <v>107</v>
      </c>
      <c r="AI125" s="156"/>
    </row>
    <row r="126" spans="1:35" s="21" customFormat="1" x14ac:dyDescent="0.25">
      <c r="A126" s="261"/>
      <c r="B126" s="260"/>
      <c r="C126" s="259"/>
      <c r="D126" s="240"/>
      <c r="E126" s="240"/>
      <c r="F126" s="113"/>
      <c r="G126" s="260"/>
      <c r="H126" s="259"/>
      <c r="I126" s="240"/>
      <c r="J126" s="113"/>
      <c r="K126" s="260"/>
      <c r="L126" s="259"/>
      <c r="M126" s="241"/>
      <c r="N126" s="240"/>
      <c r="O126" s="113"/>
      <c r="P126" s="260"/>
      <c r="Q126" s="259"/>
      <c r="R126" s="245"/>
      <c r="S126" s="246"/>
      <c r="T126" s="113"/>
      <c r="U126" s="260"/>
      <c r="V126" s="259"/>
      <c r="W126" s="245"/>
      <c r="X126" s="246"/>
      <c r="Y126" s="113"/>
      <c r="Z126" s="260"/>
      <c r="AA126" s="259"/>
      <c r="AB126" s="241"/>
      <c r="AC126" s="240"/>
      <c r="AD126" s="113"/>
      <c r="AE126" s="260"/>
      <c r="AF126" s="259"/>
      <c r="AG126" s="241"/>
      <c r="AH126" s="240"/>
      <c r="AI126" s="156"/>
    </row>
    <row r="127" spans="1:35" s="21" customFormat="1" x14ac:dyDescent="0.25">
      <c r="A127" s="261"/>
      <c r="B127" s="260"/>
      <c r="C127" s="259"/>
      <c r="D127" s="241">
        <v>0.01</v>
      </c>
      <c r="E127" s="22" t="s">
        <v>228</v>
      </c>
      <c r="F127" s="113"/>
      <c r="G127" s="241">
        <v>0.46</v>
      </c>
      <c r="H127" s="240">
        <v>8.48</v>
      </c>
      <c r="I127" s="240"/>
      <c r="J127" s="113"/>
      <c r="K127" s="260"/>
      <c r="L127" s="259"/>
      <c r="M127" s="241">
        <v>0.01</v>
      </c>
      <c r="N127" s="22" t="s">
        <v>228</v>
      </c>
      <c r="O127" s="113"/>
      <c r="P127" s="260"/>
      <c r="Q127" s="259"/>
      <c r="R127" s="241"/>
      <c r="S127" s="118"/>
      <c r="T127" s="113"/>
      <c r="U127" s="260"/>
      <c r="V127" s="259"/>
      <c r="W127" s="241"/>
      <c r="X127" s="118"/>
      <c r="Y127" s="113"/>
      <c r="Z127" s="260"/>
      <c r="AA127" s="259"/>
      <c r="AB127" s="241"/>
      <c r="AC127" s="118"/>
      <c r="AD127" s="113"/>
      <c r="AE127" s="260"/>
      <c r="AF127" s="259"/>
      <c r="AG127" s="241"/>
      <c r="AH127" s="118"/>
      <c r="AI127" s="156"/>
    </row>
    <row r="128" spans="1:35" s="21" customFormat="1" x14ac:dyDescent="0.25">
      <c r="A128" s="261">
        <v>35</v>
      </c>
      <c r="B128" s="260">
        <v>0.96</v>
      </c>
      <c r="C128" s="259">
        <v>8.5500000000000007</v>
      </c>
      <c r="D128" s="240"/>
      <c r="E128" s="240"/>
      <c r="F128" s="113"/>
      <c r="G128" s="260">
        <v>1.03</v>
      </c>
      <c r="H128" s="259">
        <v>8.5299999999999994</v>
      </c>
      <c r="I128" s="240"/>
      <c r="J128" s="113"/>
      <c r="K128" s="260">
        <v>1.05</v>
      </c>
      <c r="L128" s="259">
        <v>8.5299999999999994</v>
      </c>
      <c r="M128" s="241"/>
      <c r="N128" s="240"/>
      <c r="O128" s="113"/>
      <c r="P128" s="260">
        <v>1.29</v>
      </c>
      <c r="Q128" s="259">
        <v>8.66</v>
      </c>
      <c r="R128" s="241"/>
      <c r="S128" s="240"/>
      <c r="T128" s="113"/>
      <c r="U128" s="260">
        <v>1.1299999999999999</v>
      </c>
      <c r="V128" s="259">
        <v>8.52</v>
      </c>
      <c r="W128" s="241"/>
      <c r="X128" s="240"/>
      <c r="Y128" s="113"/>
      <c r="Z128" s="260">
        <v>0.82</v>
      </c>
      <c r="AA128" s="259">
        <v>8.56</v>
      </c>
      <c r="AB128" s="241"/>
      <c r="AC128" s="240"/>
      <c r="AD128" s="113"/>
      <c r="AE128" s="260">
        <v>0.82</v>
      </c>
      <c r="AF128" s="259">
        <v>8.65</v>
      </c>
      <c r="AG128" s="241"/>
      <c r="AH128" s="240"/>
      <c r="AI128" s="156"/>
    </row>
    <row r="129" spans="1:35" s="21" customFormat="1" x14ac:dyDescent="0.25">
      <c r="A129" s="261"/>
      <c r="B129" s="260"/>
      <c r="C129" s="259"/>
      <c r="D129" s="240"/>
      <c r="E129" s="240"/>
      <c r="F129" s="113"/>
      <c r="G129" s="260"/>
      <c r="H129" s="259"/>
      <c r="I129" s="240"/>
      <c r="J129" s="113"/>
      <c r="K129" s="260"/>
      <c r="L129" s="259"/>
      <c r="M129" s="241"/>
      <c r="N129" s="240"/>
      <c r="O129" s="113"/>
      <c r="P129" s="260"/>
      <c r="Q129" s="259"/>
      <c r="R129" s="245">
        <f>P128</f>
        <v>1.29</v>
      </c>
      <c r="S129" s="22" t="s">
        <v>110</v>
      </c>
      <c r="T129" s="113"/>
      <c r="U129" s="260"/>
      <c r="V129" s="259"/>
      <c r="W129" s="245">
        <f>U128+U131</f>
        <v>1.27</v>
      </c>
      <c r="X129" s="22" t="s">
        <v>110</v>
      </c>
      <c r="Y129" s="113"/>
      <c r="Z129" s="260"/>
      <c r="AA129" s="259"/>
      <c r="AB129" s="245">
        <f>Z128</f>
        <v>0.82</v>
      </c>
      <c r="AC129" s="22" t="s">
        <v>110</v>
      </c>
      <c r="AD129" s="113"/>
      <c r="AE129" s="260"/>
      <c r="AF129" s="259"/>
      <c r="AG129" s="245">
        <v>0.84</v>
      </c>
      <c r="AH129" s="22" t="s">
        <v>110</v>
      </c>
      <c r="AI129" s="156"/>
    </row>
    <row r="130" spans="1:35" s="21" customFormat="1" x14ac:dyDescent="0.25">
      <c r="A130" s="261"/>
      <c r="B130" s="260"/>
      <c r="C130" s="259"/>
      <c r="D130" s="240">
        <f>B128</f>
        <v>0.96</v>
      </c>
      <c r="E130" s="7" t="s">
        <v>149</v>
      </c>
      <c r="F130" s="113"/>
      <c r="G130" s="260">
        <v>0.27</v>
      </c>
      <c r="H130" s="259">
        <v>8.59</v>
      </c>
      <c r="I130" s="240"/>
      <c r="J130" s="113"/>
      <c r="K130" s="260"/>
      <c r="L130" s="259"/>
      <c r="M130" s="241">
        <f>D130</f>
        <v>0.96</v>
      </c>
      <c r="N130" s="7" t="s">
        <v>149</v>
      </c>
      <c r="O130" s="113"/>
      <c r="P130" s="260"/>
      <c r="Q130" s="259"/>
      <c r="R130" s="241"/>
      <c r="S130" s="240"/>
      <c r="T130" s="113"/>
      <c r="U130" s="260"/>
      <c r="V130" s="259"/>
      <c r="W130" s="241"/>
      <c r="X130" s="240"/>
      <c r="Y130" s="113"/>
      <c r="Z130" s="260"/>
      <c r="AA130" s="259"/>
      <c r="AB130" s="241"/>
      <c r="AC130" s="8"/>
      <c r="AD130" s="113"/>
      <c r="AE130" s="260"/>
      <c r="AF130" s="259"/>
      <c r="AG130" s="241"/>
      <c r="AH130" s="8"/>
      <c r="AI130" s="156"/>
    </row>
    <row r="131" spans="1:35" s="21" customFormat="1" x14ac:dyDescent="0.25">
      <c r="A131" s="261"/>
      <c r="B131" s="260"/>
      <c r="C131" s="259"/>
      <c r="D131" s="240"/>
      <c r="E131" s="240"/>
      <c r="F131" s="113"/>
      <c r="G131" s="260"/>
      <c r="H131" s="259"/>
      <c r="I131" s="240"/>
      <c r="J131" s="113"/>
      <c r="K131" s="260"/>
      <c r="L131" s="259"/>
      <c r="M131" s="241"/>
      <c r="N131" s="240"/>
      <c r="O131" s="113"/>
      <c r="P131" s="260"/>
      <c r="Q131" s="259"/>
      <c r="R131" s="241"/>
      <c r="S131" s="240"/>
      <c r="T131" s="113"/>
      <c r="U131" s="241">
        <v>0.14000000000000001</v>
      </c>
      <c r="V131" s="240">
        <v>8.6</v>
      </c>
      <c r="W131" s="241"/>
      <c r="X131" s="240"/>
      <c r="Y131" s="113"/>
      <c r="Z131" s="260"/>
      <c r="AA131" s="259"/>
      <c r="AB131" s="241"/>
      <c r="AC131" s="240"/>
      <c r="AD131" s="113"/>
      <c r="AE131" s="260"/>
      <c r="AF131" s="259"/>
      <c r="AG131" s="241"/>
      <c r="AH131" s="240"/>
      <c r="AI131" s="156"/>
    </row>
    <row r="132" spans="1:35" s="21" customFormat="1" x14ac:dyDescent="0.25">
      <c r="A132" s="261">
        <v>36</v>
      </c>
      <c r="B132" s="260">
        <v>4.88</v>
      </c>
      <c r="C132" s="259">
        <v>8.8000000000000007</v>
      </c>
      <c r="D132" s="241">
        <v>0.12</v>
      </c>
      <c r="E132" s="7" t="s">
        <v>480</v>
      </c>
      <c r="F132" s="113"/>
      <c r="G132" s="260">
        <v>1.22</v>
      </c>
      <c r="H132" s="259">
        <v>8.73</v>
      </c>
      <c r="I132" s="240"/>
      <c r="J132" s="113"/>
      <c r="K132" s="260">
        <v>1.71</v>
      </c>
      <c r="L132" s="259">
        <v>8.6999999999999993</v>
      </c>
      <c r="M132" s="241">
        <v>0.26</v>
      </c>
      <c r="N132" s="7" t="s">
        <v>78</v>
      </c>
      <c r="O132" s="113"/>
      <c r="P132" s="260">
        <v>1.4</v>
      </c>
      <c r="Q132" s="259">
        <v>8.84</v>
      </c>
      <c r="R132" s="56"/>
      <c r="S132" s="56"/>
      <c r="T132" s="113"/>
      <c r="U132" s="260">
        <v>0.99</v>
      </c>
      <c r="V132" s="259">
        <v>8.69</v>
      </c>
      <c r="W132" s="56"/>
      <c r="X132" s="56"/>
      <c r="Y132" s="113"/>
      <c r="Z132" s="241">
        <v>0.12</v>
      </c>
      <c r="AA132" s="240">
        <v>8.67</v>
      </c>
      <c r="AB132" s="241"/>
      <c r="AC132" s="240"/>
      <c r="AD132" s="113"/>
      <c r="AE132" s="241">
        <v>0.08</v>
      </c>
      <c r="AF132" s="240">
        <v>8.75</v>
      </c>
      <c r="AG132" s="241"/>
      <c r="AH132" s="240"/>
      <c r="AI132" s="156"/>
    </row>
    <row r="133" spans="1:35" s="21" customFormat="1" x14ac:dyDescent="0.25">
      <c r="A133" s="261"/>
      <c r="B133" s="260"/>
      <c r="C133" s="259"/>
      <c r="D133" s="241">
        <v>0.06</v>
      </c>
      <c r="E133" s="7" t="s">
        <v>490</v>
      </c>
      <c r="F133" s="113"/>
      <c r="G133" s="260"/>
      <c r="H133" s="259"/>
      <c r="I133" s="240"/>
      <c r="J133" s="113"/>
      <c r="K133" s="260"/>
      <c r="L133" s="259"/>
      <c r="M133" s="241">
        <v>0.26</v>
      </c>
      <c r="N133" s="7" t="s">
        <v>200</v>
      </c>
      <c r="O133" s="113"/>
      <c r="P133" s="260"/>
      <c r="Q133" s="259"/>
      <c r="R133" s="56"/>
      <c r="S133" s="56"/>
      <c r="T133" s="113"/>
      <c r="U133" s="260"/>
      <c r="V133" s="259"/>
      <c r="W133" s="56"/>
      <c r="X133" s="56"/>
      <c r="Y133" s="113"/>
      <c r="Z133" s="260">
        <v>0.1</v>
      </c>
      <c r="AA133" s="259">
        <v>8.7100000000000009</v>
      </c>
      <c r="AB133" s="56"/>
      <c r="AC133" s="56"/>
      <c r="AD133" s="113"/>
      <c r="AE133" s="260">
        <v>0.08</v>
      </c>
      <c r="AF133" s="259">
        <v>8.7799999999999994</v>
      </c>
      <c r="AG133" s="241"/>
      <c r="AH133" s="56"/>
      <c r="AI133" s="156"/>
    </row>
    <row r="134" spans="1:35" s="21" customFormat="1" x14ac:dyDescent="0.25">
      <c r="A134" s="261"/>
      <c r="B134" s="260"/>
      <c r="C134" s="259"/>
      <c r="D134" s="241">
        <v>0.06</v>
      </c>
      <c r="E134" s="59" t="s">
        <v>109</v>
      </c>
      <c r="F134" s="113"/>
      <c r="G134" s="260"/>
      <c r="H134" s="259"/>
      <c r="I134" s="240"/>
      <c r="J134" s="113"/>
      <c r="K134" s="260"/>
      <c r="L134" s="259"/>
      <c r="M134" s="241">
        <f>D134</f>
        <v>0.06</v>
      </c>
      <c r="N134" s="59" t="s">
        <v>109</v>
      </c>
      <c r="O134" s="113"/>
      <c r="P134" s="260"/>
      <c r="Q134" s="259"/>
      <c r="R134" s="241">
        <v>0.06</v>
      </c>
      <c r="S134" s="59" t="s">
        <v>109</v>
      </c>
      <c r="T134" s="113"/>
      <c r="U134" s="260"/>
      <c r="V134" s="259"/>
      <c r="W134" s="241">
        <f>R134</f>
        <v>0.06</v>
      </c>
      <c r="X134" s="59" t="s">
        <v>109</v>
      </c>
      <c r="Y134" s="113"/>
      <c r="Z134" s="260"/>
      <c r="AA134" s="259"/>
      <c r="AB134" s="241">
        <v>0.06</v>
      </c>
      <c r="AC134" s="59" t="s">
        <v>109</v>
      </c>
      <c r="AD134" s="113"/>
      <c r="AE134" s="260"/>
      <c r="AF134" s="259"/>
      <c r="AG134" s="241">
        <f>0.07/3</f>
        <v>2.3333333333333334E-2</v>
      </c>
      <c r="AH134" s="59" t="s">
        <v>109</v>
      </c>
      <c r="AI134" s="156"/>
    </row>
    <row r="135" spans="1:35" s="21" customFormat="1" x14ac:dyDescent="0.25">
      <c r="A135" s="261"/>
      <c r="B135" s="260"/>
      <c r="C135" s="259"/>
      <c r="D135" s="241">
        <v>0.01</v>
      </c>
      <c r="E135" s="249" t="s">
        <v>71</v>
      </c>
      <c r="F135" s="113"/>
      <c r="G135" s="260"/>
      <c r="H135" s="259"/>
      <c r="I135" s="240"/>
      <c r="J135" s="113"/>
      <c r="K135" s="260"/>
      <c r="L135" s="259"/>
      <c r="M135" s="241">
        <v>0.02</v>
      </c>
      <c r="N135" s="249" t="s">
        <v>71</v>
      </c>
      <c r="O135" s="113"/>
      <c r="P135" s="260"/>
      <c r="Q135" s="259"/>
      <c r="R135" s="241">
        <f>M135</f>
        <v>0.02</v>
      </c>
      <c r="S135" s="249" t="s">
        <v>71</v>
      </c>
      <c r="T135" s="113"/>
      <c r="U135" s="260"/>
      <c r="V135" s="259"/>
      <c r="W135" s="241">
        <f>AB135</f>
        <v>0.01</v>
      </c>
      <c r="X135" s="249" t="s">
        <v>71</v>
      </c>
      <c r="Y135" s="113"/>
      <c r="Z135" s="260"/>
      <c r="AA135" s="259"/>
      <c r="AB135" s="241">
        <v>0.01</v>
      </c>
      <c r="AC135" s="249" t="s">
        <v>71</v>
      </c>
      <c r="AD135" s="113"/>
      <c r="AE135" s="260"/>
      <c r="AF135" s="259"/>
      <c r="AG135" s="241">
        <f>AB135</f>
        <v>0.01</v>
      </c>
      <c r="AH135" s="249" t="s">
        <v>71</v>
      </c>
      <c r="AI135" s="156"/>
    </row>
    <row r="136" spans="1:35" s="21" customFormat="1" x14ac:dyDescent="0.25">
      <c r="A136" s="261"/>
      <c r="B136" s="260"/>
      <c r="C136" s="259"/>
      <c r="D136" s="241">
        <f>R136</f>
        <v>0.03</v>
      </c>
      <c r="E136" s="7" t="s">
        <v>72</v>
      </c>
      <c r="F136" s="113"/>
      <c r="G136" s="260"/>
      <c r="H136" s="259"/>
      <c r="I136" s="240"/>
      <c r="J136" s="113"/>
      <c r="K136" s="260"/>
      <c r="L136" s="259"/>
      <c r="M136" s="241">
        <f>D136</f>
        <v>0.03</v>
      </c>
      <c r="N136" s="7" t="s">
        <v>72</v>
      </c>
      <c r="O136" s="113"/>
      <c r="P136" s="260"/>
      <c r="Q136" s="259"/>
      <c r="R136" s="241">
        <f>AB136</f>
        <v>0.03</v>
      </c>
      <c r="S136" s="7" t="s">
        <v>72</v>
      </c>
      <c r="T136" s="113"/>
      <c r="U136" s="260"/>
      <c r="V136" s="259"/>
      <c r="W136" s="241">
        <f>R136</f>
        <v>0.03</v>
      </c>
      <c r="X136" s="7" t="s">
        <v>72</v>
      </c>
      <c r="Y136" s="113"/>
      <c r="Z136" s="260"/>
      <c r="AA136" s="259"/>
      <c r="AB136" s="241">
        <v>0.03</v>
      </c>
      <c r="AC136" s="7" t="s">
        <v>72</v>
      </c>
      <c r="AD136" s="113"/>
      <c r="AE136" s="260"/>
      <c r="AF136" s="259"/>
      <c r="AG136" s="241">
        <v>0.05</v>
      </c>
      <c r="AH136" s="7" t="s">
        <v>72</v>
      </c>
      <c r="AI136" s="156"/>
    </row>
    <row r="137" spans="1:35" s="21" customFormat="1" x14ac:dyDescent="0.25">
      <c r="A137" s="261"/>
      <c r="B137" s="260"/>
      <c r="C137" s="259"/>
      <c r="D137" s="241">
        <v>0.06</v>
      </c>
      <c r="E137" s="59" t="s">
        <v>228</v>
      </c>
      <c r="F137" s="113"/>
      <c r="G137" s="260"/>
      <c r="H137" s="259"/>
      <c r="I137" s="240"/>
      <c r="J137" s="113"/>
      <c r="K137" s="260"/>
      <c r="L137" s="259"/>
      <c r="M137" s="241">
        <f>M132</f>
        <v>0.26</v>
      </c>
      <c r="N137" s="59" t="s">
        <v>228</v>
      </c>
      <c r="O137" s="113"/>
      <c r="P137" s="260"/>
      <c r="Q137" s="259"/>
      <c r="R137" s="241"/>
      <c r="S137" s="240"/>
      <c r="T137" s="113"/>
      <c r="U137" s="260"/>
      <c r="V137" s="259"/>
      <c r="W137" s="241"/>
      <c r="X137" s="240"/>
      <c r="Y137" s="113"/>
      <c r="Z137" s="260"/>
      <c r="AA137" s="259"/>
      <c r="AB137" s="241"/>
      <c r="AC137" s="240"/>
      <c r="AD137" s="113"/>
      <c r="AE137" s="260"/>
      <c r="AF137" s="259"/>
      <c r="AG137" s="241"/>
      <c r="AH137" s="240"/>
      <c r="AI137" s="156"/>
    </row>
    <row r="138" spans="1:35" s="21" customFormat="1" x14ac:dyDescent="0.25">
      <c r="A138" s="261"/>
      <c r="B138" s="260"/>
      <c r="C138" s="259"/>
      <c r="D138" s="241">
        <v>0.06</v>
      </c>
      <c r="E138" s="59" t="s">
        <v>81</v>
      </c>
      <c r="F138" s="113"/>
      <c r="G138" s="260"/>
      <c r="H138" s="259"/>
      <c r="I138" s="240"/>
      <c r="J138" s="113"/>
      <c r="K138" s="260"/>
      <c r="L138" s="259"/>
      <c r="M138" s="241">
        <f>M132</f>
        <v>0.26</v>
      </c>
      <c r="N138" s="59" t="s">
        <v>81</v>
      </c>
      <c r="O138" s="113"/>
      <c r="P138" s="260"/>
      <c r="Q138" s="259"/>
      <c r="R138" s="241">
        <f>P132-R137-R134-R136-R135</f>
        <v>1.2899999999999998</v>
      </c>
      <c r="S138" s="249" t="s">
        <v>500</v>
      </c>
      <c r="T138" s="113"/>
      <c r="U138" s="260"/>
      <c r="V138" s="259"/>
      <c r="W138" s="241">
        <f>U132-W135-W136-W134</f>
        <v>0.8899999999999999</v>
      </c>
      <c r="X138" s="249" t="s">
        <v>135</v>
      </c>
      <c r="Y138" s="113"/>
      <c r="Z138" s="260"/>
      <c r="AA138" s="259"/>
      <c r="AB138" s="241">
        <v>0.04</v>
      </c>
      <c r="AC138" s="14" t="s">
        <v>113</v>
      </c>
      <c r="AD138" s="113"/>
      <c r="AE138" s="260"/>
      <c r="AF138" s="259"/>
      <c r="AG138" s="241">
        <f>AG134</f>
        <v>2.3333333333333334E-2</v>
      </c>
      <c r="AH138" s="14" t="s">
        <v>113</v>
      </c>
      <c r="AI138" s="156"/>
    </row>
    <row r="139" spans="1:35" s="21" customFormat="1" x14ac:dyDescent="0.25">
      <c r="A139" s="261"/>
      <c r="B139" s="260"/>
      <c r="C139" s="259"/>
      <c r="D139" s="56"/>
      <c r="E139" s="56"/>
      <c r="F139" s="113"/>
      <c r="G139" s="260"/>
      <c r="H139" s="259"/>
      <c r="I139" s="240"/>
      <c r="J139" s="113"/>
      <c r="K139" s="260"/>
      <c r="L139" s="259"/>
      <c r="M139" s="56"/>
      <c r="N139" s="56"/>
      <c r="O139" s="113"/>
      <c r="P139" s="260"/>
      <c r="Q139" s="259"/>
      <c r="R139" s="56"/>
      <c r="S139" s="56"/>
      <c r="T139" s="113"/>
      <c r="U139" s="260"/>
      <c r="V139" s="259"/>
      <c r="W139" s="56"/>
      <c r="X139" s="56"/>
      <c r="Y139" s="113"/>
      <c r="Z139" s="260"/>
      <c r="AA139" s="259"/>
      <c r="AB139" s="56"/>
      <c r="AC139" s="56"/>
      <c r="AD139" s="113"/>
      <c r="AE139" s="260"/>
      <c r="AF139" s="259"/>
      <c r="AG139" s="241"/>
      <c r="AH139" s="56"/>
      <c r="AI139" s="156"/>
    </row>
    <row r="140" spans="1:35" s="21" customFormat="1" x14ac:dyDescent="0.25">
      <c r="A140" s="261"/>
      <c r="B140" s="260"/>
      <c r="C140" s="259"/>
      <c r="D140" s="241">
        <v>0.01</v>
      </c>
      <c r="E140" s="249" t="s">
        <v>352</v>
      </c>
      <c r="F140" s="113"/>
      <c r="G140" s="260"/>
      <c r="H140" s="259"/>
      <c r="I140" s="240"/>
      <c r="J140" s="113"/>
      <c r="K140" s="260"/>
      <c r="L140" s="259"/>
      <c r="M140" s="241">
        <f>D140</f>
        <v>0.01</v>
      </c>
      <c r="N140" s="249" t="s">
        <v>352</v>
      </c>
      <c r="O140" s="113"/>
      <c r="P140" s="260"/>
      <c r="Q140" s="259"/>
      <c r="R140" s="241">
        <v>0.16600000000000001</v>
      </c>
      <c r="S140" s="249" t="s">
        <v>352</v>
      </c>
      <c r="T140" s="113"/>
      <c r="U140" s="260"/>
      <c r="V140" s="259"/>
      <c r="W140" s="241">
        <f>W145</f>
        <v>0.1333333333333333</v>
      </c>
      <c r="X140" s="249" t="s">
        <v>352</v>
      </c>
      <c r="Y140" s="113"/>
      <c r="Z140" s="260"/>
      <c r="AA140" s="259"/>
      <c r="AB140" s="241"/>
      <c r="AC140" s="240"/>
      <c r="AD140" s="113"/>
      <c r="AE140" s="260"/>
      <c r="AF140" s="259"/>
      <c r="AG140" s="241"/>
      <c r="AH140" s="241"/>
      <c r="AI140" s="156"/>
    </row>
    <row r="141" spans="1:35" s="21" customFormat="1" x14ac:dyDescent="0.25">
      <c r="A141" s="261"/>
      <c r="B141" s="260"/>
      <c r="C141" s="259"/>
      <c r="D141" s="241">
        <v>0.01</v>
      </c>
      <c r="E141" s="249" t="s">
        <v>79</v>
      </c>
      <c r="F141" s="113"/>
      <c r="G141" s="260"/>
      <c r="H141" s="259"/>
      <c r="I141" s="240"/>
      <c r="J141" s="113"/>
      <c r="K141" s="260"/>
      <c r="L141" s="259"/>
      <c r="M141" s="241">
        <f>M132</f>
        <v>0.26</v>
      </c>
      <c r="N141" s="249" t="s">
        <v>79</v>
      </c>
      <c r="O141" s="113"/>
      <c r="P141" s="260"/>
      <c r="Q141" s="259"/>
      <c r="R141" s="241"/>
      <c r="S141" s="240"/>
      <c r="T141" s="113"/>
      <c r="U141" s="260"/>
      <c r="V141" s="259"/>
      <c r="W141" s="241"/>
      <c r="X141" s="240"/>
      <c r="Y141" s="113"/>
      <c r="Z141" s="260"/>
      <c r="AA141" s="259"/>
      <c r="AB141" s="241"/>
      <c r="AC141" s="240"/>
      <c r="AD141" s="113"/>
      <c r="AE141" s="260"/>
      <c r="AF141" s="259"/>
      <c r="AG141" s="241"/>
      <c r="AH141" s="241"/>
      <c r="AI141" s="156"/>
    </row>
    <row r="142" spans="1:35" s="21" customFormat="1" x14ac:dyDescent="0.25">
      <c r="A142" s="261"/>
      <c r="B142" s="260"/>
      <c r="C142" s="259"/>
      <c r="D142" s="241">
        <v>0.01</v>
      </c>
      <c r="E142" s="249" t="s">
        <v>80</v>
      </c>
      <c r="F142" s="113"/>
      <c r="G142" s="260"/>
      <c r="H142" s="259"/>
      <c r="I142" s="240"/>
      <c r="J142" s="113"/>
      <c r="K142" s="260"/>
      <c r="L142" s="259"/>
      <c r="M142" s="241">
        <f>M132</f>
        <v>0.26</v>
      </c>
      <c r="N142" s="249" t="s">
        <v>80</v>
      </c>
      <c r="O142" s="113"/>
      <c r="P142" s="260"/>
      <c r="Q142" s="259"/>
      <c r="R142" s="241"/>
      <c r="S142" s="240"/>
      <c r="T142" s="113"/>
      <c r="U142" s="260"/>
      <c r="V142" s="259"/>
      <c r="W142" s="241"/>
      <c r="X142" s="240"/>
      <c r="Y142" s="113"/>
      <c r="Z142" s="260"/>
      <c r="AA142" s="259"/>
      <c r="AB142" s="241"/>
      <c r="AC142" s="240"/>
      <c r="AD142" s="113"/>
      <c r="AE142" s="260"/>
      <c r="AF142" s="259"/>
      <c r="AG142" s="241"/>
      <c r="AH142" s="241"/>
      <c r="AI142" s="156"/>
    </row>
    <row r="143" spans="1:35" s="21" customFormat="1" ht="18" customHeight="1" x14ac:dyDescent="0.25">
      <c r="A143" s="261"/>
      <c r="B143" s="260"/>
      <c r="C143" s="259"/>
      <c r="D143" s="241">
        <v>0.5</v>
      </c>
      <c r="E143" s="6" t="s">
        <v>244</v>
      </c>
      <c r="F143" s="113"/>
      <c r="G143" s="260">
        <v>0.31</v>
      </c>
      <c r="H143" s="259">
        <v>8.82</v>
      </c>
      <c r="I143" s="149"/>
      <c r="J143" s="113"/>
      <c r="K143" s="260">
        <v>4.4000000000000004</v>
      </c>
      <c r="L143" s="259">
        <v>8.77</v>
      </c>
      <c r="M143" s="241">
        <f>D143</f>
        <v>0.5</v>
      </c>
      <c r="N143" s="6" t="s">
        <v>244</v>
      </c>
      <c r="O143" s="113"/>
      <c r="P143" s="260">
        <v>4.12</v>
      </c>
      <c r="Q143" s="259">
        <v>8.92</v>
      </c>
      <c r="R143" s="56"/>
      <c r="S143" s="56"/>
      <c r="T143" s="113"/>
      <c r="U143" s="260">
        <v>4.08</v>
      </c>
      <c r="V143" s="259">
        <v>8.77</v>
      </c>
      <c r="W143" s="56"/>
      <c r="X143" s="56"/>
      <c r="Y143" s="113"/>
      <c r="Z143" s="260">
        <v>4.01</v>
      </c>
      <c r="AA143" s="259">
        <v>8.81</v>
      </c>
      <c r="AB143" s="241"/>
      <c r="AC143" s="240"/>
      <c r="AD143" s="113"/>
      <c r="AE143" s="260">
        <v>3.62</v>
      </c>
      <c r="AF143" s="259">
        <v>8.9</v>
      </c>
      <c r="AG143" s="241"/>
      <c r="AH143" s="241"/>
      <c r="AI143" s="156"/>
    </row>
    <row r="144" spans="1:35" s="21" customFormat="1" ht="18" customHeight="1" x14ac:dyDescent="0.25">
      <c r="A144" s="261"/>
      <c r="B144" s="260"/>
      <c r="C144" s="259"/>
      <c r="D144" s="240"/>
      <c r="E144" s="240"/>
      <c r="F144" s="113"/>
      <c r="G144" s="260"/>
      <c r="H144" s="259"/>
      <c r="I144" s="240"/>
      <c r="J144" s="113"/>
      <c r="K144" s="260"/>
      <c r="L144" s="259"/>
      <c r="M144" s="241"/>
      <c r="N144" s="240"/>
      <c r="O144" s="113"/>
      <c r="P144" s="260"/>
      <c r="Q144" s="259"/>
      <c r="R144" s="245"/>
      <c r="S144" s="96"/>
      <c r="T144" s="113"/>
      <c r="U144" s="260"/>
      <c r="V144" s="259"/>
      <c r="W144" s="245"/>
      <c r="X144" s="96"/>
      <c r="Y144" s="113"/>
      <c r="Z144" s="260"/>
      <c r="AA144" s="259"/>
      <c r="AB144" s="245"/>
      <c r="AC144" s="96"/>
      <c r="AD144" s="113"/>
      <c r="AE144" s="260"/>
      <c r="AF144" s="259"/>
      <c r="AG144" s="241"/>
      <c r="AH144" s="241"/>
      <c r="AI144" s="156"/>
    </row>
    <row r="145" spans="1:35" s="21" customFormat="1" ht="18" customHeight="1" x14ac:dyDescent="0.25">
      <c r="A145" s="261"/>
      <c r="B145" s="260"/>
      <c r="C145" s="259"/>
      <c r="D145" s="241">
        <v>0.27</v>
      </c>
      <c r="E145" s="62" t="s">
        <v>123</v>
      </c>
      <c r="F145" s="113"/>
      <c r="G145" s="260"/>
      <c r="H145" s="259"/>
      <c r="I145" s="240"/>
      <c r="J145" s="113"/>
      <c r="K145" s="260"/>
      <c r="L145" s="259"/>
      <c r="M145" s="241">
        <v>0.27</v>
      </c>
      <c r="N145" s="62" t="s">
        <v>123</v>
      </c>
      <c r="O145" s="113"/>
      <c r="P145" s="260"/>
      <c r="Q145" s="259"/>
      <c r="R145" s="241">
        <v>0.44</v>
      </c>
      <c r="S145" s="62" t="s">
        <v>513</v>
      </c>
      <c r="T145" s="113"/>
      <c r="U145" s="260"/>
      <c r="V145" s="259"/>
      <c r="W145" s="241">
        <f>(U143-W146)/3</f>
        <v>0.1333333333333333</v>
      </c>
      <c r="X145" s="62" t="s">
        <v>139</v>
      </c>
      <c r="Y145" s="113"/>
      <c r="Z145" s="260"/>
      <c r="AA145" s="259"/>
      <c r="AB145" s="241"/>
      <c r="AC145" s="240"/>
      <c r="AD145" s="113"/>
      <c r="AE145" s="260"/>
      <c r="AF145" s="259"/>
      <c r="AG145" s="241"/>
      <c r="AH145" s="241"/>
      <c r="AI145" s="156"/>
    </row>
    <row r="146" spans="1:35" s="21" customFormat="1" x14ac:dyDescent="0.25">
      <c r="A146" s="261"/>
      <c r="B146" s="260"/>
      <c r="C146" s="259"/>
      <c r="D146" s="240">
        <f>AG146</f>
        <v>3.68</v>
      </c>
      <c r="E146" s="6" t="s">
        <v>25</v>
      </c>
      <c r="F146" s="113"/>
      <c r="G146" s="260"/>
      <c r="H146" s="259"/>
      <c r="I146" s="149"/>
      <c r="J146" s="113"/>
      <c r="K146" s="260"/>
      <c r="L146" s="259"/>
      <c r="M146" s="241">
        <f>D146</f>
        <v>3.68</v>
      </c>
      <c r="N146" s="6" t="s">
        <v>25</v>
      </c>
      <c r="O146" s="113"/>
      <c r="P146" s="260"/>
      <c r="Q146" s="259"/>
      <c r="R146" s="241">
        <f>P147+P143-R140-R145</f>
        <v>5.5839999999999987</v>
      </c>
      <c r="S146" s="6" t="s">
        <v>25</v>
      </c>
      <c r="T146" s="113"/>
      <c r="U146" s="260"/>
      <c r="V146" s="259"/>
      <c r="W146" s="241">
        <f>M146</f>
        <v>3.68</v>
      </c>
      <c r="X146" s="6" t="s">
        <v>25</v>
      </c>
      <c r="Y146" s="113"/>
      <c r="Z146" s="260"/>
      <c r="AA146" s="259"/>
      <c r="AB146" s="241">
        <f>Z143-AB144</f>
        <v>4.01</v>
      </c>
      <c r="AC146" s="6" t="s">
        <v>25</v>
      </c>
      <c r="AD146" s="113"/>
      <c r="AE146" s="241">
        <v>0.06</v>
      </c>
      <c r="AF146" s="240">
        <v>8.9700000000000006</v>
      </c>
      <c r="AG146" s="241">
        <f>AE143+AE146</f>
        <v>3.68</v>
      </c>
      <c r="AH146" s="6" t="s">
        <v>25</v>
      </c>
      <c r="AI146" s="156"/>
    </row>
    <row r="147" spans="1:35" s="21" customFormat="1" x14ac:dyDescent="0.25">
      <c r="A147" s="261">
        <v>37</v>
      </c>
      <c r="B147" s="260">
        <v>1.49</v>
      </c>
      <c r="C147" s="259">
        <v>8.98</v>
      </c>
      <c r="D147" s="240">
        <f>(B147-D149)/2</f>
        <v>0.60499999999999998</v>
      </c>
      <c r="E147" s="7" t="s">
        <v>155</v>
      </c>
      <c r="F147" s="113"/>
      <c r="G147" s="260">
        <v>0.21</v>
      </c>
      <c r="H147" s="259">
        <v>8.9</v>
      </c>
      <c r="I147" s="240"/>
      <c r="J147" s="113"/>
      <c r="K147" s="260">
        <v>0.89</v>
      </c>
      <c r="L147" s="259">
        <v>8.94</v>
      </c>
      <c r="M147" s="241">
        <f>(K147+K149-M149)/2</f>
        <v>0.72499999999999998</v>
      </c>
      <c r="N147" s="7" t="s">
        <v>155</v>
      </c>
      <c r="O147" s="113"/>
      <c r="P147" s="260">
        <v>2.0699999999999998</v>
      </c>
      <c r="Q147" s="259">
        <v>9.0399999999999991</v>
      </c>
      <c r="R147" s="245"/>
      <c r="S147" s="18"/>
      <c r="T147" s="113"/>
      <c r="U147" s="260">
        <v>0.24</v>
      </c>
      <c r="V147" s="259">
        <v>8.8800000000000008</v>
      </c>
      <c r="W147" s="245"/>
      <c r="X147" s="18"/>
      <c r="Y147" s="113"/>
      <c r="Z147" s="260">
        <v>0.69</v>
      </c>
      <c r="AA147" s="259">
        <v>8.9700000000000006</v>
      </c>
      <c r="AB147" s="241"/>
      <c r="AC147" s="240"/>
      <c r="AD147" s="113"/>
      <c r="AE147" s="260">
        <v>0.75</v>
      </c>
      <c r="AF147" s="259">
        <v>9.06</v>
      </c>
      <c r="AG147" s="241"/>
      <c r="AH147" s="241"/>
      <c r="AI147" s="156"/>
    </row>
    <row r="148" spans="1:35" s="21" customFormat="1" x14ac:dyDescent="0.25">
      <c r="A148" s="261"/>
      <c r="B148" s="260"/>
      <c r="C148" s="259"/>
      <c r="D148" s="240">
        <f>D147</f>
        <v>0.60499999999999998</v>
      </c>
      <c r="E148" s="7" t="s">
        <v>72</v>
      </c>
      <c r="F148" s="113"/>
      <c r="G148" s="260"/>
      <c r="H148" s="259"/>
      <c r="I148" s="240"/>
      <c r="J148" s="113"/>
      <c r="K148" s="260"/>
      <c r="L148" s="259"/>
      <c r="M148" s="241">
        <f>M147</f>
        <v>0.72499999999999998</v>
      </c>
      <c r="N148" s="7" t="s">
        <v>72</v>
      </c>
      <c r="O148" s="113"/>
      <c r="P148" s="260"/>
      <c r="Q148" s="259"/>
      <c r="R148" s="241"/>
      <c r="S148" s="8"/>
      <c r="T148" s="113"/>
      <c r="U148" s="260"/>
      <c r="V148" s="259"/>
      <c r="W148" s="241">
        <f>U147+U149</f>
        <v>0.99</v>
      </c>
      <c r="X148" s="75" t="s">
        <v>554</v>
      </c>
      <c r="Y148" s="113"/>
      <c r="Z148" s="260"/>
      <c r="AA148" s="259"/>
      <c r="AB148" s="56"/>
      <c r="AC148" s="56"/>
      <c r="AD148" s="113"/>
      <c r="AE148" s="260"/>
      <c r="AF148" s="259"/>
      <c r="AG148" s="241"/>
      <c r="AH148" s="241"/>
      <c r="AI148" s="156"/>
    </row>
    <row r="149" spans="1:35" s="21" customFormat="1" x14ac:dyDescent="0.25">
      <c r="A149" s="261"/>
      <c r="B149" s="260"/>
      <c r="C149" s="259"/>
      <c r="D149" s="241">
        <v>0.28000000000000003</v>
      </c>
      <c r="E149" s="15" t="s">
        <v>255</v>
      </c>
      <c r="F149" s="113"/>
      <c r="G149" s="260">
        <v>0.67</v>
      </c>
      <c r="H149" s="259">
        <v>8.9700000000000006</v>
      </c>
      <c r="I149" s="240"/>
      <c r="J149" s="113"/>
      <c r="K149" s="260">
        <v>0.84</v>
      </c>
      <c r="L149" s="259">
        <v>8.94</v>
      </c>
      <c r="M149" s="241">
        <v>0.28000000000000003</v>
      </c>
      <c r="N149" s="15" t="s">
        <v>255</v>
      </c>
      <c r="O149" s="113"/>
      <c r="P149" s="260"/>
      <c r="Q149" s="259"/>
      <c r="R149" s="241"/>
      <c r="S149" s="118"/>
      <c r="T149" s="113"/>
      <c r="U149" s="260">
        <v>0.75</v>
      </c>
      <c r="V149" s="259">
        <v>8.93</v>
      </c>
      <c r="W149" s="241"/>
      <c r="X149" s="118"/>
      <c r="Y149" s="113"/>
      <c r="Z149" s="260">
        <v>0.2</v>
      </c>
      <c r="AA149" s="259">
        <v>9.06</v>
      </c>
      <c r="AB149" s="241"/>
      <c r="AC149" s="240"/>
      <c r="AD149" s="113"/>
      <c r="AE149" s="260"/>
      <c r="AF149" s="259"/>
      <c r="AG149" s="241"/>
      <c r="AH149" s="241"/>
      <c r="AI149" s="156"/>
    </row>
    <row r="150" spans="1:35" s="21" customFormat="1" x14ac:dyDescent="0.25">
      <c r="A150" s="261"/>
      <c r="B150" s="260"/>
      <c r="C150" s="259"/>
      <c r="D150" s="240"/>
      <c r="E150" s="240"/>
      <c r="F150" s="113"/>
      <c r="G150" s="260"/>
      <c r="H150" s="259"/>
      <c r="I150" s="240"/>
      <c r="J150" s="113"/>
      <c r="K150" s="260"/>
      <c r="L150" s="259"/>
      <c r="M150" s="241"/>
      <c r="N150" s="240"/>
      <c r="O150" s="113"/>
      <c r="P150" s="260"/>
      <c r="Q150" s="259"/>
      <c r="R150" s="241"/>
      <c r="S150" s="240"/>
      <c r="T150" s="113"/>
      <c r="U150" s="260"/>
      <c r="V150" s="259"/>
      <c r="W150" s="241"/>
      <c r="X150" s="240"/>
      <c r="Y150" s="113"/>
      <c r="Z150" s="260"/>
      <c r="AA150" s="259"/>
      <c r="AB150" s="241"/>
      <c r="AC150" s="240"/>
      <c r="AD150" s="113"/>
      <c r="AE150" s="260"/>
      <c r="AF150" s="259"/>
      <c r="AG150" s="241"/>
      <c r="AH150" s="241"/>
      <c r="AI150" s="156"/>
    </row>
    <row r="151" spans="1:35" s="21" customFormat="1" x14ac:dyDescent="0.25">
      <c r="A151" s="261">
        <v>38</v>
      </c>
      <c r="B151" s="260">
        <v>0.52</v>
      </c>
      <c r="C151" s="259">
        <v>9.11</v>
      </c>
      <c r="D151" s="240"/>
      <c r="E151" s="240"/>
      <c r="F151" s="113"/>
      <c r="G151" s="260">
        <v>0.2</v>
      </c>
      <c r="H151" s="259">
        <v>9.0299999999999994</v>
      </c>
      <c r="I151" s="240"/>
      <c r="J151" s="113"/>
      <c r="K151" s="260">
        <v>0.28000000000000003</v>
      </c>
      <c r="L151" s="259">
        <v>9.0399999999999991</v>
      </c>
      <c r="M151" s="241"/>
      <c r="N151" s="240"/>
      <c r="O151" s="113"/>
      <c r="P151" s="260">
        <v>0.44</v>
      </c>
      <c r="Q151" s="259">
        <v>9.15</v>
      </c>
      <c r="R151" s="241">
        <f>P151-R154</f>
        <v>0.40500000000000003</v>
      </c>
      <c r="S151" s="77" t="s">
        <v>164</v>
      </c>
      <c r="T151" s="113"/>
      <c r="U151" s="260">
        <v>0.4</v>
      </c>
      <c r="V151" s="259">
        <v>8.98</v>
      </c>
      <c r="W151" s="241">
        <f>U151-W154-W155</f>
        <v>0.22499999999999998</v>
      </c>
      <c r="X151" s="77" t="s">
        <v>164</v>
      </c>
      <c r="Y151" s="113"/>
      <c r="Z151" s="260">
        <v>7.0000000000000007E-2</v>
      </c>
      <c r="AA151" s="259">
        <v>9.09</v>
      </c>
      <c r="AB151" s="241"/>
      <c r="AC151" s="240"/>
      <c r="AD151" s="113"/>
      <c r="AE151" s="260"/>
      <c r="AF151" s="259"/>
      <c r="AG151" s="241"/>
      <c r="AH151" s="241"/>
      <c r="AI151" s="156"/>
    </row>
    <row r="152" spans="1:35" s="21" customFormat="1" x14ac:dyDescent="0.25">
      <c r="A152" s="261"/>
      <c r="B152" s="260"/>
      <c r="C152" s="259"/>
      <c r="D152" s="240">
        <f>B151-D154-D155</f>
        <v>0.44999999999999996</v>
      </c>
      <c r="E152" s="7" t="s">
        <v>486</v>
      </c>
      <c r="F152" s="113"/>
      <c r="G152" s="260"/>
      <c r="H152" s="259"/>
      <c r="I152" s="240"/>
      <c r="J152" s="113"/>
      <c r="K152" s="260"/>
      <c r="L152" s="259"/>
      <c r="M152" s="241">
        <f>K151</f>
        <v>0.28000000000000003</v>
      </c>
      <c r="N152" s="7" t="s">
        <v>173</v>
      </c>
      <c r="O152" s="113"/>
      <c r="P152" s="260"/>
      <c r="Q152" s="259"/>
      <c r="R152" s="241"/>
      <c r="S152" s="8"/>
      <c r="T152" s="113"/>
      <c r="U152" s="260"/>
      <c r="V152" s="259"/>
      <c r="W152" s="241"/>
      <c r="X152" s="8"/>
      <c r="Y152" s="113"/>
      <c r="Z152" s="260"/>
      <c r="AA152" s="259"/>
      <c r="AB152" s="241"/>
      <c r="AC152" s="240"/>
      <c r="AD152" s="113"/>
      <c r="AE152" s="241">
        <v>0.08</v>
      </c>
      <c r="AF152" s="240">
        <v>9.18</v>
      </c>
      <c r="AG152" s="241"/>
      <c r="AH152" s="241"/>
      <c r="AI152" s="156"/>
    </row>
    <row r="153" spans="1:35" s="21" customFormat="1" x14ac:dyDescent="0.25">
      <c r="A153" s="261"/>
      <c r="B153" s="260"/>
      <c r="C153" s="259"/>
      <c r="D153" s="240"/>
      <c r="E153" s="8"/>
      <c r="F153" s="113"/>
      <c r="G153" s="260"/>
      <c r="H153" s="259"/>
      <c r="I153" s="240"/>
      <c r="J153" s="113"/>
      <c r="K153" s="260"/>
      <c r="L153" s="259"/>
      <c r="M153" s="241"/>
      <c r="N153" s="8"/>
      <c r="O153" s="113"/>
      <c r="P153" s="260"/>
      <c r="Q153" s="259"/>
      <c r="R153" s="241"/>
      <c r="S153" s="56"/>
      <c r="T153" s="113"/>
      <c r="U153" s="260"/>
      <c r="V153" s="259"/>
      <c r="W153" s="241"/>
      <c r="X153" s="56"/>
      <c r="Y153" s="113"/>
      <c r="Z153" s="260">
        <v>7.0000000000000007E-2</v>
      </c>
      <c r="AA153" s="259">
        <v>9.16</v>
      </c>
      <c r="AB153" s="241"/>
      <c r="AC153" s="8"/>
      <c r="AD153" s="113"/>
      <c r="AE153" s="260">
        <v>0.04</v>
      </c>
      <c r="AF153" s="259">
        <v>9.25</v>
      </c>
      <c r="AG153" s="241"/>
      <c r="AH153" s="241"/>
      <c r="AI153" s="156"/>
    </row>
    <row r="154" spans="1:35" s="21" customFormat="1" x14ac:dyDescent="0.25">
      <c r="A154" s="261"/>
      <c r="B154" s="260"/>
      <c r="C154" s="259"/>
      <c r="D154" s="241">
        <v>3.5000000000000003E-2</v>
      </c>
      <c r="E154" s="59" t="s">
        <v>110</v>
      </c>
      <c r="F154" s="113"/>
      <c r="G154" s="260">
        <v>0.53</v>
      </c>
      <c r="H154" s="259">
        <v>9.09</v>
      </c>
      <c r="I154" s="240"/>
      <c r="J154" s="113"/>
      <c r="K154" s="260">
        <v>0.14000000000000001</v>
      </c>
      <c r="L154" s="259">
        <v>9.1</v>
      </c>
      <c r="M154" s="241">
        <v>7.0000000000000007E-2</v>
      </c>
      <c r="N154" s="59" t="s">
        <v>110</v>
      </c>
      <c r="O154" s="113"/>
      <c r="P154" s="260"/>
      <c r="Q154" s="259"/>
      <c r="R154" s="241">
        <v>3.5000000000000003E-2</v>
      </c>
      <c r="S154" s="59" t="s">
        <v>110</v>
      </c>
      <c r="T154" s="113"/>
      <c r="U154" s="260"/>
      <c r="V154" s="259"/>
      <c r="W154" s="241">
        <f>R154</f>
        <v>3.5000000000000003E-2</v>
      </c>
      <c r="X154" s="59" t="s">
        <v>110</v>
      </c>
      <c r="Y154" s="113"/>
      <c r="Z154" s="260"/>
      <c r="AA154" s="259"/>
      <c r="AB154" s="241">
        <v>3.5000000000000003E-2</v>
      </c>
      <c r="AC154" s="59" t="s">
        <v>110</v>
      </c>
      <c r="AD154" s="113"/>
      <c r="AE154" s="260"/>
      <c r="AF154" s="259"/>
      <c r="AG154" s="241">
        <f>AE153/2</f>
        <v>0.02</v>
      </c>
      <c r="AH154" s="59" t="s">
        <v>110</v>
      </c>
      <c r="AI154" s="156"/>
    </row>
    <row r="155" spans="1:35" s="21" customFormat="1" x14ac:dyDescent="0.25">
      <c r="A155" s="261"/>
      <c r="B155" s="260"/>
      <c r="C155" s="259"/>
      <c r="D155" s="241">
        <v>3.5000000000000003E-2</v>
      </c>
      <c r="E155" s="249" t="s">
        <v>111</v>
      </c>
      <c r="F155" s="113"/>
      <c r="G155" s="260"/>
      <c r="H155" s="259"/>
      <c r="I155" s="240"/>
      <c r="J155" s="113"/>
      <c r="K155" s="260"/>
      <c r="L155" s="259"/>
      <c r="M155" s="241">
        <v>7.0000000000000007E-2</v>
      </c>
      <c r="N155" s="249" t="s">
        <v>111</v>
      </c>
      <c r="O155" s="113"/>
      <c r="P155" s="260"/>
      <c r="Q155" s="259"/>
      <c r="R155" s="241">
        <f>P156</f>
        <v>0.14000000000000001</v>
      </c>
      <c r="S155" s="249" t="s">
        <v>111</v>
      </c>
      <c r="T155" s="113"/>
      <c r="U155" s="260"/>
      <c r="V155" s="259"/>
      <c r="W155" s="241">
        <f>R155</f>
        <v>0.14000000000000001</v>
      </c>
      <c r="X155" s="249" t="s">
        <v>111</v>
      </c>
      <c r="Y155" s="113"/>
      <c r="Z155" s="260"/>
      <c r="AA155" s="259"/>
      <c r="AB155" s="241">
        <v>3.5000000000000003E-2</v>
      </c>
      <c r="AC155" s="249" t="s">
        <v>111</v>
      </c>
      <c r="AD155" s="113"/>
      <c r="AE155" s="260"/>
      <c r="AF155" s="259"/>
      <c r="AG155" s="241">
        <f>AG154</f>
        <v>0.02</v>
      </c>
      <c r="AH155" s="249" t="s">
        <v>111</v>
      </c>
      <c r="AI155" s="156"/>
    </row>
    <row r="156" spans="1:35" s="21" customFormat="1" x14ac:dyDescent="0.25">
      <c r="A156" s="261">
        <v>39</v>
      </c>
      <c r="B156" s="260">
        <v>1.63</v>
      </c>
      <c r="C156" s="259">
        <v>9.2100000000000009</v>
      </c>
      <c r="D156" s="240">
        <f>M156</f>
        <v>0.16</v>
      </c>
      <c r="E156" s="7" t="s">
        <v>155</v>
      </c>
      <c r="F156" s="113"/>
      <c r="G156" s="260">
        <v>1.74</v>
      </c>
      <c r="H156" s="259">
        <v>9.19</v>
      </c>
      <c r="I156" s="240"/>
      <c r="J156" s="113"/>
      <c r="K156" s="260">
        <v>0.16</v>
      </c>
      <c r="L156" s="259">
        <v>9.15</v>
      </c>
      <c r="M156" s="241">
        <f>K156</f>
        <v>0.16</v>
      </c>
      <c r="N156" s="7" t="s">
        <v>155</v>
      </c>
      <c r="O156" s="113"/>
      <c r="P156" s="260">
        <v>0.14000000000000001</v>
      </c>
      <c r="Q156" s="259">
        <v>9.1999999999999993</v>
      </c>
      <c r="R156" s="241"/>
      <c r="S156" s="240"/>
      <c r="T156" s="113"/>
      <c r="U156" s="260"/>
      <c r="V156" s="259"/>
      <c r="W156" s="241"/>
      <c r="X156" s="240"/>
      <c r="Y156" s="113"/>
      <c r="Z156" s="260">
        <v>0.06</v>
      </c>
      <c r="AA156" s="259">
        <v>9.2100000000000009</v>
      </c>
      <c r="AB156" s="241"/>
      <c r="AC156" s="240"/>
      <c r="AD156" s="113"/>
      <c r="AE156" s="260">
        <v>0.12</v>
      </c>
      <c r="AF156" s="259">
        <v>9.32</v>
      </c>
      <c r="AG156" s="241"/>
      <c r="AH156" s="240"/>
      <c r="AI156" s="156"/>
    </row>
    <row r="157" spans="1:35" s="21" customFormat="1" x14ac:dyDescent="0.25">
      <c r="A157" s="261"/>
      <c r="B157" s="260"/>
      <c r="C157" s="259"/>
      <c r="D157" s="240"/>
      <c r="E157" s="45"/>
      <c r="F157" s="113"/>
      <c r="G157" s="260"/>
      <c r="H157" s="259"/>
      <c r="I157" s="240"/>
      <c r="J157" s="113"/>
      <c r="K157" s="260"/>
      <c r="L157" s="259"/>
      <c r="M157" s="241"/>
      <c r="N157" s="45"/>
      <c r="O157" s="113"/>
      <c r="P157" s="260"/>
      <c r="Q157" s="259"/>
      <c r="R157" s="241"/>
      <c r="S157" s="45"/>
      <c r="T157" s="113"/>
      <c r="U157" s="260"/>
      <c r="V157" s="259"/>
      <c r="W157" s="241"/>
      <c r="X157" s="45"/>
      <c r="Y157" s="113"/>
      <c r="Z157" s="260"/>
      <c r="AA157" s="259"/>
      <c r="AB157" s="241"/>
      <c r="AC157" s="240"/>
      <c r="AD157" s="113"/>
      <c r="AE157" s="260"/>
      <c r="AF157" s="259"/>
      <c r="AG157" s="241"/>
      <c r="AH157" s="240"/>
      <c r="AI157" s="156"/>
    </row>
    <row r="158" spans="1:35" s="21" customFormat="1" x14ac:dyDescent="0.25">
      <c r="A158" s="261"/>
      <c r="B158" s="260"/>
      <c r="C158" s="259"/>
      <c r="D158" s="241">
        <f>M158</f>
        <v>0.09</v>
      </c>
      <c r="E158" s="77" t="s">
        <v>231</v>
      </c>
      <c r="F158" s="113"/>
      <c r="G158" s="260"/>
      <c r="H158" s="259"/>
      <c r="I158" s="240"/>
      <c r="J158" s="113"/>
      <c r="K158" s="241">
        <v>0.09</v>
      </c>
      <c r="L158" s="240">
        <v>9.18</v>
      </c>
      <c r="M158" s="241">
        <f>K158</f>
        <v>0.09</v>
      </c>
      <c r="N158" s="77" t="s">
        <v>231</v>
      </c>
      <c r="O158" s="113"/>
      <c r="P158" s="260">
        <v>0.32</v>
      </c>
      <c r="Q158" s="259">
        <v>9.2799999999999994</v>
      </c>
      <c r="R158" s="241"/>
      <c r="S158" s="56"/>
      <c r="T158" s="113"/>
      <c r="U158" s="260">
        <v>0.15</v>
      </c>
      <c r="V158" s="259">
        <v>9.11</v>
      </c>
      <c r="W158" s="241"/>
      <c r="X158" s="56"/>
      <c r="Y158" s="113"/>
      <c r="Z158" s="260">
        <v>0.75</v>
      </c>
      <c r="AA158" s="259">
        <v>9.31</v>
      </c>
      <c r="AB158" s="241"/>
      <c r="AC158" s="240"/>
      <c r="AD158" s="113"/>
      <c r="AE158" s="260"/>
      <c r="AF158" s="259"/>
      <c r="AG158" s="241"/>
      <c r="AH158" s="240"/>
      <c r="AI158" s="156"/>
    </row>
    <row r="159" spans="1:35" s="21" customFormat="1" x14ac:dyDescent="0.25">
      <c r="A159" s="261">
        <v>40</v>
      </c>
      <c r="B159" s="260">
        <v>0.65</v>
      </c>
      <c r="C159" s="259">
        <v>9.31</v>
      </c>
      <c r="D159" s="240"/>
      <c r="E159" s="240"/>
      <c r="F159" s="113"/>
      <c r="G159" s="260">
        <v>0.24</v>
      </c>
      <c r="H159" s="259">
        <v>9.27</v>
      </c>
      <c r="I159" s="240"/>
      <c r="J159" s="113"/>
      <c r="K159" s="260">
        <v>0.71</v>
      </c>
      <c r="L159" s="259">
        <v>9.27</v>
      </c>
      <c r="M159" s="241"/>
      <c r="N159" s="240"/>
      <c r="O159" s="113"/>
      <c r="P159" s="260"/>
      <c r="Q159" s="259"/>
      <c r="R159" s="241"/>
      <c r="S159" s="240"/>
      <c r="T159" s="113"/>
      <c r="U159" s="260"/>
      <c r="V159" s="259"/>
      <c r="W159" s="241"/>
      <c r="X159" s="240"/>
      <c r="Y159" s="113"/>
      <c r="Z159" s="260"/>
      <c r="AA159" s="259"/>
      <c r="AB159" s="241"/>
      <c r="AC159" s="240"/>
      <c r="AD159" s="113"/>
      <c r="AE159" s="260">
        <v>0.47</v>
      </c>
      <c r="AF159" s="259">
        <v>9.4</v>
      </c>
      <c r="AG159" s="241"/>
      <c r="AH159" s="240"/>
      <c r="AI159" s="156"/>
    </row>
    <row r="160" spans="1:35" s="21" customFormat="1" x14ac:dyDescent="0.25">
      <c r="A160" s="261"/>
      <c r="B160" s="260"/>
      <c r="C160" s="259"/>
      <c r="D160" s="240"/>
      <c r="E160" s="240"/>
      <c r="F160" s="113"/>
      <c r="G160" s="260"/>
      <c r="H160" s="259"/>
      <c r="I160" s="240"/>
      <c r="J160" s="113"/>
      <c r="K160" s="260"/>
      <c r="L160" s="259"/>
      <c r="M160" s="241"/>
      <c r="N160" s="240"/>
      <c r="O160" s="113"/>
      <c r="P160" s="260">
        <v>0.15</v>
      </c>
      <c r="Q160" s="259">
        <v>9.36</v>
      </c>
      <c r="R160" s="241"/>
      <c r="S160" s="240"/>
      <c r="T160" s="113"/>
      <c r="U160" s="260">
        <v>0.1</v>
      </c>
      <c r="V160" s="259">
        <v>9.16</v>
      </c>
      <c r="W160" s="241"/>
      <c r="X160" s="240"/>
      <c r="Y160" s="113"/>
      <c r="Z160" s="260"/>
      <c r="AA160" s="259"/>
      <c r="AB160" s="241"/>
      <c r="AC160" s="240"/>
      <c r="AD160" s="113"/>
      <c r="AE160" s="260"/>
      <c r="AF160" s="259"/>
      <c r="AG160" s="241"/>
      <c r="AH160" s="240"/>
      <c r="AI160" s="156"/>
    </row>
    <row r="161" spans="1:35" s="21" customFormat="1" x14ac:dyDescent="0.25">
      <c r="A161" s="261"/>
      <c r="B161" s="260"/>
      <c r="C161" s="259"/>
      <c r="D161" s="240"/>
      <c r="E161" s="73"/>
      <c r="F161" s="113"/>
      <c r="G161" s="260">
        <v>0.76</v>
      </c>
      <c r="H161" s="259">
        <v>9.31</v>
      </c>
      <c r="I161" s="240"/>
      <c r="J161" s="113"/>
      <c r="K161" s="260"/>
      <c r="L161" s="259"/>
      <c r="M161" s="241"/>
      <c r="N161" s="73"/>
      <c r="O161" s="113"/>
      <c r="P161" s="260"/>
      <c r="Q161" s="259"/>
      <c r="R161" s="245"/>
      <c r="S161" s="107"/>
      <c r="T161" s="113"/>
      <c r="U161" s="260"/>
      <c r="V161" s="259"/>
      <c r="W161" s="245"/>
      <c r="X161" s="107"/>
      <c r="Y161" s="113"/>
      <c r="Z161" s="260"/>
      <c r="AA161" s="259"/>
      <c r="AB161" s="245"/>
      <c r="AC161" s="107"/>
      <c r="AD161" s="113"/>
      <c r="AE161" s="260"/>
      <c r="AF161" s="259"/>
      <c r="AG161" s="245"/>
      <c r="AH161" s="107"/>
      <c r="AI161" s="156"/>
    </row>
    <row r="162" spans="1:35" s="21" customFormat="1" x14ac:dyDescent="0.25">
      <c r="A162" s="261"/>
      <c r="B162" s="260"/>
      <c r="C162" s="259"/>
      <c r="D162" s="240">
        <f>B159+B156-D156-D158</f>
        <v>2.0299999999999998</v>
      </c>
      <c r="E162" s="7" t="s">
        <v>537</v>
      </c>
      <c r="F162" s="113"/>
      <c r="G162" s="260"/>
      <c r="H162" s="259"/>
      <c r="I162" s="240"/>
      <c r="J162" s="113"/>
      <c r="K162" s="260"/>
      <c r="L162" s="259"/>
      <c r="M162" s="241">
        <f>K159</f>
        <v>0.71</v>
      </c>
      <c r="N162" s="7" t="s">
        <v>154</v>
      </c>
      <c r="O162" s="113"/>
      <c r="P162" s="260"/>
      <c r="Q162" s="259"/>
      <c r="R162" s="56"/>
      <c r="S162" s="56"/>
      <c r="T162" s="113"/>
      <c r="U162" s="260"/>
      <c r="V162" s="259"/>
      <c r="W162" s="56"/>
      <c r="X162" s="56"/>
      <c r="Y162" s="113"/>
      <c r="Z162" s="260"/>
      <c r="AA162" s="259"/>
      <c r="AB162" s="56"/>
      <c r="AC162" s="56"/>
      <c r="AD162" s="113"/>
      <c r="AE162" s="260"/>
      <c r="AF162" s="259"/>
      <c r="AG162" s="241"/>
      <c r="AH162" s="56"/>
      <c r="AI162" s="156"/>
    </row>
    <row r="163" spans="1:35" s="21" customFormat="1" x14ac:dyDescent="0.25">
      <c r="A163" s="261">
        <v>41</v>
      </c>
      <c r="B163" s="260">
        <v>0.41</v>
      </c>
      <c r="C163" s="259">
        <v>9.41</v>
      </c>
      <c r="D163" s="240">
        <f>B163-D164</f>
        <v>0.39999999999999997</v>
      </c>
      <c r="E163" s="7" t="s">
        <v>400</v>
      </c>
      <c r="F163" s="113"/>
      <c r="G163" s="260">
        <v>0.48</v>
      </c>
      <c r="H163" s="259">
        <v>9.43</v>
      </c>
      <c r="I163" s="240"/>
      <c r="J163" s="113"/>
      <c r="K163" s="260">
        <v>0.24</v>
      </c>
      <c r="L163" s="259">
        <v>9.35</v>
      </c>
      <c r="M163" s="241">
        <f>K163-M164</f>
        <v>0.22999999999999998</v>
      </c>
      <c r="N163" s="7" t="s">
        <v>229</v>
      </c>
      <c r="O163" s="113"/>
      <c r="P163" s="260">
        <v>0.64</v>
      </c>
      <c r="Q163" s="259">
        <v>9.42</v>
      </c>
      <c r="R163" s="241">
        <f>P163</f>
        <v>0.64</v>
      </c>
      <c r="S163" s="75" t="s">
        <v>317</v>
      </c>
      <c r="T163" s="113"/>
      <c r="U163" s="260">
        <v>0.66</v>
      </c>
      <c r="V163" s="259">
        <v>9.26</v>
      </c>
      <c r="W163" s="241">
        <f>U163</f>
        <v>0.66</v>
      </c>
      <c r="X163" s="75" t="s">
        <v>317</v>
      </c>
      <c r="Y163" s="113"/>
      <c r="Z163" s="260"/>
      <c r="AA163" s="259"/>
      <c r="AB163" s="56"/>
      <c r="AC163" s="56"/>
      <c r="AD163" s="113"/>
      <c r="AE163" s="260">
        <v>0.05</v>
      </c>
      <c r="AF163" s="259">
        <v>9.4499999999999993</v>
      </c>
      <c r="AG163" s="241"/>
      <c r="AH163" s="241"/>
      <c r="AI163" s="156"/>
    </row>
    <row r="164" spans="1:35" s="21" customFormat="1" x14ac:dyDescent="0.25">
      <c r="A164" s="261"/>
      <c r="B164" s="260"/>
      <c r="C164" s="259"/>
      <c r="D164" s="241">
        <v>0.01</v>
      </c>
      <c r="E164" s="249" t="s">
        <v>248</v>
      </c>
      <c r="F164" s="113"/>
      <c r="G164" s="260"/>
      <c r="H164" s="259"/>
      <c r="I164" s="240"/>
      <c r="J164" s="113"/>
      <c r="K164" s="260"/>
      <c r="L164" s="259"/>
      <c r="M164" s="241">
        <f>D164</f>
        <v>0.01</v>
      </c>
      <c r="N164" s="249" t="s">
        <v>248</v>
      </c>
      <c r="O164" s="113"/>
      <c r="P164" s="260"/>
      <c r="Q164" s="259"/>
      <c r="R164" s="241"/>
      <c r="S164" s="240"/>
      <c r="T164" s="113"/>
      <c r="U164" s="260"/>
      <c r="V164" s="259"/>
      <c r="W164" s="241"/>
      <c r="X164" s="240"/>
      <c r="Y164" s="113"/>
      <c r="Z164" s="260"/>
      <c r="AA164" s="259"/>
      <c r="AB164" s="241"/>
      <c r="AC164" s="240"/>
      <c r="AD164" s="113"/>
      <c r="AE164" s="260"/>
      <c r="AF164" s="259"/>
      <c r="AG164" s="241"/>
      <c r="AH164" s="241"/>
      <c r="AI164" s="156"/>
    </row>
    <row r="165" spans="1:35" s="21" customFormat="1" x14ac:dyDescent="0.25">
      <c r="A165" s="261"/>
      <c r="B165" s="260"/>
      <c r="C165" s="259"/>
      <c r="D165" s="240"/>
      <c r="E165" s="8"/>
      <c r="F165" s="113"/>
      <c r="G165" s="260"/>
      <c r="H165" s="259"/>
      <c r="I165" s="240"/>
      <c r="J165" s="113"/>
      <c r="K165" s="260"/>
      <c r="L165" s="259"/>
      <c r="M165" s="241"/>
      <c r="N165" s="8"/>
      <c r="O165" s="113"/>
      <c r="P165" s="260"/>
      <c r="Q165" s="259"/>
      <c r="R165" s="241"/>
      <c r="S165" s="240"/>
      <c r="T165" s="113"/>
      <c r="U165" s="260"/>
      <c r="V165" s="259"/>
      <c r="W165" s="241"/>
      <c r="X165" s="240"/>
      <c r="Y165" s="113"/>
      <c r="Z165" s="260"/>
      <c r="AA165" s="259"/>
      <c r="AB165" s="241"/>
      <c r="AC165" s="240"/>
      <c r="AD165" s="113"/>
      <c r="AE165" s="260"/>
      <c r="AF165" s="259"/>
      <c r="AG165" s="241"/>
      <c r="AH165" s="241"/>
      <c r="AI165" s="156"/>
    </row>
    <row r="166" spans="1:35" s="21" customFormat="1" x14ac:dyDescent="0.25">
      <c r="A166" s="261"/>
      <c r="B166" s="260"/>
      <c r="C166" s="259"/>
      <c r="D166" s="240"/>
      <c r="E166" s="19"/>
      <c r="F166" s="113"/>
      <c r="G166" s="260"/>
      <c r="H166" s="259"/>
      <c r="I166" s="240"/>
      <c r="J166" s="113"/>
      <c r="K166" s="260"/>
      <c r="L166" s="259"/>
      <c r="M166" s="241"/>
      <c r="N166" s="19"/>
      <c r="O166" s="113"/>
      <c r="P166" s="260"/>
      <c r="Q166" s="259"/>
      <c r="R166" s="241"/>
      <c r="S166" s="19"/>
      <c r="T166" s="113"/>
      <c r="U166" s="260"/>
      <c r="V166" s="259"/>
      <c r="W166" s="241"/>
      <c r="X166" s="19"/>
      <c r="Y166" s="113"/>
      <c r="Z166" s="260"/>
      <c r="AA166" s="259"/>
      <c r="AB166" s="241"/>
      <c r="AC166" s="240"/>
      <c r="AD166" s="113"/>
      <c r="AE166" s="260"/>
      <c r="AF166" s="259"/>
      <c r="AG166" s="241"/>
      <c r="AH166" s="241"/>
      <c r="AI166" s="156"/>
    </row>
    <row r="167" spans="1:35" s="21" customFormat="1" x14ac:dyDescent="0.25">
      <c r="A167" s="261">
        <v>42</v>
      </c>
      <c r="B167" s="260">
        <v>2.35</v>
      </c>
      <c r="C167" s="259">
        <v>9.5299999999999994</v>
      </c>
      <c r="D167" s="241">
        <v>0.04</v>
      </c>
      <c r="E167" s="7" t="s">
        <v>155</v>
      </c>
      <c r="F167" s="113"/>
      <c r="G167" s="260">
        <v>0.15</v>
      </c>
      <c r="H167" s="259">
        <v>9.48</v>
      </c>
      <c r="I167" s="240"/>
      <c r="J167" s="113"/>
      <c r="K167" s="260">
        <v>7.56</v>
      </c>
      <c r="L167" s="259">
        <v>9.4600000000000009</v>
      </c>
      <c r="M167" s="241">
        <f>D167</f>
        <v>0.04</v>
      </c>
      <c r="N167" s="7" t="s">
        <v>155</v>
      </c>
      <c r="O167" s="113"/>
      <c r="P167" s="260">
        <v>2.64</v>
      </c>
      <c r="Q167" s="259">
        <v>9.65</v>
      </c>
      <c r="R167" s="241"/>
      <c r="S167" s="19"/>
      <c r="T167" s="113"/>
      <c r="U167" s="241">
        <v>0.08</v>
      </c>
      <c r="V167" s="240">
        <v>9.34</v>
      </c>
      <c r="W167" s="241"/>
      <c r="X167" s="19"/>
      <c r="Y167" s="113"/>
      <c r="Z167" s="260">
        <v>0.15</v>
      </c>
      <c r="AA167" s="259">
        <v>9.43</v>
      </c>
      <c r="AB167" s="241"/>
      <c r="AC167" s="19"/>
      <c r="AD167" s="113"/>
      <c r="AE167" s="260">
        <v>0.05</v>
      </c>
      <c r="AF167" s="259">
        <v>9.5299999999999994</v>
      </c>
      <c r="AG167" s="241"/>
      <c r="AH167" s="241"/>
      <c r="AI167" s="156"/>
    </row>
    <row r="168" spans="1:35" s="21" customFormat="1" x14ac:dyDescent="0.25">
      <c r="A168" s="261"/>
      <c r="B168" s="260"/>
      <c r="C168" s="259"/>
      <c r="D168" s="241">
        <v>0.04</v>
      </c>
      <c r="E168" s="249" t="s">
        <v>271</v>
      </c>
      <c r="F168" s="113"/>
      <c r="G168" s="260"/>
      <c r="H168" s="259"/>
      <c r="I168" s="240"/>
      <c r="J168" s="113"/>
      <c r="K168" s="260"/>
      <c r="L168" s="259"/>
      <c r="M168" s="241">
        <v>5.29</v>
      </c>
      <c r="N168" s="249" t="s">
        <v>271</v>
      </c>
      <c r="O168" s="113"/>
      <c r="P168" s="260"/>
      <c r="Q168" s="259"/>
      <c r="R168" s="241"/>
      <c r="S168" s="240"/>
      <c r="T168" s="113"/>
      <c r="U168" s="260">
        <v>7.0000000000000007E-2</v>
      </c>
      <c r="V168" s="259">
        <v>9.3800000000000008</v>
      </c>
      <c r="W168" s="241"/>
      <c r="X168" s="240"/>
      <c r="Y168" s="113"/>
      <c r="Z168" s="260"/>
      <c r="AA168" s="259"/>
      <c r="AB168" s="241"/>
      <c r="AC168" s="240"/>
      <c r="AD168" s="113"/>
      <c r="AE168" s="260"/>
      <c r="AF168" s="259"/>
      <c r="AG168" s="241"/>
      <c r="AH168" s="241"/>
      <c r="AI168" s="156"/>
    </row>
    <row r="169" spans="1:35" s="21" customFormat="1" x14ac:dyDescent="0.25">
      <c r="A169" s="261"/>
      <c r="B169" s="260"/>
      <c r="C169" s="259"/>
      <c r="D169" s="241">
        <v>0.04</v>
      </c>
      <c r="E169" s="249" t="s">
        <v>91</v>
      </c>
      <c r="F169" s="113"/>
      <c r="G169" s="260"/>
      <c r="H169" s="259"/>
      <c r="I169" s="240"/>
      <c r="J169" s="113"/>
      <c r="K169" s="260"/>
      <c r="L169" s="259"/>
      <c r="M169" s="241">
        <f>D169</f>
        <v>0.04</v>
      </c>
      <c r="N169" s="249" t="s">
        <v>91</v>
      </c>
      <c r="O169" s="113"/>
      <c r="P169" s="260"/>
      <c r="Q169" s="259"/>
      <c r="R169" s="241"/>
      <c r="S169" s="240"/>
      <c r="T169" s="113"/>
      <c r="U169" s="260"/>
      <c r="V169" s="259"/>
      <c r="W169" s="241"/>
      <c r="X169" s="240"/>
      <c r="Y169" s="113"/>
      <c r="Z169" s="260"/>
      <c r="AA169" s="259"/>
      <c r="AB169" s="241"/>
      <c r="AC169" s="240"/>
      <c r="AD169" s="113"/>
      <c r="AE169" s="260"/>
      <c r="AF169" s="259"/>
      <c r="AG169" s="241"/>
      <c r="AH169" s="241"/>
      <c r="AI169" s="156"/>
    </row>
    <row r="170" spans="1:35" s="21" customFormat="1" x14ac:dyDescent="0.25">
      <c r="A170" s="261"/>
      <c r="B170" s="260"/>
      <c r="C170" s="259"/>
      <c r="D170" s="56"/>
      <c r="E170" s="56"/>
      <c r="F170" s="113"/>
      <c r="G170" s="260"/>
      <c r="H170" s="259"/>
      <c r="I170" s="240"/>
      <c r="J170" s="113"/>
      <c r="K170" s="260"/>
      <c r="L170" s="259"/>
      <c r="M170" s="56"/>
      <c r="N170" s="56"/>
      <c r="O170" s="113"/>
      <c r="P170" s="260"/>
      <c r="Q170" s="259"/>
      <c r="R170" s="241"/>
      <c r="S170" s="240"/>
      <c r="T170" s="113"/>
      <c r="U170" s="260"/>
      <c r="V170" s="259"/>
      <c r="W170" s="241"/>
      <c r="X170" s="240"/>
      <c r="Y170" s="113"/>
      <c r="Z170" s="260"/>
      <c r="AA170" s="259"/>
      <c r="AB170" s="241"/>
      <c r="AC170" s="240"/>
      <c r="AD170" s="113"/>
      <c r="AE170" s="260"/>
      <c r="AF170" s="259"/>
      <c r="AG170" s="241"/>
      <c r="AH170" s="241"/>
      <c r="AI170" s="156"/>
    </row>
    <row r="171" spans="1:35" s="21" customFormat="1" x14ac:dyDescent="0.25">
      <c r="A171" s="261"/>
      <c r="B171" s="260"/>
      <c r="C171" s="259"/>
      <c r="D171" s="240"/>
      <c r="E171" s="240"/>
      <c r="F171" s="113"/>
      <c r="G171" s="260">
        <v>0.3</v>
      </c>
      <c r="H171" s="259">
        <v>9.5299999999999994</v>
      </c>
      <c r="I171" s="240"/>
      <c r="J171" s="113"/>
      <c r="K171" s="260"/>
      <c r="L171" s="259"/>
      <c r="M171" s="241"/>
      <c r="N171" s="240"/>
      <c r="O171" s="113"/>
      <c r="P171" s="260"/>
      <c r="Q171" s="259"/>
      <c r="R171" s="245"/>
      <c r="S171" s="246"/>
      <c r="T171" s="113"/>
      <c r="U171" s="260">
        <v>2.29</v>
      </c>
      <c r="V171" s="259">
        <v>9.48</v>
      </c>
      <c r="W171" s="245"/>
      <c r="X171" s="246"/>
      <c r="Y171" s="113"/>
      <c r="Z171" s="260">
        <v>2.4</v>
      </c>
      <c r="AA171" s="259">
        <v>9.5299999999999994</v>
      </c>
      <c r="AB171" s="245"/>
      <c r="AC171" s="246"/>
      <c r="AD171" s="113"/>
      <c r="AE171" s="263">
        <v>2.19</v>
      </c>
      <c r="AF171" s="266">
        <v>9.6199999999999992</v>
      </c>
      <c r="AG171" s="245"/>
      <c r="AH171" s="246"/>
      <c r="AI171" s="156"/>
    </row>
    <row r="172" spans="1:35" s="21" customFormat="1" x14ac:dyDescent="0.25">
      <c r="A172" s="261"/>
      <c r="B172" s="260"/>
      <c r="C172" s="259"/>
      <c r="D172" s="241">
        <v>0.04</v>
      </c>
      <c r="E172" s="14" t="s">
        <v>351</v>
      </c>
      <c r="F172" s="113"/>
      <c r="G172" s="260"/>
      <c r="H172" s="259"/>
      <c r="I172" s="240"/>
      <c r="J172" s="113"/>
      <c r="K172" s="260"/>
      <c r="L172" s="259"/>
      <c r="M172" s="241">
        <f>D172</f>
        <v>0.04</v>
      </c>
      <c r="N172" s="14" t="s">
        <v>351</v>
      </c>
      <c r="O172" s="113"/>
      <c r="P172" s="260"/>
      <c r="Q172" s="259"/>
      <c r="R172" s="241">
        <f>D172</f>
        <v>0.04</v>
      </c>
      <c r="S172" s="14" t="s">
        <v>351</v>
      </c>
      <c r="T172" s="113"/>
      <c r="U172" s="260"/>
      <c r="V172" s="259"/>
      <c r="W172" s="241">
        <f>R172</f>
        <v>0.04</v>
      </c>
      <c r="X172" s="14" t="s">
        <v>351</v>
      </c>
      <c r="Y172" s="113"/>
      <c r="Z172" s="260"/>
      <c r="AA172" s="259"/>
      <c r="AB172" s="241"/>
      <c r="AC172" s="8"/>
      <c r="AD172" s="113"/>
      <c r="AE172" s="264"/>
      <c r="AF172" s="267"/>
      <c r="AG172" s="241"/>
      <c r="AH172" s="241"/>
      <c r="AI172" s="156"/>
    </row>
    <row r="173" spans="1:35" s="21" customFormat="1" x14ac:dyDescent="0.25">
      <c r="A173" s="261"/>
      <c r="B173" s="260"/>
      <c r="C173" s="259"/>
      <c r="D173" s="240">
        <f>B167+B174-D178-D177-D174-D179-D172-D167-D169-D168</f>
        <v>5.5500000000000007</v>
      </c>
      <c r="E173" s="6" t="s">
        <v>26</v>
      </c>
      <c r="F173" s="113"/>
      <c r="G173" s="260"/>
      <c r="H173" s="259"/>
      <c r="I173" s="149"/>
      <c r="J173" s="113"/>
      <c r="K173" s="260"/>
      <c r="L173" s="259"/>
      <c r="M173" s="241">
        <f>R173</f>
        <v>2.4</v>
      </c>
      <c r="N173" s="6" t="s">
        <v>26</v>
      </c>
      <c r="O173" s="113"/>
      <c r="P173" s="260"/>
      <c r="Q173" s="259"/>
      <c r="R173" s="241">
        <f>P167-R172-R171-R178</f>
        <v>2.4</v>
      </c>
      <c r="S173" s="6" t="s">
        <v>26</v>
      </c>
      <c r="T173" s="113"/>
      <c r="U173" s="260"/>
      <c r="V173" s="259"/>
      <c r="W173" s="241">
        <v>1.78</v>
      </c>
      <c r="X173" s="6" t="s">
        <v>26</v>
      </c>
      <c r="Y173" s="113"/>
      <c r="Z173" s="260"/>
      <c r="AA173" s="259"/>
      <c r="AB173" s="241">
        <f>Z171+Z167-AB171-AB175-AB178</f>
        <v>2.1799999999999997</v>
      </c>
      <c r="AC173" s="6" t="s">
        <v>26</v>
      </c>
      <c r="AD173" s="113"/>
      <c r="AE173" s="264"/>
      <c r="AF173" s="267"/>
      <c r="AG173" s="241">
        <f>AE171-AG171-AG175-AG178</f>
        <v>1.82</v>
      </c>
      <c r="AH173" s="6" t="s">
        <v>26</v>
      </c>
      <c r="AI173" s="156"/>
    </row>
    <row r="174" spans="1:35" s="21" customFormat="1" x14ac:dyDescent="0.25">
      <c r="A174" s="261">
        <v>43</v>
      </c>
      <c r="B174" s="260">
        <v>3.68</v>
      </c>
      <c r="C174" s="259">
        <v>9.6300000000000008</v>
      </c>
      <c r="D174" s="241">
        <v>0.01</v>
      </c>
      <c r="E174" s="7" t="s">
        <v>155</v>
      </c>
      <c r="F174" s="113"/>
      <c r="G174" s="260">
        <v>2.74</v>
      </c>
      <c r="H174" s="259">
        <v>9.6199999999999992</v>
      </c>
      <c r="I174" s="240"/>
      <c r="J174" s="113"/>
      <c r="K174" s="260">
        <v>3.15</v>
      </c>
      <c r="L174" s="259">
        <v>9.56</v>
      </c>
      <c r="M174" s="241">
        <v>0.01</v>
      </c>
      <c r="N174" s="7" t="s">
        <v>155</v>
      </c>
      <c r="O174" s="113"/>
      <c r="P174" s="260"/>
      <c r="Q174" s="259"/>
      <c r="R174" s="56"/>
      <c r="S174" s="56"/>
      <c r="T174" s="113"/>
      <c r="U174" s="260"/>
      <c r="V174" s="259"/>
      <c r="W174" s="56"/>
      <c r="X174" s="56"/>
      <c r="Y174" s="113"/>
      <c r="Z174" s="260"/>
      <c r="AA174" s="259"/>
      <c r="AB174" s="56"/>
      <c r="AC174" s="56"/>
      <c r="AD174" s="113"/>
      <c r="AE174" s="264"/>
      <c r="AF174" s="267"/>
      <c r="AG174" s="241"/>
      <c r="AH174" s="241"/>
      <c r="AI174" s="156"/>
    </row>
    <row r="175" spans="1:35" s="21" customFormat="1" x14ac:dyDescent="0.25">
      <c r="A175" s="261"/>
      <c r="B175" s="260"/>
      <c r="C175" s="259"/>
      <c r="D175" s="56"/>
      <c r="E175" s="56"/>
      <c r="F175" s="113"/>
      <c r="G175" s="260"/>
      <c r="H175" s="259"/>
      <c r="I175" s="240"/>
      <c r="J175" s="113"/>
      <c r="K175" s="260"/>
      <c r="L175" s="259"/>
      <c r="M175" s="56"/>
      <c r="N175" s="56"/>
      <c r="O175" s="113"/>
      <c r="P175" s="260"/>
      <c r="Q175" s="259"/>
      <c r="R175" s="241"/>
      <c r="S175" s="240"/>
      <c r="T175" s="113"/>
      <c r="U175" s="260"/>
      <c r="V175" s="259"/>
      <c r="W175" s="241">
        <v>0.17</v>
      </c>
      <c r="X175" s="75" t="s">
        <v>180</v>
      </c>
      <c r="Y175" s="113"/>
      <c r="Z175" s="260"/>
      <c r="AA175" s="259"/>
      <c r="AB175" s="241">
        <v>0.17</v>
      </c>
      <c r="AC175" s="75" t="s">
        <v>180</v>
      </c>
      <c r="AD175" s="113"/>
      <c r="AE175" s="264"/>
      <c r="AF175" s="267"/>
      <c r="AG175" s="241">
        <f>AB175</f>
        <v>0.17</v>
      </c>
      <c r="AH175" s="75" t="s">
        <v>180</v>
      </c>
      <c r="AI175" s="156"/>
    </row>
    <row r="176" spans="1:35" s="21" customFormat="1" x14ac:dyDescent="0.25">
      <c r="A176" s="261"/>
      <c r="B176" s="260"/>
      <c r="C176" s="259"/>
      <c r="D176" s="56"/>
      <c r="E176" s="56"/>
      <c r="F176" s="113"/>
      <c r="G176" s="260"/>
      <c r="H176" s="259"/>
      <c r="I176" s="240"/>
      <c r="J176" s="113"/>
      <c r="K176" s="260"/>
      <c r="L176" s="259"/>
      <c r="M176" s="56"/>
      <c r="N176" s="56"/>
      <c r="O176" s="113"/>
      <c r="P176" s="260"/>
      <c r="Q176" s="259"/>
      <c r="R176" s="241"/>
      <c r="S176" s="240"/>
      <c r="T176" s="113"/>
      <c r="U176" s="260"/>
      <c r="V176" s="259"/>
      <c r="W176" s="241"/>
      <c r="X176" s="240"/>
      <c r="Y176" s="113"/>
      <c r="Z176" s="260"/>
      <c r="AA176" s="259"/>
      <c r="AB176" s="241"/>
      <c r="AC176" s="240"/>
      <c r="AD176" s="113"/>
      <c r="AE176" s="264"/>
      <c r="AF176" s="267"/>
      <c r="AG176" s="241"/>
      <c r="AH176" s="240"/>
      <c r="AI176" s="156"/>
    </row>
    <row r="177" spans="1:35" s="21" customFormat="1" x14ac:dyDescent="0.25">
      <c r="A177" s="261"/>
      <c r="B177" s="260"/>
      <c r="C177" s="259"/>
      <c r="D177" s="241">
        <v>0.01</v>
      </c>
      <c r="E177" s="59" t="s">
        <v>233</v>
      </c>
      <c r="F177" s="113"/>
      <c r="G177" s="260"/>
      <c r="H177" s="259"/>
      <c r="I177" s="240"/>
      <c r="J177" s="113"/>
      <c r="K177" s="260"/>
      <c r="L177" s="259"/>
      <c r="M177" s="241">
        <v>0.01</v>
      </c>
      <c r="N177" s="59" t="s">
        <v>233</v>
      </c>
      <c r="O177" s="113"/>
      <c r="P177" s="260"/>
      <c r="Q177" s="259"/>
      <c r="R177" s="241"/>
      <c r="S177" s="240"/>
      <c r="T177" s="113"/>
      <c r="U177" s="260"/>
      <c r="V177" s="259"/>
      <c r="W177" s="241"/>
      <c r="X177" s="240"/>
      <c r="Y177" s="113"/>
      <c r="Z177" s="260"/>
      <c r="AA177" s="259"/>
      <c r="AB177" s="241"/>
      <c r="AC177" s="240"/>
      <c r="AD177" s="113"/>
      <c r="AE177" s="264"/>
      <c r="AF177" s="267"/>
      <c r="AG177" s="241"/>
      <c r="AH177" s="240"/>
      <c r="AI177" s="156"/>
    </row>
    <row r="178" spans="1:35" s="21" customFormat="1" x14ac:dyDescent="0.25">
      <c r="A178" s="261"/>
      <c r="B178" s="260"/>
      <c r="C178" s="259"/>
      <c r="D178" s="240">
        <f>M178</f>
        <v>0.2</v>
      </c>
      <c r="E178" s="59" t="s">
        <v>336</v>
      </c>
      <c r="F178" s="113"/>
      <c r="G178" s="260"/>
      <c r="H178" s="259"/>
      <c r="I178" s="240"/>
      <c r="J178" s="113"/>
      <c r="K178" s="260"/>
      <c r="L178" s="259"/>
      <c r="M178" s="241">
        <f>R178</f>
        <v>0.2</v>
      </c>
      <c r="N178" s="59" t="s">
        <v>336</v>
      </c>
      <c r="O178" s="113"/>
      <c r="P178" s="260"/>
      <c r="Q178" s="259"/>
      <c r="R178" s="241">
        <v>0.2</v>
      </c>
      <c r="S178" s="59" t="s">
        <v>336</v>
      </c>
      <c r="T178" s="113"/>
      <c r="U178" s="260"/>
      <c r="V178" s="259"/>
      <c r="W178" s="241">
        <f>R178</f>
        <v>0.2</v>
      </c>
      <c r="X178" s="59" t="s">
        <v>336</v>
      </c>
      <c r="Y178" s="113"/>
      <c r="Z178" s="260"/>
      <c r="AA178" s="259"/>
      <c r="AB178" s="241">
        <f>W178</f>
        <v>0.2</v>
      </c>
      <c r="AC178" s="59" t="s">
        <v>336</v>
      </c>
      <c r="AD178" s="113"/>
      <c r="AE178" s="264"/>
      <c r="AF178" s="267"/>
      <c r="AG178" s="241">
        <f>AB178</f>
        <v>0.2</v>
      </c>
      <c r="AH178" s="59" t="s">
        <v>336</v>
      </c>
      <c r="AI178" s="156"/>
    </row>
    <row r="179" spans="1:35" s="21" customFormat="1" x14ac:dyDescent="0.25">
      <c r="A179" s="261"/>
      <c r="B179" s="260"/>
      <c r="C179" s="259"/>
      <c r="D179" s="241">
        <v>0.1</v>
      </c>
      <c r="E179" s="249" t="s">
        <v>84</v>
      </c>
      <c r="F179" s="113"/>
      <c r="G179" s="260"/>
      <c r="H179" s="259"/>
      <c r="I179" s="240"/>
      <c r="J179" s="113"/>
      <c r="K179" s="260"/>
      <c r="L179" s="259"/>
      <c r="M179" s="241">
        <f>K174+K167-M168-M169-M167-M172-M173-M174-M177-M178</f>
        <v>2.6799999999999993</v>
      </c>
      <c r="N179" s="249" t="s">
        <v>84</v>
      </c>
      <c r="O179" s="113"/>
      <c r="P179" s="260"/>
      <c r="Q179" s="259"/>
      <c r="R179" s="241"/>
      <c r="S179" s="240"/>
      <c r="T179" s="113"/>
      <c r="U179" s="260"/>
      <c r="V179" s="259"/>
      <c r="W179" s="241"/>
      <c r="X179" s="240"/>
      <c r="Y179" s="113"/>
      <c r="Z179" s="260"/>
      <c r="AA179" s="259"/>
      <c r="AB179" s="241"/>
      <c r="AC179" s="240"/>
      <c r="AD179" s="113"/>
      <c r="AE179" s="265"/>
      <c r="AF179" s="268"/>
      <c r="AG179" s="241"/>
      <c r="AH179" s="241"/>
      <c r="AI179" s="156"/>
    </row>
    <row r="180" spans="1:35" s="21" customFormat="1" x14ac:dyDescent="0.25">
      <c r="A180" s="261">
        <v>44</v>
      </c>
      <c r="B180" s="260">
        <v>0.71</v>
      </c>
      <c r="C180" s="259">
        <v>9.81</v>
      </c>
      <c r="D180" s="240"/>
      <c r="E180" s="8"/>
      <c r="F180" s="113"/>
      <c r="G180" s="241">
        <v>0.22</v>
      </c>
      <c r="H180" s="240">
        <v>9.7200000000000006</v>
      </c>
      <c r="I180" s="240"/>
      <c r="J180" s="113"/>
      <c r="K180" s="260">
        <v>0.89</v>
      </c>
      <c r="L180" s="259">
        <v>9.7200000000000006</v>
      </c>
      <c r="M180" s="241"/>
      <c r="N180" s="8"/>
      <c r="O180" s="113"/>
      <c r="P180" s="241">
        <v>0.1</v>
      </c>
      <c r="Q180" s="240">
        <v>9.7799999999999994</v>
      </c>
      <c r="R180" s="241"/>
      <c r="S180" s="8"/>
      <c r="T180" s="113"/>
      <c r="U180" s="260">
        <v>0.49</v>
      </c>
      <c r="V180" s="259">
        <v>9.64</v>
      </c>
      <c r="W180" s="241"/>
      <c r="X180" s="8"/>
      <c r="Y180" s="113"/>
      <c r="Z180" s="241"/>
      <c r="AA180" s="240"/>
      <c r="AB180" s="241"/>
      <c r="AC180" s="240"/>
      <c r="AD180" s="113"/>
      <c r="AE180" s="241"/>
      <c r="AF180" s="240"/>
      <c r="AG180" s="241"/>
      <c r="AH180" s="241"/>
      <c r="AI180" s="156"/>
    </row>
    <row r="181" spans="1:35" s="21" customFormat="1" x14ac:dyDescent="0.25">
      <c r="A181" s="261"/>
      <c r="B181" s="260"/>
      <c r="C181" s="259"/>
      <c r="D181" s="240">
        <f>B180</f>
        <v>0.71</v>
      </c>
      <c r="E181" s="7" t="s">
        <v>154</v>
      </c>
      <c r="F181" s="113"/>
      <c r="G181" s="241">
        <v>0.75</v>
      </c>
      <c r="H181" s="240">
        <v>9.7799999999999994</v>
      </c>
      <c r="I181" s="240"/>
      <c r="J181" s="113"/>
      <c r="K181" s="260"/>
      <c r="L181" s="259"/>
      <c r="M181" s="241">
        <f>K180</f>
        <v>0.89</v>
      </c>
      <c r="N181" s="7" t="s">
        <v>154</v>
      </c>
      <c r="O181" s="113"/>
      <c r="P181" s="260">
        <v>0.75</v>
      </c>
      <c r="Q181" s="259">
        <v>9.83</v>
      </c>
      <c r="R181" s="56"/>
      <c r="S181" s="56"/>
      <c r="T181" s="113"/>
      <c r="U181" s="260"/>
      <c r="V181" s="259"/>
      <c r="W181" s="241"/>
      <c r="X181" s="19"/>
      <c r="Y181" s="113"/>
      <c r="Z181" s="241"/>
      <c r="AA181" s="240"/>
      <c r="AB181" s="241"/>
      <c r="AC181" s="240"/>
      <c r="AD181" s="113"/>
      <c r="AE181" s="241"/>
      <c r="AF181" s="240"/>
      <c r="AG181" s="241"/>
      <c r="AH181" s="241"/>
      <c r="AI181" s="156"/>
    </row>
    <row r="182" spans="1:35" s="21" customFormat="1" x14ac:dyDescent="0.25">
      <c r="A182" s="261">
        <v>45</v>
      </c>
      <c r="B182" s="260">
        <v>0.33</v>
      </c>
      <c r="C182" s="259">
        <v>9.8800000000000008</v>
      </c>
      <c r="D182" s="241">
        <f>B182-D183</f>
        <v>0.12000000000000002</v>
      </c>
      <c r="E182" s="7" t="s">
        <v>154</v>
      </c>
      <c r="F182" s="113"/>
      <c r="G182" s="241">
        <v>0.33</v>
      </c>
      <c r="H182" s="240">
        <v>9.85</v>
      </c>
      <c r="I182" s="240"/>
      <c r="J182" s="113"/>
      <c r="K182" s="260">
        <v>0.31</v>
      </c>
      <c r="L182" s="259">
        <v>9.84</v>
      </c>
      <c r="M182" s="241">
        <f>M183</f>
        <v>0.155</v>
      </c>
      <c r="N182" s="7" t="s">
        <v>154</v>
      </c>
      <c r="O182" s="113"/>
      <c r="P182" s="260"/>
      <c r="Q182" s="259"/>
      <c r="R182" s="241"/>
      <c r="S182" s="240"/>
      <c r="T182" s="113"/>
      <c r="U182" s="260"/>
      <c r="V182" s="259"/>
      <c r="W182" s="241"/>
      <c r="X182" s="240"/>
      <c r="Y182" s="113"/>
      <c r="Z182" s="241"/>
      <c r="AA182" s="240"/>
      <c r="AB182" s="241"/>
      <c r="AC182" s="240"/>
      <c r="AD182" s="113"/>
      <c r="AE182" s="241"/>
      <c r="AF182" s="240"/>
      <c r="AG182" s="241"/>
      <c r="AH182" s="241"/>
      <c r="AI182" s="156"/>
    </row>
    <row r="183" spans="1:35" s="21" customFormat="1" x14ac:dyDescent="0.25">
      <c r="A183" s="261"/>
      <c r="B183" s="260"/>
      <c r="C183" s="259"/>
      <c r="D183" s="240">
        <v>0.21</v>
      </c>
      <c r="E183" s="59" t="s">
        <v>475</v>
      </c>
      <c r="F183" s="113"/>
      <c r="G183" s="260">
        <v>0.24</v>
      </c>
      <c r="H183" s="259">
        <v>9.9499999999999993</v>
      </c>
      <c r="I183" s="240"/>
      <c r="J183" s="113"/>
      <c r="K183" s="260"/>
      <c r="L183" s="259"/>
      <c r="M183" s="241">
        <f>K182/2</f>
        <v>0.155</v>
      </c>
      <c r="N183" s="59" t="s">
        <v>217</v>
      </c>
      <c r="O183" s="113"/>
      <c r="P183" s="241">
        <v>0.04</v>
      </c>
      <c r="Q183" s="240">
        <v>9.93</v>
      </c>
      <c r="R183" s="241"/>
      <c r="S183" s="240"/>
      <c r="T183" s="113"/>
      <c r="U183" s="260"/>
      <c r="V183" s="259"/>
      <c r="W183" s="241"/>
      <c r="X183" s="240"/>
      <c r="Y183" s="113"/>
      <c r="Z183" s="241"/>
      <c r="AA183" s="240"/>
      <c r="AB183" s="241"/>
      <c r="AC183" s="240"/>
      <c r="AD183" s="113"/>
      <c r="AE183" s="241"/>
      <c r="AF183" s="240"/>
      <c r="AG183" s="241"/>
      <c r="AH183" s="241"/>
      <c r="AI183" s="156"/>
    </row>
    <row r="184" spans="1:35" s="21" customFormat="1" x14ac:dyDescent="0.25">
      <c r="A184" s="261"/>
      <c r="B184" s="260"/>
      <c r="C184" s="259"/>
      <c r="D184" s="56"/>
      <c r="E184" s="56"/>
      <c r="F184" s="113"/>
      <c r="G184" s="260"/>
      <c r="H184" s="259"/>
      <c r="I184" s="240"/>
      <c r="J184" s="113"/>
      <c r="K184" s="260">
        <v>0.18</v>
      </c>
      <c r="L184" s="259">
        <v>9.8800000000000008</v>
      </c>
      <c r="M184" s="56"/>
      <c r="N184" s="56"/>
      <c r="O184" s="113"/>
      <c r="P184" s="260">
        <v>0.25</v>
      </c>
      <c r="Q184" s="259">
        <v>10.01</v>
      </c>
      <c r="R184" s="241"/>
      <c r="S184" s="240"/>
      <c r="T184" s="113"/>
      <c r="U184" s="260">
        <v>0.27</v>
      </c>
      <c r="V184" s="259">
        <v>9.84</v>
      </c>
      <c r="W184" s="241"/>
      <c r="X184" s="240"/>
      <c r="Y184" s="113"/>
      <c r="Z184" s="241"/>
      <c r="AA184" s="240"/>
      <c r="AB184" s="241"/>
      <c r="AC184" s="240"/>
      <c r="AD184" s="113"/>
      <c r="AE184" s="241"/>
      <c r="AF184" s="240"/>
      <c r="AG184" s="241"/>
      <c r="AH184" s="241"/>
      <c r="AI184" s="156"/>
    </row>
    <row r="185" spans="1:35" s="21" customFormat="1" x14ac:dyDescent="0.25">
      <c r="A185" s="261"/>
      <c r="B185" s="260"/>
      <c r="C185" s="259"/>
      <c r="D185" s="240"/>
      <c r="E185" s="240"/>
      <c r="F185" s="113"/>
      <c r="G185" s="260"/>
      <c r="H185" s="259"/>
      <c r="I185" s="240"/>
      <c r="J185" s="113"/>
      <c r="K185" s="260"/>
      <c r="L185" s="259"/>
      <c r="M185" s="241"/>
      <c r="N185" s="240"/>
      <c r="O185" s="113"/>
      <c r="P185" s="260"/>
      <c r="Q185" s="259"/>
      <c r="R185" s="241"/>
      <c r="S185" s="240"/>
      <c r="T185" s="113"/>
      <c r="U185" s="260"/>
      <c r="V185" s="259"/>
      <c r="W185" s="241"/>
      <c r="X185" s="240"/>
      <c r="Y185" s="113"/>
      <c r="Z185" s="241"/>
      <c r="AA185" s="240"/>
      <c r="AB185" s="241"/>
      <c r="AC185" s="240"/>
      <c r="AD185" s="113"/>
      <c r="AE185" s="241"/>
      <c r="AF185" s="240"/>
      <c r="AG185" s="241"/>
      <c r="AH185" s="241"/>
      <c r="AI185" s="156"/>
    </row>
    <row r="186" spans="1:35" s="21" customFormat="1" x14ac:dyDescent="0.25">
      <c r="A186" s="261"/>
      <c r="B186" s="260"/>
      <c r="C186" s="259"/>
      <c r="D186" s="240"/>
      <c r="E186" s="240"/>
      <c r="F186" s="113"/>
      <c r="G186" s="260">
        <v>0.14000000000000001</v>
      </c>
      <c r="H186" s="259">
        <v>9.98</v>
      </c>
      <c r="I186" s="240"/>
      <c r="J186" s="113"/>
      <c r="K186" s="260">
        <v>0.56999999999999995</v>
      </c>
      <c r="L186" s="259">
        <v>9.9700000000000006</v>
      </c>
      <c r="M186" s="241"/>
      <c r="N186" s="240"/>
      <c r="O186" s="113"/>
      <c r="P186" s="260">
        <v>0.27</v>
      </c>
      <c r="Q186" s="259">
        <v>10.1</v>
      </c>
      <c r="R186" s="241"/>
      <c r="S186" s="240"/>
      <c r="T186" s="113"/>
      <c r="U186" s="260">
        <v>0.78</v>
      </c>
      <c r="V186" s="259">
        <v>10.050000000000001</v>
      </c>
      <c r="W186" s="241"/>
      <c r="X186" s="240"/>
      <c r="Y186" s="113"/>
      <c r="Z186" s="241"/>
      <c r="AA186" s="240"/>
      <c r="AB186" s="241"/>
      <c r="AC186" s="240"/>
      <c r="AD186" s="113"/>
      <c r="AE186" s="241"/>
      <c r="AF186" s="240"/>
      <c r="AG186" s="241"/>
      <c r="AH186" s="241"/>
      <c r="AI186" s="156"/>
    </row>
    <row r="187" spans="1:35" s="21" customFormat="1" x14ac:dyDescent="0.25">
      <c r="A187" s="261"/>
      <c r="B187" s="260"/>
      <c r="C187" s="259"/>
      <c r="D187" s="56"/>
      <c r="E187" s="56"/>
      <c r="F187" s="113"/>
      <c r="G187" s="260"/>
      <c r="H187" s="259"/>
      <c r="I187" s="240"/>
      <c r="J187" s="113"/>
      <c r="K187" s="260"/>
      <c r="L187" s="259"/>
      <c r="M187" s="56"/>
      <c r="N187" s="56"/>
      <c r="O187" s="113"/>
      <c r="P187" s="260"/>
      <c r="Q187" s="259"/>
      <c r="R187" s="241"/>
      <c r="S187" s="240"/>
      <c r="T187" s="113"/>
      <c r="U187" s="260"/>
      <c r="V187" s="259"/>
      <c r="W187" s="241"/>
      <c r="X187" s="240"/>
      <c r="Y187" s="113"/>
      <c r="Z187" s="241"/>
      <c r="AA187" s="240"/>
      <c r="AB187" s="241"/>
      <c r="AC187" s="240"/>
      <c r="AD187" s="113"/>
      <c r="AE187" s="241"/>
      <c r="AF187" s="240"/>
      <c r="AG187" s="241"/>
      <c r="AH187" s="241"/>
      <c r="AI187" s="156"/>
    </row>
    <row r="188" spans="1:35" s="21" customFormat="1" x14ac:dyDescent="0.25">
      <c r="A188" s="261">
        <v>46</v>
      </c>
      <c r="B188" s="260">
        <v>0.91</v>
      </c>
      <c r="C188" s="259">
        <v>10.08</v>
      </c>
      <c r="D188" s="241">
        <v>0.09</v>
      </c>
      <c r="E188" s="7" t="s">
        <v>229</v>
      </c>
      <c r="F188" s="113"/>
      <c r="G188" s="260">
        <v>0.8</v>
      </c>
      <c r="H188" s="259">
        <v>10.09</v>
      </c>
      <c r="I188" s="240"/>
      <c r="J188" s="113"/>
      <c r="K188" s="260">
        <v>3.8</v>
      </c>
      <c r="L188" s="259">
        <v>10.09</v>
      </c>
      <c r="M188" s="241">
        <f>D188</f>
        <v>0.09</v>
      </c>
      <c r="N188" s="7" t="s">
        <v>229</v>
      </c>
      <c r="O188" s="113"/>
      <c r="P188" s="241">
        <v>7.0000000000000007E-2</v>
      </c>
      <c r="Q188" s="240">
        <v>10.130000000000001</v>
      </c>
      <c r="R188" s="241">
        <f>P181</f>
        <v>0.75</v>
      </c>
      <c r="S188" s="75" t="s">
        <v>550</v>
      </c>
      <c r="T188" s="113"/>
      <c r="U188" s="260"/>
      <c r="V188" s="259"/>
      <c r="W188" s="241"/>
      <c r="X188" s="55"/>
      <c r="Y188" s="113"/>
      <c r="Z188" s="241"/>
      <c r="AA188" s="240"/>
      <c r="AB188" s="241"/>
      <c r="AC188" s="240"/>
      <c r="AD188" s="113"/>
      <c r="AE188" s="241"/>
      <c r="AF188" s="240"/>
      <c r="AG188" s="241"/>
      <c r="AH188" s="241"/>
      <c r="AI188" s="156"/>
    </row>
    <row r="189" spans="1:35" s="21" customFormat="1" x14ac:dyDescent="0.25">
      <c r="A189" s="261"/>
      <c r="B189" s="260"/>
      <c r="C189" s="259"/>
      <c r="D189" s="241">
        <v>0.09</v>
      </c>
      <c r="E189" s="7" t="s">
        <v>173</v>
      </c>
      <c r="F189" s="113"/>
      <c r="G189" s="260"/>
      <c r="H189" s="259"/>
      <c r="I189" s="240"/>
      <c r="J189" s="113"/>
      <c r="K189" s="260"/>
      <c r="L189" s="259"/>
      <c r="M189" s="241">
        <f>D189</f>
        <v>0.09</v>
      </c>
      <c r="N189" s="7" t="s">
        <v>173</v>
      </c>
      <c r="O189" s="113"/>
      <c r="P189" s="260">
        <v>1.18</v>
      </c>
      <c r="Q189" s="259">
        <v>10.23</v>
      </c>
      <c r="R189" s="56"/>
      <c r="S189" s="56"/>
      <c r="T189" s="113"/>
      <c r="U189" s="260"/>
      <c r="V189" s="259"/>
      <c r="W189" s="56"/>
      <c r="X189" s="56"/>
      <c r="Y189" s="113"/>
      <c r="Z189" s="241"/>
      <c r="AA189" s="240"/>
      <c r="AB189" s="241"/>
      <c r="AC189" s="240"/>
      <c r="AD189" s="113"/>
      <c r="AE189" s="241"/>
      <c r="AF189" s="240"/>
      <c r="AG189" s="241"/>
      <c r="AH189" s="241"/>
      <c r="AI189" s="156"/>
    </row>
    <row r="190" spans="1:35" s="21" customFormat="1" x14ac:dyDescent="0.25">
      <c r="A190" s="261"/>
      <c r="B190" s="260"/>
      <c r="C190" s="259"/>
      <c r="D190" s="241">
        <v>0.09</v>
      </c>
      <c r="E190" s="249" t="s">
        <v>91</v>
      </c>
      <c r="F190" s="113"/>
      <c r="G190" s="260"/>
      <c r="H190" s="259"/>
      <c r="I190" s="240"/>
      <c r="J190" s="113"/>
      <c r="K190" s="260"/>
      <c r="L190" s="259"/>
      <c r="M190" s="241">
        <f>D190</f>
        <v>0.09</v>
      </c>
      <c r="N190" s="249" t="s">
        <v>91</v>
      </c>
      <c r="O190" s="113"/>
      <c r="P190" s="260"/>
      <c r="Q190" s="259"/>
      <c r="R190" s="241">
        <v>0.17</v>
      </c>
      <c r="S190" s="75" t="s">
        <v>167</v>
      </c>
      <c r="T190" s="113"/>
      <c r="U190" s="260"/>
      <c r="V190" s="259"/>
      <c r="W190" s="56"/>
      <c r="X190" s="56"/>
      <c r="Y190" s="113"/>
      <c r="Z190" s="241"/>
      <c r="AA190" s="240"/>
      <c r="AB190" s="241"/>
      <c r="AC190" s="240"/>
      <c r="AD190" s="113"/>
      <c r="AE190" s="241"/>
      <c r="AF190" s="240"/>
      <c r="AG190" s="241"/>
      <c r="AH190" s="241"/>
      <c r="AI190" s="156"/>
    </row>
    <row r="191" spans="1:35" s="21" customFormat="1" x14ac:dyDescent="0.25">
      <c r="A191" s="261"/>
      <c r="B191" s="260"/>
      <c r="C191" s="259"/>
      <c r="D191" s="240">
        <f>B188-D190-D189-D188</f>
        <v>0.64000000000000012</v>
      </c>
      <c r="E191" s="81" t="s">
        <v>411</v>
      </c>
      <c r="F191" s="113"/>
      <c r="G191" s="260"/>
      <c r="H191" s="259"/>
      <c r="I191" s="240"/>
      <c r="J191" s="113"/>
      <c r="K191" s="260"/>
      <c r="L191" s="259"/>
      <c r="M191" s="241">
        <f>D191</f>
        <v>0.64000000000000012</v>
      </c>
      <c r="N191" s="81" t="s">
        <v>411</v>
      </c>
      <c r="O191" s="113"/>
      <c r="P191" s="260"/>
      <c r="Q191" s="259"/>
      <c r="R191" s="241">
        <f>M191</f>
        <v>0.64000000000000012</v>
      </c>
      <c r="S191" s="81" t="s">
        <v>525</v>
      </c>
      <c r="T191" s="113"/>
      <c r="U191" s="260"/>
      <c r="V191" s="259"/>
      <c r="W191" s="241">
        <f>U186</f>
        <v>0.78</v>
      </c>
      <c r="X191" s="81" t="s">
        <v>144</v>
      </c>
      <c r="Y191" s="113"/>
      <c r="Z191" s="241"/>
      <c r="AA191" s="240"/>
      <c r="AB191" s="241"/>
      <c r="AC191" s="240"/>
      <c r="AD191" s="113"/>
      <c r="AE191" s="241"/>
      <c r="AF191" s="240"/>
      <c r="AG191" s="241"/>
      <c r="AH191" s="241"/>
      <c r="AI191" s="156"/>
    </row>
    <row r="192" spans="1:35" s="21" customFormat="1" x14ac:dyDescent="0.25">
      <c r="A192" s="261"/>
      <c r="B192" s="260"/>
      <c r="C192" s="259"/>
      <c r="D192" s="56"/>
      <c r="E192" s="56"/>
      <c r="F192" s="113"/>
      <c r="G192" s="260"/>
      <c r="H192" s="259"/>
      <c r="I192" s="240"/>
      <c r="J192" s="113"/>
      <c r="K192" s="260"/>
      <c r="L192" s="259"/>
      <c r="M192" s="56"/>
      <c r="N192" s="56"/>
      <c r="O192" s="113"/>
      <c r="P192" s="260"/>
      <c r="Q192" s="259"/>
      <c r="R192" s="241"/>
      <c r="S192" s="240"/>
      <c r="T192" s="113"/>
      <c r="U192" s="260"/>
      <c r="V192" s="259"/>
      <c r="W192" s="241"/>
      <c r="X192" s="240"/>
      <c r="Y192" s="113"/>
      <c r="Z192" s="241"/>
      <c r="AA192" s="240"/>
      <c r="AB192" s="241"/>
      <c r="AC192" s="240"/>
      <c r="AD192" s="113"/>
      <c r="AE192" s="241"/>
      <c r="AF192" s="240"/>
      <c r="AG192" s="241"/>
      <c r="AH192" s="241"/>
      <c r="AI192" s="156"/>
    </row>
    <row r="193" spans="1:35" s="21" customFormat="1" x14ac:dyDescent="0.25">
      <c r="A193" s="261"/>
      <c r="B193" s="260"/>
      <c r="C193" s="259"/>
      <c r="D193" s="56"/>
      <c r="E193" s="56"/>
      <c r="F193" s="113"/>
      <c r="G193" s="260"/>
      <c r="H193" s="259"/>
      <c r="I193" s="240"/>
      <c r="J193" s="113"/>
      <c r="K193" s="260"/>
      <c r="L193" s="259"/>
      <c r="M193" s="56"/>
      <c r="N193" s="56"/>
      <c r="O193" s="113"/>
      <c r="P193" s="260"/>
      <c r="Q193" s="259"/>
      <c r="R193" s="241"/>
      <c r="S193" s="240"/>
      <c r="T193" s="113"/>
      <c r="U193" s="260"/>
      <c r="V193" s="259"/>
      <c r="W193" s="241"/>
      <c r="X193" s="240"/>
      <c r="Y193" s="113"/>
      <c r="Z193" s="241"/>
      <c r="AA193" s="240"/>
      <c r="AB193" s="241"/>
      <c r="AC193" s="240"/>
      <c r="AD193" s="113"/>
      <c r="AE193" s="241"/>
      <c r="AF193" s="240"/>
      <c r="AG193" s="241"/>
      <c r="AH193" s="241"/>
      <c r="AI193" s="156"/>
    </row>
    <row r="194" spans="1:35" s="21" customFormat="1" x14ac:dyDescent="0.25">
      <c r="A194" s="261"/>
      <c r="B194" s="260"/>
      <c r="C194" s="259"/>
      <c r="D194" s="240"/>
      <c r="E194" s="240"/>
      <c r="F194" s="113"/>
      <c r="G194" s="260"/>
      <c r="H194" s="259"/>
      <c r="I194" s="240"/>
      <c r="J194" s="113"/>
      <c r="K194" s="260"/>
      <c r="L194" s="259"/>
      <c r="M194" s="241">
        <f>D244</f>
        <v>1.94</v>
      </c>
      <c r="N194" s="249" t="s">
        <v>164</v>
      </c>
      <c r="O194" s="113"/>
      <c r="P194" s="260"/>
      <c r="Q194" s="259"/>
      <c r="R194" s="245">
        <f>P189+P188-R191-R190</f>
        <v>0.43999999999999984</v>
      </c>
      <c r="S194" s="249" t="s">
        <v>164</v>
      </c>
      <c r="T194" s="113"/>
      <c r="U194" s="260"/>
      <c r="V194" s="259"/>
      <c r="W194" s="241"/>
      <c r="X194" s="246"/>
      <c r="Y194" s="113"/>
      <c r="Z194" s="241"/>
      <c r="AA194" s="240"/>
      <c r="AB194" s="241"/>
      <c r="AC194" s="240"/>
      <c r="AD194" s="113"/>
      <c r="AE194" s="241"/>
      <c r="AF194" s="240"/>
      <c r="AG194" s="241"/>
      <c r="AH194" s="241"/>
      <c r="AI194" s="156"/>
    </row>
    <row r="195" spans="1:35" s="21" customFormat="1" x14ac:dyDescent="0.25">
      <c r="A195" s="261">
        <v>47</v>
      </c>
      <c r="B195" s="260">
        <v>0.84</v>
      </c>
      <c r="C195" s="259">
        <v>10.210000000000001</v>
      </c>
      <c r="D195" s="240">
        <v>0.62</v>
      </c>
      <c r="E195" s="249" t="s">
        <v>85</v>
      </c>
      <c r="F195" s="113"/>
      <c r="G195" s="241">
        <v>0.28000000000000003</v>
      </c>
      <c r="H195" s="240">
        <v>10.14</v>
      </c>
      <c r="I195" s="240"/>
      <c r="J195" s="113"/>
      <c r="K195" s="260"/>
      <c r="L195" s="259"/>
      <c r="M195" s="241">
        <v>0.62</v>
      </c>
      <c r="N195" s="249" t="s">
        <v>85</v>
      </c>
      <c r="O195" s="113"/>
      <c r="P195" s="260">
        <v>0.72</v>
      </c>
      <c r="Q195" s="259">
        <v>10.36</v>
      </c>
      <c r="R195" s="56"/>
      <c r="S195" s="56"/>
      <c r="T195" s="113"/>
      <c r="U195" s="260">
        <v>0.5</v>
      </c>
      <c r="V195" s="259">
        <v>10.199999999999999</v>
      </c>
      <c r="W195" s="56"/>
      <c r="X195" s="56"/>
      <c r="Y195" s="113"/>
      <c r="Z195" s="241"/>
      <c r="AA195" s="240"/>
      <c r="AB195" s="241"/>
      <c r="AC195" s="240"/>
      <c r="AD195" s="113"/>
      <c r="AE195" s="241"/>
      <c r="AF195" s="240"/>
      <c r="AG195" s="241"/>
      <c r="AH195" s="241"/>
      <c r="AI195" s="156"/>
    </row>
    <row r="196" spans="1:35" s="21" customFormat="1" x14ac:dyDescent="0.25">
      <c r="A196" s="261"/>
      <c r="B196" s="260"/>
      <c r="C196" s="259"/>
      <c r="D196" s="241">
        <f>B195-D195</f>
        <v>0.21999999999999997</v>
      </c>
      <c r="E196" s="249" t="s">
        <v>214</v>
      </c>
      <c r="F196" s="113"/>
      <c r="G196" s="241">
        <v>0.36</v>
      </c>
      <c r="H196" s="240">
        <v>10.17</v>
      </c>
      <c r="I196" s="240"/>
      <c r="J196" s="113"/>
      <c r="K196" s="260"/>
      <c r="L196" s="259"/>
      <c r="M196" s="241">
        <f>D196</f>
        <v>0.21999999999999997</v>
      </c>
      <c r="N196" s="249" t="s">
        <v>214</v>
      </c>
      <c r="O196" s="113"/>
      <c r="P196" s="260"/>
      <c r="Q196" s="259"/>
      <c r="R196" s="241"/>
      <c r="S196" s="240"/>
      <c r="T196" s="113"/>
      <c r="U196" s="260"/>
      <c r="V196" s="259"/>
      <c r="W196" s="241"/>
      <c r="X196" s="240"/>
      <c r="Y196" s="113"/>
      <c r="Z196" s="241"/>
      <c r="AA196" s="240"/>
      <c r="AB196" s="241"/>
      <c r="AC196" s="240"/>
      <c r="AD196" s="113"/>
      <c r="AE196" s="241"/>
      <c r="AF196" s="240"/>
      <c r="AG196" s="241"/>
      <c r="AH196" s="241"/>
      <c r="AI196" s="156"/>
    </row>
    <row r="197" spans="1:35" s="21" customFormat="1" x14ac:dyDescent="0.25">
      <c r="A197" s="261"/>
      <c r="B197" s="260"/>
      <c r="C197" s="259"/>
      <c r="D197" s="56"/>
      <c r="E197" s="56"/>
      <c r="F197" s="113"/>
      <c r="G197" s="241">
        <v>0.36</v>
      </c>
      <c r="H197" s="240">
        <v>10.220000000000001</v>
      </c>
      <c r="I197" s="240"/>
      <c r="J197" s="113"/>
      <c r="K197" s="260"/>
      <c r="L197" s="259"/>
      <c r="M197" s="19">
        <f>K188-M188-M189-M190-M191-M194-M195-M196</f>
        <v>0.11000000000000021</v>
      </c>
      <c r="N197" s="249" t="s">
        <v>69</v>
      </c>
      <c r="O197" s="113"/>
      <c r="P197" s="260"/>
      <c r="Q197" s="259"/>
      <c r="R197" s="241">
        <f>P195</f>
        <v>0.72</v>
      </c>
      <c r="S197" s="249" t="s">
        <v>69</v>
      </c>
      <c r="T197" s="113"/>
      <c r="U197" s="260"/>
      <c r="V197" s="259"/>
      <c r="W197" s="241">
        <f>U195</f>
        <v>0.5</v>
      </c>
      <c r="X197" s="249" t="s">
        <v>69</v>
      </c>
      <c r="Y197" s="113"/>
      <c r="Z197" s="241"/>
      <c r="AA197" s="240"/>
      <c r="AB197" s="241"/>
      <c r="AC197" s="240"/>
      <c r="AD197" s="113"/>
      <c r="AE197" s="241"/>
      <c r="AF197" s="240"/>
      <c r="AG197" s="241"/>
      <c r="AH197" s="241"/>
      <c r="AI197" s="156"/>
    </row>
    <row r="198" spans="1:35" s="21" customFormat="1" x14ac:dyDescent="0.25">
      <c r="A198" s="261">
        <v>48</v>
      </c>
      <c r="B198" s="260">
        <v>0.77</v>
      </c>
      <c r="C198" s="259">
        <v>10.33</v>
      </c>
      <c r="D198" s="240"/>
      <c r="E198" s="240"/>
      <c r="F198" s="113"/>
      <c r="G198" s="260">
        <v>1.1200000000000001</v>
      </c>
      <c r="H198" s="259">
        <v>10.32</v>
      </c>
      <c r="I198" s="240"/>
      <c r="J198" s="113"/>
      <c r="K198" s="260">
        <v>0.3</v>
      </c>
      <c r="L198" s="259">
        <v>10.3</v>
      </c>
      <c r="M198" s="241"/>
      <c r="N198" s="240"/>
      <c r="O198" s="113"/>
      <c r="P198" s="260">
        <v>0.28999999999999998</v>
      </c>
      <c r="Q198" s="259">
        <v>10.52</v>
      </c>
      <c r="R198" s="241"/>
      <c r="S198" s="240"/>
      <c r="T198" s="113"/>
      <c r="U198" s="260">
        <v>0.09</v>
      </c>
      <c r="V198" s="259">
        <v>10.3</v>
      </c>
      <c r="W198" s="56"/>
      <c r="X198" s="56"/>
      <c r="Y198" s="113"/>
      <c r="Z198" s="241"/>
      <c r="AA198" s="240"/>
      <c r="AB198" s="241"/>
      <c r="AC198" s="240"/>
      <c r="AD198" s="113"/>
      <c r="AE198" s="241"/>
      <c r="AF198" s="240"/>
      <c r="AG198" s="241"/>
      <c r="AH198" s="241"/>
      <c r="AI198" s="156"/>
    </row>
    <row r="199" spans="1:35" s="21" customFormat="1" x14ac:dyDescent="0.25">
      <c r="A199" s="261"/>
      <c r="B199" s="260"/>
      <c r="C199" s="259"/>
      <c r="D199" s="240"/>
      <c r="E199" s="240"/>
      <c r="F199" s="113"/>
      <c r="G199" s="260"/>
      <c r="H199" s="259"/>
      <c r="I199" s="240"/>
      <c r="J199" s="113"/>
      <c r="K199" s="260"/>
      <c r="L199" s="259"/>
      <c r="M199" s="241"/>
      <c r="N199" s="240"/>
      <c r="O199" s="113"/>
      <c r="P199" s="260"/>
      <c r="Q199" s="259"/>
      <c r="R199" s="241"/>
      <c r="S199" s="240"/>
      <c r="T199" s="113"/>
      <c r="U199" s="260"/>
      <c r="V199" s="259"/>
      <c r="W199" s="241"/>
      <c r="X199" s="240"/>
      <c r="Y199" s="113"/>
      <c r="Z199" s="241"/>
      <c r="AA199" s="240"/>
      <c r="AB199" s="241"/>
      <c r="AC199" s="240"/>
      <c r="AD199" s="113"/>
      <c r="AE199" s="241"/>
      <c r="AF199" s="240"/>
      <c r="AG199" s="241"/>
      <c r="AH199" s="241"/>
      <c r="AI199" s="156"/>
    </row>
    <row r="200" spans="1:35" s="21" customFormat="1" x14ac:dyDescent="0.25">
      <c r="A200" s="261"/>
      <c r="B200" s="260"/>
      <c r="C200" s="259"/>
      <c r="D200" s="240"/>
      <c r="E200" s="240"/>
      <c r="F200" s="113"/>
      <c r="G200" s="260">
        <v>0.25</v>
      </c>
      <c r="H200" s="259">
        <v>10.38</v>
      </c>
      <c r="I200" s="240"/>
      <c r="J200" s="113"/>
      <c r="K200" s="260"/>
      <c r="L200" s="259"/>
      <c r="M200" s="241"/>
      <c r="N200" s="240"/>
      <c r="O200" s="113"/>
      <c r="P200" s="260"/>
      <c r="Q200" s="259"/>
      <c r="R200" s="241"/>
      <c r="S200" s="240"/>
      <c r="T200" s="113"/>
      <c r="U200" s="260"/>
      <c r="V200" s="259"/>
      <c r="W200" s="241"/>
      <c r="X200" s="240"/>
      <c r="Y200" s="113"/>
      <c r="Z200" s="241"/>
      <c r="AA200" s="240"/>
      <c r="AB200" s="241"/>
      <c r="AC200" s="240"/>
      <c r="AD200" s="113"/>
      <c r="AE200" s="241"/>
      <c r="AF200" s="240"/>
      <c r="AG200" s="241"/>
      <c r="AH200" s="241"/>
      <c r="AI200" s="156"/>
    </row>
    <row r="201" spans="1:35" s="21" customFormat="1" x14ac:dyDescent="0.25">
      <c r="A201" s="261">
        <v>49</v>
      </c>
      <c r="B201" s="260">
        <v>0.28999999999999998</v>
      </c>
      <c r="C201" s="259">
        <v>10.43</v>
      </c>
      <c r="D201" s="240">
        <f>B201+B198</f>
        <v>1.06</v>
      </c>
      <c r="E201" s="249" t="s">
        <v>536</v>
      </c>
      <c r="F201" s="113"/>
      <c r="G201" s="260"/>
      <c r="H201" s="259"/>
      <c r="I201" s="240"/>
      <c r="J201" s="113"/>
      <c r="K201" s="260">
        <v>0.1</v>
      </c>
      <c r="L201" s="259">
        <v>10.37</v>
      </c>
      <c r="M201" s="241">
        <f>K201+K198+K205</f>
        <v>0.53</v>
      </c>
      <c r="N201" s="249" t="s">
        <v>337</v>
      </c>
      <c r="O201" s="113"/>
      <c r="P201" s="260">
        <v>0.2</v>
      </c>
      <c r="Q201" s="259">
        <v>10.6</v>
      </c>
      <c r="R201" s="241"/>
      <c r="S201" s="240"/>
      <c r="T201" s="113"/>
      <c r="U201" s="260">
        <v>0.11</v>
      </c>
      <c r="V201" s="259">
        <v>10.42</v>
      </c>
      <c r="W201" s="241"/>
      <c r="X201" s="240"/>
      <c r="Y201" s="113"/>
      <c r="Z201" s="241"/>
      <c r="AA201" s="240"/>
      <c r="AB201" s="241"/>
      <c r="AC201" s="240"/>
      <c r="AD201" s="113"/>
      <c r="AE201" s="241"/>
      <c r="AF201" s="240"/>
      <c r="AG201" s="241"/>
      <c r="AH201" s="241"/>
      <c r="AI201" s="156"/>
    </row>
    <row r="202" spans="1:35" s="21" customFormat="1" x14ac:dyDescent="0.25">
      <c r="A202" s="261"/>
      <c r="B202" s="260"/>
      <c r="C202" s="259"/>
      <c r="D202" s="240"/>
      <c r="E202" s="240"/>
      <c r="F202" s="113"/>
      <c r="G202" s="260">
        <v>0.14000000000000001</v>
      </c>
      <c r="H202" s="259">
        <v>10.47</v>
      </c>
      <c r="I202" s="240"/>
      <c r="J202" s="113"/>
      <c r="K202" s="260"/>
      <c r="L202" s="259"/>
      <c r="M202" s="241"/>
      <c r="N202" s="240"/>
      <c r="O202" s="113"/>
      <c r="P202" s="260"/>
      <c r="Q202" s="259"/>
      <c r="R202" s="241"/>
      <c r="S202" s="240"/>
      <c r="T202" s="113"/>
      <c r="U202" s="260"/>
      <c r="V202" s="259"/>
      <c r="W202" s="241"/>
      <c r="X202" s="240"/>
      <c r="Y202" s="113"/>
      <c r="Z202" s="241"/>
      <c r="AA202" s="240"/>
      <c r="AB202" s="241"/>
      <c r="AC202" s="240"/>
      <c r="AD202" s="113"/>
      <c r="AE202" s="241"/>
      <c r="AF202" s="240"/>
      <c r="AG202" s="241"/>
      <c r="AH202" s="241"/>
      <c r="AI202" s="156"/>
    </row>
    <row r="203" spans="1:35" s="21" customFormat="1" x14ac:dyDescent="0.25">
      <c r="A203" s="261"/>
      <c r="B203" s="260"/>
      <c r="C203" s="259"/>
      <c r="D203" s="240"/>
      <c r="E203" s="240"/>
      <c r="F203" s="113"/>
      <c r="G203" s="260"/>
      <c r="H203" s="259"/>
      <c r="I203" s="240"/>
      <c r="J203" s="113"/>
      <c r="K203" s="260"/>
      <c r="L203" s="259"/>
      <c r="M203" s="241"/>
      <c r="N203" s="240"/>
      <c r="O203" s="113"/>
      <c r="P203" s="260"/>
      <c r="Q203" s="259"/>
      <c r="R203" s="241"/>
      <c r="S203" s="240"/>
      <c r="T203" s="113"/>
      <c r="U203" s="260"/>
      <c r="V203" s="259"/>
      <c r="W203" s="241"/>
      <c r="X203" s="240"/>
      <c r="Y203" s="113"/>
      <c r="Z203" s="241"/>
      <c r="AA203" s="240"/>
      <c r="AB203" s="241"/>
      <c r="AC203" s="240"/>
      <c r="AD203" s="113"/>
      <c r="AE203" s="241"/>
      <c r="AF203" s="240"/>
      <c r="AG203" s="241"/>
      <c r="AH203" s="241"/>
      <c r="AI203" s="156"/>
    </row>
    <row r="204" spans="1:35" s="21" customFormat="1" x14ac:dyDescent="0.25">
      <c r="A204" s="261"/>
      <c r="B204" s="260"/>
      <c r="C204" s="259"/>
      <c r="D204" s="240"/>
      <c r="E204" s="240"/>
      <c r="F204" s="113"/>
      <c r="G204" s="241">
        <v>0.1</v>
      </c>
      <c r="H204" s="240">
        <v>10.49</v>
      </c>
      <c r="I204" s="240"/>
      <c r="J204" s="113"/>
      <c r="K204" s="260"/>
      <c r="L204" s="259"/>
      <c r="M204" s="241"/>
      <c r="N204" s="240"/>
      <c r="O204" s="113"/>
      <c r="P204" s="260">
        <v>0.21</v>
      </c>
      <c r="Q204" s="259">
        <v>10.73</v>
      </c>
      <c r="R204" s="241"/>
      <c r="S204" s="240"/>
      <c r="T204" s="113"/>
      <c r="U204" s="260">
        <v>0.14000000000000001</v>
      </c>
      <c r="V204" s="259">
        <v>10.62</v>
      </c>
      <c r="W204" s="241"/>
      <c r="X204" s="240"/>
      <c r="Y204" s="113"/>
      <c r="Z204" s="241"/>
      <c r="AA204" s="240"/>
      <c r="AB204" s="241"/>
      <c r="AC204" s="240"/>
      <c r="AD204" s="113"/>
      <c r="AE204" s="241"/>
      <c r="AF204" s="240"/>
      <c r="AG204" s="241"/>
      <c r="AH204" s="241"/>
      <c r="AI204" s="156"/>
    </row>
    <row r="205" spans="1:35" s="21" customFormat="1" x14ac:dyDescent="0.25">
      <c r="A205" s="261"/>
      <c r="B205" s="260"/>
      <c r="C205" s="259"/>
      <c r="D205" s="240"/>
      <c r="E205" s="240"/>
      <c r="F205" s="113"/>
      <c r="G205" s="260">
        <v>0.12</v>
      </c>
      <c r="H205" s="259">
        <v>10.53</v>
      </c>
      <c r="I205" s="240"/>
      <c r="J205" s="113"/>
      <c r="K205" s="260">
        <v>0.13</v>
      </c>
      <c r="L205" s="259">
        <v>10.43</v>
      </c>
      <c r="M205" s="241"/>
      <c r="N205" s="240"/>
      <c r="O205" s="113"/>
      <c r="P205" s="260"/>
      <c r="Q205" s="259"/>
      <c r="R205" s="241"/>
      <c r="S205" s="240"/>
      <c r="T205" s="113"/>
      <c r="U205" s="260"/>
      <c r="V205" s="259"/>
      <c r="W205" s="241"/>
      <c r="X205" s="240"/>
      <c r="Y205" s="113"/>
      <c r="Z205" s="241"/>
      <c r="AA205" s="240"/>
      <c r="AB205" s="241"/>
      <c r="AC205" s="240"/>
      <c r="AD205" s="113"/>
      <c r="AE205" s="241"/>
      <c r="AF205" s="240"/>
      <c r="AG205" s="241"/>
      <c r="AH205" s="241"/>
      <c r="AI205" s="156"/>
    </row>
    <row r="206" spans="1:35" s="21" customFormat="1" x14ac:dyDescent="0.25">
      <c r="A206" s="261"/>
      <c r="B206" s="260"/>
      <c r="C206" s="259"/>
      <c r="D206" s="240"/>
      <c r="E206" s="240"/>
      <c r="F206" s="113"/>
      <c r="G206" s="260"/>
      <c r="H206" s="259"/>
      <c r="I206" s="240"/>
      <c r="J206" s="113"/>
      <c r="K206" s="260"/>
      <c r="L206" s="259"/>
      <c r="M206" s="241"/>
      <c r="N206" s="240"/>
      <c r="O206" s="113"/>
      <c r="P206" s="260"/>
      <c r="Q206" s="259"/>
      <c r="R206" s="241"/>
      <c r="S206" s="240"/>
      <c r="T206" s="113"/>
      <c r="U206" s="260"/>
      <c r="V206" s="259"/>
      <c r="W206" s="241"/>
      <c r="X206" s="240"/>
      <c r="Y206" s="113"/>
      <c r="Z206" s="241"/>
      <c r="AA206" s="240"/>
      <c r="AB206" s="241"/>
      <c r="AC206" s="240"/>
      <c r="AD206" s="113"/>
      <c r="AE206" s="241"/>
      <c r="AF206" s="240"/>
      <c r="AG206" s="241"/>
      <c r="AH206" s="241"/>
      <c r="AI206" s="156"/>
    </row>
    <row r="207" spans="1:35" s="21" customFormat="1" x14ac:dyDescent="0.25">
      <c r="A207" s="261">
        <v>50</v>
      </c>
      <c r="B207" s="260">
        <v>0.1</v>
      </c>
      <c r="C207" s="259">
        <v>10.61</v>
      </c>
      <c r="D207" s="240"/>
      <c r="E207" s="240"/>
      <c r="F207" s="113"/>
      <c r="G207" s="260">
        <v>0.2</v>
      </c>
      <c r="H207" s="259">
        <v>10.58</v>
      </c>
      <c r="I207" s="240"/>
      <c r="J207" s="113"/>
      <c r="K207" s="241">
        <v>0</v>
      </c>
      <c r="L207" s="240">
        <v>10.51</v>
      </c>
      <c r="M207" s="241"/>
      <c r="N207" s="240"/>
      <c r="O207" s="113"/>
      <c r="P207" s="260">
        <v>0.05</v>
      </c>
      <c r="Q207" s="259">
        <v>10.83</v>
      </c>
      <c r="R207" s="241"/>
      <c r="S207" s="240"/>
      <c r="T207" s="113"/>
      <c r="U207" s="260">
        <v>0.05</v>
      </c>
      <c r="V207" s="259">
        <v>10.68</v>
      </c>
      <c r="W207" s="241"/>
      <c r="X207" s="240"/>
      <c r="Y207" s="113"/>
      <c r="Z207" s="241"/>
      <c r="AA207" s="240"/>
      <c r="AB207" s="241"/>
      <c r="AC207" s="240"/>
      <c r="AD207" s="113"/>
      <c r="AE207" s="241"/>
      <c r="AF207" s="240"/>
      <c r="AG207" s="241"/>
      <c r="AH207" s="241"/>
      <c r="AI207" s="156"/>
    </row>
    <row r="208" spans="1:35" s="21" customFormat="1" x14ac:dyDescent="0.25">
      <c r="A208" s="261"/>
      <c r="B208" s="260"/>
      <c r="C208" s="259"/>
      <c r="D208" s="240"/>
      <c r="E208" s="240"/>
      <c r="F208" s="113"/>
      <c r="G208" s="260"/>
      <c r="H208" s="259"/>
      <c r="I208" s="240"/>
      <c r="J208" s="113"/>
      <c r="K208" s="260">
        <v>0.14000000000000001</v>
      </c>
      <c r="L208" s="259">
        <v>10.58</v>
      </c>
      <c r="M208" s="241"/>
      <c r="N208" s="240"/>
      <c r="O208" s="113"/>
      <c r="P208" s="260"/>
      <c r="Q208" s="259"/>
      <c r="R208" s="241"/>
      <c r="S208" s="240"/>
      <c r="T208" s="113"/>
      <c r="U208" s="260"/>
      <c r="V208" s="259"/>
      <c r="W208" s="241"/>
      <c r="X208" s="240"/>
      <c r="Y208" s="113"/>
      <c r="Z208" s="241"/>
      <c r="AA208" s="240"/>
      <c r="AB208" s="241"/>
      <c r="AC208" s="240"/>
      <c r="AD208" s="113"/>
      <c r="AE208" s="241"/>
      <c r="AF208" s="240"/>
      <c r="AG208" s="241"/>
      <c r="AH208" s="241"/>
      <c r="AI208" s="156"/>
    </row>
    <row r="209" spans="1:35" s="21" customFormat="1" x14ac:dyDescent="0.25">
      <c r="A209" s="261"/>
      <c r="B209" s="260"/>
      <c r="C209" s="259"/>
      <c r="D209" s="240"/>
      <c r="E209" s="240"/>
      <c r="F209" s="113"/>
      <c r="G209" s="260"/>
      <c r="H209" s="259"/>
      <c r="I209" s="240"/>
      <c r="J209" s="113"/>
      <c r="K209" s="260"/>
      <c r="L209" s="259"/>
      <c r="M209" s="241"/>
      <c r="N209" s="240"/>
      <c r="O209" s="113"/>
      <c r="P209" s="260"/>
      <c r="Q209" s="259"/>
      <c r="R209" s="241"/>
      <c r="S209" s="240"/>
      <c r="T209" s="113"/>
      <c r="U209" s="260"/>
      <c r="V209" s="259"/>
      <c r="W209" s="241"/>
      <c r="X209" s="240"/>
      <c r="Y209" s="113"/>
      <c r="Z209" s="241"/>
      <c r="AA209" s="240"/>
      <c r="AB209" s="241"/>
      <c r="AC209" s="240"/>
      <c r="AD209" s="113"/>
      <c r="AE209" s="241"/>
      <c r="AF209" s="240"/>
      <c r="AG209" s="241"/>
      <c r="AH209" s="241"/>
      <c r="AI209" s="156"/>
    </row>
    <row r="210" spans="1:35" s="21" customFormat="1" x14ac:dyDescent="0.25">
      <c r="A210" s="261">
        <v>51</v>
      </c>
      <c r="B210" s="260">
        <v>1</v>
      </c>
      <c r="C210" s="259">
        <v>10.76</v>
      </c>
      <c r="D210" s="240">
        <f>B210</f>
        <v>1</v>
      </c>
      <c r="E210" s="249" t="s">
        <v>85</v>
      </c>
      <c r="F210" s="113"/>
      <c r="G210" s="241">
        <v>0.26</v>
      </c>
      <c r="H210" s="240">
        <v>10.64</v>
      </c>
      <c r="I210" s="240"/>
      <c r="J210" s="113"/>
      <c r="K210" s="260">
        <v>0.19</v>
      </c>
      <c r="L210" s="259">
        <v>10.61</v>
      </c>
      <c r="M210" s="241">
        <f>D210</f>
        <v>1</v>
      </c>
      <c r="N210" s="249" t="s">
        <v>85</v>
      </c>
      <c r="O210" s="113"/>
      <c r="P210" s="241">
        <v>0.08</v>
      </c>
      <c r="Q210" s="240">
        <v>10.89</v>
      </c>
      <c r="R210" s="241"/>
      <c r="S210" s="240"/>
      <c r="T210" s="113"/>
      <c r="U210" s="241"/>
      <c r="V210" s="240"/>
      <c r="W210" s="241"/>
      <c r="X210" s="240"/>
      <c r="Y210" s="113"/>
      <c r="Z210" s="241"/>
      <c r="AA210" s="240"/>
      <c r="AB210" s="241"/>
      <c r="AC210" s="240"/>
      <c r="AD210" s="113"/>
      <c r="AE210" s="241"/>
      <c r="AF210" s="240"/>
      <c r="AG210" s="241"/>
      <c r="AH210" s="241"/>
      <c r="AI210" s="156"/>
    </row>
    <row r="211" spans="1:35" s="21" customFormat="1" x14ac:dyDescent="0.25">
      <c r="A211" s="261"/>
      <c r="B211" s="260"/>
      <c r="C211" s="259"/>
      <c r="D211" s="240"/>
      <c r="E211" s="240"/>
      <c r="F211" s="113"/>
      <c r="G211" s="260">
        <v>0.98</v>
      </c>
      <c r="H211" s="259">
        <v>10.8</v>
      </c>
      <c r="I211" s="240"/>
      <c r="J211" s="113"/>
      <c r="K211" s="260"/>
      <c r="L211" s="259"/>
      <c r="M211" s="241"/>
      <c r="N211" s="240"/>
      <c r="O211" s="113"/>
      <c r="P211" s="260">
        <v>0.24</v>
      </c>
      <c r="Q211" s="259">
        <v>11.01</v>
      </c>
      <c r="R211" s="241"/>
      <c r="S211" s="240"/>
      <c r="T211" s="113"/>
      <c r="U211" s="241"/>
      <c r="V211" s="240"/>
      <c r="W211" s="241"/>
      <c r="X211" s="240"/>
      <c r="Y211" s="113"/>
      <c r="Z211" s="241"/>
      <c r="AA211" s="240"/>
      <c r="AB211" s="241"/>
      <c r="AC211" s="240"/>
      <c r="AD211" s="113"/>
      <c r="AE211" s="241"/>
      <c r="AF211" s="240"/>
      <c r="AG211" s="241"/>
      <c r="AH211" s="241"/>
      <c r="AI211" s="156"/>
    </row>
    <row r="212" spans="1:35" s="21" customFormat="1" x14ac:dyDescent="0.25">
      <c r="A212" s="261"/>
      <c r="B212" s="260"/>
      <c r="C212" s="259"/>
      <c r="D212" s="240"/>
      <c r="E212" s="240"/>
      <c r="F212" s="113"/>
      <c r="G212" s="260"/>
      <c r="H212" s="259"/>
      <c r="I212" s="240"/>
      <c r="J212" s="113"/>
      <c r="K212" s="241">
        <v>3.52</v>
      </c>
      <c r="L212" s="240">
        <v>10.72</v>
      </c>
      <c r="M212" s="241"/>
      <c r="N212" s="240"/>
      <c r="O212" s="113"/>
      <c r="P212" s="260"/>
      <c r="Q212" s="259"/>
      <c r="R212" s="241"/>
      <c r="S212" s="240"/>
      <c r="T212" s="113"/>
      <c r="U212" s="241"/>
      <c r="V212" s="240"/>
      <c r="W212" s="241"/>
      <c r="X212" s="240"/>
      <c r="Y212" s="113"/>
      <c r="Z212" s="241"/>
      <c r="AA212" s="240"/>
      <c r="AB212" s="241"/>
      <c r="AC212" s="240"/>
      <c r="AD212" s="113"/>
      <c r="AE212" s="241"/>
      <c r="AF212" s="240"/>
      <c r="AG212" s="241"/>
      <c r="AH212" s="241"/>
      <c r="AI212" s="156"/>
    </row>
    <row r="213" spans="1:35" s="21" customFormat="1" x14ac:dyDescent="0.25">
      <c r="A213" s="261">
        <v>52</v>
      </c>
      <c r="B213" s="260">
        <v>0.52</v>
      </c>
      <c r="C213" s="259">
        <v>10.87</v>
      </c>
      <c r="D213" s="56"/>
      <c r="E213" s="56"/>
      <c r="F213" s="113"/>
      <c r="G213" s="260">
        <v>0.45</v>
      </c>
      <c r="H213" s="259">
        <v>10.87</v>
      </c>
      <c r="I213" s="240"/>
      <c r="J213" s="113"/>
      <c r="K213" s="260">
        <v>0.7</v>
      </c>
      <c r="L213" s="259">
        <v>10.87</v>
      </c>
      <c r="M213" s="56"/>
      <c r="N213" s="56"/>
      <c r="O213" s="113"/>
      <c r="P213" s="260">
        <v>0.06</v>
      </c>
      <c r="Q213" s="259">
        <v>11.1</v>
      </c>
      <c r="R213" s="241"/>
      <c r="S213" s="240"/>
      <c r="T213" s="113"/>
      <c r="U213" s="241"/>
      <c r="V213" s="240"/>
      <c r="W213" s="241"/>
      <c r="X213" s="240"/>
      <c r="Y213" s="113"/>
      <c r="Z213" s="241"/>
      <c r="AA213" s="240"/>
      <c r="AB213" s="241"/>
      <c r="AC213" s="240"/>
      <c r="AD213" s="113"/>
      <c r="AE213" s="241"/>
      <c r="AF213" s="240"/>
      <c r="AG213" s="241"/>
      <c r="AH213" s="241"/>
      <c r="AI213" s="156"/>
    </row>
    <row r="214" spans="1:35" s="21" customFormat="1" x14ac:dyDescent="0.25">
      <c r="A214" s="261"/>
      <c r="B214" s="260"/>
      <c r="C214" s="259"/>
      <c r="D214" s="240">
        <f>B213-D215</f>
        <v>0.35</v>
      </c>
      <c r="E214" s="249" t="s">
        <v>431</v>
      </c>
      <c r="F214" s="113"/>
      <c r="G214" s="260"/>
      <c r="H214" s="259"/>
      <c r="I214" s="240"/>
      <c r="J214" s="113"/>
      <c r="K214" s="260"/>
      <c r="L214" s="259"/>
      <c r="M214" s="241">
        <f>K213+K212+K210-M210-M215</f>
        <v>3.24</v>
      </c>
      <c r="N214" s="249" t="s">
        <v>337</v>
      </c>
      <c r="O214" s="113"/>
      <c r="P214" s="260"/>
      <c r="Q214" s="259"/>
      <c r="R214" s="241"/>
      <c r="S214" s="240"/>
      <c r="T214" s="113"/>
      <c r="U214" s="241"/>
      <c r="V214" s="240"/>
      <c r="W214" s="241"/>
      <c r="X214" s="240"/>
      <c r="Y214" s="113"/>
      <c r="Z214" s="241"/>
      <c r="AA214" s="240"/>
      <c r="AB214" s="241"/>
      <c r="AC214" s="240"/>
      <c r="AD214" s="113"/>
      <c r="AE214" s="241"/>
      <c r="AF214" s="240"/>
      <c r="AG214" s="241"/>
      <c r="AH214" s="241"/>
      <c r="AI214" s="156"/>
    </row>
    <row r="215" spans="1:35" s="21" customFormat="1" x14ac:dyDescent="0.25">
      <c r="A215" s="261"/>
      <c r="B215" s="260"/>
      <c r="C215" s="259"/>
      <c r="D215" s="241">
        <v>0.17</v>
      </c>
      <c r="E215" s="15" t="s">
        <v>236</v>
      </c>
      <c r="F215" s="113"/>
      <c r="G215" s="260">
        <v>0.18</v>
      </c>
      <c r="H215" s="259">
        <v>10.9</v>
      </c>
      <c r="I215" s="240"/>
      <c r="J215" s="113"/>
      <c r="K215" s="260"/>
      <c r="L215" s="259"/>
      <c r="M215" s="241">
        <f>D215</f>
        <v>0.17</v>
      </c>
      <c r="N215" s="15" t="s">
        <v>236</v>
      </c>
      <c r="O215" s="113"/>
      <c r="P215" s="260">
        <v>0.08</v>
      </c>
      <c r="Q215" s="259">
        <v>11.16</v>
      </c>
      <c r="R215" s="241"/>
      <c r="S215" s="240"/>
      <c r="T215" s="113"/>
      <c r="U215" s="241"/>
      <c r="V215" s="240"/>
      <c r="W215" s="241"/>
      <c r="X215" s="240"/>
      <c r="Y215" s="113"/>
      <c r="Z215" s="241"/>
      <c r="AA215" s="240"/>
      <c r="AB215" s="241"/>
      <c r="AC215" s="240"/>
      <c r="AD215" s="113"/>
      <c r="AE215" s="241"/>
      <c r="AF215" s="240"/>
      <c r="AG215" s="241"/>
      <c r="AH215" s="241"/>
      <c r="AI215" s="156"/>
    </row>
    <row r="216" spans="1:35" s="21" customFormat="1" x14ac:dyDescent="0.25">
      <c r="A216" s="261"/>
      <c r="B216" s="260"/>
      <c r="C216" s="259"/>
      <c r="D216" s="240"/>
      <c r="E216" s="240"/>
      <c r="F216" s="113"/>
      <c r="G216" s="260"/>
      <c r="H216" s="259"/>
      <c r="I216" s="240"/>
      <c r="J216" s="113"/>
      <c r="K216" s="260"/>
      <c r="L216" s="259"/>
      <c r="M216" s="241"/>
      <c r="N216" s="240"/>
      <c r="O216" s="113"/>
      <c r="P216" s="260"/>
      <c r="Q216" s="259"/>
      <c r="R216" s="241"/>
      <c r="S216" s="240"/>
      <c r="T216" s="113"/>
      <c r="U216" s="241"/>
      <c r="V216" s="240"/>
      <c r="W216" s="241"/>
      <c r="X216" s="240"/>
      <c r="Y216" s="113"/>
      <c r="Z216" s="241"/>
      <c r="AA216" s="240"/>
      <c r="AB216" s="241"/>
      <c r="AC216" s="240"/>
      <c r="AD216" s="113"/>
      <c r="AE216" s="241"/>
      <c r="AF216" s="240"/>
      <c r="AG216" s="241"/>
      <c r="AH216" s="241"/>
      <c r="AI216" s="156"/>
    </row>
    <row r="217" spans="1:35" s="21" customFormat="1" x14ac:dyDescent="0.25">
      <c r="A217" s="261">
        <v>53</v>
      </c>
      <c r="B217" s="260">
        <v>0.25</v>
      </c>
      <c r="C217" s="259">
        <v>10.98</v>
      </c>
      <c r="D217" s="240">
        <f>B217</f>
        <v>0.25</v>
      </c>
      <c r="E217" s="249" t="s">
        <v>488</v>
      </c>
      <c r="F217" s="113"/>
      <c r="G217" s="241">
        <v>0.41</v>
      </c>
      <c r="H217" s="240">
        <v>10.96</v>
      </c>
      <c r="I217" s="240"/>
      <c r="J217" s="113"/>
      <c r="K217" s="260">
        <v>0.21</v>
      </c>
      <c r="L217" s="259">
        <v>11.03</v>
      </c>
      <c r="M217" s="241">
        <f>K217</f>
        <v>0.21</v>
      </c>
      <c r="N217" s="249" t="s">
        <v>250</v>
      </c>
      <c r="O217" s="113"/>
      <c r="P217" s="241"/>
      <c r="Q217" s="240"/>
      <c r="R217" s="241"/>
      <c r="S217" s="240"/>
      <c r="T217" s="113"/>
      <c r="U217" s="241"/>
      <c r="V217" s="240"/>
      <c r="W217" s="241"/>
      <c r="X217" s="240"/>
      <c r="Y217" s="113"/>
      <c r="Z217" s="241"/>
      <c r="AA217" s="240"/>
      <c r="AB217" s="241"/>
      <c r="AC217" s="240"/>
      <c r="AD217" s="113"/>
      <c r="AE217" s="241"/>
      <c r="AF217" s="240"/>
      <c r="AG217" s="241"/>
      <c r="AH217" s="241"/>
      <c r="AI217" s="156"/>
    </row>
    <row r="218" spans="1:35" s="21" customFormat="1" x14ac:dyDescent="0.25">
      <c r="A218" s="261"/>
      <c r="B218" s="260"/>
      <c r="C218" s="259"/>
      <c r="D218" s="240"/>
      <c r="E218" s="56"/>
      <c r="F218" s="113"/>
      <c r="G218" s="241">
        <v>0.18</v>
      </c>
      <c r="H218" s="240">
        <v>11.03</v>
      </c>
      <c r="I218" s="240"/>
      <c r="J218" s="113"/>
      <c r="K218" s="260"/>
      <c r="L218" s="259"/>
      <c r="M218" s="241"/>
      <c r="N218" s="56"/>
      <c r="O218" s="113"/>
      <c r="P218" s="241"/>
      <c r="Q218" s="240"/>
      <c r="R218" s="241"/>
      <c r="S218" s="240"/>
      <c r="T218" s="113"/>
      <c r="U218" s="241"/>
      <c r="V218" s="240"/>
      <c r="W218" s="241"/>
      <c r="X218" s="240"/>
      <c r="Y218" s="113"/>
      <c r="Z218" s="241"/>
      <c r="AA218" s="240"/>
      <c r="AB218" s="241"/>
      <c r="AC218" s="240"/>
      <c r="AD218" s="113"/>
      <c r="AE218" s="241"/>
      <c r="AF218" s="240"/>
      <c r="AG218" s="241"/>
      <c r="AH218" s="241"/>
      <c r="AI218" s="156"/>
    </row>
    <row r="219" spans="1:35" s="21" customFormat="1" x14ac:dyDescent="0.25">
      <c r="A219" s="261">
        <v>54</v>
      </c>
      <c r="B219" s="260">
        <v>4.72</v>
      </c>
      <c r="C219" s="259">
        <v>11.19</v>
      </c>
      <c r="D219" s="241">
        <v>0.17</v>
      </c>
      <c r="E219" s="22" t="s">
        <v>162</v>
      </c>
      <c r="F219" s="113"/>
      <c r="G219" s="260">
        <v>0.15</v>
      </c>
      <c r="H219" s="259">
        <v>11.09</v>
      </c>
      <c r="I219" s="240"/>
      <c r="J219" s="113"/>
      <c r="K219" s="260">
        <v>0.18</v>
      </c>
      <c r="L219" s="259">
        <v>11.14</v>
      </c>
      <c r="M219" s="241">
        <v>0.17</v>
      </c>
      <c r="N219" s="22" t="s">
        <v>162</v>
      </c>
      <c r="O219" s="113"/>
      <c r="P219" s="241"/>
      <c r="Q219" s="240"/>
      <c r="R219" s="241"/>
      <c r="S219" s="240"/>
      <c r="T219" s="113"/>
      <c r="U219" s="241"/>
      <c r="V219" s="240"/>
      <c r="W219" s="241"/>
      <c r="X219" s="240"/>
      <c r="Y219" s="113"/>
      <c r="Z219" s="241"/>
      <c r="AA219" s="240"/>
      <c r="AB219" s="241"/>
      <c r="AC219" s="240"/>
      <c r="AD219" s="113"/>
      <c r="AE219" s="241"/>
      <c r="AF219" s="240"/>
      <c r="AG219" s="241"/>
      <c r="AH219" s="241"/>
      <c r="AI219" s="156"/>
    </row>
    <row r="220" spans="1:35" s="21" customFormat="1" x14ac:dyDescent="0.25">
      <c r="A220" s="261"/>
      <c r="B220" s="260"/>
      <c r="C220" s="259"/>
      <c r="D220" s="240">
        <f>B219-D219-D221-D222</f>
        <v>4.01</v>
      </c>
      <c r="E220" s="249" t="s">
        <v>432</v>
      </c>
      <c r="F220" s="113"/>
      <c r="G220" s="260"/>
      <c r="H220" s="259"/>
      <c r="I220" s="240"/>
      <c r="J220" s="113"/>
      <c r="K220" s="260"/>
      <c r="L220" s="259"/>
      <c r="M220" s="241"/>
      <c r="N220" s="240"/>
      <c r="O220" s="113"/>
      <c r="P220" s="241"/>
      <c r="Q220" s="240"/>
      <c r="R220" s="241"/>
      <c r="S220" s="240"/>
      <c r="T220" s="113"/>
      <c r="U220" s="241"/>
      <c r="V220" s="240"/>
      <c r="W220" s="241"/>
      <c r="X220" s="240"/>
      <c r="Y220" s="113"/>
      <c r="Z220" s="241"/>
      <c r="AA220" s="240"/>
      <c r="AB220" s="241"/>
      <c r="AC220" s="240"/>
      <c r="AD220" s="113"/>
      <c r="AE220" s="241"/>
      <c r="AF220" s="240"/>
      <c r="AG220" s="241"/>
      <c r="AH220" s="241"/>
      <c r="AI220" s="156"/>
    </row>
    <row r="221" spans="1:35" s="21" customFormat="1" x14ac:dyDescent="0.25">
      <c r="A221" s="261"/>
      <c r="B221" s="260"/>
      <c r="C221" s="259"/>
      <c r="D221" s="241">
        <v>0.01</v>
      </c>
      <c r="E221" s="249" t="s">
        <v>89</v>
      </c>
      <c r="F221" s="113"/>
      <c r="G221" s="260">
        <v>3.7</v>
      </c>
      <c r="H221" s="259">
        <v>11.18</v>
      </c>
      <c r="I221" s="240"/>
      <c r="J221" s="113"/>
      <c r="K221" s="260">
        <v>0.52</v>
      </c>
      <c r="L221" s="259">
        <v>11.2</v>
      </c>
      <c r="M221" s="56"/>
      <c r="N221" s="56"/>
      <c r="O221" s="113"/>
      <c r="P221" s="241"/>
      <c r="Q221" s="240"/>
      <c r="R221" s="241"/>
      <c r="S221" s="240"/>
      <c r="T221" s="113"/>
      <c r="U221" s="241"/>
      <c r="V221" s="240"/>
      <c r="W221" s="241"/>
      <c r="X221" s="240"/>
      <c r="Y221" s="113"/>
      <c r="Z221" s="241"/>
      <c r="AA221" s="240"/>
      <c r="AB221" s="241"/>
      <c r="AC221" s="240"/>
      <c r="AD221" s="113"/>
      <c r="AE221" s="241"/>
      <c r="AF221" s="240"/>
      <c r="AG221" s="241"/>
      <c r="AH221" s="241"/>
      <c r="AI221" s="156"/>
    </row>
    <row r="222" spans="1:35" s="21" customFormat="1" x14ac:dyDescent="0.25">
      <c r="A222" s="261"/>
      <c r="B222" s="260"/>
      <c r="C222" s="259"/>
      <c r="D222" s="241">
        <v>0.53</v>
      </c>
      <c r="E222" s="75" t="s">
        <v>195</v>
      </c>
      <c r="F222" s="113"/>
      <c r="G222" s="260"/>
      <c r="H222" s="259"/>
      <c r="I222" s="240"/>
      <c r="J222" s="113"/>
      <c r="K222" s="260"/>
      <c r="L222" s="259"/>
      <c r="M222" s="241">
        <f>K219+K221-M219</f>
        <v>0.52999999999999992</v>
      </c>
      <c r="N222" s="75" t="s">
        <v>195</v>
      </c>
      <c r="O222" s="113"/>
      <c r="P222" s="241"/>
      <c r="Q222" s="240"/>
      <c r="R222" s="241"/>
      <c r="S222" s="240"/>
      <c r="T222" s="113"/>
      <c r="U222" s="241"/>
      <c r="V222" s="240"/>
      <c r="W222" s="241"/>
      <c r="X222" s="240"/>
      <c r="Y222" s="113"/>
      <c r="Z222" s="241"/>
      <c r="AA222" s="240"/>
      <c r="AB222" s="241"/>
      <c r="AC222" s="240"/>
      <c r="AD222" s="113"/>
      <c r="AE222" s="241"/>
      <c r="AF222" s="240"/>
      <c r="AG222" s="241"/>
      <c r="AH222" s="241"/>
      <c r="AI222" s="156"/>
    </row>
    <row r="223" spans="1:35" s="21" customFormat="1" x14ac:dyDescent="0.25">
      <c r="A223" s="261"/>
      <c r="B223" s="260"/>
      <c r="C223" s="259"/>
      <c r="D223" s="240"/>
      <c r="E223" s="240"/>
      <c r="F223" s="113"/>
      <c r="G223" s="260"/>
      <c r="H223" s="259"/>
      <c r="I223" s="240"/>
      <c r="J223" s="113"/>
      <c r="K223" s="260"/>
      <c r="L223" s="259"/>
      <c r="M223" s="241"/>
      <c r="N223" s="240"/>
      <c r="O223" s="113"/>
      <c r="P223" s="241"/>
      <c r="Q223" s="240"/>
      <c r="R223" s="241"/>
      <c r="S223" s="240"/>
      <c r="T223" s="113"/>
      <c r="U223" s="241"/>
      <c r="V223" s="240"/>
      <c r="W223" s="241"/>
      <c r="X223" s="240"/>
      <c r="Y223" s="113"/>
      <c r="Z223" s="241"/>
      <c r="AA223" s="240"/>
      <c r="AB223" s="241"/>
      <c r="AC223" s="240"/>
      <c r="AD223" s="113"/>
      <c r="AE223" s="241"/>
      <c r="AF223" s="240"/>
      <c r="AG223" s="241"/>
      <c r="AH223" s="241"/>
      <c r="AI223" s="156"/>
    </row>
    <row r="224" spans="1:35" s="21" customFormat="1" x14ac:dyDescent="0.25">
      <c r="A224" s="261"/>
      <c r="B224" s="260"/>
      <c r="C224" s="259"/>
      <c r="D224" s="56"/>
      <c r="E224" s="56"/>
      <c r="F224" s="113"/>
      <c r="G224" s="260"/>
      <c r="H224" s="259"/>
      <c r="I224" s="240"/>
      <c r="J224" s="113"/>
      <c r="K224" s="260"/>
      <c r="L224" s="259"/>
      <c r="M224" s="241"/>
      <c r="N224" s="240"/>
      <c r="O224" s="113"/>
      <c r="P224" s="241"/>
      <c r="Q224" s="240"/>
      <c r="R224" s="241"/>
      <c r="S224" s="240"/>
      <c r="T224" s="113"/>
      <c r="U224" s="241"/>
      <c r="V224" s="240"/>
      <c r="W224" s="241"/>
      <c r="X224" s="240"/>
      <c r="Y224" s="113"/>
      <c r="Z224" s="241"/>
      <c r="AA224" s="240"/>
      <c r="AB224" s="241"/>
      <c r="AC224" s="240"/>
      <c r="AD224" s="113"/>
      <c r="AE224" s="241"/>
      <c r="AF224" s="240"/>
      <c r="AG224" s="241"/>
      <c r="AH224" s="241"/>
      <c r="AI224" s="156"/>
    </row>
    <row r="225" spans="1:35" s="21" customFormat="1" x14ac:dyDescent="0.25">
      <c r="A225" s="261">
        <v>55</v>
      </c>
      <c r="B225" s="260">
        <v>0.67</v>
      </c>
      <c r="C225" s="259">
        <v>11.33</v>
      </c>
      <c r="D225" s="240"/>
      <c r="E225" s="19"/>
      <c r="F225" s="113"/>
      <c r="G225" s="241">
        <v>0.2</v>
      </c>
      <c r="H225" s="240">
        <v>11.28</v>
      </c>
      <c r="I225" s="240"/>
      <c r="J225" s="113"/>
      <c r="K225" s="260">
        <v>0.05</v>
      </c>
      <c r="L225" s="259">
        <v>11.31</v>
      </c>
      <c r="M225" s="241"/>
      <c r="N225" s="19"/>
      <c r="O225" s="113"/>
      <c r="P225" s="241"/>
      <c r="Q225" s="240"/>
      <c r="R225" s="241"/>
      <c r="S225" s="240"/>
      <c r="T225" s="113"/>
      <c r="U225" s="241"/>
      <c r="V225" s="240"/>
      <c r="W225" s="241"/>
      <c r="X225" s="240"/>
      <c r="Y225" s="113"/>
      <c r="Z225" s="241"/>
      <c r="AA225" s="240"/>
      <c r="AB225" s="241"/>
      <c r="AC225" s="240"/>
      <c r="AD225" s="113"/>
      <c r="AE225" s="241"/>
      <c r="AF225" s="240"/>
      <c r="AG225" s="241"/>
      <c r="AH225" s="241"/>
      <c r="AI225" s="156"/>
    </row>
    <row r="226" spans="1:35" s="21" customFormat="1" x14ac:dyDescent="0.25">
      <c r="A226" s="261"/>
      <c r="B226" s="260"/>
      <c r="C226" s="259"/>
      <c r="D226" s="240"/>
      <c r="E226" s="240"/>
      <c r="F226" s="113"/>
      <c r="G226" s="241">
        <v>0.48</v>
      </c>
      <c r="H226" s="240">
        <v>11.32</v>
      </c>
      <c r="I226" s="240"/>
      <c r="J226" s="113"/>
      <c r="K226" s="260"/>
      <c r="L226" s="259"/>
      <c r="M226" s="241"/>
      <c r="N226" s="240"/>
      <c r="O226" s="113"/>
      <c r="P226" s="241"/>
      <c r="Q226" s="240"/>
      <c r="R226" s="241"/>
      <c r="S226" s="240"/>
      <c r="T226" s="113"/>
      <c r="U226" s="241"/>
      <c r="V226" s="240"/>
      <c r="W226" s="241"/>
      <c r="X226" s="240"/>
      <c r="Y226" s="113"/>
      <c r="Z226" s="241"/>
      <c r="AA226" s="240"/>
      <c r="AB226" s="241"/>
      <c r="AC226" s="240"/>
      <c r="AD226" s="113"/>
      <c r="AE226" s="241"/>
      <c r="AF226" s="240"/>
      <c r="AG226" s="241"/>
      <c r="AH226" s="241"/>
      <c r="AI226" s="156"/>
    </row>
    <row r="227" spans="1:35" s="21" customFormat="1" x14ac:dyDescent="0.25">
      <c r="A227" s="261"/>
      <c r="B227" s="260"/>
      <c r="C227" s="259"/>
      <c r="D227" s="240"/>
      <c r="E227" s="240"/>
      <c r="F227" s="113"/>
      <c r="G227" s="241">
        <v>0.28999999999999998</v>
      </c>
      <c r="H227" s="240">
        <v>11.41</v>
      </c>
      <c r="I227" s="240"/>
      <c r="J227" s="113"/>
      <c r="K227" s="241">
        <v>1.2</v>
      </c>
      <c r="L227" s="240">
        <v>11.4</v>
      </c>
      <c r="M227" s="241"/>
      <c r="N227" s="240"/>
      <c r="O227" s="113"/>
      <c r="P227" s="241"/>
      <c r="Q227" s="240"/>
      <c r="R227" s="241"/>
      <c r="S227" s="240"/>
      <c r="T227" s="113"/>
      <c r="U227" s="241"/>
      <c r="V227" s="240"/>
      <c r="W227" s="241"/>
      <c r="X227" s="240"/>
      <c r="Y227" s="113"/>
      <c r="Z227" s="241"/>
      <c r="AA227" s="240"/>
      <c r="AB227" s="241"/>
      <c r="AC227" s="240"/>
      <c r="AD227" s="113"/>
      <c r="AE227" s="241"/>
      <c r="AF227" s="240"/>
      <c r="AG227" s="241"/>
      <c r="AH227" s="241"/>
      <c r="AI227" s="156"/>
    </row>
    <row r="228" spans="1:35" s="21" customFormat="1" x14ac:dyDescent="0.25">
      <c r="A228" s="292">
        <v>56</v>
      </c>
      <c r="B228" s="269">
        <v>0.42</v>
      </c>
      <c r="C228" s="293">
        <v>11.47</v>
      </c>
      <c r="D228" s="248"/>
      <c r="E228" s="248"/>
      <c r="F228" s="113"/>
      <c r="G228" s="241">
        <v>0.23</v>
      </c>
      <c r="H228" s="240">
        <v>11.45</v>
      </c>
      <c r="I228" s="240"/>
      <c r="J228" s="113"/>
      <c r="K228" s="260">
        <v>0.43</v>
      </c>
      <c r="L228" s="259">
        <v>11.54</v>
      </c>
      <c r="M228" s="241"/>
      <c r="N228" s="248"/>
      <c r="O228" s="113"/>
      <c r="P228" s="241"/>
      <c r="Q228" s="240"/>
      <c r="R228" s="241"/>
      <c r="S228" s="240"/>
      <c r="T228" s="113"/>
      <c r="U228" s="241"/>
      <c r="V228" s="240"/>
      <c r="W228" s="241"/>
      <c r="X228" s="240"/>
      <c r="Y228" s="113"/>
      <c r="Z228" s="241"/>
      <c r="AA228" s="240"/>
      <c r="AB228" s="241"/>
      <c r="AC228" s="240"/>
      <c r="AD228" s="113"/>
      <c r="AE228" s="241"/>
      <c r="AF228" s="240"/>
      <c r="AG228" s="241"/>
      <c r="AH228" s="241"/>
      <c r="AI228" s="156"/>
    </row>
    <row r="229" spans="1:35" s="21" customFormat="1" x14ac:dyDescent="0.25">
      <c r="A229" s="292"/>
      <c r="B229" s="269"/>
      <c r="C229" s="293"/>
      <c r="D229" s="248"/>
      <c r="E229" s="248"/>
      <c r="F229" s="113"/>
      <c r="G229" s="241">
        <v>0.23</v>
      </c>
      <c r="H229" s="240">
        <v>11.49</v>
      </c>
      <c r="I229" s="240"/>
      <c r="J229" s="113"/>
      <c r="K229" s="260"/>
      <c r="L229" s="259"/>
      <c r="M229" s="241"/>
      <c r="N229" s="248"/>
      <c r="O229" s="113"/>
      <c r="P229" s="241"/>
      <c r="Q229" s="240"/>
      <c r="R229" s="241"/>
      <c r="S229" s="240"/>
      <c r="T229" s="113"/>
      <c r="U229" s="241"/>
      <c r="V229" s="240"/>
      <c r="W229" s="241"/>
      <c r="X229" s="240"/>
      <c r="Y229" s="113"/>
      <c r="Z229" s="241"/>
      <c r="AA229" s="240"/>
      <c r="AB229" s="241"/>
      <c r="AC229" s="240"/>
      <c r="AD229" s="113"/>
      <c r="AE229" s="241"/>
      <c r="AF229" s="240"/>
      <c r="AG229" s="241"/>
      <c r="AH229" s="241"/>
      <c r="AI229" s="156"/>
    </row>
    <row r="230" spans="1:35" s="21" customFormat="1" x14ac:dyDescent="0.25">
      <c r="A230" s="261">
        <v>57</v>
      </c>
      <c r="B230" s="260">
        <v>4.6399999999999997</v>
      </c>
      <c r="C230" s="259">
        <v>11.6</v>
      </c>
      <c r="D230" s="240">
        <f>B230-D233</f>
        <v>4.5999999999999996</v>
      </c>
      <c r="E230" s="249" t="s">
        <v>541</v>
      </c>
      <c r="F230" s="113"/>
      <c r="G230" s="260">
        <v>3.67</v>
      </c>
      <c r="H230" s="259">
        <v>11.59</v>
      </c>
      <c r="I230" s="240"/>
      <c r="J230" s="113"/>
      <c r="K230" s="260">
        <v>0.15</v>
      </c>
      <c r="L230" s="259">
        <v>11.67</v>
      </c>
      <c r="M230" s="241">
        <f>K230</f>
        <v>0.15</v>
      </c>
      <c r="N230" s="249" t="s">
        <v>161</v>
      </c>
      <c r="O230" s="113"/>
      <c r="P230" s="241"/>
      <c r="Q230" s="240"/>
      <c r="R230" s="241"/>
      <c r="S230" s="240"/>
      <c r="T230" s="113"/>
      <c r="U230" s="241"/>
      <c r="V230" s="240"/>
      <c r="W230" s="241"/>
      <c r="X230" s="240"/>
      <c r="Y230" s="113"/>
      <c r="Z230" s="241"/>
      <c r="AA230" s="240"/>
      <c r="AB230" s="241"/>
      <c r="AC230" s="240"/>
      <c r="AD230" s="113"/>
      <c r="AE230" s="241"/>
      <c r="AF230" s="240"/>
      <c r="AG230" s="241"/>
      <c r="AH230" s="241"/>
      <c r="AI230" s="156"/>
    </row>
    <row r="231" spans="1:35" s="21" customFormat="1" x14ac:dyDescent="0.25">
      <c r="A231" s="261"/>
      <c r="B231" s="260"/>
      <c r="C231" s="259"/>
      <c r="D231" s="240"/>
      <c r="E231" s="240"/>
      <c r="F231" s="113"/>
      <c r="G231" s="260"/>
      <c r="H231" s="259"/>
      <c r="I231" s="240"/>
      <c r="J231" s="113"/>
      <c r="K231" s="260"/>
      <c r="L231" s="259"/>
      <c r="M231" s="241"/>
      <c r="N231" s="240"/>
      <c r="O231" s="113"/>
      <c r="P231" s="241"/>
      <c r="Q231" s="240"/>
      <c r="R231" s="241"/>
      <c r="S231" s="240"/>
      <c r="T231" s="113"/>
      <c r="U231" s="241"/>
      <c r="V231" s="240"/>
      <c r="W231" s="241"/>
      <c r="X231" s="240"/>
      <c r="Y231" s="113"/>
      <c r="Z231" s="241"/>
      <c r="AA231" s="240"/>
      <c r="AB231" s="241"/>
      <c r="AC231" s="240"/>
      <c r="AD231" s="113"/>
      <c r="AE231" s="241"/>
      <c r="AF231" s="240"/>
      <c r="AG231" s="241"/>
      <c r="AH231" s="241"/>
      <c r="AI231" s="156"/>
    </row>
    <row r="232" spans="1:35" s="21" customFormat="1" x14ac:dyDescent="0.25">
      <c r="A232" s="261"/>
      <c r="B232" s="260"/>
      <c r="C232" s="259"/>
      <c r="D232" s="240"/>
      <c r="E232" s="240"/>
      <c r="F232" s="113"/>
      <c r="G232" s="260"/>
      <c r="H232" s="259"/>
      <c r="I232" s="240"/>
      <c r="J232" s="113"/>
      <c r="K232" s="260"/>
      <c r="L232" s="259"/>
      <c r="M232" s="241"/>
      <c r="N232" s="240"/>
      <c r="O232" s="113"/>
      <c r="P232" s="241"/>
      <c r="Q232" s="240"/>
      <c r="R232" s="241"/>
      <c r="S232" s="240"/>
      <c r="T232" s="113"/>
      <c r="U232" s="241"/>
      <c r="V232" s="240"/>
      <c r="W232" s="241"/>
      <c r="X232" s="240"/>
      <c r="Y232" s="113"/>
      <c r="Z232" s="241"/>
      <c r="AA232" s="240"/>
      <c r="AB232" s="241"/>
      <c r="AC232" s="240"/>
      <c r="AD232" s="113"/>
      <c r="AE232" s="241"/>
      <c r="AF232" s="240"/>
      <c r="AG232" s="241"/>
      <c r="AH232" s="241"/>
      <c r="AI232" s="156"/>
    </row>
    <row r="233" spans="1:35" s="21" customFormat="1" x14ac:dyDescent="0.25">
      <c r="A233" s="261"/>
      <c r="B233" s="260"/>
      <c r="C233" s="259"/>
      <c r="D233" s="241">
        <f>M233</f>
        <v>0.04</v>
      </c>
      <c r="E233" s="249" t="s">
        <v>253</v>
      </c>
      <c r="F233" s="113"/>
      <c r="G233" s="260"/>
      <c r="H233" s="259"/>
      <c r="I233" s="240"/>
      <c r="J233" s="113"/>
      <c r="K233" s="241">
        <v>0.04</v>
      </c>
      <c r="L233" s="240">
        <v>11.78</v>
      </c>
      <c r="M233" s="241">
        <f>K233</f>
        <v>0.04</v>
      </c>
      <c r="N233" s="249" t="s">
        <v>253</v>
      </c>
      <c r="O233" s="113"/>
      <c r="P233" s="241"/>
      <c r="Q233" s="240"/>
      <c r="R233" s="241"/>
      <c r="S233" s="240"/>
      <c r="T233" s="113"/>
      <c r="U233" s="241"/>
      <c r="V233" s="240"/>
      <c r="W233" s="241"/>
      <c r="X233" s="240"/>
      <c r="Y233" s="113"/>
      <c r="Z233" s="241"/>
      <c r="AA233" s="240"/>
      <c r="AB233" s="241"/>
      <c r="AC233" s="240"/>
      <c r="AD233" s="113"/>
      <c r="AE233" s="241"/>
      <c r="AF233" s="240"/>
      <c r="AG233" s="241"/>
      <c r="AH233" s="241"/>
      <c r="AI233" s="156"/>
    </row>
    <row r="234" spans="1:35" s="21" customFormat="1" x14ac:dyDescent="0.25">
      <c r="A234" s="261">
        <v>58</v>
      </c>
      <c r="B234" s="260">
        <v>0.62</v>
      </c>
      <c r="C234" s="259">
        <v>11.76</v>
      </c>
      <c r="D234" s="240"/>
      <c r="E234" s="19"/>
      <c r="F234" s="113"/>
      <c r="G234" s="260">
        <v>0.84</v>
      </c>
      <c r="H234" s="259">
        <v>11.75</v>
      </c>
      <c r="I234" s="240"/>
      <c r="J234" s="113"/>
      <c r="K234" s="260">
        <v>0.1</v>
      </c>
      <c r="L234" s="259">
        <v>11.86</v>
      </c>
      <c r="M234" s="241"/>
      <c r="N234" s="19"/>
      <c r="O234" s="113"/>
      <c r="P234" s="241"/>
      <c r="Q234" s="240"/>
      <c r="R234" s="241"/>
      <c r="S234" s="240"/>
      <c r="T234" s="113"/>
      <c r="U234" s="241"/>
      <c r="V234" s="240"/>
      <c r="W234" s="241"/>
      <c r="X234" s="240"/>
      <c r="Y234" s="113"/>
      <c r="Z234" s="241"/>
      <c r="AA234" s="240"/>
      <c r="AB234" s="241"/>
      <c r="AC234" s="240"/>
      <c r="AD234" s="113"/>
      <c r="AE234" s="241"/>
      <c r="AF234" s="240"/>
      <c r="AG234" s="241"/>
      <c r="AH234" s="241"/>
      <c r="AI234" s="156"/>
    </row>
    <row r="235" spans="1:35" s="21" customFormat="1" x14ac:dyDescent="0.25">
      <c r="A235" s="261"/>
      <c r="B235" s="260"/>
      <c r="C235" s="259"/>
      <c r="D235" s="240"/>
      <c r="E235" s="240"/>
      <c r="F235" s="113"/>
      <c r="G235" s="260"/>
      <c r="H235" s="259"/>
      <c r="I235" s="240"/>
      <c r="J235" s="113"/>
      <c r="K235" s="260"/>
      <c r="L235" s="259"/>
      <c r="M235" s="241"/>
      <c r="N235" s="240"/>
      <c r="O235" s="113"/>
      <c r="P235" s="241"/>
      <c r="Q235" s="240"/>
      <c r="R235" s="241"/>
      <c r="S235" s="240"/>
      <c r="T235" s="113"/>
      <c r="U235" s="241"/>
      <c r="V235" s="240"/>
      <c r="W235" s="241"/>
      <c r="X235" s="240"/>
      <c r="Y235" s="113"/>
      <c r="Z235" s="241"/>
      <c r="AA235" s="240"/>
      <c r="AB235" s="241"/>
      <c r="AC235" s="240"/>
      <c r="AD235" s="113"/>
      <c r="AE235" s="241"/>
      <c r="AF235" s="240"/>
      <c r="AG235" s="241"/>
      <c r="AH235" s="241"/>
      <c r="AI235" s="156"/>
    </row>
    <row r="236" spans="1:35" s="21" customFormat="1" ht="18" customHeight="1" x14ac:dyDescent="0.25">
      <c r="A236" s="261"/>
      <c r="B236" s="260"/>
      <c r="C236" s="259"/>
      <c r="D236" s="240">
        <f>B234</f>
        <v>0.62</v>
      </c>
      <c r="E236" s="249" t="s">
        <v>453</v>
      </c>
      <c r="F236" s="113"/>
      <c r="G236" s="241">
        <v>0.1</v>
      </c>
      <c r="H236" s="240">
        <v>11.82</v>
      </c>
      <c r="I236" s="240"/>
      <c r="J236" s="113"/>
      <c r="K236" s="241">
        <v>0.02</v>
      </c>
      <c r="L236" s="240">
        <v>11.92</v>
      </c>
      <c r="M236" s="241">
        <f>K236+K234</f>
        <v>0.12000000000000001</v>
      </c>
      <c r="N236" s="249" t="s">
        <v>395</v>
      </c>
      <c r="O236" s="113"/>
      <c r="P236" s="241"/>
      <c r="Q236" s="240"/>
      <c r="R236" s="241"/>
      <c r="S236" s="240"/>
      <c r="T236" s="113"/>
      <c r="U236" s="241"/>
      <c r="V236" s="240"/>
      <c r="W236" s="241"/>
      <c r="X236" s="240"/>
      <c r="Y236" s="113"/>
      <c r="Z236" s="241"/>
      <c r="AA236" s="240"/>
      <c r="AB236" s="241"/>
      <c r="AC236" s="240"/>
      <c r="AD236" s="113"/>
      <c r="AE236" s="241"/>
      <c r="AF236" s="240"/>
      <c r="AG236" s="241"/>
      <c r="AH236" s="241"/>
      <c r="AI236" s="156"/>
    </row>
    <row r="237" spans="1:35" s="21" customFormat="1" x14ac:dyDescent="0.25">
      <c r="A237" s="261">
        <v>59</v>
      </c>
      <c r="B237" s="260">
        <v>3.3</v>
      </c>
      <c r="C237" s="259">
        <v>12.01</v>
      </c>
      <c r="D237" s="56"/>
      <c r="E237" s="56"/>
      <c r="F237" s="113"/>
      <c r="G237" s="241">
        <v>0.17</v>
      </c>
      <c r="H237" s="240">
        <v>11.89</v>
      </c>
      <c r="I237" s="240"/>
      <c r="J237" s="113"/>
      <c r="K237" s="260">
        <v>0.37</v>
      </c>
      <c r="L237" s="259">
        <v>12.03</v>
      </c>
      <c r="M237" s="241"/>
      <c r="N237" s="240"/>
      <c r="O237" s="113"/>
      <c r="P237" s="241"/>
      <c r="Q237" s="240"/>
      <c r="R237" s="241"/>
      <c r="S237" s="240"/>
      <c r="T237" s="113"/>
      <c r="U237" s="241"/>
      <c r="V237" s="240"/>
      <c r="W237" s="241"/>
      <c r="X237" s="240"/>
      <c r="Y237" s="113"/>
      <c r="Z237" s="241"/>
      <c r="AA237" s="240"/>
      <c r="AB237" s="241"/>
      <c r="AC237" s="240"/>
      <c r="AD237" s="113"/>
      <c r="AE237" s="241"/>
      <c r="AF237" s="240"/>
      <c r="AG237" s="241"/>
      <c r="AH237" s="241"/>
      <c r="AI237" s="156"/>
    </row>
    <row r="238" spans="1:35" s="21" customFormat="1" x14ac:dyDescent="0.25">
      <c r="A238" s="261"/>
      <c r="B238" s="260"/>
      <c r="C238" s="259"/>
      <c r="D238" s="240">
        <f>B237-D240-D239</f>
        <v>2.54</v>
      </c>
      <c r="E238" s="249" t="s">
        <v>540</v>
      </c>
      <c r="F238" s="113"/>
      <c r="G238" s="241">
        <v>2.21</v>
      </c>
      <c r="H238" s="240">
        <v>12.01</v>
      </c>
      <c r="I238" s="240"/>
      <c r="J238" s="113"/>
      <c r="K238" s="260"/>
      <c r="L238" s="259"/>
      <c r="M238" s="56"/>
      <c r="N238" s="56"/>
      <c r="O238" s="113"/>
      <c r="P238" s="241"/>
      <c r="Q238" s="240"/>
      <c r="R238" s="241"/>
      <c r="S238" s="240"/>
      <c r="T238" s="113"/>
      <c r="U238" s="241"/>
      <c r="V238" s="240"/>
      <c r="W238" s="241"/>
      <c r="X238" s="240"/>
      <c r="Y238" s="113"/>
      <c r="Z238" s="241"/>
      <c r="AA238" s="240"/>
      <c r="AB238" s="241"/>
      <c r="AC238" s="240"/>
      <c r="AD238" s="113"/>
      <c r="AE238" s="241"/>
      <c r="AF238" s="240"/>
      <c r="AG238" s="241"/>
      <c r="AH238" s="241"/>
      <c r="AI238" s="156"/>
    </row>
    <row r="239" spans="1:35" s="21" customFormat="1" x14ac:dyDescent="0.25">
      <c r="A239" s="261"/>
      <c r="B239" s="260"/>
      <c r="C239" s="259"/>
      <c r="D239" s="241">
        <v>0.01</v>
      </c>
      <c r="E239" s="249" t="s">
        <v>258</v>
      </c>
      <c r="F239" s="113"/>
      <c r="G239" s="241">
        <v>0.35</v>
      </c>
      <c r="H239" s="240">
        <v>12.15</v>
      </c>
      <c r="I239" s="240"/>
      <c r="J239" s="113"/>
      <c r="K239" s="260"/>
      <c r="L239" s="259"/>
      <c r="M239" s="241"/>
      <c r="N239" s="240"/>
      <c r="O239" s="113"/>
      <c r="P239" s="241"/>
      <c r="Q239" s="240"/>
      <c r="R239" s="241"/>
      <c r="S239" s="240"/>
      <c r="T239" s="113"/>
      <c r="U239" s="241"/>
      <c r="V239" s="240"/>
      <c r="W239" s="241"/>
      <c r="X239" s="240"/>
      <c r="Y239" s="113"/>
      <c r="Z239" s="241"/>
      <c r="AA239" s="240"/>
      <c r="AB239" s="241"/>
      <c r="AC239" s="240"/>
      <c r="AD239" s="113"/>
      <c r="AE239" s="241"/>
      <c r="AF239" s="240"/>
      <c r="AG239" s="241"/>
      <c r="AH239" s="241"/>
      <c r="AI239" s="156"/>
    </row>
    <row r="240" spans="1:35" s="21" customFormat="1" x14ac:dyDescent="0.25">
      <c r="A240" s="261"/>
      <c r="B240" s="260"/>
      <c r="C240" s="259"/>
      <c r="D240" s="241">
        <v>0.75</v>
      </c>
      <c r="E240" s="61" t="s">
        <v>487</v>
      </c>
      <c r="F240" s="113"/>
      <c r="G240" s="241">
        <v>0.28000000000000003</v>
      </c>
      <c r="H240" s="240">
        <v>12.2</v>
      </c>
      <c r="I240" s="240"/>
      <c r="J240" s="113"/>
      <c r="K240" s="260"/>
      <c r="L240" s="259"/>
      <c r="M240" s="241">
        <f>K237</f>
        <v>0.37</v>
      </c>
      <c r="N240" s="61" t="s">
        <v>254</v>
      </c>
      <c r="O240" s="113"/>
      <c r="P240" s="241"/>
      <c r="Q240" s="240"/>
      <c r="R240" s="241"/>
      <c r="S240" s="240"/>
      <c r="T240" s="113"/>
      <c r="U240" s="241"/>
      <c r="V240" s="240"/>
      <c r="W240" s="241"/>
      <c r="X240" s="240"/>
      <c r="Y240" s="113"/>
      <c r="Z240" s="241"/>
      <c r="AA240" s="240"/>
      <c r="AB240" s="241"/>
      <c r="AC240" s="240"/>
      <c r="AD240" s="113"/>
      <c r="AE240" s="241"/>
      <c r="AF240" s="240"/>
      <c r="AG240" s="241"/>
      <c r="AH240" s="241"/>
      <c r="AI240" s="156"/>
    </row>
    <row r="241" spans="1:42" s="21" customFormat="1" x14ac:dyDescent="0.25">
      <c r="A241" s="261"/>
      <c r="B241" s="260"/>
      <c r="C241" s="259"/>
      <c r="D241" s="240"/>
      <c r="E241" s="240"/>
      <c r="F241" s="113"/>
      <c r="G241" s="241">
        <v>0.08</v>
      </c>
      <c r="H241" s="240">
        <v>12.27</v>
      </c>
      <c r="I241" s="240"/>
      <c r="J241" s="113"/>
      <c r="K241" s="260"/>
      <c r="L241" s="259"/>
      <c r="M241" s="241"/>
      <c r="N241" s="240"/>
      <c r="O241" s="113"/>
      <c r="P241" s="241"/>
      <c r="Q241" s="240"/>
      <c r="R241" s="241"/>
      <c r="S241" s="240"/>
      <c r="T241" s="113"/>
      <c r="U241" s="241"/>
      <c r="V241" s="240"/>
      <c r="W241" s="241"/>
      <c r="X241" s="240"/>
      <c r="Y241" s="113"/>
      <c r="Z241" s="241"/>
      <c r="AA241" s="240"/>
      <c r="AB241" s="241"/>
      <c r="AC241" s="240"/>
      <c r="AD241" s="113"/>
      <c r="AE241" s="241"/>
      <c r="AF241" s="240"/>
      <c r="AG241" s="241"/>
      <c r="AH241" s="241"/>
      <c r="AI241" s="156"/>
    </row>
    <row r="242" spans="1:42" s="21" customFormat="1" x14ac:dyDescent="0.25">
      <c r="A242" s="261">
        <v>60</v>
      </c>
      <c r="B242" s="260">
        <v>1.94</v>
      </c>
      <c r="C242" s="259">
        <v>12.39</v>
      </c>
      <c r="D242" s="240"/>
      <c r="E242" s="240"/>
      <c r="F242" s="113"/>
      <c r="G242" s="241">
        <v>0.1</v>
      </c>
      <c r="H242" s="240">
        <v>12.3</v>
      </c>
      <c r="I242" s="240"/>
      <c r="J242" s="113"/>
      <c r="K242" s="241"/>
      <c r="L242" s="240"/>
      <c r="M242" s="241"/>
      <c r="N242" s="240"/>
      <c r="O242" s="113"/>
      <c r="P242" s="241"/>
      <c r="Q242" s="240"/>
      <c r="R242" s="241"/>
      <c r="S242" s="240"/>
      <c r="T242" s="113"/>
      <c r="U242" s="241"/>
      <c r="V242" s="240"/>
      <c r="W242" s="241"/>
      <c r="X242" s="240"/>
      <c r="Y242" s="113"/>
      <c r="Z242" s="241"/>
      <c r="AA242" s="240"/>
      <c r="AB242" s="241"/>
      <c r="AC242" s="240"/>
      <c r="AD242" s="113"/>
      <c r="AE242" s="241"/>
      <c r="AF242" s="240"/>
      <c r="AG242" s="241"/>
      <c r="AH242" s="241"/>
      <c r="AI242" s="156"/>
    </row>
    <row r="243" spans="1:42" s="21" customFormat="1" x14ac:dyDescent="0.25">
      <c r="A243" s="261"/>
      <c r="B243" s="260"/>
      <c r="C243" s="259"/>
      <c r="D243" s="240"/>
      <c r="E243" s="240"/>
      <c r="F243" s="113"/>
      <c r="G243" s="241">
        <v>0.95</v>
      </c>
      <c r="H243" s="240">
        <v>12.38</v>
      </c>
      <c r="I243" s="240"/>
      <c r="J243" s="113"/>
      <c r="K243" s="241"/>
      <c r="L243" s="240"/>
      <c r="M243" s="241"/>
      <c r="N243" s="240"/>
      <c r="O243" s="113"/>
      <c r="P243" s="241"/>
      <c r="Q243" s="240"/>
      <c r="R243" s="241"/>
      <c r="S243" s="240"/>
      <c r="T243" s="113"/>
      <c r="U243" s="241"/>
      <c r="V243" s="240"/>
      <c r="W243" s="241"/>
      <c r="X243" s="240"/>
      <c r="Y243" s="113"/>
      <c r="Z243" s="241"/>
      <c r="AA243" s="240"/>
      <c r="AB243" s="241"/>
      <c r="AC243" s="240"/>
      <c r="AD243" s="113"/>
      <c r="AE243" s="241"/>
      <c r="AF243" s="240"/>
      <c r="AG243" s="241"/>
      <c r="AH243" s="241"/>
      <c r="AI243" s="156"/>
    </row>
    <row r="244" spans="1:42" s="21" customFormat="1" x14ac:dyDescent="0.25">
      <c r="A244" s="261"/>
      <c r="B244" s="260"/>
      <c r="C244" s="259"/>
      <c r="D244" s="240">
        <f>B242</f>
        <v>1.94</v>
      </c>
      <c r="E244" s="249" t="s">
        <v>259</v>
      </c>
      <c r="F244" s="113"/>
      <c r="G244" s="241">
        <v>0.35</v>
      </c>
      <c r="H244" s="240">
        <v>12.51</v>
      </c>
      <c r="I244" s="240"/>
      <c r="J244" s="113"/>
      <c r="K244" s="241"/>
      <c r="L244" s="240"/>
      <c r="M244" s="241"/>
      <c r="N244" s="240"/>
      <c r="O244" s="113"/>
      <c r="P244" s="241"/>
      <c r="Q244" s="240"/>
      <c r="R244" s="241"/>
      <c r="S244" s="240"/>
      <c r="T244" s="113"/>
      <c r="U244" s="241"/>
      <c r="V244" s="240"/>
      <c r="W244" s="241"/>
      <c r="X244" s="240"/>
      <c r="Y244" s="113"/>
      <c r="Z244" s="241"/>
      <c r="AA244" s="240"/>
      <c r="AB244" s="241"/>
      <c r="AC244" s="240"/>
      <c r="AD244" s="113"/>
      <c r="AE244" s="241"/>
      <c r="AF244" s="240"/>
      <c r="AG244" s="241"/>
      <c r="AH244" s="241"/>
      <c r="AI244" s="156"/>
    </row>
    <row r="245" spans="1:42" s="21" customFormat="1" x14ac:dyDescent="0.25">
      <c r="A245" s="261"/>
      <c r="B245" s="260"/>
      <c r="C245" s="259"/>
      <c r="D245" s="240"/>
      <c r="E245" s="240"/>
      <c r="F245" s="113"/>
      <c r="G245" s="241">
        <v>0.32</v>
      </c>
      <c r="H245" s="240">
        <v>12.55</v>
      </c>
      <c r="I245" s="240"/>
      <c r="J245" s="113"/>
      <c r="K245" s="241"/>
      <c r="L245" s="240"/>
      <c r="M245" s="241"/>
      <c r="N245" s="240"/>
      <c r="O245" s="113"/>
      <c r="P245" s="241"/>
      <c r="Q245" s="240"/>
      <c r="R245" s="241"/>
      <c r="S245" s="240"/>
      <c r="T245" s="113"/>
      <c r="U245" s="241"/>
      <c r="V245" s="240"/>
      <c r="W245" s="241"/>
      <c r="X245" s="240"/>
      <c r="Y245" s="113"/>
      <c r="Z245" s="241"/>
      <c r="AA245" s="240"/>
      <c r="AB245" s="241"/>
      <c r="AC245" s="240"/>
      <c r="AD245" s="113"/>
      <c r="AE245" s="241"/>
      <c r="AF245" s="240"/>
      <c r="AG245" s="241"/>
      <c r="AH245" s="241"/>
      <c r="AI245" s="156"/>
    </row>
    <row r="246" spans="1:42" s="21" customFormat="1" x14ac:dyDescent="0.25">
      <c r="A246" s="261"/>
      <c r="B246" s="260"/>
      <c r="C246" s="259"/>
      <c r="D246" s="240"/>
      <c r="E246" s="240"/>
      <c r="F246" s="113"/>
      <c r="G246" s="241">
        <v>0.22</v>
      </c>
      <c r="H246" s="240">
        <v>12.61</v>
      </c>
      <c r="I246" s="240"/>
      <c r="J246" s="113"/>
      <c r="K246" s="241"/>
      <c r="L246" s="240"/>
      <c r="M246" s="241"/>
      <c r="N246" s="240"/>
      <c r="O246" s="113"/>
      <c r="P246" s="241"/>
      <c r="Q246" s="240"/>
      <c r="R246" s="241"/>
      <c r="S246" s="240"/>
      <c r="T246" s="113"/>
      <c r="U246" s="241"/>
      <c r="V246" s="240"/>
      <c r="W246" s="241"/>
      <c r="X246" s="240"/>
      <c r="Y246" s="113"/>
      <c r="Z246" s="241"/>
      <c r="AA246" s="240"/>
      <c r="AB246" s="241"/>
      <c r="AC246" s="240"/>
      <c r="AD246" s="113"/>
      <c r="AE246" s="241"/>
      <c r="AF246" s="240"/>
      <c r="AG246" s="241"/>
      <c r="AH246" s="241"/>
      <c r="AI246" s="156"/>
    </row>
    <row r="247" spans="1:42" s="21" customFormat="1" x14ac:dyDescent="0.25">
      <c r="A247" s="261"/>
      <c r="B247" s="260"/>
      <c r="C247" s="259"/>
      <c r="D247" s="240"/>
      <c r="E247" s="240"/>
      <c r="F247" s="113"/>
      <c r="G247" s="241">
        <v>0.08</v>
      </c>
      <c r="H247" s="240">
        <v>12.68</v>
      </c>
      <c r="I247" s="240"/>
      <c r="J247" s="113"/>
      <c r="K247" s="241"/>
      <c r="L247" s="240"/>
      <c r="M247" s="241"/>
      <c r="N247" s="240"/>
      <c r="O247" s="113"/>
      <c r="P247" s="241"/>
      <c r="Q247" s="240"/>
      <c r="R247" s="241"/>
      <c r="S247" s="240"/>
      <c r="T247" s="113"/>
      <c r="U247" s="241"/>
      <c r="V247" s="240"/>
      <c r="W247" s="241"/>
      <c r="X247" s="240"/>
      <c r="Y247" s="113"/>
      <c r="Z247" s="241"/>
      <c r="AA247" s="240"/>
      <c r="AB247" s="241"/>
      <c r="AC247" s="240"/>
      <c r="AD247" s="113"/>
      <c r="AE247" s="241"/>
      <c r="AF247" s="240"/>
      <c r="AG247" s="241"/>
      <c r="AH247" s="241"/>
      <c r="AI247" s="156"/>
    </row>
    <row r="248" spans="1:42" s="21" customFormat="1" x14ac:dyDescent="0.25">
      <c r="A248" s="261"/>
      <c r="B248" s="260"/>
      <c r="C248" s="259"/>
      <c r="D248" s="240"/>
      <c r="E248" s="240"/>
      <c r="F248" s="113"/>
      <c r="G248" s="241">
        <v>7.0000000000000007E-2</v>
      </c>
      <c r="H248" s="240">
        <v>12.72</v>
      </c>
      <c r="I248" s="240"/>
      <c r="J248" s="113"/>
      <c r="K248" s="241"/>
      <c r="L248" s="240"/>
      <c r="M248" s="241"/>
      <c r="N248" s="240"/>
      <c r="O248" s="113"/>
      <c r="P248" s="241"/>
      <c r="Q248" s="240"/>
      <c r="R248" s="241"/>
      <c r="S248" s="240"/>
      <c r="T248" s="113"/>
      <c r="U248" s="241"/>
      <c r="V248" s="240"/>
      <c r="W248" s="241"/>
      <c r="X248" s="240"/>
      <c r="Y248" s="113"/>
      <c r="Z248" s="241"/>
      <c r="AA248" s="240"/>
      <c r="AB248" s="241"/>
      <c r="AC248" s="240"/>
      <c r="AD248" s="113"/>
      <c r="AE248" s="241"/>
      <c r="AF248" s="240"/>
      <c r="AG248" s="241"/>
      <c r="AH248" s="241"/>
      <c r="AI248" s="156"/>
    </row>
    <row r="249" spans="1:42" s="21" customFormat="1" x14ac:dyDescent="0.25">
      <c r="A249" s="261">
        <v>61</v>
      </c>
      <c r="B249" s="260">
        <v>0.53</v>
      </c>
      <c r="C249" s="259">
        <v>12.83</v>
      </c>
      <c r="D249" s="240"/>
      <c r="E249" s="240"/>
      <c r="F249" s="113"/>
      <c r="G249" s="241">
        <v>0.54</v>
      </c>
      <c r="H249" s="240">
        <v>12.79</v>
      </c>
      <c r="I249" s="240"/>
      <c r="J249" s="113"/>
      <c r="K249" s="241"/>
      <c r="L249" s="240"/>
      <c r="M249" s="241"/>
      <c r="N249" s="240"/>
      <c r="O249" s="113"/>
      <c r="P249" s="241"/>
      <c r="Q249" s="240"/>
      <c r="R249" s="241"/>
      <c r="S249" s="240"/>
      <c r="T249" s="113"/>
      <c r="U249" s="241"/>
      <c r="V249" s="240"/>
      <c r="W249" s="241"/>
      <c r="X249" s="240"/>
      <c r="Y249" s="113"/>
      <c r="Z249" s="241"/>
      <c r="AA249" s="240"/>
      <c r="AB249" s="241"/>
      <c r="AC249" s="240"/>
      <c r="AD249" s="113"/>
      <c r="AE249" s="241"/>
      <c r="AF249" s="240"/>
      <c r="AG249" s="241"/>
      <c r="AH249" s="241"/>
      <c r="AI249" s="156"/>
    </row>
    <row r="250" spans="1:42" s="21" customFormat="1" x14ac:dyDescent="0.25">
      <c r="A250" s="261"/>
      <c r="B250" s="260"/>
      <c r="C250" s="259"/>
      <c r="D250" s="240"/>
      <c r="E250" s="240"/>
      <c r="F250" s="113"/>
      <c r="G250" s="241">
        <v>0.17</v>
      </c>
      <c r="H250" s="240">
        <v>12.89</v>
      </c>
      <c r="I250" s="240"/>
      <c r="J250" s="113"/>
      <c r="K250" s="241"/>
      <c r="L250" s="240"/>
      <c r="M250" s="241"/>
      <c r="N250" s="240"/>
      <c r="O250" s="113"/>
      <c r="P250" s="241"/>
      <c r="Q250" s="240"/>
      <c r="R250" s="241"/>
      <c r="S250" s="240"/>
      <c r="T250" s="113"/>
      <c r="U250" s="241"/>
      <c r="V250" s="240"/>
      <c r="W250" s="241"/>
      <c r="X250" s="240"/>
      <c r="Y250" s="113"/>
      <c r="Z250" s="241"/>
      <c r="AA250" s="240"/>
      <c r="AB250" s="241"/>
      <c r="AC250" s="240"/>
      <c r="AD250" s="113"/>
      <c r="AE250" s="241"/>
      <c r="AF250" s="240"/>
      <c r="AG250" s="241"/>
      <c r="AH250" s="241"/>
      <c r="AI250" s="156"/>
    </row>
    <row r="251" spans="1:42" s="21" customFormat="1" x14ac:dyDescent="0.25">
      <c r="A251" s="261">
        <v>62</v>
      </c>
      <c r="B251" s="260">
        <v>0.69</v>
      </c>
      <c r="C251" s="259">
        <v>13.01</v>
      </c>
      <c r="D251" s="240"/>
      <c r="E251" s="240"/>
      <c r="F251" s="113"/>
      <c r="G251" s="241">
        <v>0.31</v>
      </c>
      <c r="H251" s="240">
        <v>12.99</v>
      </c>
      <c r="I251" s="240"/>
      <c r="J251" s="113"/>
      <c r="K251" s="241"/>
      <c r="L251" s="240"/>
      <c r="M251" s="241"/>
      <c r="N251" s="240"/>
      <c r="O251" s="113"/>
      <c r="P251" s="241"/>
      <c r="Q251" s="240"/>
      <c r="R251" s="241"/>
      <c r="S251" s="240"/>
      <c r="T251" s="113"/>
      <c r="U251" s="241"/>
      <c r="V251" s="240"/>
      <c r="W251" s="241"/>
      <c r="X251" s="240"/>
      <c r="Y251" s="113"/>
      <c r="Z251" s="241"/>
      <c r="AA251" s="240"/>
      <c r="AB251" s="241"/>
      <c r="AC251" s="240"/>
      <c r="AD251" s="113"/>
      <c r="AE251" s="241"/>
      <c r="AF251" s="240"/>
      <c r="AG251" s="241"/>
      <c r="AH251" s="241"/>
      <c r="AI251" s="156"/>
    </row>
    <row r="252" spans="1:42" s="21" customFormat="1" x14ac:dyDescent="0.25">
      <c r="A252" s="261"/>
      <c r="B252" s="260"/>
      <c r="C252" s="259"/>
      <c r="D252" s="240"/>
      <c r="E252" s="240"/>
      <c r="F252" s="113"/>
      <c r="G252" s="241">
        <v>0.36</v>
      </c>
      <c r="H252" s="240">
        <v>13.07</v>
      </c>
      <c r="I252" s="240"/>
      <c r="J252" s="113"/>
      <c r="K252" s="241"/>
      <c r="L252" s="240"/>
      <c r="M252" s="241"/>
      <c r="N252" s="240"/>
      <c r="O252" s="113"/>
      <c r="P252" s="241"/>
      <c r="Q252" s="240"/>
      <c r="R252" s="241"/>
      <c r="S252" s="240"/>
      <c r="T252" s="113"/>
      <c r="U252" s="241"/>
      <c r="V252" s="240"/>
      <c r="W252" s="241"/>
      <c r="X252" s="240"/>
      <c r="Y252" s="113"/>
      <c r="Z252" s="241"/>
      <c r="AA252" s="240"/>
      <c r="AB252" s="241"/>
      <c r="AC252" s="240"/>
      <c r="AD252" s="113"/>
      <c r="AE252" s="241"/>
      <c r="AF252" s="240"/>
      <c r="AG252" s="241"/>
      <c r="AH252" s="241"/>
      <c r="AI252" s="156"/>
      <c r="AJ252" s="27"/>
      <c r="AK252" s="27"/>
      <c r="AL252" s="27"/>
      <c r="AM252" s="27"/>
      <c r="AN252" s="27"/>
      <c r="AO252" s="27"/>
      <c r="AP252" s="27"/>
    </row>
    <row r="253" spans="1:42" s="21" customFormat="1" x14ac:dyDescent="0.25">
      <c r="A253" s="50" t="s">
        <v>224</v>
      </c>
      <c r="B253" s="111">
        <f>SUM(B3:B252)</f>
        <v>100.01999999999997</v>
      </c>
      <c r="C253" s="153"/>
      <c r="D253" s="111">
        <f>SUM(D3:D252)</f>
        <v>96.796666666666738</v>
      </c>
      <c r="E253" s="153"/>
      <c r="F253" s="113"/>
      <c r="G253" s="111">
        <f>SUM(G3:G252)</f>
        <v>99.979999999999976</v>
      </c>
      <c r="H253" s="50"/>
      <c r="I253" s="50"/>
      <c r="J253" s="113"/>
      <c r="K253" s="111">
        <f>SUM(K3:K252)</f>
        <v>100.05999999999999</v>
      </c>
      <c r="L253" s="153"/>
      <c r="M253" s="111">
        <f>SUM(M3:M252)</f>
        <v>96.430000000000064</v>
      </c>
      <c r="N253" s="153"/>
      <c r="O253" s="113"/>
      <c r="P253" s="111">
        <f>SUM(P3:P252)</f>
        <v>99.990000000000009</v>
      </c>
      <c r="Q253" s="153"/>
      <c r="R253" s="111">
        <f>SUM(R3:R252)</f>
        <v>96.080000000000027</v>
      </c>
      <c r="S253" s="153"/>
      <c r="T253" s="113"/>
      <c r="U253" s="111">
        <f>SUM(U3:U252)</f>
        <v>99.979999999999976</v>
      </c>
      <c r="V253" s="153"/>
      <c r="W253" s="111">
        <f>SUM(W3:W252)</f>
        <v>96.726666666666702</v>
      </c>
      <c r="X253" s="153"/>
      <c r="Y253" s="113"/>
      <c r="Z253" s="111">
        <f>SUM(Z3:Z252)</f>
        <v>99.990000000000009</v>
      </c>
      <c r="AA253" s="153"/>
      <c r="AB253" s="111">
        <f>SUM(AB3:AB252)</f>
        <v>93.775000000000006</v>
      </c>
      <c r="AC253" s="153"/>
      <c r="AD253" s="113"/>
      <c r="AE253" s="111">
        <f>SUM(AE3:AE252)</f>
        <v>99.939999999999969</v>
      </c>
      <c r="AF253" s="153"/>
      <c r="AG253" s="111">
        <f>SUM(AG3:AG252)</f>
        <v>94.816666666666677</v>
      </c>
      <c r="AH253" s="111"/>
      <c r="AI253" s="156"/>
    </row>
    <row r="254" spans="1:42" x14ac:dyDescent="0.25">
      <c r="B254" s="138"/>
      <c r="C254" s="154"/>
      <c r="D254" s="154"/>
      <c r="E254" s="154"/>
      <c r="K254" s="138"/>
      <c r="L254" s="154"/>
      <c r="M254" s="138"/>
      <c r="N254" s="154"/>
      <c r="P254" s="138"/>
      <c r="Q254" s="154"/>
      <c r="R254" s="138"/>
      <c r="S254" s="154"/>
      <c r="U254" s="138"/>
      <c r="V254" s="154"/>
      <c r="W254" s="138"/>
      <c r="X254" s="154"/>
      <c r="Z254" s="138"/>
      <c r="AA254" s="154"/>
      <c r="AB254" s="138"/>
      <c r="AC254" s="154"/>
    </row>
    <row r="255" spans="1:42" x14ac:dyDescent="0.25">
      <c r="A255" s="121" t="s">
        <v>399</v>
      </c>
      <c r="B255" s="138"/>
      <c r="C255" s="154"/>
      <c r="D255" s="154"/>
      <c r="E255" s="154"/>
      <c r="K255" s="138"/>
      <c r="L255" s="154"/>
      <c r="M255" s="138"/>
      <c r="N255" s="154"/>
      <c r="P255" s="138"/>
      <c r="Q255" s="154"/>
      <c r="R255" s="138"/>
      <c r="S255" s="154"/>
      <c r="U255" s="138"/>
      <c r="V255" s="154"/>
      <c r="W255" s="138"/>
      <c r="X255" s="154"/>
      <c r="Z255" s="138"/>
      <c r="AA255" s="154"/>
      <c r="AB255" s="138"/>
      <c r="AC255" s="154"/>
    </row>
    <row r="256" spans="1:42" x14ac:dyDescent="0.25">
      <c r="B256" s="138"/>
      <c r="C256" s="154"/>
      <c r="D256" s="154"/>
      <c r="E256" s="154"/>
      <c r="K256" s="138"/>
      <c r="L256" s="154"/>
      <c r="M256" s="138"/>
      <c r="N256" s="154"/>
      <c r="P256" s="138"/>
      <c r="Q256" s="154"/>
      <c r="R256" s="138"/>
      <c r="S256" s="154"/>
      <c r="U256" s="138"/>
      <c r="V256" s="154"/>
      <c r="W256" s="138"/>
      <c r="X256" s="154"/>
      <c r="Z256" s="138"/>
      <c r="AA256" s="154"/>
      <c r="AB256" s="138"/>
      <c r="AC256" s="154"/>
    </row>
    <row r="257" spans="2:29" x14ac:dyDescent="0.25">
      <c r="B257" s="138"/>
      <c r="C257" s="154"/>
      <c r="D257" s="154"/>
      <c r="E257" s="154"/>
      <c r="G257" s="138"/>
      <c r="H257" s="154"/>
      <c r="I257" s="154"/>
      <c r="K257" s="138"/>
      <c r="L257" s="154"/>
      <c r="M257" s="138"/>
      <c r="N257" s="154"/>
      <c r="P257" s="138"/>
      <c r="Q257" s="154"/>
      <c r="R257" s="138"/>
      <c r="S257" s="154"/>
      <c r="U257" s="138"/>
      <c r="V257" s="154"/>
      <c r="W257" s="138"/>
      <c r="X257" s="154"/>
      <c r="Z257" s="138"/>
      <c r="AA257" s="154"/>
      <c r="AB257" s="138"/>
      <c r="AC257" s="154"/>
    </row>
    <row r="258" spans="2:29" x14ac:dyDescent="0.25">
      <c r="B258" s="138"/>
      <c r="C258" s="154"/>
      <c r="D258" s="154"/>
      <c r="E258" s="154"/>
      <c r="G258" s="138"/>
      <c r="H258" s="154"/>
      <c r="I258" s="154"/>
      <c r="K258" s="138"/>
      <c r="L258" s="154"/>
      <c r="M258" s="138"/>
      <c r="N258" s="154"/>
      <c r="P258" s="138"/>
      <c r="Q258" s="154"/>
      <c r="R258" s="138"/>
      <c r="S258" s="154"/>
      <c r="U258" s="138"/>
      <c r="V258" s="154"/>
      <c r="W258" s="138"/>
      <c r="X258" s="154"/>
      <c r="Z258" s="138"/>
      <c r="AA258" s="154"/>
      <c r="AB258" s="138"/>
      <c r="AC258" s="154"/>
    </row>
    <row r="259" spans="2:29" x14ac:dyDescent="0.25">
      <c r="B259" s="138"/>
      <c r="C259" s="154"/>
      <c r="D259" s="154"/>
      <c r="E259" s="154"/>
      <c r="G259" s="138"/>
      <c r="H259" s="154"/>
      <c r="I259" s="154"/>
      <c r="K259" s="138"/>
      <c r="L259" s="154"/>
      <c r="M259" s="138"/>
      <c r="N259" s="154"/>
      <c r="P259" s="138"/>
      <c r="Q259" s="154"/>
      <c r="R259" s="138"/>
      <c r="S259" s="154"/>
      <c r="U259" s="138"/>
      <c r="V259" s="154"/>
      <c r="W259" s="138"/>
      <c r="X259" s="154"/>
      <c r="Z259" s="138"/>
      <c r="AA259" s="154"/>
      <c r="AB259" s="138"/>
      <c r="AC259" s="154"/>
    </row>
    <row r="260" spans="2:29" x14ac:dyDescent="0.25">
      <c r="B260" s="138"/>
      <c r="C260" s="154"/>
      <c r="D260" s="154"/>
      <c r="E260" s="154"/>
      <c r="G260" s="138"/>
      <c r="H260" s="154"/>
      <c r="I260" s="154"/>
      <c r="K260" s="138"/>
      <c r="L260" s="154"/>
      <c r="M260" s="138"/>
      <c r="N260" s="154"/>
      <c r="P260" s="138"/>
      <c r="Q260" s="154"/>
      <c r="R260" s="138"/>
      <c r="S260" s="154"/>
      <c r="U260" s="138"/>
      <c r="V260" s="154"/>
      <c r="W260" s="138"/>
      <c r="X260" s="154"/>
      <c r="Z260" s="138"/>
      <c r="AA260" s="154"/>
      <c r="AB260" s="138"/>
      <c r="AC260" s="154"/>
    </row>
    <row r="261" spans="2:29" x14ac:dyDescent="0.25">
      <c r="B261" s="138"/>
      <c r="C261" s="154"/>
      <c r="D261" s="154"/>
      <c r="E261" s="154"/>
      <c r="G261" s="138"/>
      <c r="H261" s="154"/>
      <c r="I261" s="154"/>
      <c r="K261" s="138"/>
      <c r="L261" s="154"/>
      <c r="M261" s="138"/>
      <c r="N261" s="154"/>
      <c r="P261" s="138"/>
      <c r="Q261" s="154"/>
      <c r="R261" s="138"/>
      <c r="S261" s="154"/>
      <c r="U261" s="138"/>
      <c r="V261" s="154"/>
      <c r="W261" s="138"/>
      <c r="X261" s="154"/>
      <c r="Z261" s="138"/>
      <c r="AA261" s="154"/>
      <c r="AB261" s="138"/>
      <c r="AC261" s="154"/>
    </row>
    <row r="262" spans="2:29" x14ac:dyDescent="0.25">
      <c r="B262" s="138"/>
      <c r="C262" s="154"/>
      <c r="D262" s="154"/>
      <c r="E262" s="154"/>
      <c r="G262" s="138"/>
      <c r="H262" s="154"/>
      <c r="I262" s="154"/>
      <c r="K262" s="138"/>
      <c r="L262" s="154"/>
      <c r="M262" s="138"/>
      <c r="N262" s="154"/>
      <c r="P262" s="138"/>
      <c r="Q262" s="154"/>
      <c r="R262" s="138"/>
      <c r="S262" s="154"/>
      <c r="U262" s="138"/>
      <c r="V262" s="154"/>
      <c r="W262" s="138"/>
      <c r="X262" s="154"/>
      <c r="Z262" s="138"/>
      <c r="AA262" s="154"/>
      <c r="AB262" s="138"/>
      <c r="AC262" s="154"/>
    </row>
    <row r="263" spans="2:29" x14ac:dyDescent="0.25">
      <c r="B263" s="138"/>
      <c r="C263" s="154"/>
      <c r="D263" s="154"/>
      <c r="E263" s="154"/>
      <c r="G263" s="138"/>
      <c r="H263" s="154"/>
      <c r="I263" s="154"/>
      <c r="K263" s="138"/>
      <c r="L263" s="154"/>
      <c r="M263" s="138"/>
      <c r="N263" s="154"/>
      <c r="P263" s="138"/>
      <c r="Q263" s="154"/>
      <c r="R263" s="138"/>
      <c r="S263" s="154"/>
      <c r="U263" s="138"/>
      <c r="V263" s="154"/>
      <c r="W263" s="138"/>
      <c r="X263" s="154"/>
      <c r="Z263" s="138"/>
      <c r="AA263" s="154"/>
      <c r="AB263" s="138"/>
      <c r="AC263" s="154"/>
    </row>
    <row r="264" spans="2:29" x14ac:dyDescent="0.25">
      <c r="B264" s="138"/>
      <c r="C264" s="154"/>
      <c r="D264" s="154"/>
      <c r="E264" s="154"/>
      <c r="G264" s="138"/>
      <c r="H264" s="154"/>
      <c r="I264" s="154"/>
      <c r="K264" s="138"/>
      <c r="L264" s="154"/>
      <c r="M264" s="138"/>
      <c r="N264" s="154"/>
      <c r="P264" s="138"/>
      <c r="Q264" s="154"/>
      <c r="R264" s="138"/>
      <c r="S264" s="154"/>
      <c r="U264" s="138"/>
      <c r="V264" s="154"/>
      <c r="W264" s="138"/>
      <c r="X264" s="154"/>
      <c r="Z264" s="138"/>
      <c r="AA264" s="154"/>
      <c r="AB264" s="138"/>
      <c r="AC264" s="154"/>
    </row>
    <row r="265" spans="2:29" x14ac:dyDescent="0.25">
      <c r="B265" s="138"/>
      <c r="C265" s="154"/>
      <c r="D265" s="154"/>
      <c r="E265" s="154"/>
      <c r="G265" s="138"/>
      <c r="H265" s="154"/>
      <c r="I265" s="154"/>
      <c r="K265" s="138"/>
      <c r="L265" s="154"/>
      <c r="M265" s="138"/>
      <c r="N265" s="154"/>
      <c r="P265" s="138"/>
      <c r="Q265" s="154"/>
      <c r="R265" s="138"/>
      <c r="S265" s="154"/>
      <c r="U265" s="138"/>
      <c r="V265" s="154"/>
      <c r="W265" s="138"/>
      <c r="X265" s="154"/>
      <c r="Z265" s="138"/>
      <c r="AA265" s="154"/>
      <c r="AB265" s="138"/>
      <c r="AC265" s="154"/>
    </row>
    <row r="266" spans="2:29" x14ac:dyDescent="0.25">
      <c r="B266" s="138"/>
      <c r="C266" s="154"/>
      <c r="D266" s="154"/>
      <c r="E266" s="154"/>
      <c r="G266" s="138"/>
      <c r="H266" s="154"/>
      <c r="I266" s="154"/>
      <c r="K266" s="138"/>
      <c r="L266" s="154"/>
      <c r="M266" s="138"/>
      <c r="N266" s="154"/>
      <c r="P266" s="138"/>
      <c r="Q266" s="154"/>
      <c r="R266" s="138"/>
      <c r="S266" s="154"/>
      <c r="U266" s="138"/>
      <c r="V266" s="154"/>
      <c r="W266" s="138"/>
      <c r="X266" s="154"/>
      <c r="Z266" s="138"/>
      <c r="AA266" s="154"/>
      <c r="AB266" s="138"/>
      <c r="AC266" s="154"/>
    </row>
    <row r="267" spans="2:29" x14ac:dyDescent="0.25">
      <c r="B267" s="138"/>
      <c r="C267" s="154"/>
      <c r="D267" s="154"/>
      <c r="E267" s="154"/>
      <c r="G267" s="138"/>
      <c r="H267" s="154"/>
      <c r="I267" s="154"/>
      <c r="K267" s="138"/>
      <c r="L267" s="154"/>
      <c r="M267" s="138"/>
      <c r="N267" s="154"/>
      <c r="P267" s="138"/>
      <c r="Q267" s="154"/>
      <c r="R267" s="138"/>
      <c r="S267" s="154"/>
      <c r="U267" s="138"/>
      <c r="V267" s="154"/>
      <c r="W267" s="138"/>
      <c r="X267" s="154"/>
      <c r="Z267" s="138"/>
      <c r="AA267" s="154"/>
      <c r="AB267" s="138"/>
      <c r="AC267" s="154"/>
    </row>
    <row r="268" spans="2:29" x14ac:dyDescent="0.25">
      <c r="B268" s="138"/>
      <c r="C268" s="154"/>
      <c r="D268" s="154"/>
      <c r="E268" s="154"/>
      <c r="G268" s="138"/>
      <c r="H268" s="154"/>
      <c r="I268" s="154"/>
      <c r="K268" s="138"/>
      <c r="L268" s="154"/>
      <c r="M268" s="138"/>
      <c r="N268" s="154"/>
      <c r="P268" s="138"/>
      <c r="Q268" s="154"/>
      <c r="R268" s="138"/>
      <c r="S268" s="154"/>
      <c r="U268" s="138"/>
      <c r="V268" s="154"/>
      <c r="W268" s="138"/>
      <c r="X268" s="154"/>
      <c r="Z268" s="138"/>
      <c r="AA268" s="154"/>
      <c r="AB268" s="138"/>
      <c r="AC268" s="154"/>
    </row>
    <row r="269" spans="2:29" x14ac:dyDescent="0.25">
      <c r="B269" s="138"/>
      <c r="C269" s="154"/>
      <c r="D269" s="154"/>
      <c r="E269" s="154"/>
      <c r="G269" s="138"/>
      <c r="H269" s="154"/>
      <c r="I269" s="154"/>
      <c r="K269" s="138"/>
      <c r="L269" s="154"/>
      <c r="M269" s="138"/>
      <c r="N269" s="154"/>
      <c r="P269" s="138"/>
      <c r="Q269" s="154"/>
      <c r="R269" s="138"/>
      <c r="S269" s="154"/>
      <c r="U269" s="138"/>
      <c r="V269" s="154"/>
      <c r="W269" s="138"/>
      <c r="X269" s="154"/>
      <c r="Z269" s="138"/>
      <c r="AA269" s="154"/>
      <c r="AB269" s="138"/>
      <c r="AC269" s="154"/>
    </row>
    <row r="270" spans="2:29" x14ac:dyDescent="0.25">
      <c r="B270" s="138"/>
      <c r="C270" s="154"/>
      <c r="D270" s="154"/>
      <c r="E270" s="154"/>
      <c r="G270" s="138"/>
      <c r="H270" s="154"/>
      <c r="I270" s="154"/>
      <c r="K270" s="138"/>
      <c r="L270" s="154"/>
      <c r="M270" s="138"/>
      <c r="N270" s="154"/>
      <c r="P270" s="138"/>
      <c r="Q270" s="154"/>
      <c r="R270" s="138"/>
      <c r="S270" s="154"/>
      <c r="U270" s="138"/>
      <c r="V270" s="154"/>
      <c r="W270" s="138"/>
      <c r="X270" s="154"/>
      <c r="Z270" s="138"/>
      <c r="AA270" s="154"/>
      <c r="AB270" s="138"/>
      <c r="AC270" s="154"/>
    </row>
    <row r="271" spans="2:29" x14ac:dyDescent="0.25">
      <c r="B271" s="138"/>
      <c r="C271" s="154"/>
      <c r="D271" s="154"/>
      <c r="E271" s="154"/>
      <c r="G271" s="138"/>
      <c r="H271" s="154"/>
      <c r="I271" s="154"/>
      <c r="K271" s="138"/>
      <c r="L271" s="154"/>
      <c r="M271" s="138"/>
      <c r="N271" s="154"/>
      <c r="P271" s="138"/>
      <c r="Q271" s="154"/>
      <c r="R271" s="138"/>
      <c r="S271" s="154"/>
      <c r="U271" s="138"/>
      <c r="V271" s="154"/>
      <c r="W271" s="138"/>
      <c r="X271" s="154"/>
      <c r="Z271" s="138"/>
      <c r="AA271" s="154"/>
      <c r="AB271" s="138"/>
      <c r="AC271" s="154"/>
    </row>
    <row r="272" spans="2:29" x14ac:dyDescent="0.25">
      <c r="B272" s="138"/>
      <c r="C272" s="154"/>
      <c r="D272" s="154"/>
      <c r="E272" s="154"/>
      <c r="G272" s="138"/>
      <c r="H272" s="154"/>
      <c r="I272" s="154"/>
      <c r="K272" s="138"/>
      <c r="L272" s="154"/>
      <c r="M272" s="138"/>
      <c r="N272" s="154"/>
      <c r="P272" s="138"/>
      <c r="Q272" s="154"/>
      <c r="R272" s="138"/>
      <c r="S272" s="154"/>
      <c r="U272" s="138"/>
      <c r="V272" s="154"/>
      <c r="W272" s="138"/>
      <c r="X272" s="154"/>
      <c r="Z272" s="138"/>
      <c r="AA272" s="154"/>
      <c r="AB272" s="138"/>
      <c r="AC272" s="154"/>
    </row>
    <row r="273" spans="2:29" x14ac:dyDescent="0.25">
      <c r="B273" s="138"/>
      <c r="C273" s="154"/>
      <c r="D273" s="154"/>
      <c r="E273" s="154"/>
      <c r="G273" s="138"/>
      <c r="H273" s="154"/>
      <c r="I273" s="154"/>
      <c r="K273" s="138"/>
      <c r="L273" s="154"/>
      <c r="M273" s="138"/>
      <c r="N273" s="154"/>
      <c r="P273" s="138"/>
      <c r="Q273" s="154"/>
      <c r="R273" s="138"/>
      <c r="S273" s="154"/>
      <c r="U273" s="138"/>
      <c r="V273" s="154"/>
      <c r="W273" s="138"/>
      <c r="X273" s="154"/>
      <c r="Z273" s="138"/>
      <c r="AA273" s="154"/>
      <c r="AB273" s="138"/>
      <c r="AC273" s="154"/>
    </row>
    <row r="274" spans="2:29" x14ac:dyDescent="0.25">
      <c r="B274" s="138"/>
      <c r="C274" s="154"/>
      <c r="D274" s="154"/>
      <c r="E274" s="154"/>
      <c r="G274" s="138"/>
      <c r="H274" s="154"/>
      <c r="I274" s="154"/>
      <c r="K274" s="138"/>
      <c r="L274" s="154"/>
      <c r="M274" s="138"/>
      <c r="N274" s="154"/>
      <c r="P274" s="138"/>
      <c r="Q274" s="154"/>
      <c r="R274" s="138"/>
      <c r="S274" s="154"/>
      <c r="U274" s="138"/>
      <c r="V274" s="154"/>
      <c r="W274" s="138"/>
      <c r="X274" s="154"/>
      <c r="Z274" s="138"/>
      <c r="AA274" s="154"/>
      <c r="AB274" s="138"/>
      <c r="AC274" s="154"/>
    </row>
    <row r="275" spans="2:29" x14ac:dyDescent="0.25">
      <c r="B275" s="138"/>
      <c r="C275" s="154"/>
      <c r="D275" s="154"/>
      <c r="E275" s="154"/>
      <c r="G275" s="138"/>
      <c r="H275" s="154"/>
      <c r="I275" s="154"/>
      <c r="K275" s="138"/>
      <c r="L275" s="154"/>
      <c r="M275" s="138"/>
      <c r="N275" s="154"/>
      <c r="P275" s="138"/>
      <c r="Q275" s="154"/>
      <c r="R275" s="138"/>
      <c r="S275" s="154"/>
      <c r="U275" s="138"/>
      <c r="V275" s="154"/>
      <c r="W275" s="138"/>
      <c r="X275" s="154"/>
      <c r="Z275" s="138"/>
      <c r="AA275" s="154"/>
      <c r="AB275" s="138"/>
      <c r="AC275" s="154"/>
    </row>
    <row r="276" spans="2:29" x14ac:dyDescent="0.25">
      <c r="B276" s="138"/>
      <c r="C276" s="154"/>
      <c r="D276" s="154"/>
      <c r="E276" s="154"/>
      <c r="G276" s="138"/>
      <c r="H276" s="154"/>
      <c r="I276" s="154"/>
      <c r="K276" s="138"/>
      <c r="L276" s="154"/>
      <c r="M276" s="138"/>
      <c r="N276" s="154"/>
      <c r="P276" s="138"/>
      <c r="Q276" s="154"/>
      <c r="R276" s="138"/>
      <c r="S276" s="154"/>
      <c r="U276" s="138"/>
      <c r="V276" s="154"/>
      <c r="W276" s="138"/>
      <c r="X276" s="154"/>
      <c r="Z276" s="138"/>
      <c r="AA276" s="154"/>
      <c r="AB276" s="138"/>
      <c r="AC276" s="154"/>
    </row>
  </sheetData>
  <mergeCells count="781">
    <mergeCell ref="AE1:AH1"/>
    <mergeCell ref="AA171:AA179"/>
    <mergeCell ref="Z171:Z179"/>
    <mergeCell ref="L65:L67"/>
    <mergeCell ref="K65:K67"/>
    <mergeCell ref="L79:L80"/>
    <mergeCell ref="K79:K80"/>
    <mergeCell ref="L96:L98"/>
    <mergeCell ref="U168:U170"/>
    <mergeCell ref="V171:V179"/>
    <mergeCell ref="U171:U179"/>
    <mergeCell ref="V132:V142"/>
    <mergeCell ref="U132:U142"/>
    <mergeCell ref="V128:V130"/>
    <mergeCell ref="U128:U130"/>
    <mergeCell ref="V112:V115"/>
    <mergeCell ref="U112:U115"/>
    <mergeCell ref="V160:V162"/>
    <mergeCell ref="Z158:Z166"/>
    <mergeCell ref="P160:P162"/>
    <mergeCell ref="Q160:Q162"/>
    <mergeCell ref="P128:P131"/>
    <mergeCell ref="AA109:AA111"/>
    <mergeCell ref="AA96:AA98"/>
    <mergeCell ref="A1:B1"/>
    <mergeCell ref="C1:E1"/>
    <mergeCell ref="K1:N1"/>
    <mergeCell ref="P1:S1"/>
    <mergeCell ref="U1:X1"/>
    <mergeCell ref="Z1:AC1"/>
    <mergeCell ref="P105:P107"/>
    <mergeCell ref="P125:P127"/>
    <mergeCell ref="Q125:Q127"/>
    <mergeCell ref="G82:G84"/>
    <mergeCell ref="G110:G111"/>
    <mergeCell ref="G86:G95"/>
    <mergeCell ref="G96:G98"/>
    <mergeCell ref="G116:G124"/>
    <mergeCell ref="K99:K104"/>
    <mergeCell ref="L99:L104"/>
    <mergeCell ref="Q81:Q84"/>
    <mergeCell ref="P116:P124"/>
    <mergeCell ref="H116:H124"/>
    <mergeCell ref="P85:P86"/>
    <mergeCell ref="AA116:AA117"/>
    <mergeCell ref="L107:L111"/>
    <mergeCell ref="K107:K111"/>
    <mergeCell ref="H108:H109"/>
    <mergeCell ref="AF55:AF56"/>
    <mergeCell ref="AE55:AE56"/>
    <mergeCell ref="B65:B67"/>
    <mergeCell ref="C68:C70"/>
    <mergeCell ref="Z109:Z111"/>
    <mergeCell ref="Q151:Q155"/>
    <mergeCell ref="P151:P155"/>
    <mergeCell ref="AE147:AE151"/>
    <mergeCell ref="AF147:AF151"/>
    <mergeCell ref="AF153:AF155"/>
    <mergeCell ref="AE153:AE155"/>
    <mergeCell ref="AF116:AF117"/>
    <mergeCell ref="AE116:AE117"/>
    <mergeCell ref="AE118:AE120"/>
    <mergeCell ref="AF118:AF120"/>
    <mergeCell ref="H110:H111"/>
    <mergeCell ref="H86:H95"/>
    <mergeCell ref="H96:H98"/>
    <mergeCell ref="P112:P115"/>
    <mergeCell ref="Q112:Q115"/>
    <mergeCell ref="Q87:Q95"/>
    <mergeCell ref="K96:K98"/>
    <mergeCell ref="Z133:Z142"/>
    <mergeCell ref="AA133:AA142"/>
    <mergeCell ref="B36:B38"/>
    <mergeCell ref="C39:C41"/>
    <mergeCell ref="B39:B41"/>
    <mergeCell ref="C42:C43"/>
    <mergeCell ref="B42:B43"/>
    <mergeCell ref="C65:C67"/>
    <mergeCell ref="P108:P111"/>
    <mergeCell ref="Z58:Z64"/>
    <mergeCell ref="AA58:AA64"/>
    <mergeCell ref="AA44:AA49"/>
    <mergeCell ref="Z44:Z49"/>
    <mergeCell ref="B54:B57"/>
    <mergeCell ref="C54:C57"/>
    <mergeCell ref="H54:H56"/>
    <mergeCell ref="H82:H84"/>
    <mergeCell ref="Q96:Q98"/>
    <mergeCell ref="P99:P104"/>
    <mergeCell ref="Q105:Q107"/>
    <mergeCell ref="AA42:AA43"/>
    <mergeCell ref="U85:U86"/>
    <mergeCell ref="V73:V78"/>
    <mergeCell ref="U73:U78"/>
    <mergeCell ref="U81:U84"/>
    <mergeCell ref="B58:B64"/>
    <mergeCell ref="C36:C38"/>
    <mergeCell ref="AF68:AF69"/>
    <mergeCell ref="AE68:AE69"/>
    <mergeCell ref="Z121:Z124"/>
    <mergeCell ref="L112:L124"/>
    <mergeCell ref="K112:K124"/>
    <mergeCell ref="Q116:Q124"/>
    <mergeCell ref="H44:H48"/>
    <mergeCell ref="Z68:Z70"/>
    <mergeCell ref="AA68:AA70"/>
    <mergeCell ref="Z50:Z53"/>
    <mergeCell ref="AA50:AA53"/>
    <mergeCell ref="V105:V107"/>
    <mergeCell ref="U105:U107"/>
    <mergeCell ref="Q108:Q111"/>
    <mergeCell ref="Q99:Q104"/>
    <mergeCell ref="L58:L63"/>
    <mergeCell ref="K58:K63"/>
    <mergeCell ref="K49:K53"/>
    <mergeCell ref="L49:L53"/>
    <mergeCell ref="Q79:Q80"/>
    <mergeCell ref="AF33:AF38"/>
    <mergeCell ref="AE96:AE98"/>
    <mergeCell ref="AF96:AF98"/>
    <mergeCell ref="L128:L131"/>
    <mergeCell ref="K132:K142"/>
    <mergeCell ref="V108:V111"/>
    <mergeCell ref="AA125:AA127"/>
    <mergeCell ref="Z125:Z127"/>
    <mergeCell ref="C58:C64"/>
    <mergeCell ref="AF167:AF170"/>
    <mergeCell ref="AE167:AE170"/>
    <mergeCell ref="AF159:AF162"/>
    <mergeCell ref="AE159:AE162"/>
    <mergeCell ref="AF156:AF158"/>
    <mergeCell ref="AE156:AE158"/>
    <mergeCell ref="AF163:AF166"/>
    <mergeCell ref="AE163:AE166"/>
    <mergeCell ref="Z65:Z67"/>
    <mergeCell ref="AA65:AA67"/>
    <mergeCell ref="AA71:AA72"/>
    <mergeCell ref="Z96:Z98"/>
    <mergeCell ref="Z99:Z104"/>
    <mergeCell ref="Z116:Z117"/>
    <mergeCell ref="AF133:AF142"/>
    <mergeCell ref="AE133:AE142"/>
    <mergeCell ref="AE143:AE145"/>
    <mergeCell ref="AE128:AE131"/>
    <mergeCell ref="AF128:AF131"/>
    <mergeCell ref="AF143:AF145"/>
    <mergeCell ref="AA99:AA104"/>
    <mergeCell ref="AA121:AA124"/>
    <mergeCell ref="AA105:AA108"/>
    <mergeCell ref="Z105:Z108"/>
    <mergeCell ref="L167:L173"/>
    <mergeCell ref="P143:P146"/>
    <mergeCell ref="Q147:Q150"/>
    <mergeCell ref="P147:P150"/>
    <mergeCell ref="P132:P142"/>
    <mergeCell ref="Q132:Q142"/>
    <mergeCell ref="V168:V170"/>
    <mergeCell ref="AA167:AA170"/>
    <mergeCell ref="Z167:Z170"/>
    <mergeCell ref="AA151:AA152"/>
    <mergeCell ref="Z151:Z152"/>
    <mergeCell ref="Z147:Z148"/>
    <mergeCell ref="P163:P166"/>
    <mergeCell ref="Q163:Q166"/>
    <mergeCell ref="P167:P179"/>
    <mergeCell ref="U160:U162"/>
    <mergeCell ref="V158:V159"/>
    <mergeCell ref="U149:U150"/>
    <mergeCell ref="V149:V150"/>
    <mergeCell ref="U143:U146"/>
    <mergeCell ref="V143:V146"/>
    <mergeCell ref="V147:V148"/>
    <mergeCell ref="U147:U148"/>
    <mergeCell ref="P158:P159"/>
    <mergeCell ref="L219:L220"/>
    <mergeCell ref="K219:K220"/>
    <mergeCell ref="G215:G216"/>
    <mergeCell ref="H215:H216"/>
    <mergeCell ref="H186:H187"/>
    <mergeCell ref="H174:H179"/>
    <mergeCell ref="L217:L218"/>
    <mergeCell ref="K217:K218"/>
    <mergeCell ref="L201:L204"/>
    <mergeCell ref="K188:K197"/>
    <mergeCell ref="L188:L197"/>
    <mergeCell ref="K174:K179"/>
    <mergeCell ref="L174:L179"/>
    <mergeCell ref="K184:K185"/>
    <mergeCell ref="K201:K204"/>
    <mergeCell ref="L182:L183"/>
    <mergeCell ref="K182:K183"/>
    <mergeCell ref="K180:K181"/>
    <mergeCell ref="G186:G187"/>
    <mergeCell ref="Q158:Q159"/>
    <mergeCell ref="G163:G166"/>
    <mergeCell ref="G211:G212"/>
    <mergeCell ref="Q215:Q216"/>
    <mergeCell ref="P215:P216"/>
    <mergeCell ref="Q211:Q212"/>
    <mergeCell ref="P211:P212"/>
    <mergeCell ref="P213:P214"/>
    <mergeCell ref="Q213:Q214"/>
    <mergeCell ref="P189:P194"/>
    <mergeCell ref="Q181:Q182"/>
    <mergeCell ref="P181:P182"/>
    <mergeCell ref="Q186:Q187"/>
    <mergeCell ref="P186:P187"/>
    <mergeCell ref="Q184:Q185"/>
    <mergeCell ref="P184:P185"/>
    <mergeCell ref="H163:H166"/>
    <mergeCell ref="H156:H158"/>
    <mergeCell ref="Q198:Q200"/>
    <mergeCell ref="P207:P209"/>
    <mergeCell ref="Q201:Q203"/>
    <mergeCell ref="K167:K173"/>
    <mergeCell ref="P201:P203"/>
    <mergeCell ref="Q189:Q194"/>
    <mergeCell ref="L143:L146"/>
    <mergeCell ref="K143:K146"/>
    <mergeCell ref="K151:K153"/>
    <mergeCell ref="L151:L153"/>
    <mergeCell ref="L163:L166"/>
    <mergeCell ref="K163:K166"/>
    <mergeCell ref="K159:K162"/>
    <mergeCell ref="L159:L162"/>
    <mergeCell ref="K156:K157"/>
    <mergeCell ref="L156:L157"/>
    <mergeCell ref="L184:L185"/>
    <mergeCell ref="K186:K187"/>
    <mergeCell ref="L186:L187"/>
    <mergeCell ref="G18:G20"/>
    <mergeCell ref="H24:H25"/>
    <mergeCell ref="G24:G25"/>
    <mergeCell ref="H30:H32"/>
    <mergeCell ref="G30:G32"/>
    <mergeCell ref="H34:H35"/>
    <mergeCell ref="G34:G35"/>
    <mergeCell ref="H18:H20"/>
    <mergeCell ref="H42:H43"/>
    <mergeCell ref="G42:G43"/>
    <mergeCell ref="H36:H38"/>
    <mergeCell ref="G36:G38"/>
    <mergeCell ref="H39:H41"/>
    <mergeCell ref="G39:G41"/>
    <mergeCell ref="H26:H27"/>
    <mergeCell ref="G26:G27"/>
    <mergeCell ref="G28:G29"/>
    <mergeCell ref="H28:H29"/>
    <mergeCell ref="Z3:Z5"/>
    <mergeCell ref="AA3:AA5"/>
    <mergeCell ref="Z8:Z10"/>
    <mergeCell ref="AA8:AA10"/>
    <mergeCell ref="Z6:Z7"/>
    <mergeCell ref="AA6:AA7"/>
    <mergeCell ref="Z14:Z17"/>
    <mergeCell ref="AA14:AA17"/>
    <mergeCell ref="Z26:Z29"/>
    <mergeCell ref="AA26:AA29"/>
    <mergeCell ref="Z24:Z25"/>
    <mergeCell ref="AA24:AA25"/>
    <mergeCell ref="Z21:Z22"/>
    <mergeCell ref="AA30:AA32"/>
    <mergeCell ref="AA33:AA41"/>
    <mergeCell ref="Z33:Z41"/>
    <mergeCell ref="Z30:Z32"/>
    <mergeCell ref="Z42:Z43"/>
    <mergeCell ref="AA21:AA22"/>
    <mergeCell ref="Z87:Z94"/>
    <mergeCell ref="AA87:AA94"/>
    <mergeCell ref="Z118:Z120"/>
    <mergeCell ref="AA118:AA120"/>
    <mergeCell ref="AA81:AA84"/>
    <mergeCell ref="Z81:Z84"/>
    <mergeCell ref="G149:G150"/>
    <mergeCell ref="B82:B85"/>
    <mergeCell ref="B242:B248"/>
    <mergeCell ref="C242:C248"/>
    <mergeCell ref="B237:B241"/>
    <mergeCell ref="C237:C241"/>
    <mergeCell ref="B230:B233"/>
    <mergeCell ref="H188:H194"/>
    <mergeCell ref="G183:G185"/>
    <mergeCell ref="H183:H185"/>
    <mergeCell ref="G200:G201"/>
    <mergeCell ref="G213:G214"/>
    <mergeCell ref="G205:G206"/>
    <mergeCell ref="G202:G203"/>
    <mergeCell ref="H213:H214"/>
    <mergeCell ref="G207:G209"/>
    <mergeCell ref="G198:G199"/>
    <mergeCell ref="G230:G233"/>
    <mergeCell ref="H221:H224"/>
    <mergeCell ref="H211:H212"/>
    <mergeCell ref="G221:G224"/>
    <mergeCell ref="C225:C227"/>
    <mergeCell ref="B228:B229"/>
    <mergeCell ref="C228:C229"/>
    <mergeCell ref="C156:C158"/>
    <mergeCell ref="B71:B72"/>
    <mergeCell ref="C71:C72"/>
    <mergeCell ref="H147:H148"/>
    <mergeCell ref="H143:H146"/>
    <mergeCell ref="G143:G146"/>
    <mergeCell ref="G156:G158"/>
    <mergeCell ref="H167:H170"/>
    <mergeCell ref="G167:G170"/>
    <mergeCell ref="G151:G153"/>
    <mergeCell ref="B73:B78"/>
    <mergeCell ref="C73:C78"/>
    <mergeCell ref="B86:B95"/>
    <mergeCell ref="C86:C95"/>
    <mergeCell ref="B79:B80"/>
    <mergeCell ref="C79:C80"/>
    <mergeCell ref="B112:B124"/>
    <mergeCell ref="C112:C124"/>
    <mergeCell ref="G108:G109"/>
    <mergeCell ref="G100:G103"/>
    <mergeCell ref="H79:H80"/>
    <mergeCell ref="G79:G80"/>
    <mergeCell ref="G147:G148"/>
    <mergeCell ref="B159:B162"/>
    <mergeCell ref="C132:C146"/>
    <mergeCell ref="B132:B146"/>
    <mergeCell ref="C159:C162"/>
    <mergeCell ref="C174:C179"/>
    <mergeCell ref="B174:B179"/>
    <mergeCell ref="B156:B158"/>
    <mergeCell ref="B68:B70"/>
    <mergeCell ref="C82:C85"/>
    <mergeCell ref="B251:B252"/>
    <mergeCell ref="C251:C252"/>
    <mergeCell ref="B163:B166"/>
    <mergeCell ref="C163:C166"/>
    <mergeCell ref="C167:C173"/>
    <mergeCell ref="B167:B173"/>
    <mergeCell ref="C151:C155"/>
    <mergeCell ref="B151:B155"/>
    <mergeCell ref="B147:B150"/>
    <mergeCell ref="C147:C150"/>
    <mergeCell ref="B201:B206"/>
    <mergeCell ref="C201:C206"/>
    <mergeCell ref="B249:B250"/>
    <mergeCell ref="C249:C250"/>
    <mergeCell ref="B210:B212"/>
    <mergeCell ref="C210:C212"/>
    <mergeCell ref="B99:B104"/>
    <mergeCell ref="C99:C104"/>
    <mergeCell ref="B105:B111"/>
    <mergeCell ref="C105:C111"/>
    <mergeCell ref="B96:B98"/>
    <mergeCell ref="B125:B127"/>
    <mergeCell ref="C125:C127"/>
    <mergeCell ref="B128:B131"/>
    <mergeCell ref="C128:C131"/>
    <mergeCell ref="C96:C98"/>
    <mergeCell ref="B207:B209"/>
    <mergeCell ref="C182:C187"/>
    <mergeCell ref="B188:B194"/>
    <mergeCell ref="C188:C194"/>
    <mergeCell ref="B180:B181"/>
    <mergeCell ref="B182:B187"/>
    <mergeCell ref="C217:C218"/>
    <mergeCell ref="B234:B236"/>
    <mergeCell ref="C234:C236"/>
    <mergeCell ref="B225:B227"/>
    <mergeCell ref="C180:C181"/>
    <mergeCell ref="C198:C200"/>
    <mergeCell ref="C219:C224"/>
    <mergeCell ref="C207:C209"/>
    <mergeCell ref="B198:B200"/>
    <mergeCell ref="B195:B197"/>
    <mergeCell ref="C195:C197"/>
    <mergeCell ref="B213:B216"/>
    <mergeCell ref="C213:C216"/>
    <mergeCell ref="C230:C233"/>
    <mergeCell ref="B219:B224"/>
    <mergeCell ref="B217:B218"/>
    <mergeCell ref="G174:G179"/>
    <mergeCell ref="G188:G194"/>
    <mergeCell ref="H198:H199"/>
    <mergeCell ref="L147:L148"/>
    <mergeCell ref="K147:K148"/>
    <mergeCell ref="L149:L150"/>
    <mergeCell ref="K68:K70"/>
    <mergeCell ref="L68:L70"/>
    <mergeCell ref="K73:K78"/>
    <mergeCell ref="L73:L78"/>
    <mergeCell ref="K81:K85"/>
    <mergeCell ref="L81:L85"/>
    <mergeCell ref="L71:L72"/>
    <mergeCell ref="K71:K72"/>
    <mergeCell ref="K149:K150"/>
    <mergeCell ref="K125:K127"/>
    <mergeCell ref="K128:K131"/>
    <mergeCell ref="H151:H153"/>
    <mergeCell ref="H149:H150"/>
    <mergeCell ref="L125:L127"/>
    <mergeCell ref="L180:L181"/>
    <mergeCell ref="L154:L155"/>
    <mergeCell ref="K154:K155"/>
    <mergeCell ref="L132:L142"/>
    <mergeCell ref="L18:L19"/>
    <mergeCell ref="K18:K19"/>
    <mergeCell ref="K54:K56"/>
    <mergeCell ref="L54:L56"/>
    <mergeCell ref="K24:K25"/>
    <mergeCell ref="L24:L25"/>
    <mergeCell ref="K86:K95"/>
    <mergeCell ref="L86:L95"/>
    <mergeCell ref="L44:L48"/>
    <mergeCell ref="K33:K35"/>
    <mergeCell ref="K30:K31"/>
    <mergeCell ref="L30:L31"/>
    <mergeCell ref="L21:L22"/>
    <mergeCell ref="K21:K22"/>
    <mergeCell ref="K36:K38"/>
    <mergeCell ref="L36:L38"/>
    <mergeCell ref="C24:C25"/>
    <mergeCell ref="B24:B25"/>
    <mergeCell ref="B49:B53"/>
    <mergeCell ref="B44:B48"/>
    <mergeCell ref="C44:C48"/>
    <mergeCell ref="B6:B7"/>
    <mergeCell ref="C6:C7"/>
    <mergeCell ref="B3:B5"/>
    <mergeCell ref="C3:C5"/>
    <mergeCell ref="B8:B10"/>
    <mergeCell ref="C8:C10"/>
    <mergeCell ref="B18:B20"/>
    <mergeCell ref="C18:C20"/>
    <mergeCell ref="C14:C17"/>
    <mergeCell ref="B14:B17"/>
    <mergeCell ref="B26:B29"/>
    <mergeCell ref="C26:C29"/>
    <mergeCell ref="B30:B32"/>
    <mergeCell ref="C30:C32"/>
    <mergeCell ref="B33:B35"/>
    <mergeCell ref="C33:C35"/>
    <mergeCell ref="C49:C53"/>
    <mergeCell ref="C21:C22"/>
    <mergeCell ref="B21:B22"/>
    <mergeCell ref="L237:L241"/>
    <mergeCell ref="K237:K241"/>
    <mergeCell ref="H200:H201"/>
    <mergeCell ref="L225:L226"/>
    <mergeCell ref="K225:K226"/>
    <mergeCell ref="K213:K216"/>
    <mergeCell ref="L213:L216"/>
    <mergeCell ref="K198:K200"/>
    <mergeCell ref="L198:L200"/>
    <mergeCell ref="K205:K206"/>
    <mergeCell ref="L205:L206"/>
    <mergeCell ref="K208:K209"/>
    <mergeCell ref="L208:L209"/>
    <mergeCell ref="H230:H233"/>
    <mergeCell ref="H205:H206"/>
    <mergeCell ref="H202:H203"/>
    <mergeCell ref="L210:L211"/>
    <mergeCell ref="K210:K211"/>
    <mergeCell ref="H207:H209"/>
    <mergeCell ref="K221:K224"/>
    <mergeCell ref="L221:L224"/>
    <mergeCell ref="K228:K229"/>
    <mergeCell ref="L228:L229"/>
    <mergeCell ref="L230:L232"/>
    <mergeCell ref="G3:G5"/>
    <mergeCell ref="H3:H5"/>
    <mergeCell ref="P46:P48"/>
    <mergeCell ref="K3:K5"/>
    <mergeCell ref="L3:L5"/>
    <mergeCell ref="K8:K10"/>
    <mergeCell ref="L8:L10"/>
    <mergeCell ref="L26:L29"/>
    <mergeCell ref="K26:K29"/>
    <mergeCell ref="P26:P29"/>
    <mergeCell ref="P18:P20"/>
    <mergeCell ref="K14:K15"/>
    <mergeCell ref="L33:L35"/>
    <mergeCell ref="K44:K48"/>
    <mergeCell ref="K42:K43"/>
    <mergeCell ref="L42:L43"/>
    <mergeCell ref="L39:L41"/>
    <mergeCell ref="H21:H22"/>
    <mergeCell ref="G21:G22"/>
    <mergeCell ref="G44:G48"/>
    <mergeCell ref="P4:P5"/>
    <mergeCell ref="P6:P7"/>
    <mergeCell ref="K39:K41"/>
    <mergeCell ref="P39:P41"/>
    <mergeCell ref="Q6:Q7"/>
    <mergeCell ref="Q8:Q10"/>
    <mergeCell ref="P8:P10"/>
    <mergeCell ref="P14:P15"/>
    <mergeCell ref="P24:P25"/>
    <mergeCell ref="Q24:Q25"/>
    <mergeCell ref="Q14:Q15"/>
    <mergeCell ref="Q18:Q20"/>
    <mergeCell ref="P21:P22"/>
    <mergeCell ref="Q21:Q22"/>
    <mergeCell ref="Q4:Q5"/>
    <mergeCell ref="K6:K7"/>
    <mergeCell ref="L6:L7"/>
    <mergeCell ref="L14:L15"/>
    <mergeCell ref="P195:P197"/>
    <mergeCell ref="Q195:Q197"/>
    <mergeCell ref="AA54:AA56"/>
    <mergeCell ref="Z54:Z56"/>
    <mergeCell ref="Q156:Q157"/>
    <mergeCell ref="P156:P157"/>
    <mergeCell ref="Z128:Z131"/>
    <mergeCell ref="AA128:AA131"/>
    <mergeCell ref="Z143:Z146"/>
    <mergeCell ref="AA143:AA146"/>
    <mergeCell ref="Z153:Z155"/>
    <mergeCell ref="AA153:AA155"/>
    <mergeCell ref="Z156:Z157"/>
    <mergeCell ref="AA156:AA157"/>
    <mergeCell ref="Q128:Q131"/>
    <mergeCell ref="Q85:Q86"/>
    <mergeCell ref="AA73:AA80"/>
    <mergeCell ref="Z73:Z80"/>
    <mergeCell ref="Z71:Z72"/>
    <mergeCell ref="V71:V72"/>
    <mergeCell ref="P65:P67"/>
    <mergeCell ref="Q65:Q67"/>
    <mergeCell ref="V99:V104"/>
    <mergeCell ref="U99:U104"/>
    <mergeCell ref="P81:P84"/>
    <mergeCell ref="P87:P95"/>
    <mergeCell ref="P96:P98"/>
    <mergeCell ref="V65:V67"/>
    <mergeCell ref="U65:U67"/>
    <mergeCell ref="V79:V80"/>
    <mergeCell ref="U79:U80"/>
    <mergeCell ref="Q68:Q70"/>
    <mergeCell ref="P71:P72"/>
    <mergeCell ref="Q71:Q72"/>
    <mergeCell ref="Q73:Q78"/>
    <mergeCell ref="P73:P78"/>
    <mergeCell ref="P79:P80"/>
    <mergeCell ref="V87:V95"/>
    <mergeCell ref="U87:U95"/>
    <mergeCell ref="V96:V98"/>
    <mergeCell ref="U96:U98"/>
    <mergeCell ref="V3:V7"/>
    <mergeCell ref="U3:U7"/>
    <mergeCell ref="V23:V25"/>
    <mergeCell ref="U23:U25"/>
    <mergeCell ref="V18:V20"/>
    <mergeCell ref="U18:U20"/>
    <mergeCell ref="V14:V16"/>
    <mergeCell ref="U14:U16"/>
    <mergeCell ref="V21:V22"/>
    <mergeCell ref="U21:U22"/>
    <mergeCell ref="U8:U10"/>
    <mergeCell ref="V8:V10"/>
    <mergeCell ref="AE105:AE106"/>
    <mergeCell ref="AF105:AF106"/>
    <mergeCell ref="AF83:AF84"/>
    <mergeCell ref="AE83:AE84"/>
    <mergeCell ref="AF65:AF67"/>
    <mergeCell ref="AE65:AE67"/>
    <mergeCell ref="AE6:AE7"/>
    <mergeCell ref="AF6:AF7"/>
    <mergeCell ref="AE18:AE19"/>
    <mergeCell ref="AF18:AF19"/>
    <mergeCell ref="AE30:AE32"/>
    <mergeCell ref="AF30:AF32"/>
    <mergeCell ref="AF8:AF10"/>
    <mergeCell ref="AE8:AE10"/>
    <mergeCell ref="AF21:AF22"/>
    <mergeCell ref="AE21:AE22"/>
    <mergeCell ref="AF24:AF25"/>
    <mergeCell ref="AE24:AE25"/>
    <mergeCell ref="AE11:AE12"/>
    <mergeCell ref="AF11:AF12"/>
    <mergeCell ref="AE14:AE17"/>
    <mergeCell ref="AF14:AF17"/>
    <mergeCell ref="AF26:AF28"/>
    <mergeCell ref="AE26:AE28"/>
    <mergeCell ref="AE33:AE38"/>
    <mergeCell ref="U33:U38"/>
    <mergeCell ref="V195:V197"/>
    <mergeCell ref="U195:U197"/>
    <mergeCell ref="U184:U185"/>
    <mergeCell ref="V184:V185"/>
    <mergeCell ref="V186:V194"/>
    <mergeCell ref="U186:U194"/>
    <mergeCell ref="V116:V124"/>
    <mergeCell ref="U116:U124"/>
    <mergeCell ref="V125:V127"/>
    <mergeCell ref="U125:U127"/>
    <mergeCell ref="AA147:AA148"/>
    <mergeCell ref="AA149:AA150"/>
    <mergeCell ref="Z149:Z150"/>
    <mergeCell ref="U108:U111"/>
    <mergeCell ref="AE107:AE108"/>
    <mergeCell ref="AE125:AE127"/>
    <mergeCell ref="AE50:AE52"/>
    <mergeCell ref="AE63:AE64"/>
    <mergeCell ref="AE110:AE111"/>
    <mergeCell ref="AE99:AE104"/>
    <mergeCell ref="AE75:AE80"/>
    <mergeCell ref="AE81:AE82"/>
    <mergeCell ref="AF44:AF49"/>
    <mergeCell ref="AE44:AE49"/>
    <mergeCell ref="AF39:AF41"/>
    <mergeCell ref="AF42:AF43"/>
    <mergeCell ref="AE42:AE43"/>
    <mergeCell ref="AE39:AE41"/>
    <mergeCell ref="V201:V203"/>
    <mergeCell ref="U201:U203"/>
    <mergeCell ref="U158:U159"/>
    <mergeCell ref="V163:V166"/>
    <mergeCell ref="U163:U166"/>
    <mergeCell ref="V151:V157"/>
    <mergeCell ref="U151:U157"/>
    <mergeCell ref="AA158:AA166"/>
    <mergeCell ref="U198:U200"/>
    <mergeCell ref="V198:V200"/>
    <mergeCell ref="AF107:AF108"/>
    <mergeCell ref="AF125:AF127"/>
    <mergeCell ref="AF50:AF52"/>
    <mergeCell ref="AF63:AF64"/>
    <mergeCell ref="AF110:AF111"/>
    <mergeCell ref="AF99:AF104"/>
    <mergeCell ref="AF75:AF80"/>
    <mergeCell ref="AF81:AF82"/>
    <mergeCell ref="L234:L235"/>
    <mergeCell ref="K234:K235"/>
    <mergeCell ref="K230:K232"/>
    <mergeCell ref="Q42:Q43"/>
    <mergeCell ref="P42:P43"/>
    <mergeCell ref="V204:V206"/>
    <mergeCell ref="U204:U206"/>
    <mergeCell ref="V207:V209"/>
    <mergeCell ref="U207:U209"/>
    <mergeCell ref="V180:V183"/>
    <mergeCell ref="U180:U183"/>
    <mergeCell ref="P44:P45"/>
    <mergeCell ref="Q44:Q45"/>
    <mergeCell ref="P54:P57"/>
    <mergeCell ref="Q49:Q53"/>
    <mergeCell ref="P49:P53"/>
    <mergeCell ref="P68:P70"/>
    <mergeCell ref="V68:V70"/>
    <mergeCell ref="U68:U70"/>
    <mergeCell ref="V85:V86"/>
    <mergeCell ref="P198:P200"/>
    <mergeCell ref="V39:V43"/>
    <mergeCell ref="U39:U43"/>
    <mergeCell ref="V44:V48"/>
    <mergeCell ref="Q207:Q209"/>
    <mergeCell ref="Q204:Q206"/>
    <mergeCell ref="P204:P206"/>
    <mergeCell ref="V26:V29"/>
    <mergeCell ref="U26:U29"/>
    <mergeCell ref="U49:U53"/>
    <mergeCell ref="V54:V57"/>
    <mergeCell ref="Q36:Q38"/>
    <mergeCell ref="P36:P38"/>
    <mergeCell ref="P33:P35"/>
    <mergeCell ref="Q33:Q35"/>
    <mergeCell ref="Q26:Q29"/>
    <mergeCell ref="Q46:Q48"/>
    <mergeCell ref="Q39:Q41"/>
    <mergeCell ref="Q54:Q57"/>
    <mergeCell ref="U71:U72"/>
    <mergeCell ref="V81:V84"/>
    <mergeCell ref="V33:V38"/>
    <mergeCell ref="U44:U48"/>
    <mergeCell ref="V49:V53"/>
    <mergeCell ref="V58:V64"/>
    <mergeCell ref="U58:U64"/>
    <mergeCell ref="U54:U57"/>
    <mergeCell ref="P58:P64"/>
    <mergeCell ref="A3:A5"/>
    <mergeCell ref="A6:A7"/>
    <mergeCell ref="A8:A10"/>
    <mergeCell ref="A14:A17"/>
    <mergeCell ref="A18:A20"/>
    <mergeCell ref="A21:A22"/>
    <mergeCell ref="A24:A25"/>
    <mergeCell ref="A26:A29"/>
    <mergeCell ref="A30:A32"/>
    <mergeCell ref="A33:A35"/>
    <mergeCell ref="A36:A38"/>
    <mergeCell ref="A39:A41"/>
    <mergeCell ref="A42:A43"/>
    <mergeCell ref="A44:A48"/>
    <mergeCell ref="A49:A53"/>
    <mergeCell ref="A54:A57"/>
    <mergeCell ref="A58:A64"/>
    <mergeCell ref="A65:A67"/>
    <mergeCell ref="A68:A70"/>
    <mergeCell ref="A71:A72"/>
    <mergeCell ref="A73:A78"/>
    <mergeCell ref="A79:A80"/>
    <mergeCell ref="A82:A85"/>
    <mergeCell ref="A86:A95"/>
    <mergeCell ref="A96:A98"/>
    <mergeCell ref="A99:A104"/>
    <mergeCell ref="A105:A111"/>
    <mergeCell ref="A112:A124"/>
    <mergeCell ref="A125:A127"/>
    <mergeCell ref="A128:A131"/>
    <mergeCell ref="A132:A146"/>
    <mergeCell ref="A147:A150"/>
    <mergeCell ref="A151:A155"/>
    <mergeCell ref="A156:A158"/>
    <mergeCell ref="A159:A162"/>
    <mergeCell ref="A163:A166"/>
    <mergeCell ref="A167:A173"/>
    <mergeCell ref="A174:A179"/>
    <mergeCell ref="A180:A181"/>
    <mergeCell ref="A182:A187"/>
    <mergeCell ref="A188:A194"/>
    <mergeCell ref="A195:A197"/>
    <mergeCell ref="A198:A200"/>
    <mergeCell ref="A201:A206"/>
    <mergeCell ref="A207:A209"/>
    <mergeCell ref="A242:A248"/>
    <mergeCell ref="A249:A250"/>
    <mergeCell ref="A251:A252"/>
    <mergeCell ref="A210:A212"/>
    <mergeCell ref="A213:A216"/>
    <mergeCell ref="A217:A218"/>
    <mergeCell ref="A219:A224"/>
    <mergeCell ref="A225:A227"/>
    <mergeCell ref="A228:A229"/>
    <mergeCell ref="A230:A233"/>
    <mergeCell ref="A234:A236"/>
    <mergeCell ref="A237:A241"/>
    <mergeCell ref="G1:I1"/>
    <mergeCell ref="H234:H235"/>
    <mergeCell ref="G234:G235"/>
    <mergeCell ref="H219:H220"/>
    <mergeCell ref="G219:G220"/>
    <mergeCell ref="H171:H173"/>
    <mergeCell ref="G171:G173"/>
    <mergeCell ref="H159:H160"/>
    <mergeCell ref="G159:G160"/>
    <mergeCell ref="H161:H162"/>
    <mergeCell ref="G161:G162"/>
    <mergeCell ref="H154:H155"/>
    <mergeCell ref="G154:G155"/>
    <mergeCell ref="H132:H142"/>
    <mergeCell ref="G132:G142"/>
    <mergeCell ref="H128:H129"/>
    <mergeCell ref="G128:G129"/>
    <mergeCell ref="G130:G131"/>
    <mergeCell ref="H130:H131"/>
    <mergeCell ref="H125:H126"/>
    <mergeCell ref="G125:G126"/>
    <mergeCell ref="H112:H115"/>
    <mergeCell ref="G112:G115"/>
    <mergeCell ref="H100:H103"/>
    <mergeCell ref="AF121:AF124"/>
    <mergeCell ref="AE121:AE124"/>
    <mergeCell ref="AF171:AF179"/>
    <mergeCell ref="AE171:AE179"/>
    <mergeCell ref="H68:H69"/>
    <mergeCell ref="G68:G69"/>
    <mergeCell ref="H65:H67"/>
    <mergeCell ref="G65:G67"/>
    <mergeCell ref="H50:H52"/>
    <mergeCell ref="G50:G52"/>
    <mergeCell ref="G54:G56"/>
    <mergeCell ref="H73:H78"/>
    <mergeCell ref="G73:G78"/>
    <mergeCell ref="G71:G72"/>
    <mergeCell ref="H71:H72"/>
    <mergeCell ref="G58:G64"/>
    <mergeCell ref="H58:H64"/>
    <mergeCell ref="Q167:Q179"/>
    <mergeCell ref="Q143:Q146"/>
    <mergeCell ref="AF87:AF94"/>
    <mergeCell ref="AE87:AE94"/>
    <mergeCell ref="AF58:AF62"/>
    <mergeCell ref="AE58:AE62"/>
    <mergeCell ref="Q58:Q64"/>
  </mergeCells>
  <pageMargins left="0.7" right="0.7" top="0.75" bottom="0.75" header="0.3" footer="0.3"/>
  <pageSetup paperSize="8" scale="38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W420"/>
  <sheetViews>
    <sheetView topLeftCell="W1" zoomScale="80" zoomScaleNormal="80" workbookViewId="0">
      <pane ySplit="1" topLeftCell="A55" activePane="bottomLeft" state="frozen"/>
      <selection pane="bottomLeft" activeCell="AJ69" sqref="AJ65:AJ69"/>
    </sheetView>
  </sheetViews>
  <sheetFormatPr defaultColWidth="9.140625" defaultRowHeight="15" x14ac:dyDescent="0.25"/>
  <cols>
    <col min="1" max="1" width="16.7109375" style="5" bestFit="1" customWidth="1"/>
    <col min="2" max="2" width="9.7109375" style="138" bestFit="1" customWidth="1"/>
    <col min="3" max="3" width="7.85546875" style="154" bestFit="1" customWidth="1"/>
    <col min="4" max="4" width="8.85546875" style="154" bestFit="1" customWidth="1"/>
    <col min="5" max="5" width="23.85546875" style="154" bestFit="1" customWidth="1"/>
    <col min="6" max="6" width="2.140625" style="113" customWidth="1"/>
    <col min="7" max="7" width="9.7109375" style="138" bestFit="1" customWidth="1"/>
    <col min="8" max="8" width="7.85546875" style="154" bestFit="1" customWidth="1"/>
    <col min="9" max="9" width="9.7109375" style="154" bestFit="1" customWidth="1"/>
    <col min="10" max="10" width="2.140625" style="113" customWidth="1"/>
    <col min="11" max="11" width="9.7109375" style="138" bestFit="1" customWidth="1"/>
    <col min="12" max="12" width="7.85546875" style="154" bestFit="1" customWidth="1"/>
    <col min="13" max="13" width="8.85546875" style="138" bestFit="1" customWidth="1"/>
    <col min="14" max="14" width="23.85546875" style="154" bestFit="1" customWidth="1"/>
    <col min="15" max="15" width="2.140625" style="113" customWidth="1"/>
    <col min="16" max="16" width="9.7109375" style="138" bestFit="1" customWidth="1"/>
    <col min="17" max="17" width="7.85546875" style="154" bestFit="1" customWidth="1"/>
    <col min="18" max="18" width="8.85546875" style="138" bestFit="1" customWidth="1"/>
    <col min="19" max="19" width="22.140625" style="154" customWidth="1"/>
    <col min="20" max="20" width="2.140625" style="113" customWidth="1"/>
    <col min="21" max="21" width="9.7109375" style="28" bestFit="1" customWidth="1"/>
    <col min="22" max="22" width="7.85546875" style="48" bestFit="1" customWidth="1"/>
    <col min="23" max="23" width="8.85546875" style="35" bestFit="1" customWidth="1"/>
    <col min="24" max="24" width="22.42578125" style="48" bestFit="1" customWidth="1"/>
    <col min="25" max="25" width="2.140625" style="113" customWidth="1"/>
    <col min="26" max="26" width="9.7109375" style="27" bestFit="1" customWidth="1"/>
    <col min="27" max="27" width="7.85546875" style="5" bestFit="1" customWidth="1"/>
    <col min="28" max="28" width="8.85546875" style="27" bestFit="1" customWidth="1"/>
    <col min="29" max="29" width="22.42578125" style="5" bestFit="1" customWidth="1"/>
    <col min="30" max="30" width="2.140625" style="113" customWidth="1"/>
    <col min="31" max="31" width="9.7109375" style="138" bestFit="1" customWidth="1"/>
    <col min="32" max="32" width="7.85546875" style="154" bestFit="1" customWidth="1"/>
    <col min="33" max="33" width="8.85546875" style="138" bestFit="1" customWidth="1"/>
    <col min="34" max="34" width="20.28515625" style="138" customWidth="1"/>
    <col min="35" max="35" width="2.85546875" style="157" customWidth="1"/>
    <col min="36" max="36" width="26.7109375" style="27" bestFit="1" customWidth="1"/>
    <col min="37" max="37" width="20.5703125" style="27" bestFit="1" customWidth="1"/>
    <col min="38" max="39" width="6.85546875" style="27" bestFit="1" customWidth="1"/>
    <col min="40" max="40" width="11.42578125" style="27" bestFit="1" customWidth="1"/>
    <col min="41" max="41" width="11.140625" style="27" bestFit="1" customWidth="1"/>
    <col min="42" max="42" width="17.140625" style="27" bestFit="1" customWidth="1"/>
    <col min="43" max="16384" width="9.140625" style="27"/>
  </cols>
  <sheetData>
    <row r="1" spans="1:49" x14ac:dyDescent="0.25">
      <c r="A1" s="290" t="s">
        <v>14</v>
      </c>
      <c r="B1" s="290"/>
      <c r="C1" s="291" t="s">
        <v>1</v>
      </c>
      <c r="D1" s="291"/>
      <c r="E1" s="291"/>
      <c r="G1" s="277" t="s">
        <v>3</v>
      </c>
      <c r="H1" s="277"/>
      <c r="I1" s="277"/>
      <c r="K1" s="291" t="s">
        <v>2</v>
      </c>
      <c r="L1" s="291"/>
      <c r="M1" s="291"/>
      <c r="N1" s="291"/>
      <c r="P1" s="291" t="s">
        <v>4</v>
      </c>
      <c r="Q1" s="291"/>
      <c r="R1" s="291"/>
      <c r="S1" s="291"/>
      <c r="U1" s="272" t="s">
        <v>16</v>
      </c>
      <c r="V1" s="272"/>
      <c r="W1" s="272"/>
      <c r="X1" s="272"/>
      <c r="Z1" s="279" t="s">
        <v>5</v>
      </c>
      <c r="AA1" s="279"/>
      <c r="AB1" s="279"/>
      <c r="AC1" s="279"/>
      <c r="AE1" s="272" t="s">
        <v>6</v>
      </c>
      <c r="AF1" s="272"/>
      <c r="AG1" s="272"/>
      <c r="AH1" s="272"/>
      <c r="AJ1" s="48"/>
    </row>
    <row r="2" spans="1:49" x14ac:dyDescent="0.25">
      <c r="A2" s="207" t="s">
        <v>55</v>
      </c>
      <c r="B2" s="45" t="s">
        <v>7</v>
      </c>
      <c r="C2" s="45" t="s">
        <v>8</v>
      </c>
      <c r="D2" s="18" t="s">
        <v>213</v>
      </c>
      <c r="E2" s="8" t="s">
        <v>17</v>
      </c>
      <c r="G2" s="45" t="s">
        <v>7</v>
      </c>
      <c r="H2" s="45" t="s">
        <v>8</v>
      </c>
      <c r="I2" s="49" t="s">
        <v>17</v>
      </c>
      <c r="K2" s="45" t="s">
        <v>7</v>
      </c>
      <c r="L2" s="45" t="s">
        <v>8</v>
      </c>
      <c r="M2" s="18" t="s">
        <v>213</v>
      </c>
      <c r="N2" s="8" t="s">
        <v>17</v>
      </c>
      <c r="P2" s="45" t="s">
        <v>7</v>
      </c>
      <c r="Q2" s="45" t="s">
        <v>8</v>
      </c>
      <c r="R2" s="18" t="s">
        <v>213</v>
      </c>
      <c r="S2" s="8" t="s">
        <v>17</v>
      </c>
      <c r="U2" s="134" t="s">
        <v>7</v>
      </c>
      <c r="V2" s="134" t="s">
        <v>8</v>
      </c>
      <c r="W2" s="18" t="s">
        <v>213</v>
      </c>
      <c r="X2" s="8" t="s">
        <v>17</v>
      </c>
      <c r="Z2" s="134" t="s">
        <v>7</v>
      </c>
      <c r="AA2" s="134" t="s">
        <v>8</v>
      </c>
      <c r="AB2" s="18" t="s">
        <v>213</v>
      </c>
      <c r="AC2" s="8" t="s">
        <v>17</v>
      </c>
      <c r="AE2" s="45" t="s">
        <v>7</v>
      </c>
      <c r="AF2" s="45" t="s">
        <v>8</v>
      </c>
      <c r="AG2" s="18" t="s">
        <v>213</v>
      </c>
      <c r="AH2" s="8" t="s">
        <v>17</v>
      </c>
      <c r="AJ2" s="48"/>
    </row>
    <row r="3" spans="1:49" s="21" customFormat="1" x14ac:dyDescent="0.25">
      <c r="A3" s="261">
        <v>1</v>
      </c>
      <c r="B3" s="260">
        <v>17.75</v>
      </c>
      <c r="C3" s="259">
        <v>4.13</v>
      </c>
      <c r="D3" s="240">
        <f>B3</f>
        <v>17.75</v>
      </c>
      <c r="E3" s="54" t="s">
        <v>34</v>
      </c>
      <c r="F3" s="113"/>
      <c r="G3" s="260">
        <v>23.98</v>
      </c>
      <c r="H3" s="259">
        <v>4.08</v>
      </c>
      <c r="I3" s="240"/>
      <c r="J3" s="113"/>
      <c r="K3" s="260">
        <v>19.12</v>
      </c>
      <c r="L3" s="259">
        <v>4.1100000000000003</v>
      </c>
      <c r="M3" s="241">
        <f>K5+K3-M4</f>
        <v>18.8</v>
      </c>
      <c r="N3" s="54" t="s">
        <v>34</v>
      </c>
      <c r="O3" s="113"/>
      <c r="P3" s="260">
        <v>18.03</v>
      </c>
      <c r="Q3" s="259">
        <v>4.2699999999999996</v>
      </c>
      <c r="R3" s="241">
        <f>P3</f>
        <v>18.03</v>
      </c>
      <c r="S3" s="54" t="s">
        <v>34</v>
      </c>
      <c r="T3" s="113"/>
      <c r="U3" s="260">
        <v>19.48</v>
      </c>
      <c r="V3" s="259">
        <v>4.12</v>
      </c>
      <c r="W3" s="241">
        <f>U3-W4</f>
        <v>19.14</v>
      </c>
      <c r="X3" s="54" t="s">
        <v>34</v>
      </c>
      <c r="Y3" s="113"/>
      <c r="Z3" s="241">
        <v>0.06</v>
      </c>
      <c r="AA3" s="240">
        <v>4.07</v>
      </c>
      <c r="AB3" s="241">
        <f>AG3</f>
        <v>17.260000000000002</v>
      </c>
      <c r="AC3" s="54" t="s">
        <v>34</v>
      </c>
      <c r="AD3" s="113"/>
      <c r="AE3" s="241">
        <v>0.06</v>
      </c>
      <c r="AF3" s="240">
        <v>4.08</v>
      </c>
      <c r="AG3" s="241">
        <f>AE4</f>
        <v>17.260000000000002</v>
      </c>
      <c r="AH3" s="54" t="s">
        <v>34</v>
      </c>
      <c r="AI3" s="156"/>
      <c r="AJ3" s="241"/>
      <c r="AK3" s="222" t="s">
        <v>1</v>
      </c>
      <c r="AL3" s="105" t="s">
        <v>2</v>
      </c>
      <c r="AM3" s="222" t="s">
        <v>4</v>
      </c>
      <c r="AN3" s="105" t="s">
        <v>16</v>
      </c>
      <c r="AO3" s="222" t="s">
        <v>5</v>
      </c>
      <c r="AP3" s="222" t="s">
        <v>6</v>
      </c>
    </row>
    <row r="4" spans="1:49" s="21" customFormat="1" ht="15.75" thickBot="1" x14ac:dyDescent="0.3">
      <c r="A4" s="261"/>
      <c r="B4" s="260"/>
      <c r="C4" s="259"/>
      <c r="D4" s="240">
        <f>B5</f>
        <v>0.34</v>
      </c>
      <c r="E4" s="80" t="s">
        <v>28</v>
      </c>
      <c r="F4" s="113"/>
      <c r="G4" s="260"/>
      <c r="H4" s="259"/>
      <c r="I4" s="80"/>
      <c r="J4" s="113"/>
      <c r="K4" s="260"/>
      <c r="L4" s="259"/>
      <c r="M4" s="241">
        <f>D4</f>
        <v>0.34</v>
      </c>
      <c r="N4" s="80" t="s">
        <v>28</v>
      </c>
      <c r="O4" s="113"/>
      <c r="P4" s="260"/>
      <c r="Q4" s="259"/>
      <c r="R4" s="241">
        <f>P5</f>
        <v>0.34</v>
      </c>
      <c r="S4" s="80" t="s">
        <v>28</v>
      </c>
      <c r="T4" s="113"/>
      <c r="U4" s="260"/>
      <c r="V4" s="259"/>
      <c r="W4" s="241">
        <f>AB4</f>
        <v>0.34</v>
      </c>
      <c r="X4" s="80" t="s">
        <v>28</v>
      </c>
      <c r="Y4" s="113"/>
      <c r="Z4" s="260">
        <v>20.28</v>
      </c>
      <c r="AA4" s="259">
        <v>4.2300000000000004</v>
      </c>
      <c r="AB4" s="241">
        <f>R4</f>
        <v>0.34</v>
      </c>
      <c r="AC4" s="80" t="s">
        <v>28</v>
      </c>
      <c r="AD4" s="113"/>
      <c r="AE4" s="241">
        <v>17.260000000000002</v>
      </c>
      <c r="AF4" s="240">
        <v>4.1900000000000004</v>
      </c>
      <c r="AG4" s="241">
        <f>AE5</f>
        <v>11.57</v>
      </c>
      <c r="AH4" s="80" t="s">
        <v>28</v>
      </c>
      <c r="AI4" s="156"/>
      <c r="AJ4" s="160" t="s">
        <v>32</v>
      </c>
      <c r="AK4" s="16">
        <f>D4+D30+D58+D59+D73+D83+D87+D91+D123+D125+D151+D90</f>
        <v>21.341666666666665</v>
      </c>
      <c r="AL4" s="16">
        <f>M4+M30+M58+M59+M73+M83+M87+M91+M123+M125+M151+M90</f>
        <v>19.341666666666669</v>
      </c>
      <c r="AM4" s="16">
        <f>R4+R30+R58+R59+R87+R91+R125+R151+R34+R56+R73+R83</f>
        <v>18.66</v>
      </c>
      <c r="AN4" s="16">
        <f>W4+W30+W58+W59+W87+W91+W125+W151+W34+W56+W57+W73+W83</f>
        <v>19.63</v>
      </c>
      <c r="AO4" s="16">
        <f>AB4+AB30+AB58+AB59+AB87+AB91+AB125+AB151+AB34+AB57+AB73</f>
        <v>17.3</v>
      </c>
      <c r="AP4" s="245">
        <f>AG4+AG30+AG58+AG59+AG87+AG91+AG125+AG151+AG8+AG13</f>
        <v>36.379999999999995</v>
      </c>
      <c r="AQ4" s="160">
        <f>AVERAGE(AK4:AP4)</f>
        <v>22.108888888888885</v>
      </c>
      <c r="AR4" s="111"/>
      <c r="AS4" s="25"/>
      <c r="AT4" s="25"/>
      <c r="AU4" s="25"/>
      <c r="AV4" s="25"/>
      <c r="AW4" s="25"/>
    </row>
    <row r="5" spans="1:49" s="21" customFormat="1" x14ac:dyDescent="0.25">
      <c r="A5" s="242">
        <v>2</v>
      </c>
      <c r="B5" s="241">
        <v>0.34</v>
      </c>
      <c r="C5" s="240">
        <v>4.25</v>
      </c>
      <c r="D5" s="56"/>
      <c r="E5" s="56"/>
      <c r="F5" s="113"/>
      <c r="G5" s="241">
        <v>0.19</v>
      </c>
      <c r="H5" s="240">
        <v>4.28</v>
      </c>
      <c r="I5" s="240"/>
      <c r="J5" s="113"/>
      <c r="K5" s="241">
        <v>0.02</v>
      </c>
      <c r="L5" s="240">
        <v>4.33</v>
      </c>
      <c r="M5" s="56"/>
      <c r="N5" s="56"/>
      <c r="O5" s="113"/>
      <c r="P5" s="241">
        <v>0.34</v>
      </c>
      <c r="Q5" s="240">
        <v>4.3899999999999997</v>
      </c>
      <c r="R5" s="56"/>
      <c r="S5" s="56"/>
      <c r="T5" s="113"/>
      <c r="U5" s="260"/>
      <c r="V5" s="259"/>
      <c r="W5" s="56"/>
      <c r="X5" s="56"/>
      <c r="Y5" s="113"/>
      <c r="Z5" s="260"/>
      <c r="AA5" s="259"/>
      <c r="AB5" s="56"/>
      <c r="AC5" s="56"/>
      <c r="AD5" s="113"/>
      <c r="AE5" s="241">
        <v>11.57</v>
      </c>
      <c r="AF5" s="240">
        <v>4.3099999999999996</v>
      </c>
      <c r="AG5" s="56"/>
      <c r="AH5" s="56"/>
      <c r="AI5" s="156"/>
      <c r="AJ5" s="161" t="s">
        <v>97</v>
      </c>
      <c r="AK5" s="16">
        <f>D9+D74</f>
        <v>0.74</v>
      </c>
      <c r="AL5" s="16">
        <f>M9+M74</f>
        <v>0.75</v>
      </c>
      <c r="AM5" s="16">
        <f>R9+R74</f>
        <v>0.77999999999999992</v>
      </c>
      <c r="AN5" s="16">
        <f>W9+W74</f>
        <v>0.87000000000000011</v>
      </c>
      <c r="AO5" s="16">
        <f>AB9+AB74</f>
        <v>0.82000000000000006</v>
      </c>
      <c r="AP5" s="245">
        <f>AG9+AG43+AG35+AG12</f>
        <v>9.9200000000000017</v>
      </c>
      <c r="AQ5" s="161">
        <f>AVERAGE(AK5:AO5)</f>
        <v>0.79200000000000004</v>
      </c>
      <c r="AR5" s="168">
        <f>AQ4+AQ5</f>
        <v>22.900888888888886</v>
      </c>
      <c r="AS5" s="169" t="s">
        <v>292</v>
      </c>
      <c r="AT5" s="111"/>
      <c r="AU5" s="25"/>
      <c r="AV5" s="174" t="s">
        <v>287</v>
      </c>
      <c r="AW5" s="175"/>
    </row>
    <row r="6" spans="1:49" s="21" customFormat="1" x14ac:dyDescent="0.25">
      <c r="A6" s="261">
        <v>3</v>
      </c>
      <c r="B6" s="260">
        <v>0.03</v>
      </c>
      <c r="C6" s="259">
        <v>4.41</v>
      </c>
      <c r="D6" s="240"/>
      <c r="E6" s="240"/>
      <c r="F6" s="113"/>
      <c r="G6" s="260">
        <v>0.11</v>
      </c>
      <c r="H6" s="259">
        <v>4.42</v>
      </c>
      <c r="I6" s="240"/>
      <c r="J6" s="113"/>
      <c r="K6" s="241">
        <v>0.05</v>
      </c>
      <c r="L6" s="240">
        <v>4.42</v>
      </c>
      <c r="M6" s="241"/>
      <c r="N6" s="240"/>
      <c r="O6" s="113"/>
      <c r="P6" s="241">
        <v>0.04</v>
      </c>
      <c r="Q6" s="240">
        <v>4.51</v>
      </c>
      <c r="R6" s="241"/>
      <c r="S6" s="240"/>
      <c r="T6" s="113"/>
      <c r="U6" s="241">
        <v>0.04</v>
      </c>
      <c r="V6" s="240">
        <v>4.43</v>
      </c>
      <c r="W6" s="241"/>
      <c r="X6" s="240"/>
      <c r="Y6" s="113"/>
      <c r="Z6" s="260">
        <v>0.33</v>
      </c>
      <c r="AA6" s="259">
        <v>4.49</v>
      </c>
      <c r="AB6" s="241"/>
      <c r="AC6" s="240"/>
      <c r="AD6" s="113"/>
      <c r="AE6" s="241">
        <v>7.0000000000000007E-2</v>
      </c>
      <c r="AF6" s="240">
        <v>4.53</v>
      </c>
      <c r="AG6" s="241"/>
      <c r="AH6" s="240"/>
      <c r="AI6" s="156"/>
      <c r="AJ6" s="162" t="s">
        <v>122</v>
      </c>
      <c r="AK6" s="16"/>
      <c r="AL6" s="16"/>
      <c r="AM6" s="16"/>
      <c r="AN6" s="16"/>
      <c r="AO6" s="16"/>
      <c r="AP6" s="26"/>
      <c r="AQ6" s="162">
        <v>0</v>
      </c>
      <c r="AR6" s="111"/>
      <c r="AS6" s="111"/>
      <c r="AT6" s="111"/>
      <c r="AU6" s="25"/>
      <c r="AV6" s="176" t="s">
        <v>288</v>
      </c>
      <c r="AW6" s="177"/>
    </row>
    <row r="7" spans="1:49" s="21" customFormat="1" x14ac:dyDescent="0.25">
      <c r="A7" s="261"/>
      <c r="B7" s="260"/>
      <c r="C7" s="259"/>
      <c r="D7" s="240"/>
      <c r="E7" s="240"/>
      <c r="F7" s="113"/>
      <c r="G7" s="260"/>
      <c r="H7" s="259"/>
      <c r="I7" s="240"/>
      <c r="J7" s="113"/>
      <c r="K7" s="241">
        <v>0.02</v>
      </c>
      <c r="L7" s="240">
        <v>4.4800000000000004</v>
      </c>
      <c r="M7" s="241"/>
      <c r="N7" s="240"/>
      <c r="O7" s="113"/>
      <c r="P7" s="241">
        <v>0.11</v>
      </c>
      <c r="Q7" s="240">
        <v>4.6399999999999997</v>
      </c>
      <c r="R7" s="241"/>
      <c r="S7" s="240"/>
      <c r="T7" s="113"/>
      <c r="U7" s="241">
        <v>0.01</v>
      </c>
      <c r="V7" s="240">
        <v>4.49</v>
      </c>
      <c r="W7" s="241"/>
      <c r="X7" s="240"/>
      <c r="Y7" s="113"/>
      <c r="Z7" s="260"/>
      <c r="AA7" s="259"/>
      <c r="AB7" s="241"/>
      <c r="AC7" s="240"/>
      <c r="AD7" s="113"/>
      <c r="AE7" s="241">
        <v>0.04</v>
      </c>
      <c r="AF7" s="240">
        <v>4.68</v>
      </c>
      <c r="AG7" s="241"/>
      <c r="AH7" s="240"/>
      <c r="AI7" s="156"/>
      <c r="AJ7" s="162" t="s">
        <v>124</v>
      </c>
      <c r="AK7" s="16">
        <f>D12+D27+D75</f>
        <v>0.18</v>
      </c>
      <c r="AL7" s="16">
        <f>M12+M24+M75</f>
        <v>0.18</v>
      </c>
      <c r="AM7" s="16">
        <f>R12+R27+R32</f>
        <v>0.18</v>
      </c>
      <c r="AN7" s="16">
        <f>W12+W27+W32</f>
        <v>0.18</v>
      </c>
      <c r="AO7" s="16">
        <f>AB15</f>
        <v>0.18</v>
      </c>
      <c r="AP7" s="241">
        <f>AG15</f>
        <v>0.02</v>
      </c>
      <c r="AQ7" s="162">
        <f t="shared" ref="AQ7:AQ15" si="0">AVERAGE(AK7:AO7)</f>
        <v>0.18</v>
      </c>
      <c r="AR7" s="111"/>
      <c r="AS7" s="111"/>
      <c r="AT7" s="111"/>
      <c r="AU7" s="25"/>
      <c r="AV7" s="178" t="s">
        <v>289</v>
      </c>
      <c r="AW7" s="179"/>
    </row>
    <row r="8" spans="1:49" s="21" customFormat="1" x14ac:dyDescent="0.25">
      <c r="A8" s="261">
        <v>4</v>
      </c>
      <c r="B8" s="260">
        <v>0.66</v>
      </c>
      <c r="C8" s="259">
        <v>4.71</v>
      </c>
      <c r="D8" s="240"/>
      <c r="E8" s="19"/>
      <c r="F8" s="113"/>
      <c r="G8" s="260">
        <v>0.26</v>
      </c>
      <c r="H8" s="259">
        <v>4.6100000000000003</v>
      </c>
      <c r="I8" s="240"/>
      <c r="J8" s="113"/>
      <c r="K8" s="260">
        <v>0.67</v>
      </c>
      <c r="L8" s="259">
        <v>4.66</v>
      </c>
      <c r="M8" s="241"/>
      <c r="N8" s="19"/>
      <c r="O8" s="113"/>
      <c r="P8" s="260">
        <v>0.7</v>
      </c>
      <c r="Q8" s="259">
        <v>4.8899999999999997</v>
      </c>
      <c r="R8" s="241"/>
      <c r="S8" s="16"/>
      <c r="T8" s="113"/>
      <c r="U8" s="260">
        <v>0.68</v>
      </c>
      <c r="V8" s="259">
        <v>4.68</v>
      </c>
      <c r="W8" s="241"/>
      <c r="X8" s="16"/>
      <c r="Y8" s="113"/>
      <c r="Z8" s="241">
        <v>0.1</v>
      </c>
      <c r="AA8" s="240">
        <v>4.74</v>
      </c>
      <c r="AB8" s="241"/>
      <c r="AC8" s="16"/>
      <c r="AD8" s="113"/>
      <c r="AE8" s="260">
        <v>15.9</v>
      </c>
      <c r="AF8" s="259">
        <v>4.78</v>
      </c>
      <c r="AG8" s="241">
        <f>AE8-AG9</f>
        <v>6.9</v>
      </c>
      <c r="AH8" s="109" t="s">
        <v>37</v>
      </c>
      <c r="AI8" s="156"/>
      <c r="AJ8" s="162" t="s">
        <v>31</v>
      </c>
      <c r="AK8" s="245">
        <f>D15+D35</f>
        <v>0.1</v>
      </c>
      <c r="AL8" s="245">
        <f>M15+M35</f>
        <v>0.1</v>
      </c>
      <c r="AM8" s="245">
        <f>R15+R35</f>
        <v>0.1</v>
      </c>
      <c r="AN8" s="245">
        <f>W15+W35</f>
        <v>0.1</v>
      </c>
      <c r="AO8" s="245">
        <f>AB14</f>
        <v>0.1</v>
      </c>
      <c r="AP8" s="241"/>
      <c r="AQ8" s="162">
        <f t="shared" si="0"/>
        <v>0.1</v>
      </c>
      <c r="AR8" s="111"/>
      <c r="AS8" s="169" t="s">
        <v>193</v>
      </c>
      <c r="AT8" s="111"/>
      <c r="AU8" s="25"/>
      <c r="AV8" s="180" t="s">
        <v>290</v>
      </c>
      <c r="AW8" s="181"/>
    </row>
    <row r="9" spans="1:49" s="21" customFormat="1" ht="15.75" thickBot="1" x14ac:dyDescent="0.3">
      <c r="A9" s="261"/>
      <c r="B9" s="260"/>
      <c r="C9" s="259"/>
      <c r="D9" s="240">
        <f>B8</f>
        <v>0.66</v>
      </c>
      <c r="E9" s="15" t="s">
        <v>19</v>
      </c>
      <c r="F9" s="113"/>
      <c r="G9" s="260"/>
      <c r="H9" s="259"/>
      <c r="I9" s="240"/>
      <c r="J9" s="113"/>
      <c r="K9" s="260"/>
      <c r="L9" s="259"/>
      <c r="M9" s="241">
        <f>K8</f>
        <v>0.67</v>
      </c>
      <c r="N9" s="15" t="s">
        <v>19</v>
      </c>
      <c r="O9" s="113"/>
      <c r="P9" s="260"/>
      <c r="Q9" s="259"/>
      <c r="R9" s="241">
        <f>P8</f>
        <v>0.7</v>
      </c>
      <c r="S9" s="15" t="s">
        <v>19</v>
      </c>
      <c r="T9" s="113"/>
      <c r="U9" s="260"/>
      <c r="V9" s="259"/>
      <c r="W9" s="241">
        <f>U8</f>
        <v>0.68</v>
      </c>
      <c r="X9" s="15" t="s">
        <v>19</v>
      </c>
      <c r="Y9" s="113"/>
      <c r="Z9" s="241">
        <v>0.63</v>
      </c>
      <c r="AA9" s="240">
        <v>4.83</v>
      </c>
      <c r="AB9" s="241">
        <f>Z9</f>
        <v>0.63</v>
      </c>
      <c r="AC9" s="15" t="s">
        <v>19</v>
      </c>
      <c r="AD9" s="113"/>
      <c r="AE9" s="260"/>
      <c r="AF9" s="259"/>
      <c r="AG9" s="241">
        <v>9</v>
      </c>
      <c r="AH9" s="15" t="s">
        <v>19</v>
      </c>
      <c r="AI9" s="156"/>
      <c r="AJ9" s="162" t="s">
        <v>59</v>
      </c>
      <c r="AK9" s="16">
        <f>D22+D38</f>
        <v>0.16</v>
      </c>
      <c r="AL9" s="16">
        <f>M22+M38</f>
        <v>0.17333333333333334</v>
      </c>
      <c r="AM9" s="245">
        <f>R22+R38</f>
        <v>0.18</v>
      </c>
      <c r="AN9" s="245">
        <f>W22+W38</f>
        <v>0.18</v>
      </c>
      <c r="AO9" s="245">
        <f>AB22</f>
        <v>0.18</v>
      </c>
      <c r="AP9" s="241">
        <f>AG22</f>
        <v>0.12</v>
      </c>
      <c r="AQ9" s="162">
        <f t="shared" si="0"/>
        <v>0.17466666666666666</v>
      </c>
      <c r="AR9" s="170">
        <f>SUM(AQ6:AQ9)</f>
        <v>0.45466666666666666</v>
      </c>
      <c r="AS9" s="169" t="s">
        <v>293</v>
      </c>
      <c r="AT9" s="111"/>
      <c r="AU9" s="25"/>
      <c r="AV9" s="182" t="s">
        <v>291</v>
      </c>
      <c r="AW9" s="183"/>
    </row>
    <row r="10" spans="1:49" s="21" customFormat="1" x14ac:dyDescent="0.25">
      <c r="A10" s="242">
        <v>5</v>
      </c>
      <c r="B10" s="241">
        <v>8.85</v>
      </c>
      <c r="C10" s="240">
        <v>4.84</v>
      </c>
      <c r="D10" s="240">
        <f>B10</f>
        <v>8.85</v>
      </c>
      <c r="E10" s="54" t="s">
        <v>34</v>
      </c>
      <c r="F10" s="113"/>
      <c r="G10" s="241">
        <v>11.88</v>
      </c>
      <c r="H10" s="240">
        <v>4.7699999999999996</v>
      </c>
      <c r="I10" s="240"/>
      <c r="J10" s="113"/>
      <c r="K10" s="241">
        <v>9.3800000000000008</v>
      </c>
      <c r="L10" s="240">
        <v>4.79</v>
      </c>
      <c r="M10" s="241">
        <f>K10</f>
        <v>9.3800000000000008</v>
      </c>
      <c r="N10" s="54" t="s">
        <v>34</v>
      </c>
      <c r="O10" s="113"/>
      <c r="P10" s="241">
        <v>9.1199999999999992</v>
      </c>
      <c r="Q10" s="240">
        <v>5.0199999999999996</v>
      </c>
      <c r="R10" s="241">
        <f>P10</f>
        <v>9.1199999999999992</v>
      </c>
      <c r="S10" s="54" t="s">
        <v>34</v>
      </c>
      <c r="T10" s="113"/>
      <c r="U10" s="241">
        <v>9.52</v>
      </c>
      <c r="V10" s="240">
        <v>4.8099999999999996</v>
      </c>
      <c r="W10" s="241">
        <f>U10</f>
        <v>9.52</v>
      </c>
      <c r="X10" s="54" t="s">
        <v>34</v>
      </c>
      <c r="Y10" s="113"/>
      <c r="Z10" s="241">
        <v>10.17</v>
      </c>
      <c r="AA10" s="240">
        <v>4.96</v>
      </c>
      <c r="AB10" s="241">
        <f>Z10</f>
        <v>10.17</v>
      </c>
      <c r="AC10" s="54" t="s">
        <v>34</v>
      </c>
      <c r="AD10" s="113"/>
      <c r="AE10" s="241">
        <v>9.0299999999999994</v>
      </c>
      <c r="AF10" s="240">
        <v>4.91</v>
      </c>
      <c r="AG10" s="241">
        <f>AE10</f>
        <v>9.0299999999999994</v>
      </c>
      <c r="AH10" s="54" t="s">
        <v>34</v>
      </c>
      <c r="AI10" s="156"/>
      <c r="AJ10" s="163" t="s">
        <v>29</v>
      </c>
      <c r="AK10" s="245">
        <f>D16+D36+D61+D97+D107+D138+D159+D161+D170</f>
        <v>5.1700000000000008</v>
      </c>
      <c r="AL10" s="241">
        <f>M16+M36+M61+M97+M107+M159+M161+M170</f>
        <v>6.21</v>
      </c>
      <c r="AM10" s="241">
        <f>R16+R61+R36</f>
        <v>5.12</v>
      </c>
      <c r="AN10" s="241">
        <f>W16+W61+W36</f>
        <v>4.83</v>
      </c>
      <c r="AO10" s="241">
        <f>AB16</f>
        <v>4.6400000000000006</v>
      </c>
      <c r="AP10" s="241"/>
      <c r="AQ10" s="163">
        <f t="shared" si="0"/>
        <v>5.194</v>
      </c>
      <c r="AR10" s="111"/>
      <c r="AS10" s="111"/>
      <c r="AT10" s="111"/>
      <c r="AU10" s="25"/>
      <c r="AV10" s="25"/>
      <c r="AW10" s="25"/>
    </row>
    <row r="11" spans="1:49" s="21" customFormat="1" x14ac:dyDescent="0.25">
      <c r="A11" s="261">
        <v>6</v>
      </c>
      <c r="B11" s="260">
        <v>0.11</v>
      </c>
      <c r="C11" s="259">
        <v>5.09</v>
      </c>
      <c r="D11" s="240"/>
      <c r="E11" s="240"/>
      <c r="F11" s="113"/>
      <c r="G11" s="260">
        <v>0.47</v>
      </c>
      <c r="H11" s="259">
        <v>5.0199999999999996</v>
      </c>
      <c r="I11" s="240"/>
      <c r="J11" s="113"/>
      <c r="K11" s="241">
        <v>7.0000000000000007E-2</v>
      </c>
      <c r="L11" s="240">
        <v>5.01</v>
      </c>
      <c r="M11" s="241"/>
      <c r="N11" s="240"/>
      <c r="O11" s="113"/>
      <c r="P11" s="241">
        <v>0.01</v>
      </c>
      <c r="Q11" s="240">
        <v>5.23</v>
      </c>
      <c r="R11" s="241"/>
      <c r="S11" s="240"/>
      <c r="T11" s="113"/>
      <c r="U11" s="241">
        <v>0.01</v>
      </c>
      <c r="V11" s="240">
        <v>4.97</v>
      </c>
      <c r="W11" s="241"/>
      <c r="X11" s="240"/>
      <c r="Y11" s="113"/>
      <c r="Z11" s="241">
        <v>0.1</v>
      </c>
      <c r="AA11" s="240">
        <v>5.16</v>
      </c>
      <c r="AB11" s="241"/>
      <c r="AC11" s="240"/>
      <c r="AD11" s="113"/>
      <c r="AE11" s="241">
        <v>0.35</v>
      </c>
      <c r="AF11" s="240">
        <v>5.15</v>
      </c>
      <c r="AG11" s="241"/>
      <c r="AH11" s="241"/>
      <c r="AI11" s="156"/>
      <c r="AJ11" s="163" t="s">
        <v>58</v>
      </c>
      <c r="AK11" s="16">
        <f>D25+D51+D72+D92+D99+D111+D139+D163</f>
        <v>2.8672222222222215</v>
      </c>
      <c r="AL11" s="16">
        <f>M25+M51+M72+M92+M99+M111+M163</f>
        <v>2.8600000000000003</v>
      </c>
      <c r="AM11" s="245">
        <f>R25+R51+R72</f>
        <v>2.7899999999999996</v>
      </c>
      <c r="AN11" s="245">
        <f>W25+W51+W72</f>
        <v>3.54</v>
      </c>
      <c r="AO11" s="245">
        <f>AB25</f>
        <v>2.78</v>
      </c>
      <c r="AP11" s="241">
        <f>AG25</f>
        <v>0.06</v>
      </c>
      <c r="AQ11" s="163">
        <f t="shared" si="0"/>
        <v>2.9674444444444443</v>
      </c>
      <c r="AR11" s="111"/>
      <c r="AS11" s="111"/>
      <c r="AT11" s="111"/>
      <c r="AU11" s="25"/>
      <c r="AV11" s="25"/>
      <c r="AW11" s="25"/>
    </row>
    <row r="12" spans="1:49" s="21" customFormat="1" x14ac:dyDescent="0.25">
      <c r="A12" s="261"/>
      <c r="B12" s="260"/>
      <c r="C12" s="259"/>
      <c r="D12" s="240"/>
      <c r="E12" s="19"/>
      <c r="F12" s="113"/>
      <c r="G12" s="260"/>
      <c r="H12" s="259"/>
      <c r="I12" s="240"/>
      <c r="J12" s="113"/>
      <c r="K12" s="260">
        <v>0.05</v>
      </c>
      <c r="L12" s="259">
        <v>5.09</v>
      </c>
      <c r="M12" s="241"/>
      <c r="N12" s="19"/>
      <c r="O12" s="113"/>
      <c r="P12" s="241">
        <v>0.12</v>
      </c>
      <c r="Q12" s="240">
        <v>5.25</v>
      </c>
      <c r="R12" s="241"/>
      <c r="S12" s="19"/>
      <c r="T12" s="113"/>
      <c r="U12" s="241">
        <v>0.03</v>
      </c>
      <c r="V12" s="240">
        <v>5.04</v>
      </c>
      <c r="W12" s="241"/>
      <c r="X12" s="19"/>
      <c r="Y12" s="113"/>
      <c r="Z12" s="241">
        <v>0.08</v>
      </c>
      <c r="AA12" s="240">
        <v>5.27</v>
      </c>
      <c r="AB12" s="241"/>
      <c r="AC12" s="19"/>
      <c r="AD12" s="113"/>
      <c r="AE12" s="260">
        <v>0.91</v>
      </c>
      <c r="AF12" s="259">
        <v>5.25</v>
      </c>
      <c r="AG12" s="241">
        <f>AE12-AG13</f>
        <v>0.79</v>
      </c>
      <c r="AH12" s="74" t="s">
        <v>332</v>
      </c>
      <c r="AI12" s="156"/>
      <c r="AJ12" s="163" t="s">
        <v>18</v>
      </c>
      <c r="AK12" s="16">
        <f>D45+D114+D65</f>
        <v>0.34333333333333338</v>
      </c>
      <c r="AL12" s="16">
        <f>+M45+M114+M65</f>
        <v>0.34333333333333338</v>
      </c>
      <c r="AM12" s="16">
        <f>+R45+R65</f>
        <v>0.39666666666666661</v>
      </c>
      <c r="AN12" s="16">
        <f>+W45+W65</f>
        <v>0.54666666666666663</v>
      </c>
      <c r="AO12" s="16">
        <f>AB23</f>
        <v>0.4</v>
      </c>
      <c r="AP12" s="241">
        <f>AG23</f>
        <v>0.01</v>
      </c>
      <c r="AQ12" s="163">
        <f t="shared" si="0"/>
        <v>0.40600000000000003</v>
      </c>
      <c r="AR12" s="111"/>
      <c r="AS12" s="111"/>
      <c r="AT12" s="111"/>
      <c r="AU12" s="25"/>
      <c r="AV12" s="25"/>
      <c r="AW12" s="25"/>
    </row>
    <row r="13" spans="1:49" s="21" customFormat="1" x14ac:dyDescent="0.25">
      <c r="A13" s="261"/>
      <c r="B13" s="260"/>
      <c r="C13" s="259"/>
      <c r="D13" s="240"/>
      <c r="E13" s="240"/>
      <c r="F13" s="113"/>
      <c r="G13" s="260"/>
      <c r="H13" s="259"/>
      <c r="I13" s="240"/>
      <c r="J13" s="113"/>
      <c r="K13" s="260"/>
      <c r="L13" s="259"/>
      <c r="M13" s="241"/>
      <c r="N13" s="240"/>
      <c r="O13" s="113"/>
      <c r="P13" s="241">
        <v>0.03</v>
      </c>
      <c r="Q13" s="240">
        <v>5.35</v>
      </c>
      <c r="R13" s="241"/>
      <c r="S13" s="240"/>
      <c r="T13" s="113"/>
      <c r="U13" s="241">
        <v>0.02</v>
      </c>
      <c r="V13" s="240">
        <v>5.08</v>
      </c>
      <c r="W13" s="241"/>
      <c r="X13" s="240"/>
      <c r="Y13" s="113"/>
      <c r="Z13" s="241">
        <v>7.0000000000000007E-2</v>
      </c>
      <c r="AA13" s="240">
        <v>5.33</v>
      </c>
      <c r="AB13" s="56"/>
      <c r="AC13" s="56"/>
      <c r="AD13" s="113"/>
      <c r="AE13" s="260"/>
      <c r="AF13" s="259"/>
      <c r="AG13" s="241">
        <v>0.12</v>
      </c>
      <c r="AH13" s="80" t="s">
        <v>30</v>
      </c>
      <c r="AI13" s="156"/>
      <c r="AJ13" s="163" t="s">
        <v>60</v>
      </c>
      <c r="AK13" s="16">
        <f>+D77+D84+D106+D115+D154</f>
        <v>1.6799999999999997</v>
      </c>
      <c r="AL13" s="16">
        <f>+M77+M84+M106+M115+M154</f>
        <v>2.4874999999999998</v>
      </c>
      <c r="AM13" s="16">
        <f>+R77+R84</f>
        <v>1.26</v>
      </c>
      <c r="AN13" s="16">
        <f>W31+W77+W84</f>
        <v>1.2299999999999998</v>
      </c>
      <c r="AO13" s="16">
        <f>AB31</f>
        <v>2</v>
      </c>
      <c r="AP13" s="241">
        <f>AG31</f>
        <v>2.5000000000000001E-2</v>
      </c>
      <c r="AQ13" s="163">
        <f t="shared" si="0"/>
        <v>1.7314999999999998</v>
      </c>
      <c r="AR13" s="171">
        <f>SUM(AQ10:AQ13)</f>
        <v>10.298944444444446</v>
      </c>
      <c r="AS13" s="169" t="s">
        <v>296</v>
      </c>
      <c r="AT13" s="111"/>
      <c r="AU13" s="25"/>
      <c r="AV13" s="25"/>
      <c r="AW13" s="25"/>
    </row>
    <row r="14" spans="1:49" s="21" customFormat="1" x14ac:dyDescent="0.25">
      <c r="A14" s="261">
        <v>7</v>
      </c>
      <c r="B14" s="260">
        <v>0.22</v>
      </c>
      <c r="C14" s="259">
        <v>5.28</v>
      </c>
      <c r="D14" s="240"/>
      <c r="E14" s="240"/>
      <c r="F14" s="113"/>
      <c r="G14" s="260">
        <v>0.33</v>
      </c>
      <c r="H14" s="259">
        <v>5.37</v>
      </c>
      <c r="I14" s="240"/>
      <c r="J14" s="113"/>
      <c r="K14" s="241">
        <v>0.13</v>
      </c>
      <c r="L14" s="240">
        <v>5.21</v>
      </c>
      <c r="M14" s="241"/>
      <c r="N14" s="240"/>
      <c r="O14" s="113"/>
      <c r="P14" s="241">
        <v>0.02</v>
      </c>
      <c r="Q14" s="240">
        <v>5.4</v>
      </c>
      <c r="R14" s="241"/>
      <c r="S14" s="240"/>
      <c r="T14" s="113"/>
      <c r="U14" s="241">
        <v>0</v>
      </c>
      <c r="V14" s="240">
        <v>5.18</v>
      </c>
      <c r="W14" s="241"/>
      <c r="X14" s="240"/>
      <c r="Y14" s="113"/>
      <c r="Z14" s="260">
        <v>4.74</v>
      </c>
      <c r="AA14" s="259">
        <v>5.49</v>
      </c>
      <c r="AB14" s="241">
        <f>R15+R35</f>
        <v>0.1</v>
      </c>
      <c r="AC14" s="10" t="s">
        <v>31</v>
      </c>
      <c r="AD14" s="113"/>
      <c r="AE14" s="260">
        <v>0.02</v>
      </c>
      <c r="AF14" s="259">
        <v>5.39</v>
      </c>
      <c r="AG14" s="241"/>
      <c r="AH14" s="241"/>
      <c r="AI14" s="156"/>
      <c r="AJ14" s="164" t="s">
        <v>27</v>
      </c>
      <c r="AK14" s="16">
        <f>D46+D79+D94+D101+D102+D103+D129+D132+D146+D171+D178+D182+D193+D198+D199</f>
        <v>4.9283333333333337</v>
      </c>
      <c r="AL14" s="16">
        <f>M46+M79+M94+M101+M102+M103+M129+M132+M146+M171+M179+M182+M193+M199</f>
        <v>4.7733333333333334</v>
      </c>
      <c r="AM14" s="16">
        <f>R46+R103+R102+R101+R79</f>
        <v>5.2166666666666668</v>
      </c>
      <c r="AN14" s="16">
        <f>W46+W103+W102+W101+W79+W24</f>
        <v>5.0766666666666671</v>
      </c>
      <c r="AO14" s="16">
        <f>AB24</f>
        <v>3.97</v>
      </c>
      <c r="AP14" s="241">
        <f>AG24</f>
        <v>0.08</v>
      </c>
      <c r="AQ14" s="164">
        <f>AVERAGE(AK14:AO14)</f>
        <v>4.7930000000000001</v>
      </c>
      <c r="AR14" s="111"/>
      <c r="AS14" s="111"/>
      <c r="AT14" s="111"/>
      <c r="AU14" s="25"/>
      <c r="AV14" s="25"/>
      <c r="AW14" s="25"/>
    </row>
    <row r="15" spans="1:49" s="21" customFormat="1" x14ac:dyDescent="0.25">
      <c r="A15" s="261"/>
      <c r="B15" s="260"/>
      <c r="C15" s="259"/>
      <c r="D15" s="240"/>
      <c r="E15" s="8"/>
      <c r="F15" s="113"/>
      <c r="G15" s="260"/>
      <c r="H15" s="259"/>
      <c r="I15" s="240"/>
      <c r="J15" s="113"/>
      <c r="K15" s="241">
        <v>0.05</v>
      </c>
      <c r="L15" s="240">
        <v>5.26</v>
      </c>
      <c r="M15" s="241"/>
      <c r="N15" s="8"/>
      <c r="O15" s="113"/>
      <c r="P15" s="241">
        <v>0.16</v>
      </c>
      <c r="Q15" s="240">
        <v>5.48</v>
      </c>
      <c r="R15" s="241"/>
      <c r="S15" s="8"/>
      <c r="T15" s="113"/>
      <c r="U15" s="241">
        <v>0.11</v>
      </c>
      <c r="V15" s="240">
        <v>5.24</v>
      </c>
      <c r="W15" s="241"/>
      <c r="X15" s="8"/>
      <c r="Y15" s="113"/>
      <c r="Z15" s="260"/>
      <c r="AA15" s="259"/>
      <c r="AB15" s="241">
        <f>W32</f>
        <v>0.18</v>
      </c>
      <c r="AC15" s="61" t="s">
        <v>124</v>
      </c>
      <c r="AD15" s="113"/>
      <c r="AE15" s="260"/>
      <c r="AF15" s="259"/>
      <c r="AG15" s="241">
        <f>AE14</f>
        <v>0.02</v>
      </c>
      <c r="AH15" s="61" t="s">
        <v>124</v>
      </c>
      <c r="AI15" s="156"/>
      <c r="AJ15" s="164" t="s">
        <v>61</v>
      </c>
      <c r="AK15" s="19">
        <f>D80+D95+D119+D155+D173+D201+D188</f>
        <v>1.0874999999999999</v>
      </c>
      <c r="AL15" s="19">
        <f>M80+M95+M119+M155+M173+M200</f>
        <v>0.96</v>
      </c>
      <c r="AM15" s="19">
        <f>R24+R80+R95</f>
        <v>0.65</v>
      </c>
      <c r="AN15" s="19">
        <f>W80+W95</f>
        <v>0.82000000000000006</v>
      </c>
      <c r="AO15" s="19">
        <f>AB33</f>
        <v>1.9500000000000002</v>
      </c>
      <c r="AP15" s="241">
        <f>AG33</f>
        <v>2.5000000000000001E-2</v>
      </c>
      <c r="AQ15" s="164">
        <f t="shared" si="0"/>
        <v>1.0935000000000001</v>
      </c>
      <c r="AR15" s="111"/>
      <c r="AS15" s="111"/>
      <c r="AT15" s="111"/>
      <c r="AU15" s="25"/>
      <c r="AV15" s="25"/>
      <c r="AW15" s="25"/>
    </row>
    <row r="16" spans="1:49" s="21" customFormat="1" x14ac:dyDescent="0.25">
      <c r="A16" s="261"/>
      <c r="B16" s="260"/>
      <c r="C16" s="259"/>
      <c r="D16" s="240"/>
      <c r="E16" s="8"/>
      <c r="F16" s="113"/>
      <c r="G16" s="260"/>
      <c r="H16" s="259"/>
      <c r="I16" s="240"/>
      <c r="J16" s="113"/>
      <c r="K16" s="260">
        <v>0.05</v>
      </c>
      <c r="L16" s="259">
        <v>5.3</v>
      </c>
      <c r="M16" s="241"/>
      <c r="N16" s="8"/>
      <c r="O16" s="113"/>
      <c r="P16" s="260">
        <v>0.12</v>
      </c>
      <c r="Q16" s="259">
        <v>5.54</v>
      </c>
      <c r="R16" s="241"/>
      <c r="S16" s="8"/>
      <c r="T16" s="113"/>
      <c r="U16" s="241">
        <v>0.04</v>
      </c>
      <c r="V16" s="240">
        <v>5.28</v>
      </c>
      <c r="W16" s="241"/>
      <c r="X16" s="8"/>
      <c r="Y16" s="113"/>
      <c r="Z16" s="260"/>
      <c r="AA16" s="259"/>
      <c r="AB16" s="241">
        <f>Z14-AB14</f>
        <v>4.6400000000000006</v>
      </c>
      <c r="AC16" s="7" t="s">
        <v>29</v>
      </c>
      <c r="AD16" s="113"/>
      <c r="AE16" s="260">
        <v>0.01</v>
      </c>
      <c r="AF16" s="259">
        <v>5.46</v>
      </c>
      <c r="AG16" s="241"/>
      <c r="AH16" s="241"/>
      <c r="AI16" s="156"/>
      <c r="AJ16" s="164" t="s">
        <v>21</v>
      </c>
      <c r="AK16" s="16">
        <f>D33+D62+D88+D110+D143</f>
        <v>0.5</v>
      </c>
      <c r="AL16" s="16">
        <f>M33+M62+M88+M110+M138</f>
        <v>0.5</v>
      </c>
      <c r="AM16" s="16">
        <f>R33+R110+R62</f>
        <v>0.5</v>
      </c>
      <c r="AN16" s="16">
        <f>W33+W110+W62</f>
        <v>0.5</v>
      </c>
      <c r="AO16" s="16">
        <f>AB26</f>
        <v>0.5</v>
      </c>
      <c r="AP16" s="241"/>
      <c r="AQ16" s="164">
        <f t="shared" ref="AQ16:AQ21" si="1">AVERAGE(AK16:AO16)</f>
        <v>0.5</v>
      </c>
      <c r="AR16" s="111"/>
      <c r="AS16" s="111"/>
      <c r="AT16" s="111"/>
      <c r="AU16" s="25"/>
      <c r="AV16" s="25"/>
      <c r="AW16" s="25"/>
    </row>
    <row r="17" spans="1:49" s="21" customFormat="1" x14ac:dyDescent="0.25">
      <c r="A17" s="261"/>
      <c r="B17" s="260"/>
      <c r="C17" s="259"/>
      <c r="D17" s="240"/>
      <c r="E17" s="56"/>
      <c r="F17" s="115"/>
      <c r="G17" s="260"/>
      <c r="H17" s="259"/>
      <c r="I17" s="240"/>
      <c r="J17" s="115"/>
      <c r="K17" s="260"/>
      <c r="L17" s="259"/>
      <c r="M17" s="241"/>
      <c r="N17" s="56"/>
      <c r="O17" s="115"/>
      <c r="P17" s="260"/>
      <c r="Q17" s="259"/>
      <c r="R17" s="241"/>
      <c r="S17" s="240"/>
      <c r="T17" s="115"/>
      <c r="U17" s="260">
        <v>0.18</v>
      </c>
      <c r="V17" s="259">
        <v>5.31</v>
      </c>
      <c r="W17" s="241"/>
      <c r="X17" s="240"/>
      <c r="Y17" s="115"/>
      <c r="Z17" s="260"/>
      <c r="AA17" s="259"/>
      <c r="AB17" s="241"/>
      <c r="AC17" s="240"/>
      <c r="AD17" s="115"/>
      <c r="AE17" s="260"/>
      <c r="AF17" s="259"/>
      <c r="AG17" s="241"/>
      <c r="AH17" s="241"/>
      <c r="AI17" s="156"/>
      <c r="AJ17" s="164" t="s">
        <v>101</v>
      </c>
      <c r="AK17" s="16">
        <f>D47+D124+D180</f>
        <v>0.72333333333333327</v>
      </c>
      <c r="AL17" s="16">
        <f>M47+M124+M178</f>
        <v>0.57666666666666666</v>
      </c>
      <c r="AM17" s="16">
        <f>R47+R124</f>
        <v>0.77666666666666662</v>
      </c>
      <c r="AN17" s="16">
        <f>W47+W124</f>
        <v>0.92666666666666675</v>
      </c>
      <c r="AO17" s="16">
        <f>AB47</f>
        <v>0.62</v>
      </c>
      <c r="AP17" s="241">
        <f>AG38</f>
        <v>0.35000000000000003</v>
      </c>
      <c r="AQ17" s="164">
        <f t="shared" si="1"/>
        <v>0.72466666666666657</v>
      </c>
      <c r="AR17" s="172">
        <f>SUM(AQ14:AQ17)</f>
        <v>7.1111666666666666</v>
      </c>
      <c r="AS17" s="169" t="s">
        <v>295</v>
      </c>
      <c r="AT17" s="111"/>
      <c r="AU17" s="25"/>
      <c r="AV17" s="25"/>
      <c r="AW17" s="25"/>
    </row>
    <row r="18" spans="1:49" s="21" customFormat="1" x14ac:dyDescent="0.25">
      <c r="A18" s="261"/>
      <c r="B18" s="260"/>
      <c r="C18" s="259"/>
      <c r="D18" s="240"/>
      <c r="E18" s="240"/>
      <c r="F18" s="113"/>
      <c r="G18" s="260"/>
      <c r="H18" s="259"/>
      <c r="I18" s="240"/>
      <c r="J18" s="113"/>
      <c r="K18" s="260"/>
      <c r="L18" s="259"/>
      <c r="M18" s="241"/>
      <c r="N18" s="240"/>
      <c r="O18" s="113"/>
      <c r="P18" s="260"/>
      <c r="Q18" s="259"/>
      <c r="R18" s="241"/>
      <c r="S18" s="240"/>
      <c r="T18" s="113"/>
      <c r="U18" s="260"/>
      <c r="V18" s="259"/>
      <c r="W18" s="241"/>
      <c r="X18" s="240"/>
      <c r="Y18" s="113"/>
      <c r="Z18" s="260"/>
      <c r="AA18" s="259"/>
      <c r="AB18" s="241"/>
      <c r="AC18" s="240"/>
      <c r="AD18" s="113"/>
      <c r="AE18" s="241">
        <v>0.03</v>
      </c>
      <c r="AF18" s="240">
        <v>5.53</v>
      </c>
      <c r="AG18" s="241"/>
      <c r="AH18" s="241"/>
      <c r="AI18" s="156"/>
      <c r="AJ18" s="165" t="s">
        <v>22</v>
      </c>
      <c r="AK18" s="16">
        <f>D96+D169+D137</f>
        <v>0.28000000000000003</v>
      </c>
      <c r="AL18" s="16">
        <f>M96+M137</f>
        <v>0.29333333333333333</v>
      </c>
      <c r="AM18" s="16">
        <f>R41+R69+R137+R143</f>
        <v>0.7</v>
      </c>
      <c r="AN18" s="16">
        <f>W41+W69+W137+W143</f>
        <v>0.56000000000000005</v>
      </c>
      <c r="AO18" s="16">
        <f>AB48</f>
        <v>0.59</v>
      </c>
      <c r="AP18" s="26"/>
      <c r="AQ18" s="165">
        <f t="shared" si="1"/>
        <v>0.48466666666666669</v>
      </c>
      <c r="AR18" s="111"/>
      <c r="AS18" s="111"/>
      <c r="AT18" s="111"/>
      <c r="AU18" s="25"/>
      <c r="AV18" s="25"/>
      <c r="AW18" s="25"/>
    </row>
    <row r="19" spans="1:49" s="21" customFormat="1" x14ac:dyDescent="0.25">
      <c r="A19" s="261">
        <v>8</v>
      </c>
      <c r="B19" s="260">
        <v>11.66</v>
      </c>
      <c r="C19" s="259">
        <v>5.6</v>
      </c>
      <c r="D19" s="240"/>
      <c r="E19" s="8"/>
      <c r="F19" s="113"/>
      <c r="G19" s="260">
        <v>14.31</v>
      </c>
      <c r="H19" s="259">
        <v>5.52</v>
      </c>
      <c r="I19" s="240"/>
      <c r="J19" s="113"/>
      <c r="K19" s="260">
        <v>0.02</v>
      </c>
      <c r="L19" s="259">
        <v>5.41</v>
      </c>
      <c r="M19" s="241"/>
      <c r="N19" s="8"/>
      <c r="O19" s="113"/>
      <c r="P19" s="260">
        <v>0.03</v>
      </c>
      <c r="Q19" s="259">
        <v>5.67</v>
      </c>
      <c r="R19" s="241"/>
      <c r="S19" s="8"/>
      <c r="T19" s="113"/>
      <c r="U19" s="241">
        <v>0.01</v>
      </c>
      <c r="V19" s="240">
        <v>5.42</v>
      </c>
      <c r="W19" s="241"/>
      <c r="X19" s="8"/>
      <c r="Y19" s="113"/>
      <c r="Z19" s="260">
        <v>12.8</v>
      </c>
      <c r="AA19" s="259">
        <v>5.75</v>
      </c>
      <c r="AB19" s="56"/>
      <c r="AC19" s="56"/>
      <c r="AD19" s="113"/>
      <c r="AE19" s="260">
        <v>11.6</v>
      </c>
      <c r="AF19" s="259">
        <v>5.68</v>
      </c>
      <c r="AG19" s="241"/>
      <c r="AH19" s="241"/>
      <c r="AI19" s="156"/>
      <c r="AJ19" s="165" t="s">
        <v>63</v>
      </c>
      <c r="AK19" s="16">
        <f>D55</f>
        <v>0.11749999999999999</v>
      </c>
      <c r="AL19" s="16">
        <f>M55</f>
        <v>0.11749999999999999</v>
      </c>
      <c r="AM19" s="16">
        <f>R55+R165</f>
        <v>0.12</v>
      </c>
      <c r="AN19" s="16">
        <f>W55+W165</f>
        <v>0.12</v>
      </c>
      <c r="AO19" s="16">
        <f>AB55</f>
        <v>0.12</v>
      </c>
      <c r="AP19" s="26">
        <f>AG55</f>
        <v>0.12</v>
      </c>
      <c r="AQ19" s="165">
        <f t="shared" si="1"/>
        <v>0.11899999999999999</v>
      </c>
      <c r="AR19" s="111"/>
      <c r="AS19" s="111"/>
      <c r="AT19" s="111"/>
      <c r="AU19" s="25"/>
      <c r="AV19" s="25"/>
      <c r="AW19" s="25"/>
    </row>
    <row r="20" spans="1:49" s="21" customFormat="1" x14ac:dyDescent="0.25">
      <c r="A20" s="261"/>
      <c r="B20" s="260"/>
      <c r="C20" s="259"/>
      <c r="D20" s="240"/>
      <c r="E20" s="241"/>
      <c r="F20" s="113"/>
      <c r="G20" s="260"/>
      <c r="H20" s="259"/>
      <c r="I20" s="240"/>
      <c r="J20" s="113"/>
      <c r="K20" s="260"/>
      <c r="L20" s="259"/>
      <c r="M20" s="241"/>
      <c r="N20" s="241"/>
      <c r="O20" s="113"/>
      <c r="P20" s="260"/>
      <c r="Q20" s="259"/>
      <c r="R20" s="241"/>
      <c r="S20" s="56"/>
      <c r="T20" s="113"/>
      <c r="U20" s="241">
        <v>0.01</v>
      </c>
      <c r="V20" s="240">
        <v>5.44</v>
      </c>
      <c r="W20" s="241"/>
      <c r="X20" s="56"/>
      <c r="Y20" s="113"/>
      <c r="Z20" s="260"/>
      <c r="AA20" s="259"/>
      <c r="AB20" s="56"/>
      <c r="AC20" s="56"/>
      <c r="AD20" s="113"/>
      <c r="AE20" s="260"/>
      <c r="AF20" s="259"/>
      <c r="AG20" s="241">
        <v>2</v>
      </c>
      <c r="AH20" s="74" t="s">
        <v>335</v>
      </c>
      <c r="AI20" s="156"/>
      <c r="AJ20" s="165" t="s">
        <v>39</v>
      </c>
      <c r="AK20" s="16">
        <f>D82+D166</f>
        <v>0.71000000000000008</v>
      </c>
      <c r="AL20" s="16">
        <f>M82+M166</f>
        <v>0.71000000000000008</v>
      </c>
      <c r="AM20" s="16">
        <f>R48+R82+R166</f>
        <v>0.71000000000000008</v>
      </c>
      <c r="AN20" s="16">
        <f>W48+W82+W166</f>
        <v>1.0900000000000001</v>
      </c>
      <c r="AO20" s="16">
        <f>AB50</f>
        <v>0.21000000000000002</v>
      </c>
      <c r="AP20" s="26"/>
      <c r="AQ20" s="165">
        <f t="shared" si="1"/>
        <v>0.68600000000000017</v>
      </c>
      <c r="AR20" s="111"/>
      <c r="AS20" s="111"/>
      <c r="AT20" s="111"/>
      <c r="AU20" s="25"/>
      <c r="AV20" s="25"/>
      <c r="AW20" s="25"/>
    </row>
    <row r="21" spans="1:49" s="21" customFormat="1" x14ac:dyDescent="0.25">
      <c r="A21" s="261"/>
      <c r="B21" s="260"/>
      <c r="C21" s="259"/>
      <c r="D21" s="240">
        <f>B19-D19</f>
        <v>11.66</v>
      </c>
      <c r="E21" s="54" t="s">
        <v>34</v>
      </c>
      <c r="F21" s="113"/>
      <c r="G21" s="260"/>
      <c r="H21" s="259"/>
      <c r="I21" s="240"/>
      <c r="J21" s="113"/>
      <c r="K21" s="241">
        <v>12.06</v>
      </c>
      <c r="L21" s="240">
        <v>5.56</v>
      </c>
      <c r="M21" s="241">
        <f>K21</f>
        <v>12.06</v>
      </c>
      <c r="N21" s="54" t="s">
        <v>34</v>
      </c>
      <c r="O21" s="113"/>
      <c r="P21" s="241">
        <v>11.97</v>
      </c>
      <c r="Q21" s="240">
        <v>5.81</v>
      </c>
      <c r="R21" s="241">
        <f>P21</f>
        <v>11.97</v>
      </c>
      <c r="S21" s="54" t="s">
        <v>34</v>
      </c>
      <c r="T21" s="113"/>
      <c r="U21" s="241">
        <v>12.42</v>
      </c>
      <c r="V21" s="240">
        <v>5.57</v>
      </c>
      <c r="W21" s="241">
        <f>U21+U22+U24-W22-W24-W25</f>
        <v>11.469999999999999</v>
      </c>
      <c r="X21" s="54" t="s">
        <v>34</v>
      </c>
      <c r="Y21" s="113"/>
      <c r="Z21" s="260"/>
      <c r="AA21" s="259"/>
      <c r="AB21" s="241">
        <f>Z19-1</f>
        <v>11.8</v>
      </c>
      <c r="AC21" s="54" t="s">
        <v>34</v>
      </c>
      <c r="AD21" s="113"/>
      <c r="AE21" s="260"/>
      <c r="AF21" s="259"/>
      <c r="AG21" s="241">
        <f>AE19-AG20-AG28</f>
        <v>9.1</v>
      </c>
      <c r="AH21" s="54" t="s">
        <v>34</v>
      </c>
      <c r="AI21" s="156"/>
      <c r="AJ21" s="165" t="s">
        <v>98</v>
      </c>
      <c r="AK21" s="16">
        <f>D64</f>
        <v>0.13</v>
      </c>
      <c r="AL21" s="16">
        <f>M64</f>
        <v>0.13</v>
      </c>
      <c r="AM21" s="16">
        <f>R64</f>
        <v>0.13</v>
      </c>
      <c r="AN21" s="16">
        <f>W64</f>
        <v>0.11</v>
      </c>
      <c r="AO21" s="16">
        <f>AB64</f>
        <v>0.11</v>
      </c>
      <c r="AP21" s="26">
        <f>AG64</f>
        <v>0.02</v>
      </c>
      <c r="AQ21" s="165">
        <f t="shared" si="1"/>
        <v>0.122</v>
      </c>
      <c r="AR21" s="173">
        <f>SUM(AQ18:AQ21)</f>
        <v>1.4116666666666666</v>
      </c>
      <c r="AS21" s="169" t="s">
        <v>294</v>
      </c>
      <c r="AT21" s="111"/>
      <c r="AU21" s="25"/>
      <c r="AV21" s="25"/>
      <c r="AW21" s="25"/>
    </row>
    <row r="22" spans="1:49" s="21" customFormat="1" x14ac:dyDescent="0.25">
      <c r="A22" s="261">
        <v>9</v>
      </c>
      <c r="B22" s="260">
        <v>0.62</v>
      </c>
      <c r="C22" s="259">
        <v>5.82</v>
      </c>
      <c r="D22" s="241">
        <f>R22</f>
        <v>7.0000000000000007E-2</v>
      </c>
      <c r="E22" s="10" t="s">
        <v>59</v>
      </c>
      <c r="F22" s="113"/>
      <c r="G22" s="260">
        <v>0.68</v>
      </c>
      <c r="H22" s="259">
        <v>5.71</v>
      </c>
      <c r="I22" s="240"/>
      <c r="J22" s="113"/>
      <c r="K22" s="241">
        <v>0.59</v>
      </c>
      <c r="L22" s="240">
        <v>5.75</v>
      </c>
      <c r="M22" s="241">
        <f>D22</f>
        <v>7.0000000000000007E-2</v>
      </c>
      <c r="N22" s="10" t="s">
        <v>59</v>
      </c>
      <c r="O22" s="113"/>
      <c r="P22" s="241">
        <v>0.51</v>
      </c>
      <c r="Q22" s="240">
        <v>6.04</v>
      </c>
      <c r="R22" s="241">
        <f>P27</f>
        <v>7.0000000000000007E-2</v>
      </c>
      <c r="S22" s="10" t="s">
        <v>59</v>
      </c>
      <c r="T22" s="113"/>
      <c r="U22" s="260">
        <v>0.71</v>
      </c>
      <c r="V22" s="259">
        <v>5.77</v>
      </c>
      <c r="W22" s="241">
        <v>0.08</v>
      </c>
      <c r="X22" s="10" t="s">
        <v>59</v>
      </c>
      <c r="Y22" s="113"/>
      <c r="Z22" s="260">
        <v>6.83</v>
      </c>
      <c r="AA22" s="259">
        <v>5.97</v>
      </c>
      <c r="AB22" s="241">
        <v>0.18</v>
      </c>
      <c r="AC22" s="10" t="s">
        <v>59</v>
      </c>
      <c r="AD22" s="113"/>
      <c r="AE22" s="241">
        <v>0.12</v>
      </c>
      <c r="AF22" s="240">
        <v>5.84</v>
      </c>
      <c r="AG22" s="241">
        <f>AE22</f>
        <v>0.12</v>
      </c>
      <c r="AH22" s="10" t="s">
        <v>59</v>
      </c>
      <c r="AI22" s="156"/>
      <c r="AJ22" s="166" t="s">
        <v>182</v>
      </c>
      <c r="AK22" s="16">
        <f>D202+D197+D187+D183+D181+D144+D189</f>
        <v>1.06</v>
      </c>
      <c r="AL22" s="16">
        <f>M202+M197+M187+M183+M181+M144+M189+M160</f>
        <v>1.07</v>
      </c>
      <c r="AM22" s="16">
        <f>R144+R159+R187+R92+R160+R197</f>
        <v>0.75</v>
      </c>
      <c r="AN22" s="16">
        <f>W85+W130+W135+W129+W142+W123</f>
        <v>0.88000000000000012</v>
      </c>
      <c r="AO22" s="16">
        <f>AB85+AB88+AB110+AB129+AB142+AB123</f>
        <v>0.94</v>
      </c>
      <c r="AP22" s="244">
        <f>AG60</f>
        <v>0</v>
      </c>
      <c r="AQ22" s="166">
        <f>AVERAGE(AK22:AO22)</f>
        <v>0.93999999999999984</v>
      </c>
      <c r="AR22" s="111"/>
      <c r="AS22" s="111"/>
      <c r="AT22" s="111"/>
      <c r="AU22" s="25"/>
      <c r="AV22" s="25"/>
      <c r="AW22" s="25"/>
    </row>
    <row r="23" spans="1:49" s="21" customFormat="1" x14ac:dyDescent="0.25">
      <c r="A23" s="261"/>
      <c r="B23" s="260"/>
      <c r="C23" s="259"/>
      <c r="D23" s="56"/>
      <c r="E23" s="56"/>
      <c r="F23" s="113"/>
      <c r="G23" s="260"/>
      <c r="H23" s="259"/>
      <c r="I23" s="240"/>
      <c r="J23" s="113"/>
      <c r="K23" s="260">
        <v>0.04</v>
      </c>
      <c r="L23" s="259">
        <v>5.89</v>
      </c>
      <c r="M23" s="56"/>
      <c r="N23" s="56"/>
      <c r="O23" s="113"/>
      <c r="P23" s="260">
        <v>0.1</v>
      </c>
      <c r="Q23" s="259">
        <v>6.08</v>
      </c>
      <c r="R23" s="56"/>
      <c r="S23" s="56"/>
      <c r="T23" s="113"/>
      <c r="U23" s="260"/>
      <c r="V23" s="259"/>
      <c r="W23" s="56"/>
      <c r="X23" s="56"/>
      <c r="Y23" s="113"/>
      <c r="Z23" s="260"/>
      <c r="AA23" s="259"/>
      <c r="AB23" s="241">
        <v>0.4</v>
      </c>
      <c r="AC23" s="58" t="s">
        <v>18</v>
      </c>
      <c r="AD23" s="113"/>
      <c r="AE23" s="260">
        <v>0.15</v>
      </c>
      <c r="AF23" s="259">
        <v>5.96</v>
      </c>
      <c r="AG23" s="245">
        <v>0.01</v>
      </c>
      <c r="AH23" s="58" t="s">
        <v>18</v>
      </c>
      <c r="AI23" s="156"/>
      <c r="AJ23" s="159" t="s">
        <v>183</v>
      </c>
      <c r="AK23" s="16">
        <f>D31+D39+D40+D52+D54+D53+D66+D76+D81+D78+D89+D93+D104+D116+D118+D113+D120+D109+D112+D121+D117+D126+D127+D130+D131+D134+D135+D136+D141+D142+D140+D147+D145+D149+D150+D153+D165+D164+D172+D179+D184+D185+D192+D191+D190+D196+D194+D195+D200+D203</f>
        <v>9.7141666666666673</v>
      </c>
      <c r="AL23" s="19">
        <f>M31+M39+M40+M52+M54+M53+M66+M76+M81+M78+M89+M93+M104+M116+M118+M113+M120+M109+M112+M121+M117+M126+M127+M130+M131+M134+M135+M136+M141+M147+M145+M149+M150+M153+M165+M164+M172+M180+M184+M185+M191+M190+M196+M194+M195+M192+M167+M175+M162+M169</f>
        <v>9.8666666666666654</v>
      </c>
      <c r="AM23" s="16">
        <f>R29+R39+R40+R52+R54+R53+R66+R76+R81+R78+R88+R93+R97+R104+R116+R118+R113+R120+R109+R127+R128+R132+R131+R134+R141+R149+R150+R154+R169+R196+R167+R175+R147+R192+R162</f>
        <v>10.133333333333335</v>
      </c>
      <c r="AN23" s="16">
        <f>W29+W39+W40+W52+W54+W53+W66+W76+W81+W78+W88+W93+W97+W104+W116+W118+W113+W120+W109+W127+W128+W132+W131+W134+W141+W149+W150+W154+W169+W168+W70+W175+W147+W122</f>
        <v>9.6399999999999988</v>
      </c>
      <c r="AO23" s="16">
        <f>AB29+AB39+AB40+AB52+AB54+AB53+AB66+AB81+AB78+AB97+AB104+AB116+AB118+AB113+AB109+AB126+AB131+AB134+AB141+AB154+AB169+AB70+AB127+AB62+AB121+AB122+AB168</f>
        <v>8.82</v>
      </c>
      <c r="AP23" s="204">
        <f>AG29+AG39+AG40+AG52+AG53+AG54+AG62+AG66+AG70+AG78+AG81+AG97+AG104+AG116+AG113+AG109+AG118+AG121+AG122+AG126+AG127+AG131+AG134+AG141+AG142+AG154+AG168+AG20+AG56+AG169+AG28+AG44+AG61+AG85</f>
        <v>8.65</v>
      </c>
      <c r="AQ23" s="159">
        <f>AVERAGE(AK23:AP23)</f>
        <v>9.4706944444444439</v>
      </c>
      <c r="AR23" s="111"/>
      <c r="AS23" s="111"/>
      <c r="AT23" s="111"/>
      <c r="AU23" s="25"/>
      <c r="AV23" s="25"/>
      <c r="AW23" s="25"/>
    </row>
    <row r="24" spans="1:49" s="21" customFormat="1" x14ac:dyDescent="0.25">
      <c r="A24" s="261"/>
      <c r="B24" s="260"/>
      <c r="C24" s="259"/>
      <c r="D24" s="56"/>
      <c r="E24" s="56"/>
      <c r="F24" s="113"/>
      <c r="G24" s="260"/>
      <c r="H24" s="259"/>
      <c r="I24" s="240"/>
      <c r="J24" s="113"/>
      <c r="K24" s="260"/>
      <c r="L24" s="259"/>
      <c r="M24" s="241"/>
      <c r="N24" s="8"/>
      <c r="O24" s="113"/>
      <c r="P24" s="260"/>
      <c r="Q24" s="259"/>
      <c r="R24" s="241"/>
      <c r="S24" s="240"/>
      <c r="T24" s="113"/>
      <c r="U24" s="260">
        <v>0.03</v>
      </c>
      <c r="V24" s="259">
        <v>5.87</v>
      </c>
      <c r="W24" s="19">
        <v>0.9</v>
      </c>
      <c r="X24" s="249" t="s">
        <v>27</v>
      </c>
      <c r="Y24" s="113"/>
      <c r="Z24" s="260"/>
      <c r="AA24" s="259"/>
      <c r="AB24" s="241">
        <f>Z22-AB22-AB23-AB25-AB26+1</f>
        <v>3.97</v>
      </c>
      <c r="AC24" s="249" t="s">
        <v>27</v>
      </c>
      <c r="AD24" s="113"/>
      <c r="AE24" s="260"/>
      <c r="AF24" s="259"/>
      <c r="AG24" s="245">
        <v>0.08</v>
      </c>
      <c r="AH24" s="249" t="s">
        <v>27</v>
      </c>
      <c r="AI24" s="156"/>
      <c r="AJ24" s="19" t="s">
        <v>34</v>
      </c>
      <c r="AK24" s="16">
        <f>D3+D10+D21+D37+D63+D86</f>
        <v>46.620000000000012</v>
      </c>
      <c r="AL24" s="16">
        <f>M3+M10+M21+M37+M63+M86</f>
        <v>47.070000000000007</v>
      </c>
      <c r="AM24" s="16">
        <f>R3+R10+R21+R37+R63+R86</f>
        <v>47.38</v>
      </c>
      <c r="AN24" s="16">
        <f>W3+W10+W21+W37+W63+W86</f>
        <v>48.51</v>
      </c>
      <c r="AO24" s="16">
        <f>AB3+AB10+AB21+AB37+AB63+AB86</f>
        <v>47.610000000000007</v>
      </c>
      <c r="AP24" s="241">
        <f>AG3+AG10+AG21+AG37+AG63+AG86</f>
        <v>41.84</v>
      </c>
    </row>
    <row r="25" spans="1:49" s="21" customFormat="1" x14ac:dyDescent="0.25">
      <c r="A25" s="261"/>
      <c r="B25" s="260"/>
      <c r="C25" s="259"/>
      <c r="D25" s="240">
        <f>B22-D22</f>
        <v>0.55000000000000004</v>
      </c>
      <c r="E25" s="7" t="s">
        <v>58</v>
      </c>
      <c r="F25" s="113"/>
      <c r="G25" s="260"/>
      <c r="H25" s="259"/>
      <c r="I25" s="240"/>
      <c r="J25" s="113"/>
      <c r="K25" s="260"/>
      <c r="L25" s="259"/>
      <c r="M25" s="241">
        <f>K23+K22-M22</f>
        <v>0.56000000000000005</v>
      </c>
      <c r="N25" s="7" t="s">
        <v>58</v>
      </c>
      <c r="O25" s="113"/>
      <c r="P25" s="260"/>
      <c r="Q25" s="259"/>
      <c r="R25" s="241">
        <f>P23+P22</f>
        <v>0.61</v>
      </c>
      <c r="S25" s="7" t="s">
        <v>58</v>
      </c>
      <c r="T25" s="113"/>
      <c r="U25" s="260"/>
      <c r="V25" s="259"/>
      <c r="W25" s="241">
        <f>U22</f>
        <v>0.71</v>
      </c>
      <c r="X25" s="7" t="s">
        <v>58</v>
      </c>
      <c r="Y25" s="113"/>
      <c r="Z25" s="260"/>
      <c r="AA25" s="259"/>
      <c r="AB25" s="241">
        <v>2.78</v>
      </c>
      <c r="AC25" s="7" t="s">
        <v>58</v>
      </c>
      <c r="AD25" s="113"/>
      <c r="AE25" s="260"/>
      <c r="AF25" s="259"/>
      <c r="AG25" s="241">
        <v>0.06</v>
      </c>
      <c r="AH25" s="7" t="s">
        <v>58</v>
      </c>
      <c r="AI25" s="156"/>
      <c r="AJ25" s="19" t="s">
        <v>33</v>
      </c>
      <c r="AK25" s="241">
        <f t="shared" ref="AK25:AM25" si="2">SUM(AK4:AK24)</f>
        <v>98.453055555555579</v>
      </c>
      <c r="AL25" s="241">
        <f>SUM(AL4:AL24)</f>
        <v>98.51333333333335</v>
      </c>
      <c r="AM25" s="241">
        <f t="shared" si="2"/>
        <v>96.533333333333331</v>
      </c>
      <c r="AN25" s="241">
        <f>SUM(AN4:AN24)</f>
        <v>99.34</v>
      </c>
      <c r="AO25" s="245">
        <f>SUM(AO4:AO24)</f>
        <v>93.84</v>
      </c>
      <c r="AP25" s="241">
        <f>SUM(AP4:AP24)</f>
        <v>97.62</v>
      </c>
    </row>
    <row r="26" spans="1:49" s="21" customFormat="1" x14ac:dyDescent="0.25">
      <c r="A26" s="261"/>
      <c r="B26" s="260"/>
      <c r="C26" s="259"/>
      <c r="D26" s="56"/>
      <c r="E26" s="56"/>
      <c r="F26" s="113"/>
      <c r="G26" s="260"/>
      <c r="H26" s="259"/>
      <c r="I26" s="240"/>
      <c r="J26" s="113"/>
      <c r="K26" s="260"/>
      <c r="L26" s="259"/>
      <c r="M26" s="56"/>
      <c r="N26" s="56"/>
      <c r="O26" s="113"/>
      <c r="P26" s="260"/>
      <c r="Q26" s="259"/>
      <c r="R26" s="56"/>
      <c r="S26" s="56"/>
      <c r="T26" s="113"/>
      <c r="U26" s="260"/>
      <c r="V26" s="259"/>
      <c r="W26" s="56"/>
      <c r="X26" s="56"/>
      <c r="Y26" s="113"/>
      <c r="Z26" s="260"/>
      <c r="AA26" s="259"/>
      <c r="AB26" s="8">
        <f>R33+R62+R110</f>
        <v>0.5</v>
      </c>
      <c r="AC26" s="62" t="s">
        <v>21</v>
      </c>
      <c r="AD26" s="113"/>
      <c r="AE26" s="260"/>
      <c r="AF26" s="259"/>
      <c r="AG26" s="241"/>
      <c r="AH26" s="241"/>
      <c r="AI26" s="156"/>
      <c r="AJ26" s="2"/>
      <c r="AK26" s="117">
        <f>D207</f>
        <v>98.453055555555551</v>
      </c>
      <c r="AL26" s="117">
        <f>M207</f>
        <v>98.513333333333364</v>
      </c>
      <c r="AM26" s="117">
        <f>R207</f>
        <v>96.533333333333317</v>
      </c>
      <c r="AN26" s="117">
        <f>W207</f>
        <v>99.340000000000032</v>
      </c>
      <c r="AO26" s="117">
        <f>AB207</f>
        <v>93.840000000000018</v>
      </c>
      <c r="AP26" s="117">
        <f>AG207</f>
        <v>97.620000000000047</v>
      </c>
    </row>
    <row r="27" spans="1:49" s="21" customFormat="1" x14ac:dyDescent="0.25">
      <c r="A27" s="261"/>
      <c r="B27" s="260"/>
      <c r="C27" s="259"/>
      <c r="D27" s="240"/>
      <c r="E27" s="8"/>
      <c r="F27" s="113"/>
      <c r="G27" s="260"/>
      <c r="H27" s="259"/>
      <c r="I27" s="240"/>
      <c r="J27" s="113"/>
      <c r="K27" s="260"/>
      <c r="L27" s="259"/>
      <c r="M27" s="56"/>
      <c r="N27" s="56"/>
      <c r="O27" s="113"/>
      <c r="P27" s="260">
        <v>7.0000000000000007E-2</v>
      </c>
      <c r="Q27" s="259">
        <v>6.13</v>
      </c>
      <c r="R27" s="241"/>
      <c r="S27" s="8"/>
      <c r="T27" s="113"/>
      <c r="U27" s="260"/>
      <c r="V27" s="259"/>
      <c r="W27" s="241"/>
      <c r="X27" s="8"/>
      <c r="Y27" s="113"/>
      <c r="Z27" s="260"/>
      <c r="AA27" s="259"/>
      <c r="AB27" s="56"/>
      <c r="AC27" s="56"/>
      <c r="AD27" s="113"/>
      <c r="AE27" s="260"/>
      <c r="AF27" s="259"/>
      <c r="AG27" s="241"/>
      <c r="AH27" s="241"/>
      <c r="AI27" s="156"/>
      <c r="AJ27" s="2"/>
    </row>
    <row r="28" spans="1:49" s="21" customFormat="1" x14ac:dyDescent="0.25">
      <c r="A28" s="261"/>
      <c r="B28" s="260"/>
      <c r="C28" s="259"/>
      <c r="D28" s="56"/>
      <c r="E28" s="56"/>
      <c r="F28" s="113"/>
      <c r="G28" s="260"/>
      <c r="H28" s="259"/>
      <c r="I28" s="240"/>
      <c r="J28" s="113"/>
      <c r="K28" s="260"/>
      <c r="L28" s="259"/>
      <c r="M28" s="56"/>
      <c r="N28" s="56"/>
      <c r="O28" s="113"/>
      <c r="P28" s="260"/>
      <c r="Q28" s="259"/>
      <c r="R28" s="56"/>
      <c r="S28" s="56"/>
      <c r="T28" s="113"/>
      <c r="U28" s="260"/>
      <c r="V28" s="259"/>
      <c r="W28" s="56"/>
      <c r="X28" s="56"/>
      <c r="Y28" s="113"/>
      <c r="Z28" s="260"/>
      <c r="AA28" s="259"/>
      <c r="AB28" s="56"/>
      <c r="AC28" s="56"/>
      <c r="AD28" s="113"/>
      <c r="AE28" s="260"/>
      <c r="AF28" s="259"/>
      <c r="AG28" s="241">
        <v>0.5</v>
      </c>
      <c r="AH28" s="74" t="s">
        <v>362</v>
      </c>
      <c r="AI28" s="156"/>
    </row>
    <row r="29" spans="1:49" s="21" customFormat="1" x14ac:dyDescent="0.25">
      <c r="A29" s="261">
        <v>10</v>
      </c>
      <c r="B29" s="260">
        <v>1.88</v>
      </c>
      <c r="C29" s="259">
        <v>6.15</v>
      </c>
      <c r="D29" s="240"/>
      <c r="E29" s="8"/>
      <c r="F29" s="113"/>
      <c r="G29" s="260">
        <v>0.33</v>
      </c>
      <c r="H29" s="259">
        <v>5.89</v>
      </c>
      <c r="I29" s="240"/>
      <c r="J29" s="113"/>
      <c r="K29" s="260">
        <v>0.01</v>
      </c>
      <c r="L29" s="259">
        <v>5.95</v>
      </c>
      <c r="M29" s="241"/>
      <c r="N29" s="8"/>
      <c r="O29" s="113"/>
      <c r="P29" s="260">
        <v>1.58</v>
      </c>
      <c r="Q29" s="259">
        <v>6.39</v>
      </c>
      <c r="R29" s="245"/>
      <c r="S29" s="18"/>
      <c r="T29" s="113"/>
      <c r="U29" s="241">
        <v>0.02</v>
      </c>
      <c r="V29" s="240">
        <v>6.01</v>
      </c>
      <c r="W29" s="241">
        <f>U29+U30-W30-W32-W33-W34-W35</f>
        <v>0.43000000000000027</v>
      </c>
      <c r="X29" s="7" t="s">
        <v>95</v>
      </c>
      <c r="Y29" s="113"/>
      <c r="Z29" s="260">
        <v>6.83</v>
      </c>
      <c r="AA29" s="259">
        <v>6.36</v>
      </c>
      <c r="AB29" s="241">
        <f>R29+R76</f>
        <v>1.1000000000000001</v>
      </c>
      <c r="AC29" s="7" t="s">
        <v>95</v>
      </c>
      <c r="AD29" s="113"/>
      <c r="AE29" s="241">
        <v>0.08</v>
      </c>
      <c r="AF29" s="240">
        <v>6.15</v>
      </c>
      <c r="AG29" s="241">
        <f>AE29</f>
        <v>0.08</v>
      </c>
      <c r="AH29" s="7" t="s">
        <v>95</v>
      </c>
      <c r="AI29" s="156"/>
      <c r="AJ29" s="185" t="s">
        <v>311</v>
      </c>
      <c r="AK29" s="19">
        <f>D9+D22+D25+D38+D47+D55+D51+D64+D72+D74+D75+D77+D78+D80+D81+D84+D92+D93+D95+D99+D106+D116+D111+D113+D115+D117+D119+D121+D124+D126+D127+D131+D134+D135+D136+D139+D140+D141+D145+D149+D150+D153+D154+D155+D163+D173+D180+D183+D188+D189+D190+D191+D192+D194+D196+D201+D203</f>
        <v>12.719722222222217</v>
      </c>
      <c r="AL29" s="19">
        <f>M9+M22+M25+M38+M47+M55+M51+M64+M72+M74+M75+M77+M78+M80+M81+M84+M92+M93+M95+M99+M106+M116+M111+M113+M115+M117+M119+M121+M124+M126+M127+M131+M134+M135+M136+M139+M141+M145+M149+M150+M153+M154+M155+M163+M173+M180+M183+M188+M189+M190+M191+M192+M194+M196+M201+M203+M160+M167+M175</f>
        <v>13.314999999999998</v>
      </c>
      <c r="AM29" s="19">
        <f>R9+R22+R25+R38+R47+R55+R51+R64+R72+R74+R75+R77+R78+R80+R81+R84+R92+R93+R95+R97+R106+R116+R111+R113+R115+R117+R119+R132+R124+R128+R127+R131+R134+R135+R136+R139+R141+R147+R149+R150+R153+R154+R155+R163+R173+R180+R183+R188+R189+R190+R191+R192+R194+R196+R201+R203+R160+R167+R175+R32</f>
        <v>12.806666666666667</v>
      </c>
      <c r="AN29" s="19">
        <f>W9+W22+W25+W38+W47+W55+W51+W64+W72+W74+W75+W77+W78+W80+W81+W84+W92+W93+W95+W97+W106+W116+W111+W113+W115+W117+W128+W132+W124+W127+W131+W134+W142+W136+W139+W141+W147+W149+W150+W153+W154+W155+W163+W173+W180+W183+W188+W189+W190+W191+W192+W194+W196+W201+W203+W152+W168+W175+W32+W31+W123+W70</f>
        <v>13.686666666666664</v>
      </c>
      <c r="AO29" s="19">
        <f>AB9+AB22+AB25+AB47+AB64+AB55+AB62+AB67+AB72+AB74+AB75+AB77+AB78+AB80+AB81+AB84+AB92+AB95+AB97+AB106+AB116+AB111+AB113+AB122+AB121+AB128+AB132+AB126+AB127+AB131+AB134+AB142+AB136+AB139+AB141+AB147+AB149+AB150+AB153+AB154+AB155+AB163+AB173+AB152+AB168+AB175+AB32+AB31+AB123+AB70+AB33+AB15</f>
        <v>13.370000000000001</v>
      </c>
      <c r="AP29" s="204">
        <f>AG15+AG9+AG22+AG25+AG31+AG33+AG38+AG55+AG60+AG62+AG64+AG70+AG35+AG78+AG81+AG97+AG116+AG113+AG121+AG122+AG126+AG127+AG131+AG134+AG141+AG142+AG154+AG168+AG12+AG56</f>
        <v>13.809999999999997</v>
      </c>
      <c r="AQ29" s="185">
        <f>AVERAGE(AK29:AP29)</f>
        <v>13.284675925925924</v>
      </c>
    </row>
    <row r="30" spans="1:49" s="21" customFormat="1" x14ac:dyDescent="0.25">
      <c r="A30" s="261"/>
      <c r="B30" s="260"/>
      <c r="C30" s="259"/>
      <c r="D30" s="240">
        <f>B29-D35</f>
        <v>1.7799999999999998</v>
      </c>
      <c r="E30" s="6" t="s">
        <v>20</v>
      </c>
      <c r="F30" s="113"/>
      <c r="G30" s="260"/>
      <c r="H30" s="259"/>
      <c r="I30" s="80"/>
      <c r="J30" s="113"/>
      <c r="K30" s="260"/>
      <c r="L30" s="259"/>
      <c r="M30" s="241">
        <f>K29+K33+K31-M31-M35</f>
        <v>1.49</v>
      </c>
      <c r="N30" s="6" t="s">
        <v>20</v>
      </c>
      <c r="O30" s="113"/>
      <c r="P30" s="260"/>
      <c r="Q30" s="259"/>
      <c r="R30" s="241">
        <f>P29</f>
        <v>1.58</v>
      </c>
      <c r="S30" s="6" t="s">
        <v>20</v>
      </c>
      <c r="T30" s="113"/>
      <c r="U30" s="260">
        <v>2.35</v>
      </c>
      <c r="V30" s="259">
        <v>6.12</v>
      </c>
      <c r="W30" s="241">
        <f>AB30</f>
        <v>1.66</v>
      </c>
      <c r="X30" s="6" t="s">
        <v>20</v>
      </c>
      <c r="Y30" s="113"/>
      <c r="Z30" s="260"/>
      <c r="AA30" s="259"/>
      <c r="AB30" s="241">
        <v>1.66</v>
      </c>
      <c r="AC30" s="6" t="s">
        <v>20</v>
      </c>
      <c r="AD30" s="113"/>
      <c r="AE30" s="260">
        <v>1.66</v>
      </c>
      <c r="AF30" s="259">
        <v>6.24</v>
      </c>
      <c r="AG30" s="241">
        <f>AE30</f>
        <v>1.66</v>
      </c>
      <c r="AH30" s="6" t="s">
        <v>20</v>
      </c>
      <c r="AI30" s="156"/>
      <c r="AJ30" s="186" t="s">
        <v>312</v>
      </c>
      <c r="AK30" s="19">
        <f>D22+D35+D38+D39+D45+D47+D52+D54+D65+D64+D77+D78+D82+D84+D106+D116+D110+D114+D115+D109+D117+D124+D131+D141+D143+D150+D154+D166+D180+D181+D191+D192+D196</f>
        <v>7.8683333333333323</v>
      </c>
      <c r="AL30" s="19">
        <f>M22+M35+M38+M39+M45+M47+M52+M54+M65+M64+M77+M78+M82+M84+M106+M116+M110+M114+M115+M109+M117+M124+M131+M141+M143+M150+M154+M166+M175+M181+M191+M192+M196</f>
        <v>8.5124999999999993</v>
      </c>
      <c r="AM30" s="19">
        <f>R22+R35+R38+R39+R45+R47+R52+R54+R65+R64+R77+R78+R82+R84+R106+R116+R110+R114+R115+R109+R117+R124+R131+R141+R159+R150+R154+R166+R175+R181+R191+R192+R196</f>
        <v>7.333333333333333</v>
      </c>
      <c r="AN30" s="19">
        <f>W22+W35+W38+W39+W45+W47+W52+W54+W65+W64+W77+W78+W82+W84+W106+W116+W110+W130+W115+W109+W117+W124+W131+W141+W168+W150+W154+W166+W175+W181+W191+W192+W196+W31</f>
        <v>7.9833333333333334</v>
      </c>
      <c r="AO30" s="19">
        <f>AB22+AB35+AB47+AB39+AB50+AB52+AB54+AB64+AB67+AB77+AB78+AB82+AB84+AB106+AB116+AB88+AB115+AB109+AB122+AB126+AB131+AB141+AB168+AB150+AB154+AB166+AB175+AB181+AB191+AB192+AB196+AB31+AB23+AB14+AB26</f>
        <v>7.0600000000000005</v>
      </c>
      <c r="AP30" s="19"/>
      <c r="AQ30" s="186">
        <f>AVERAGE(AK30:AP30)</f>
        <v>7.7515000000000001</v>
      </c>
    </row>
    <row r="31" spans="1:49" s="21" customFormat="1" x14ac:dyDescent="0.25">
      <c r="A31" s="261"/>
      <c r="B31" s="260"/>
      <c r="C31" s="259"/>
      <c r="D31" s="8"/>
      <c r="E31" s="8"/>
      <c r="F31" s="113"/>
      <c r="G31" s="260">
        <v>0.52</v>
      </c>
      <c r="H31" s="259">
        <v>6.11</v>
      </c>
      <c r="I31" s="240"/>
      <c r="J31" s="113"/>
      <c r="K31" s="241">
        <v>0.04</v>
      </c>
      <c r="L31" s="240">
        <v>5.99</v>
      </c>
      <c r="M31" s="241"/>
      <c r="N31" s="8"/>
      <c r="O31" s="113"/>
      <c r="P31" s="260">
        <v>0.18</v>
      </c>
      <c r="Q31" s="259">
        <v>6.45</v>
      </c>
      <c r="R31" s="56"/>
      <c r="S31" s="56"/>
      <c r="T31" s="113"/>
      <c r="U31" s="260"/>
      <c r="V31" s="259"/>
      <c r="W31" s="241">
        <f>U22</f>
        <v>0.71</v>
      </c>
      <c r="X31" s="58" t="s">
        <v>60</v>
      </c>
      <c r="Y31" s="113"/>
      <c r="Z31" s="260"/>
      <c r="AA31" s="259"/>
      <c r="AB31" s="241">
        <v>2</v>
      </c>
      <c r="AC31" s="58" t="s">
        <v>60</v>
      </c>
      <c r="AD31" s="113"/>
      <c r="AE31" s="260"/>
      <c r="AF31" s="259"/>
      <c r="AG31" s="19">
        <f>AE35/2</f>
        <v>2.5000000000000001E-2</v>
      </c>
      <c r="AH31" s="58" t="s">
        <v>60</v>
      </c>
      <c r="AI31" s="156"/>
    </row>
    <row r="32" spans="1:49" s="21" customFormat="1" ht="15.75" thickBot="1" x14ac:dyDescent="0.3">
      <c r="A32" s="261"/>
      <c r="B32" s="260"/>
      <c r="C32" s="259"/>
      <c r="D32" s="8"/>
      <c r="E32" s="8"/>
      <c r="F32" s="113"/>
      <c r="G32" s="260"/>
      <c r="H32" s="259"/>
      <c r="I32" s="240"/>
      <c r="J32" s="113"/>
      <c r="K32" s="241"/>
      <c r="L32" s="240"/>
      <c r="M32" s="241"/>
      <c r="N32" s="8"/>
      <c r="O32" s="113"/>
      <c r="P32" s="260"/>
      <c r="Q32" s="259"/>
      <c r="R32" s="19">
        <f>P31</f>
        <v>0.18</v>
      </c>
      <c r="S32" s="61" t="s">
        <v>320</v>
      </c>
      <c r="T32" s="113"/>
      <c r="U32" s="260"/>
      <c r="V32" s="259"/>
      <c r="W32" s="241">
        <f>0.18</f>
        <v>0.18</v>
      </c>
      <c r="X32" s="61" t="s">
        <v>320</v>
      </c>
      <c r="Y32" s="113"/>
      <c r="Z32" s="260"/>
      <c r="AA32" s="259"/>
      <c r="AB32" s="241"/>
      <c r="AC32" s="240"/>
      <c r="AD32" s="113"/>
      <c r="AE32" s="260"/>
      <c r="AF32" s="259"/>
      <c r="AG32" s="56"/>
      <c r="AH32" s="56"/>
      <c r="AI32" s="156"/>
    </row>
    <row r="33" spans="1:41" s="21" customFormat="1" x14ac:dyDescent="0.25">
      <c r="A33" s="261"/>
      <c r="B33" s="260"/>
      <c r="C33" s="259"/>
      <c r="D33" s="56"/>
      <c r="E33" s="8"/>
      <c r="F33" s="113"/>
      <c r="G33" s="260"/>
      <c r="H33" s="259"/>
      <c r="I33" s="240"/>
      <c r="J33" s="113"/>
      <c r="K33" s="260">
        <v>1.54</v>
      </c>
      <c r="L33" s="259">
        <v>6.1</v>
      </c>
      <c r="M33" s="241"/>
      <c r="N33" s="8"/>
      <c r="O33" s="113"/>
      <c r="P33" s="260"/>
      <c r="Q33" s="259"/>
      <c r="R33" s="16"/>
      <c r="S33" s="246"/>
      <c r="T33" s="113"/>
      <c r="U33" s="260"/>
      <c r="V33" s="259"/>
      <c r="W33" s="241"/>
      <c r="X33" s="240"/>
      <c r="Y33" s="113"/>
      <c r="Z33" s="260"/>
      <c r="AA33" s="259"/>
      <c r="AB33" s="241">
        <f>Z29-AB29-AB30-AB31-AB34</f>
        <v>1.9500000000000002</v>
      </c>
      <c r="AC33" s="249" t="s">
        <v>61</v>
      </c>
      <c r="AD33" s="113"/>
      <c r="AE33" s="260"/>
      <c r="AF33" s="259"/>
      <c r="AG33" s="19">
        <f>AG31</f>
        <v>2.5000000000000001E-2</v>
      </c>
      <c r="AH33" s="249" t="s">
        <v>61</v>
      </c>
      <c r="AI33" s="156"/>
      <c r="AJ33" s="30" t="s">
        <v>174</v>
      </c>
      <c r="AK33" s="41" t="s">
        <v>1</v>
      </c>
      <c r="AL33" s="38" t="s">
        <v>2</v>
      </c>
      <c r="AM33" s="41" t="s">
        <v>4</v>
      </c>
      <c r="AN33" s="38" t="s">
        <v>16</v>
      </c>
      <c r="AO33" s="41" t="s">
        <v>5</v>
      </c>
    </row>
    <row r="34" spans="1:41" s="21" customFormat="1" x14ac:dyDescent="0.25">
      <c r="A34" s="261"/>
      <c r="B34" s="260"/>
      <c r="C34" s="259"/>
      <c r="D34" s="56"/>
      <c r="E34" s="8"/>
      <c r="F34" s="113"/>
      <c r="G34" s="260"/>
      <c r="H34" s="259"/>
      <c r="I34" s="240"/>
      <c r="J34" s="113"/>
      <c r="K34" s="260"/>
      <c r="L34" s="259"/>
      <c r="M34" s="241"/>
      <c r="N34" s="8"/>
      <c r="O34" s="113"/>
      <c r="P34" s="260"/>
      <c r="Q34" s="259"/>
      <c r="R34" s="16"/>
      <c r="S34" s="16"/>
      <c r="T34" s="113"/>
      <c r="U34" s="260"/>
      <c r="V34" s="259"/>
      <c r="W34" s="245"/>
      <c r="X34" s="246"/>
      <c r="Y34" s="113"/>
      <c r="Z34" s="260"/>
      <c r="AA34" s="259"/>
      <c r="AB34" s="19">
        <v>0.12</v>
      </c>
      <c r="AC34" s="6" t="s">
        <v>170</v>
      </c>
      <c r="AD34" s="113"/>
      <c r="AE34" s="260"/>
      <c r="AF34" s="259"/>
      <c r="AG34" s="56"/>
      <c r="AH34" s="56"/>
      <c r="AI34" s="156"/>
      <c r="AJ34" s="31" t="s">
        <v>175</v>
      </c>
      <c r="AK34" s="241"/>
      <c r="AL34" s="241"/>
      <c r="AM34" s="241"/>
      <c r="AN34" s="241"/>
      <c r="AO34" s="19"/>
    </row>
    <row r="35" spans="1:41" s="21" customFormat="1" x14ac:dyDescent="0.25">
      <c r="A35" s="261"/>
      <c r="B35" s="260"/>
      <c r="C35" s="259"/>
      <c r="D35" s="241">
        <f>R35</f>
        <v>0.1</v>
      </c>
      <c r="E35" s="10" t="s">
        <v>434</v>
      </c>
      <c r="F35" s="113"/>
      <c r="G35" s="260"/>
      <c r="H35" s="259"/>
      <c r="I35" s="240"/>
      <c r="J35" s="113"/>
      <c r="K35" s="260"/>
      <c r="L35" s="259"/>
      <c r="M35" s="241">
        <f>D35</f>
        <v>0.1</v>
      </c>
      <c r="N35" s="10" t="s">
        <v>434</v>
      </c>
      <c r="O35" s="113"/>
      <c r="P35" s="241">
        <v>0.1</v>
      </c>
      <c r="Q35" s="240">
        <v>6.51</v>
      </c>
      <c r="R35" s="241">
        <f>P35</f>
        <v>0.1</v>
      </c>
      <c r="S35" s="10" t="s">
        <v>125</v>
      </c>
      <c r="T35" s="113"/>
      <c r="U35" s="260"/>
      <c r="V35" s="259"/>
      <c r="W35" s="241">
        <f>R35</f>
        <v>0.1</v>
      </c>
      <c r="X35" s="10" t="s">
        <v>125</v>
      </c>
      <c r="Y35" s="113"/>
      <c r="Z35" s="260"/>
      <c r="AA35" s="259"/>
      <c r="AB35" s="241"/>
      <c r="AC35" s="56"/>
      <c r="AD35" s="113"/>
      <c r="AE35" s="241">
        <v>0.05</v>
      </c>
      <c r="AF35" s="240">
        <v>6.34</v>
      </c>
      <c r="AG35" s="241">
        <f>AE74</f>
        <v>0.13</v>
      </c>
      <c r="AH35" s="15" t="s">
        <v>62</v>
      </c>
      <c r="AI35" s="156"/>
      <c r="AJ35" s="31" t="s">
        <v>181</v>
      </c>
      <c r="AK35" s="245">
        <f>D183</f>
        <v>0.12</v>
      </c>
      <c r="AL35" s="245">
        <f>M183+M160</f>
        <v>0.13</v>
      </c>
      <c r="AM35" s="245">
        <f>R160</f>
        <v>0.13</v>
      </c>
      <c r="AN35" s="245">
        <f>W142</f>
        <v>7.0000000000000007E-2</v>
      </c>
      <c r="AO35" s="16">
        <f>AB142</f>
        <v>7.0000000000000007E-2</v>
      </c>
    </row>
    <row r="36" spans="1:41" s="21" customFormat="1" x14ac:dyDescent="0.25">
      <c r="A36" s="261">
        <v>11</v>
      </c>
      <c r="B36" s="260">
        <v>4.08</v>
      </c>
      <c r="C36" s="259">
        <v>6.38</v>
      </c>
      <c r="D36" s="241">
        <v>0.01</v>
      </c>
      <c r="E36" s="63" t="s">
        <v>435</v>
      </c>
      <c r="F36" s="113"/>
      <c r="G36" s="260">
        <v>4.92</v>
      </c>
      <c r="H36" s="259">
        <v>6.28</v>
      </c>
      <c r="I36" s="240"/>
      <c r="J36" s="113"/>
      <c r="K36" s="241">
        <v>0.06</v>
      </c>
      <c r="L36" s="240">
        <v>6.21</v>
      </c>
      <c r="M36" s="241">
        <f>K36</f>
        <v>0.06</v>
      </c>
      <c r="N36" s="63" t="s">
        <v>435</v>
      </c>
      <c r="O36" s="113"/>
      <c r="P36" s="260">
        <v>4.2300000000000004</v>
      </c>
      <c r="Q36" s="259">
        <v>6.62</v>
      </c>
      <c r="R36" s="241">
        <f>P36-R37</f>
        <v>0.13000000000000078</v>
      </c>
      <c r="S36" s="63" t="s">
        <v>502</v>
      </c>
      <c r="T36" s="113"/>
      <c r="U36" s="260">
        <v>5.27</v>
      </c>
      <c r="V36" s="259">
        <v>6.35</v>
      </c>
      <c r="W36" s="241">
        <f>U36-W37</f>
        <v>1.17</v>
      </c>
      <c r="X36" s="63" t="s">
        <v>46</v>
      </c>
      <c r="Y36" s="113"/>
      <c r="Z36" s="260">
        <v>4.0999999999999996</v>
      </c>
      <c r="AA36" s="259">
        <v>6.55</v>
      </c>
      <c r="AB36" s="241"/>
      <c r="AC36" s="240"/>
      <c r="AD36" s="113"/>
      <c r="AE36" s="260">
        <v>3.98</v>
      </c>
      <c r="AF36" s="259">
        <v>6.48</v>
      </c>
      <c r="AG36" s="241"/>
      <c r="AH36" s="241"/>
      <c r="AI36" s="156"/>
      <c r="AJ36" s="31" t="s">
        <v>176</v>
      </c>
      <c r="AK36" s="245">
        <f>D144+D197</f>
        <v>0.18</v>
      </c>
      <c r="AL36" s="245">
        <f>M144+M197</f>
        <v>0.18</v>
      </c>
      <c r="AM36" s="245">
        <f>R144+R197</f>
        <v>0.18</v>
      </c>
      <c r="AN36" s="16">
        <f>W129+W85</f>
        <v>0.30000000000000004</v>
      </c>
      <c r="AO36" s="16">
        <f>AB129+AB85</f>
        <v>0.39</v>
      </c>
    </row>
    <row r="37" spans="1:41" s="21" customFormat="1" x14ac:dyDescent="0.25">
      <c r="A37" s="261"/>
      <c r="B37" s="260"/>
      <c r="C37" s="259"/>
      <c r="D37" s="240">
        <f>B36-D36</f>
        <v>4.07</v>
      </c>
      <c r="E37" s="54" t="s">
        <v>34</v>
      </c>
      <c r="F37" s="113"/>
      <c r="G37" s="260"/>
      <c r="H37" s="259"/>
      <c r="I37" s="240"/>
      <c r="J37" s="113"/>
      <c r="K37" s="241">
        <v>4.1100000000000003</v>
      </c>
      <c r="L37" s="240">
        <v>6.33</v>
      </c>
      <c r="M37" s="241">
        <f>K37</f>
        <v>4.1100000000000003</v>
      </c>
      <c r="N37" s="54" t="s">
        <v>34</v>
      </c>
      <c r="O37" s="113"/>
      <c r="P37" s="260"/>
      <c r="Q37" s="259"/>
      <c r="R37" s="241">
        <f>AB37</f>
        <v>4.0999999999999996</v>
      </c>
      <c r="S37" s="54" t="s">
        <v>34</v>
      </c>
      <c r="T37" s="113"/>
      <c r="U37" s="260"/>
      <c r="V37" s="259"/>
      <c r="W37" s="241">
        <f>AB37</f>
        <v>4.0999999999999996</v>
      </c>
      <c r="X37" s="54" t="s">
        <v>34</v>
      </c>
      <c r="Y37" s="113"/>
      <c r="Z37" s="260"/>
      <c r="AA37" s="259"/>
      <c r="AB37" s="241">
        <f>Z36</f>
        <v>4.0999999999999996</v>
      </c>
      <c r="AC37" s="54" t="s">
        <v>34</v>
      </c>
      <c r="AD37" s="113"/>
      <c r="AE37" s="260"/>
      <c r="AF37" s="259"/>
      <c r="AG37" s="241">
        <f>AE36+AE35-AG35+AE38-AG38-AG39-AG40-AG44</f>
        <v>3.2400000000000007</v>
      </c>
      <c r="AH37" s="54" t="s">
        <v>34</v>
      </c>
      <c r="AI37" s="156"/>
      <c r="AJ37" s="31" t="s">
        <v>177</v>
      </c>
      <c r="AK37" s="245">
        <f>D202+D187</f>
        <v>0.38</v>
      </c>
      <c r="AL37" s="245">
        <f>M202+M187</f>
        <v>0.38</v>
      </c>
      <c r="AM37" s="245">
        <f>R187</f>
        <v>0.28999999999999998</v>
      </c>
      <c r="AN37" s="16">
        <f>W135</f>
        <v>0.28999999999999998</v>
      </c>
      <c r="AO37" s="16">
        <f>AB110</f>
        <v>0.24</v>
      </c>
    </row>
    <row r="38" spans="1:41" s="21" customFormat="1" x14ac:dyDescent="0.25">
      <c r="A38" s="261">
        <v>12</v>
      </c>
      <c r="B38" s="260">
        <v>0.28000000000000003</v>
      </c>
      <c r="C38" s="259">
        <v>6.53</v>
      </c>
      <c r="D38" s="240">
        <v>0.09</v>
      </c>
      <c r="E38" s="10" t="s">
        <v>441</v>
      </c>
      <c r="F38" s="113"/>
      <c r="G38" s="260">
        <v>0.52</v>
      </c>
      <c r="H38" s="259">
        <v>6.43</v>
      </c>
      <c r="I38" s="240"/>
      <c r="J38" s="113"/>
      <c r="K38" s="260">
        <v>0.31</v>
      </c>
      <c r="L38" s="259">
        <v>6.46</v>
      </c>
      <c r="M38" s="241">
        <f>M39</f>
        <v>0.10333333333333333</v>
      </c>
      <c r="N38" s="10" t="s">
        <v>441</v>
      </c>
      <c r="O38" s="113"/>
      <c r="P38" s="260">
        <v>0.34</v>
      </c>
      <c r="Q38" s="259">
        <v>6.78</v>
      </c>
      <c r="R38" s="241">
        <v>0.11</v>
      </c>
      <c r="S38" s="10" t="s">
        <v>528</v>
      </c>
      <c r="T38" s="113"/>
      <c r="U38" s="260">
        <v>0.3</v>
      </c>
      <c r="V38" s="259">
        <v>6.48</v>
      </c>
      <c r="W38" s="241">
        <f>W39</f>
        <v>9.9999999999999992E-2</v>
      </c>
      <c r="X38" s="10" t="s">
        <v>323</v>
      </c>
      <c r="Y38" s="113"/>
      <c r="Z38" s="260">
        <v>1.8</v>
      </c>
      <c r="AA38" s="259">
        <v>6.68</v>
      </c>
      <c r="AB38" s="56"/>
      <c r="AC38" s="56"/>
      <c r="AD38" s="113"/>
      <c r="AE38" s="260">
        <v>1.05</v>
      </c>
      <c r="AF38" s="259">
        <v>6.63</v>
      </c>
      <c r="AG38" s="241">
        <f>AE38/3</f>
        <v>0.35000000000000003</v>
      </c>
      <c r="AH38" s="62" t="s">
        <v>101</v>
      </c>
      <c r="AI38" s="156"/>
      <c r="AJ38" s="117" t="s">
        <v>208</v>
      </c>
      <c r="AK38" s="16">
        <f>D189</f>
        <v>0</v>
      </c>
      <c r="AL38" s="16">
        <f>M189</f>
        <v>0</v>
      </c>
      <c r="AM38" s="16">
        <f>R92</f>
        <v>0</v>
      </c>
      <c r="AN38" s="16">
        <f>W123</f>
        <v>0</v>
      </c>
      <c r="AO38" s="16">
        <f>AB123</f>
        <v>0</v>
      </c>
    </row>
    <row r="39" spans="1:41" s="21" customFormat="1" x14ac:dyDescent="0.25">
      <c r="A39" s="261"/>
      <c r="B39" s="260"/>
      <c r="C39" s="259"/>
      <c r="D39" s="240">
        <v>0.09</v>
      </c>
      <c r="E39" s="59" t="s">
        <v>103</v>
      </c>
      <c r="F39" s="113"/>
      <c r="G39" s="260"/>
      <c r="H39" s="259"/>
      <c r="I39" s="240"/>
      <c r="J39" s="113"/>
      <c r="K39" s="260"/>
      <c r="L39" s="259"/>
      <c r="M39" s="241">
        <f>K38/3</f>
        <v>0.10333333333333333</v>
      </c>
      <c r="N39" s="59" t="s">
        <v>103</v>
      </c>
      <c r="O39" s="113"/>
      <c r="P39" s="260"/>
      <c r="Q39" s="259"/>
      <c r="R39" s="241">
        <f>P38/3</f>
        <v>0.11333333333333334</v>
      </c>
      <c r="S39" s="59" t="s">
        <v>103</v>
      </c>
      <c r="T39" s="113"/>
      <c r="U39" s="260"/>
      <c r="V39" s="259"/>
      <c r="W39" s="241">
        <f>U38/3</f>
        <v>9.9999999999999992E-2</v>
      </c>
      <c r="X39" s="59" t="s">
        <v>103</v>
      </c>
      <c r="Y39" s="113"/>
      <c r="Z39" s="260"/>
      <c r="AA39" s="259"/>
      <c r="AB39" s="241">
        <f>W39</f>
        <v>9.9999999999999992E-2</v>
      </c>
      <c r="AC39" s="59" t="s">
        <v>103</v>
      </c>
      <c r="AD39" s="113"/>
      <c r="AE39" s="260"/>
      <c r="AF39" s="259"/>
      <c r="AG39" s="241">
        <f>AG38</f>
        <v>0.35000000000000003</v>
      </c>
      <c r="AH39" s="59" t="s">
        <v>103</v>
      </c>
      <c r="AI39" s="156"/>
      <c r="AJ39" s="31" t="s">
        <v>178</v>
      </c>
      <c r="AK39" s="245">
        <f>D181</f>
        <v>0.38</v>
      </c>
      <c r="AL39" s="245">
        <f>M181</f>
        <v>0.38</v>
      </c>
      <c r="AM39" s="245">
        <f>R159</f>
        <v>0.15</v>
      </c>
      <c r="AN39" s="16">
        <f>W130</f>
        <v>0.22</v>
      </c>
      <c r="AO39" s="16">
        <f>AB88</f>
        <v>0.24</v>
      </c>
    </row>
    <row r="40" spans="1:41" s="21" customFormat="1" x14ac:dyDescent="0.25">
      <c r="A40" s="261"/>
      <c r="B40" s="260"/>
      <c r="C40" s="259"/>
      <c r="D40" s="240">
        <v>0.09</v>
      </c>
      <c r="E40" s="249" t="s">
        <v>64</v>
      </c>
      <c r="F40" s="113"/>
      <c r="G40" s="260"/>
      <c r="H40" s="259"/>
      <c r="I40" s="240"/>
      <c r="J40" s="113"/>
      <c r="K40" s="260"/>
      <c r="L40" s="259"/>
      <c r="M40" s="241">
        <f>M39</f>
        <v>0.10333333333333333</v>
      </c>
      <c r="N40" s="249" t="s">
        <v>64</v>
      </c>
      <c r="O40" s="113"/>
      <c r="P40" s="260"/>
      <c r="Q40" s="259"/>
      <c r="R40" s="241">
        <v>0.11</v>
      </c>
      <c r="S40" s="249" t="s">
        <v>64</v>
      </c>
      <c r="T40" s="113"/>
      <c r="U40" s="260"/>
      <c r="V40" s="259"/>
      <c r="W40" s="241">
        <f>W39</f>
        <v>9.9999999999999992E-2</v>
      </c>
      <c r="X40" s="249" t="s">
        <v>64</v>
      </c>
      <c r="Y40" s="113"/>
      <c r="Z40" s="260"/>
      <c r="AA40" s="259"/>
      <c r="AB40" s="241">
        <f>(Z38-AB39-AB48)</f>
        <v>1.1099999999999999</v>
      </c>
      <c r="AC40" s="249" t="s">
        <v>64</v>
      </c>
      <c r="AD40" s="113"/>
      <c r="AE40" s="260"/>
      <c r="AF40" s="259"/>
      <c r="AG40" s="241">
        <f>AG38</f>
        <v>0.35000000000000003</v>
      </c>
      <c r="AH40" s="249" t="s">
        <v>64</v>
      </c>
      <c r="AI40" s="156"/>
      <c r="AJ40" s="36" t="s">
        <v>193</v>
      </c>
      <c r="AK40" s="98">
        <f>SUM(AK34:AK39)</f>
        <v>1.06</v>
      </c>
      <c r="AL40" s="98">
        <f>SUM(AL34:AL39)</f>
        <v>1.0699999999999998</v>
      </c>
      <c r="AM40" s="98">
        <f>SUM(AM34:AM39)</f>
        <v>0.75</v>
      </c>
      <c r="AN40" s="98">
        <f>SUM(AN34:AN39)</f>
        <v>0.88</v>
      </c>
      <c r="AO40" s="98">
        <f>SUM(AO34:AO39)</f>
        <v>0.94</v>
      </c>
    </row>
    <row r="41" spans="1:41" s="21" customFormat="1" ht="15.75" thickBot="1" x14ac:dyDescent="0.3">
      <c r="A41" s="261"/>
      <c r="B41" s="260"/>
      <c r="C41" s="259"/>
      <c r="D41" s="240"/>
      <c r="E41" s="240"/>
      <c r="F41" s="113"/>
      <c r="G41" s="260"/>
      <c r="H41" s="259"/>
      <c r="I41" s="240"/>
      <c r="J41" s="113"/>
      <c r="K41" s="260"/>
      <c r="L41" s="259"/>
      <c r="M41" s="241"/>
      <c r="N41" s="240"/>
      <c r="O41" s="113"/>
      <c r="P41" s="260"/>
      <c r="Q41" s="259"/>
      <c r="R41" s="241"/>
      <c r="S41" s="240"/>
      <c r="T41" s="113"/>
      <c r="U41" s="260"/>
      <c r="V41" s="259"/>
      <c r="W41" s="241"/>
      <c r="X41" s="240"/>
      <c r="Y41" s="113"/>
      <c r="Z41" s="260"/>
      <c r="AA41" s="259"/>
      <c r="AB41" s="56"/>
      <c r="AC41" s="56"/>
      <c r="AD41" s="113"/>
      <c r="AE41" s="260"/>
      <c r="AF41" s="259"/>
      <c r="AG41" s="241"/>
      <c r="AH41" s="56"/>
      <c r="AI41" s="156"/>
      <c r="AJ41" s="36"/>
    </row>
    <row r="42" spans="1:41" s="21" customFormat="1" x14ac:dyDescent="0.25">
      <c r="A42" s="261"/>
      <c r="B42" s="260"/>
      <c r="C42" s="259"/>
      <c r="D42" s="240"/>
      <c r="E42" s="240"/>
      <c r="F42" s="113"/>
      <c r="G42" s="260"/>
      <c r="H42" s="259"/>
      <c r="I42" s="240"/>
      <c r="J42" s="113"/>
      <c r="K42" s="260"/>
      <c r="L42" s="259"/>
      <c r="M42" s="241"/>
      <c r="N42" s="240"/>
      <c r="O42" s="113"/>
      <c r="P42" s="260"/>
      <c r="Q42" s="259"/>
      <c r="R42" s="241"/>
      <c r="S42" s="8"/>
      <c r="T42" s="113"/>
      <c r="U42" s="260"/>
      <c r="V42" s="259"/>
      <c r="W42" s="241"/>
      <c r="X42" s="8"/>
      <c r="Y42" s="113"/>
      <c r="Z42" s="260"/>
      <c r="AA42" s="259"/>
      <c r="AB42" s="241"/>
      <c r="AC42" s="8"/>
      <c r="AD42" s="113"/>
      <c r="AE42" s="260"/>
      <c r="AF42" s="259"/>
      <c r="AG42" s="241"/>
      <c r="AH42" s="241"/>
      <c r="AI42" s="156"/>
      <c r="AJ42" s="30" t="s">
        <v>179</v>
      </c>
      <c r="AK42" s="41" t="s">
        <v>1</v>
      </c>
      <c r="AL42" s="38" t="s">
        <v>2</v>
      </c>
      <c r="AM42" s="41" t="s">
        <v>4</v>
      </c>
      <c r="AN42" s="38" t="s">
        <v>16</v>
      </c>
      <c r="AO42" s="41" t="s">
        <v>5</v>
      </c>
    </row>
    <row r="43" spans="1:41" s="21" customFormat="1" x14ac:dyDescent="0.25">
      <c r="A43" s="261"/>
      <c r="B43" s="260"/>
      <c r="C43" s="259"/>
      <c r="D43" s="240"/>
      <c r="E43" s="240"/>
      <c r="F43" s="113"/>
      <c r="G43" s="260"/>
      <c r="H43" s="259"/>
      <c r="I43" s="240"/>
      <c r="J43" s="113"/>
      <c r="K43" s="260"/>
      <c r="L43" s="259"/>
      <c r="M43" s="241"/>
      <c r="N43" s="240"/>
      <c r="O43" s="113"/>
      <c r="P43" s="260"/>
      <c r="Q43" s="259"/>
      <c r="R43" s="241"/>
      <c r="S43" s="241"/>
      <c r="T43" s="113"/>
      <c r="U43" s="260"/>
      <c r="V43" s="259"/>
      <c r="W43" s="241"/>
      <c r="X43" s="241"/>
      <c r="Y43" s="113"/>
      <c r="Z43" s="260"/>
      <c r="AA43" s="259"/>
      <c r="AB43" s="241"/>
      <c r="AC43" s="241"/>
      <c r="AD43" s="113"/>
      <c r="AE43" s="260"/>
      <c r="AF43" s="259"/>
      <c r="AG43" s="241"/>
      <c r="AH43" s="241"/>
      <c r="AI43" s="156"/>
      <c r="AJ43" s="31" t="s">
        <v>184</v>
      </c>
      <c r="AK43" s="245">
        <f>D31+D52</f>
        <v>0.12</v>
      </c>
      <c r="AL43" s="245">
        <f>M31+M52</f>
        <v>0.11749999999999999</v>
      </c>
      <c r="AM43" s="245">
        <f>R52</f>
        <v>0.12</v>
      </c>
      <c r="AN43" s="245">
        <f>W52</f>
        <v>0.12</v>
      </c>
      <c r="AO43" s="245">
        <f>AB52</f>
        <v>0.12</v>
      </c>
    </row>
    <row r="44" spans="1:41" s="21" customFormat="1" x14ac:dyDescent="0.25">
      <c r="A44" s="261"/>
      <c r="B44" s="260"/>
      <c r="C44" s="259"/>
      <c r="D44" s="56"/>
      <c r="E44" s="56"/>
      <c r="F44" s="113"/>
      <c r="G44" s="260"/>
      <c r="H44" s="259"/>
      <c r="I44" s="240"/>
      <c r="J44" s="113"/>
      <c r="K44" s="260"/>
      <c r="L44" s="259"/>
      <c r="M44" s="56"/>
      <c r="N44" s="56"/>
      <c r="O44" s="113"/>
      <c r="P44" s="260"/>
      <c r="Q44" s="259"/>
      <c r="R44" s="56"/>
      <c r="S44" s="56"/>
      <c r="T44" s="113"/>
      <c r="U44" s="260"/>
      <c r="V44" s="259"/>
      <c r="W44" s="56"/>
      <c r="X44" s="56"/>
      <c r="Y44" s="113"/>
      <c r="Z44" s="260"/>
      <c r="AA44" s="259"/>
      <c r="AB44" s="56"/>
      <c r="AC44" s="56"/>
      <c r="AD44" s="113"/>
      <c r="AE44" s="260"/>
      <c r="AF44" s="259"/>
      <c r="AG44" s="245">
        <f>AB66-AG66</f>
        <v>0.66</v>
      </c>
      <c r="AH44" s="74" t="s">
        <v>361</v>
      </c>
      <c r="AI44" s="156"/>
      <c r="AJ44" s="31" t="s">
        <v>185</v>
      </c>
      <c r="AK44" s="245"/>
      <c r="AL44" s="245"/>
      <c r="AM44" s="245"/>
      <c r="AN44" s="245"/>
      <c r="AO44" s="245"/>
    </row>
    <row r="45" spans="1:41" s="21" customFormat="1" x14ac:dyDescent="0.25">
      <c r="A45" s="261">
        <v>13</v>
      </c>
      <c r="B45" s="260">
        <v>0.31</v>
      </c>
      <c r="C45" s="259">
        <v>6.64</v>
      </c>
      <c r="D45" s="240">
        <f>D46</f>
        <v>0.10333333333333333</v>
      </c>
      <c r="E45" s="59" t="s">
        <v>409</v>
      </c>
      <c r="F45" s="113"/>
      <c r="G45" s="260">
        <v>0.48</v>
      </c>
      <c r="H45" s="259">
        <v>6.54</v>
      </c>
      <c r="I45" s="240"/>
      <c r="J45" s="113"/>
      <c r="K45" s="260">
        <v>0.31</v>
      </c>
      <c r="L45" s="259">
        <v>6.58</v>
      </c>
      <c r="M45" s="241">
        <f>D45</f>
        <v>0.10333333333333333</v>
      </c>
      <c r="N45" s="59" t="s">
        <v>409</v>
      </c>
      <c r="O45" s="113"/>
      <c r="P45" s="260">
        <v>0.47</v>
      </c>
      <c r="Q45" s="259">
        <v>6.89</v>
      </c>
      <c r="R45" s="241">
        <f>R46</f>
        <v>0.15666666666666665</v>
      </c>
      <c r="S45" s="59" t="s">
        <v>51</v>
      </c>
      <c r="T45" s="113"/>
      <c r="U45" s="260">
        <v>0.92</v>
      </c>
      <c r="V45" s="259">
        <v>6.6</v>
      </c>
      <c r="W45" s="241">
        <f>W46</f>
        <v>0.3066666666666667</v>
      </c>
      <c r="X45" s="59" t="s">
        <v>51</v>
      </c>
      <c r="Y45" s="113"/>
      <c r="Z45" s="260">
        <v>0.62</v>
      </c>
      <c r="AA45" s="259">
        <v>6.78</v>
      </c>
      <c r="AB45" s="56"/>
      <c r="AC45" s="56"/>
      <c r="AD45" s="113"/>
      <c r="AE45" s="260">
        <v>0.15</v>
      </c>
      <c r="AF45" s="259">
        <v>6.79</v>
      </c>
      <c r="AG45" s="241"/>
      <c r="AH45" s="56"/>
      <c r="AI45" s="156"/>
      <c r="AJ45" s="31" t="s">
        <v>186</v>
      </c>
      <c r="AK45" s="245">
        <f>D29+D53+D76+D104+D112+D130+D164</f>
        <v>1.84</v>
      </c>
      <c r="AL45" s="245">
        <f>M29+M53+M76+M104+M112+M130+M164</f>
        <v>1.7050000000000003</v>
      </c>
      <c r="AM45" s="245">
        <f>R29+R53+R76+R104</f>
        <v>1.4900000000000002</v>
      </c>
      <c r="AN45" s="245">
        <f>W29+W53+W76+W104</f>
        <v>1.1300000000000001</v>
      </c>
      <c r="AO45" s="245">
        <f>AB29+AB53+AB104</f>
        <v>1.37</v>
      </c>
    </row>
    <row r="46" spans="1:41" s="21" customFormat="1" x14ac:dyDescent="0.25">
      <c r="A46" s="261"/>
      <c r="B46" s="260"/>
      <c r="C46" s="259"/>
      <c r="D46" s="240">
        <f>B45/3</f>
        <v>0.10333333333333333</v>
      </c>
      <c r="E46" s="249" t="s">
        <v>408</v>
      </c>
      <c r="F46" s="113"/>
      <c r="G46" s="260"/>
      <c r="H46" s="259"/>
      <c r="I46" s="240"/>
      <c r="J46" s="113"/>
      <c r="K46" s="260"/>
      <c r="L46" s="259"/>
      <c r="M46" s="241">
        <f>K45/3</f>
        <v>0.10333333333333333</v>
      </c>
      <c r="N46" s="249" t="s">
        <v>408</v>
      </c>
      <c r="O46" s="113"/>
      <c r="P46" s="260"/>
      <c r="Q46" s="259"/>
      <c r="R46" s="241">
        <f>P45/3</f>
        <v>0.15666666666666665</v>
      </c>
      <c r="S46" s="249" t="s">
        <v>423</v>
      </c>
      <c r="T46" s="113"/>
      <c r="U46" s="260"/>
      <c r="V46" s="259"/>
      <c r="W46" s="241">
        <f>U45/3</f>
        <v>0.3066666666666667</v>
      </c>
      <c r="X46" s="249" t="s">
        <v>50</v>
      </c>
      <c r="Y46" s="113"/>
      <c r="Z46" s="260"/>
      <c r="AA46" s="259"/>
      <c r="AB46" s="241"/>
      <c r="AC46" s="56"/>
      <c r="AD46" s="113"/>
      <c r="AE46" s="260"/>
      <c r="AF46" s="259"/>
      <c r="AG46" s="241"/>
      <c r="AH46" s="241"/>
      <c r="AI46" s="156"/>
      <c r="AJ46" s="31" t="s">
        <v>187</v>
      </c>
      <c r="AK46" s="245">
        <f>D93+D113+D126+D127+D135+D140+D145+D153</f>
        <v>1.1800000000000002</v>
      </c>
      <c r="AL46" s="245">
        <f>M93+M113+M126+M127+M135+M145+M153</f>
        <v>1.1533333333333333</v>
      </c>
      <c r="AM46" s="245">
        <f>R93+R113+R127</f>
        <v>0.56000000000000005</v>
      </c>
      <c r="AN46" s="245">
        <f>W93+W113+W127</f>
        <v>0.62000000000000011</v>
      </c>
      <c r="AO46" s="245">
        <f>AB113+AB127+AB62</f>
        <v>0.66</v>
      </c>
    </row>
    <row r="47" spans="1:41" s="21" customFormat="1" x14ac:dyDescent="0.25">
      <c r="A47" s="261"/>
      <c r="B47" s="260"/>
      <c r="C47" s="259"/>
      <c r="D47" s="240">
        <f>D46</f>
        <v>0.10333333333333333</v>
      </c>
      <c r="E47" s="62" t="s">
        <v>101</v>
      </c>
      <c r="F47" s="113"/>
      <c r="G47" s="260"/>
      <c r="H47" s="259"/>
      <c r="I47" s="240"/>
      <c r="J47" s="113"/>
      <c r="K47" s="260"/>
      <c r="L47" s="259"/>
      <c r="M47" s="241">
        <f>M46</f>
        <v>0.10333333333333333</v>
      </c>
      <c r="N47" s="62" t="s">
        <v>101</v>
      </c>
      <c r="O47" s="113"/>
      <c r="P47" s="260"/>
      <c r="Q47" s="259"/>
      <c r="R47" s="241">
        <f>R46</f>
        <v>0.15666666666666665</v>
      </c>
      <c r="S47" s="62" t="s">
        <v>101</v>
      </c>
      <c r="T47" s="113"/>
      <c r="U47" s="260"/>
      <c r="V47" s="259"/>
      <c r="W47" s="245">
        <f>W46</f>
        <v>0.3066666666666667</v>
      </c>
      <c r="X47" s="62" t="s">
        <v>101</v>
      </c>
      <c r="Y47" s="113"/>
      <c r="Z47" s="260"/>
      <c r="AA47" s="259"/>
      <c r="AB47" s="241">
        <f>Z45</f>
        <v>0.62</v>
      </c>
      <c r="AC47" s="62" t="s">
        <v>101</v>
      </c>
      <c r="AD47" s="113"/>
      <c r="AE47" s="260"/>
      <c r="AF47" s="259"/>
      <c r="AG47" s="241"/>
      <c r="AH47" s="241"/>
      <c r="AI47" s="156"/>
      <c r="AJ47" s="31" t="s">
        <v>188</v>
      </c>
      <c r="AK47" s="245">
        <f>D39+D109</f>
        <v>0.23</v>
      </c>
      <c r="AL47" s="245">
        <f>M39+M109</f>
        <v>0.24333333333333335</v>
      </c>
      <c r="AM47" s="245">
        <f>R39+R109</f>
        <v>0.25333333333333335</v>
      </c>
      <c r="AN47" s="245">
        <f>W39+W109</f>
        <v>0.24</v>
      </c>
      <c r="AO47" s="245">
        <f>AB39+AB109</f>
        <v>0.24</v>
      </c>
    </row>
    <row r="48" spans="1:41" s="21" customFormat="1" x14ac:dyDescent="0.25">
      <c r="A48" s="261">
        <v>14</v>
      </c>
      <c r="B48" s="260">
        <v>0.05</v>
      </c>
      <c r="C48" s="259">
        <v>6.71</v>
      </c>
      <c r="D48" s="240"/>
      <c r="E48" s="240"/>
      <c r="F48" s="113"/>
      <c r="G48" s="260">
        <v>0.18</v>
      </c>
      <c r="H48" s="259">
        <v>6.7</v>
      </c>
      <c r="I48" s="240"/>
      <c r="J48" s="113"/>
      <c r="K48" s="241">
        <v>0.02</v>
      </c>
      <c r="L48" s="240">
        <v>6.65</v>
      </c>
      <c r="M48" s="241"/>
      <c r="N48" s="240"/>
      <c r="O48" s="113"/>
      <c r="P48" s="260">
        <v>0.14000000000000001</v>
      </c>
      <c r="Q48" s="259">
        <v>7.03</v>
      </c>
      <c r="R48" s="245"/>
      <c r="S48" s="18"/>
      <c r="T48" s="113"/>
      <c r="U48" s="260">
        <v>0.66</v>
      </c>
      <c r="V48" s="259">
        <v>6.73</v>
      </c>
      <c r="W48" s="241"/>
      <c r="X48" s="8"/>
      <c r="Y48" s="113"/>
      <c r="Z48" s="241">
        <v>0.05</v>
      </c>
      <c r="AA48" s="240">
        <v>6.9</v>
      </c>
      <c r="AB48" s="241">
        <v>0.59</v>
      </c>
      <c r="AC48" s="70" t="s">
        <v>22</v>
      </c>
      <c r="AD48" s="113"/>
      <c r="AE48" s="260"/>
      <c r="AF48" s="259"/>
      <c r="AG48" s="241"/>
      <c r="AH48" s="241"/>
      <c r="AI48" s="156"/>
      <c r="AJ48" s="31" t="s">
        <v>189</v>
      </c>
      <c r="AK48" s="245">
        <f>D78+D116+D117+D131+D141</f>
        <v>1.5033333333333334</v>
      </c>
      <c r="AL48" s="245">
        <f>M78+M116+M117+M131+M141</f>
        <v>1.5033333333333334</v>
      </c>
      <c r="AM48" s="245">
        <f>R78+R116+R131+R141+R154</f>
        <v>1.3233333333333335</v>
      </c>
      <c r="AN48" s="245">
        <f>W78+W116+W131+W141+W154</f>
        <v>1.5</v>
      </c>
      <c r="AO48" s="245">
        <f>AB78+AB116+AB131+AB141+AB154</f>
        <v>1.33</v>
      </c>
    </row>
    <row r="49" spans="1:41" s="21" customFormat="1" x14ac:dyDescent="0.25">
      <c r="A49" s="261"/>
      <c r="B49" s="260"/>
      <c r="C49" s="259"/>
      <c r="D49" s="240"/>
      <c r="E49" s="240"/>
      <c r="F49" s="113"/>
      <c r="G49" s="260"/>
      <c r="H49" s="259"/>
      <c r="I49" s="240"/>
      <c r="J49" s="113"/>
      <c r="K49" s="241">
        <v>0.02</v>
      </c>
      <c r="L49" s="240">
        <v>6.71</v>
      </c>
      <c r="M49" s="241"/>
      <c r="N49" s="240"/>
      <c r="O49" s="113"/>
      <c r="P49" s="260"/>
      <c r="Q49" s="259"/>
      <c r="R49" s="241"/>
      <c r="S49" s="56"/>
      <c r="T49" s="113"/>
      <c r="U49" s="260"/>
      <c r="V49" s="259"/>
      <c r="W49" s="56"/>
      <c r="X49" s="56"/>
      <c r="Y49" s="113"/>
      <c r="Z49" s="260">
        <v>0.16</v>
      </c>
      <c r="AA49" s="259">
        <v>6.94</v>
      </c>
      <c r="AB49" s="241"/>
      <c r="AC49" s="56"/>
      <c r="AD49" s="113"/>
      <c r="AE49" s="241">
        <v>0.04</v>
      </c>
      <c r="AF49" s="240">
        <v>6.87</v>
      </c>
      <c r="AG49" s="241"/>
      <c r="AH49" s="241"/>
      <c r="AI49" s="156"/>
      <c r="AJ49" s="31" t="s">
        <v>190</v>
      </c>
      <c r="AK49" s="245">
        <f>D40+D66+D89+D118+D120+D142+D147+D165+D172+D179+D184+D185+D195+D200</f>
        <v>2.4899999999999998</v>
      </c>
      <c r="AL49" s="245">
        <f>M40+M66+M89+M118+M120+M147+M165+M172+M180+M184+M185+M195+M169</f>
        <v>2.6533333333333329</v>
      </c>
      <c r="AM49" s="245">
        <f>R40+R66+R88+R118+R120+R169</f>
        <v>2.2599999999999998</v>
      </c>
      <c r="AN49" s="245">
        <f>W40+W66+W88+W118+W120+W169</f>
        <v>2.33</v>
      </c>
      <c r="AO49" s="245">
        <f>AB40+AB66+AB118+AB169</f>
        <v>2.4300000000000002</v>
      </c>
    </row>
    <row r="50" spans="1:41" s="21" customFormat="1" x14ac:dyDescent="0.25">
      <c r="A50" s="261"/>
      <c r="B50" s="260"/>
      <c r="C50" s="259"/>
      <c r="D50" s="240"/>
      <c r="E50" s="118"/>
      <c r="F50" s="113"/>
      <c r="G50" s="260"/>
      <c r="H50" s="259"/>
      <c r="I50" s="240"/>
      <c r="J50" s="113"/>
      <c r="K50" s="260">
        <v>0.03</v>
      </c>
      <c r="L50" s="259">
        <v>6.74</v>
      </c>
      <c r="M50" s="241"/>
      <c r="N50" s="118"/>
      <c r="O50" s="113"/>
      <c r="P50" s="260"/>
      <c r="Q50" s="259"/>
      <c r="R50" s="241"/>
      <c r="S50" s="118"/>
      <c r="T50" s="113"/>
      <c r="U50" s="260"/>
      <c r="V50" s="259"/>
      <c r="W50" s="241"/>
      <c r="X50" s="118"/>
      <c r="Y50" s="113"/>
      <c r="Z50" s="260"/>
      <c r="AA50" s="259"/>
      <c r="AB50" s="241">
        <f>Z48+Z49</f>
        <v>0.21000000000000002</v>
      </c>
      <c r="AC50" s="68" t="s">
        <v>39</v>
      </c>
      <c r="AD50" s="113"/>
      <c r="AE50" s="260">
        <v>0.03</v>
      </c>
      <c r="AF50" s="259">
        <v>6.93</v>
      </c>
      <c r="AG50" s="241"/>
      <c r="AH50" s="241"/>
      <c r="AI50" s="156"/>
      <c r="AJ50" s="31" t="s">
        <v>191</v>
      </c>
      <c r="AK50" s="245">
        <f>D81+D121+D134+D149+D194+D203+D136</f>
        <v>0.98</v>
      </c>
      <c r="AL50" s="245">
        <f>M81+M121+M134+M149+M194+M203+M136+M167</f>
        <v>1.0633333333333335</v>
      </c>
      <c r="AM50" s="245">
        <f>R81+R97+R128+R132+R134+R149+R167</f>
        <v>2.5133333333333336</v>
      </c>
      <c r="AN50" s="245">
        <f>W81+W97+W128+W132+W134+W149+W70</f>
        <v>2.3200000000000003</v>
      </c>
      <c r="AO50" s="245">
        <f>AB81+AB97+AB134+AB70</f>
        <v>1.56</v>
      </c>
    </row>
    <row r="51" spans="1:41" s="21" customFormat="1" x14ac:dyDescent="0.25">
      <c r="A51" s="261"/>
      <c r="B51" s="260"/>
      <c r="C51" s="259"/>
      <c r="D51" s="240">
        <f>B48</f>
        <v>0.05</v>
      </c>
      <c r="E51" s="63" t="s">
        <v>436</v>
      </c>
      <c r="F51" s="113"/>
      <c r="G51" s="260"/>
      <c r="H51" s="259"/>
      <c r="I51" s="240"/>
      <c r="J51" s="113"/>
      <c r="K51" s="260"/>
      <c r="L51" s="259"/>
      <c r="M51" s="241">
        <f>K50+K49+K48</f>
        <v>7.0000000000000007E-2</v>
      </c>
      <c r="N51" s="63" t="s">
        <v>436</v>
      </c>
      <c r="O51" s="113"/>
      <c r="P51" s="260"/>
      <c r="Q51" s="259"/>
      <c r="R51" s="241">
        <f>P48</f>
        <v>0.14000000000000001</v>
      </c>
      <c r="S51" s="63" t="s">
        <v>504</v>
      </c>
      <c r="T51" s="113"/>
      <c r="U51" s="260"/>
      <c r="V51" s="259"/>
      <c r="W51" s="241">
        <f>U48-W48</f>
        <v>0.66</v>
      </c>
      <c r="X51" s="63" t="s">
        <v>127</v>
      </c>
      <c r="Y51" s="113"/>
      <c r="Z51" s="260"/>
      <c r="AA51" s="259"/>
      <c r="AB51" s="241"/>
      <c r="AC51" s="56"/>
      <c r="AD51" s="113"/>
      <c r="AE51" s="260"/>
      <c r="AF51" s="259"/>
      <c r="AG51" s="241"/>
      <c r="AH51" s="241"/>
      <c r="AI51" s="156"/>
      <c r="AJ51" s="36" t="s">
        <v>203</v>
      </c>
      <c r="AK51" s="16">
        <f>D54</f>
        <v>0.12</v>
      </c>
      <c r="AL51" s="16">
        <f>M54</f>
        <v>0.11749999999999999</v>
      </c>
      <c r="AM51" s="16">
        <f>R54</f>
        <v>0.12</v>
      </c>
      <c r="AN51" s="16">
        <f>W54</f>
        <v>0.12</v>
      </c>
      <c r="AO51" s="16">
        <f>AB54</f>
        <v>0.12</v>
      </c>
    </row>
    <row r="52" spans="1:41" s="21" customFormat="1" x14ac:dyDescent="0.25">
      <c r="A52" s="261">
        <v>15</v>
      </c>
      <c r="B52" s="260">
        <v>0.47</v>
      </c>
      <c r="C52" s="259">
        <v>6.92</v>
      </c>
      <c r="D52" s="240">
        <v>0.12</v>
      </c>
      <c r="E52" s="10" t="s">
        <v>105</v>
      </c>
      <c r="F52" s="113"/>
      <c r="G52" s="260">
        <v>0.79</v>
      </c>
      <c r="H52" s="259">
        <v>6.8</v>
      </c>
      <c r="I52" s="240"/>
      <c r="J52" s="113"/>
      <c r="K52" s="260">
        <v>0.05</v>
      </c>
      <c r="L52" s="259">
        <v>6.79</v>
      </c>
      <c r="M52" s="241">
        <f>M55</f>
        <v>0.11749999999999999</v>
      </c>
      <c r="N52" s="10" t="s">
        <v>105</v>
      </c>
      <c r="O52" s="113"/>
      <c r="P52" s="260">
        <v>0.6</v>
      </c>
      <c r="Q52" s="259">
        <v>7.18</v>
      </c>
      <c r="R52" s="241">
        <f>D52</f>
        <v>0.12</v>
      </c>
      <c r="S52" s="10" t="s">
        <v>105</v>
      </c>
      <c r="T52" s="113"/>
      <c r="U52" s="260">
        <v>0.98</v>
      </c>
      <c r="V52" s="259">
        <v>6.88</v>
      </c>
      <c r="W52" s="241">
        <f>AB52</f>
        <v>0.12</v>
      </c>
      <c r="X52" s="10" t="s">
        <v>105</v>
      </c>
      <c r="Y52" s="113"/>
      <c r="Z52" s="260">
        <v>0.77</v>
      </c>
      <c r="AA52" s="259">
        <v>7.1</v>
      </c>
      <c r="AB52" s="241">
        <f>R52</f>
        <v>0.12</v>
      </c>
      <c r="AC52" s="10" t="s">
        <v>105</v>
      </c>
      <c r="AD52" s="113"/>
      <c r="AE52" s="260">
        <v>0.28000000000000003</v>
      </c>
      <c r="AF52" s="259">
        <v>7.01</v>
      </c>
      <c r="AG52" s="241">
        <f>AB52</f>
        <v>0.12</v>
      </c>
      <c r="AH52" s="10" t="s">
        <v>105</v>
      </c>
      <c r="AI52" s="156"/>
      <c r="AJ52" s="36" t="s">
        <v>204</v>
      </c>
      <c r="AK52" s="16">
        <f>D150</f>
        <v>0.34</v>
      </c>
      <c r="AL52" s="16">
        <f>M150</f>
        <v>0.34</v>
      </c>
      <c r="AM52" s="16">
        <f>R150</f>
        <v>0.34</v>
      </c>
      <c r="AN52" s="16">
        <f>W150</f>
        <v>0.34</v>
      </c>
      <c r="AO52" s="16">
        <f>AB126</f>
        <v>0.35</v>
      </c>
    </row>
    <row r="53" spans="1:41" s="21" customFormat="1" x14ac:dyDescent="0.25">
      <c r="A53" s="261"/>
      <c r="B53" s="260"/>
      <c r="C53" s="259"/>
      <c r="D53" s="240">
        <v>0.12</v>
      </c>
      <c r="E53" s="7" t="s">
        <v>106</v>
      </c>
      <c r="F53" s="113"/>
      <c r="G53" s="260"/>
      <c r="H53" s="259"/>
      <c r="I53" s="240"/>
      <c r="J53" s="113"/>
      <c r="K53" s="260"/>
      <c r="L53" s="259"/>
      <c r="M53" s="241">
        <f>M55</f>
        <v>0.11749999999999999</v>
      </c>
      <c r="N53" s="7" t="s">
        <v>106</v>
      </c>
      <c r="O53" s="113"/>
      <c r="P53" s="260"/>
      <c r="Q53" s="259"/>
      <c r="R53" s="241">
        <f>D53</f>
        <v>0.12</v>
      </c>
      <c r="S53" s="7" t="s">
        <v>106</v>
      </c>
      <c r="T53" s="113"/>
      <c r="U53" s="260"/>
      <c r="V53" s="259"/>
      <c r="W53" s="241">
        <f>R53</f>
        <v>0.12</v>
      </c>
      <c r="X53" s="7" t="s">
        <v>106</v>
      </c>
      <c r="Y53" s="113"/>
      <c r="Z53" s="260"/>
      <c r="AA53" s="259"/>
      <c r="AB53" s="241">
        <f>R53</f>
        <v>0.12</v>
      </c>
      <c r="AC53" s="7" t="s">
        <v>106</v>
      </c>
      <c r="AD53" s="113"/>
      <c r="AE53" s="260"/>
      <c r="AF53" s="259"/>
      <c r="AG53" s="241">
        <f>AG52</f>
        <v>0.12</v>
      </c>
      <c r="AH53" s="7" t="s">
        <v>106</v>
      </c>
      <c r="AI53" s="156"/>
      <c r="AJ53" s="36" t="s">
        <v>198</v>
      </c>
      <c r="AK53" s="16"/>
      <c r="AL53" s="16"/>
      <c r="AM53" s="16"/>
      <c r="AN53" s="16"/>
      <c r="AO53" s="16"/>
    </row>
    <row r="54" spans="1:41" s="21" customFormat="1" x14ac:dyDescent="0.25">
      <c r="A54" s="261"/>
      <c r="B54" s="260"/>
      <c r="C54" s="259"/>
      <c r="D54" s="240">
        <v>0.12</v>
      </c>
      <c r="E54" s="62" t="s">
        <v>66</v>
      </c>
      <c r="F54" s="113"/>
      <c r="G54" s="260"/>
      <c r="H54" s="259"/>
      <c r="I54" s="240"/>
      <c r="J54" s="113"/>
      <c r="K54" s="260">
        <v>0.38</v>
      </c>
      <c r="L54" s="259">
        <v>6.86</v>
      </c>
      <c r="M54" s="241">
        <f>M55</f>
        <v>0.11749999999999999</v>
      </c>
      <c r="N54" s="62" t="s">
        <v>66</v>
      </c>
      <c r="O54" s="113"/>
      <c r="P54" s="260"/>
      <c r="Q54" s="259"/>
      <c r="R54" s="241">
        <f>D54</f>
        <v>0.12</v>
      </c>
      <c r="S54" s="62" t="s">
        <v>66</v>
      </c>
      <c r="T54" s="113"/>
      <c r="U54" s="260"/>
      <c r="V54" s="259"/>
      <c r="W54" s="241">
        <f>AB54</f>
        <v>0.12</v>
      </c>
      <c r="X54" s="62" t="s">
        <v>66</v>
      </c>
      <c r="Y54" s="113"/>
      <c r="Z54" s="260"/>
      <c r="AA54" s="259"/>
      <c r="AB54" s="241">
        <f>R54</f>
        <v>0.12</v>
      </c>
      <c r="AC54" s="62" t="s">
        <v>66</v>
      </c>
      <c r="AD54" s="113"/>
      <c r="AE54" s="260"/>
      <c r="AF54" s="259"/>
      <c r="AG54" s="241">
        <f>AG52</f>
        <v>0.12</v>
      </c>
      <c r="AH54" s="62" t="s">
        <v>66</v>
      </c>
      <c r="AI54" s="156"/>
      <c r="AJ54" s="36" t="s">
        <v>199</v>
      </c>
      <c r="AK54" s="16">
        <f>D190</f>
        <v>8.2500000000000004E-2</v>
      </c>
      <c r="AL54" s="16">
        <f>M190</f>
        <v>0.1</v>
      </c>
      <c r="AM54" s="16">
        <f>R147</f>
        <v>0.1</v>
      </c>
      <c r="AN54" s="16">
        <f>W147</f>
        <v>0.1</v>
      </c>
      <c r="AO54" s="16">
        <f>AB121</f>
        <v>0.1</v>
      </c>
    </row>
    <row r="55" spans="1:41" s="21" customFormat="1" x14ac:dyDescent="0.25">
      <c r="A55" s="261"/>
      <c r="B55" s="260"/>
      <c r="C55" s="259"/>
      <c r="D55" s="240">
        <f>B52/4</f>
        <v>0.11749999999999999</v>
      </c>
      <c r="E55" s="70" t="s">
        <v>63</v>
      </c>
      <c r="F55" s="113"/>
      <c r="G55" s="260"/>
      <c r="H55" s="259"/>
      <c r="I55" s="240"/>
      <c r="J55" s="113"/>
      <c r="K55" s="260"/>
      <c r="L55" s="259"/>
      <c r="M55" s="241">
        <f>(K52+K54+K57)/4</f>
        <v>0.11749999999999999</v>
      </c>
      <c r="N55" s="70" t="s">
        <v>63</v>
      </c>
      <c r="O55" s="113"/>
      <c r="P55" s="260"/>
      <c r="Q55" s="259"/>
      <c r="R55" s="241">
        <v>0.12</v>
      </c>
      <c r="S55" s="70" t="s">
        <v>63</v>
      </c>
      <c r="T55" s="113"/>
      <c r="U55" s="260"/>
      <c r="V55" s="259"/>
      <c r="W55" s="241">
        <f>AB55</f>
        <v>0.12</v>
      </c>
      <c r="X55" s="70" t="s">
        <v>63</v>
      </c>
      <c r="Y55" s="113"/>
      <c r="Z55" s="260"/>
      <c r="AA55" s="259"/>
      <c r="AB55" s="241">
        <v>0.12</v>
      </c>
      <c r="AC55" s="70" t="s">
        <v>63</v>
      </c>
      <c r="AD55" s="113"/>
      <c r="AE55" s="260">
        <v>0.71</v>
      </c>
      <c r="AF55" s="259">
        <v>7.09</v>
      </c>
      <c r="AG55" s="241">
        <f>AG52</f>
        <v>0.12</v>
      </c>
      <c r="AH55" s="70" t="s">
        <v>63</v>
      </c>
      <c r="AI55" s="156"/>
      <c r="AJ55" s="31" t="s">
        <v>192</v>
      </c>
      <c r="AK55" s="241"/>
      <c r="AL55" s="241"/>
      <c r="AM55" s="241"/>
      <c r="AN55" s="241"/>
      <c r="AO55" s="241"/>
    </row>
    <row r="56" spans="1:41" s="21" customFormat="1" x14ac:dyDescent="0.25">
      <c r="A56" s="261"/>
      <c r="B56" s="260"/>
      <c r="C56" s="259"/>
      <c r="D56" s="240"/>
      <c r="E56" s="56"/>
      <c r="F56" s="113"/>
      <c r="G56" s="260"/>
      <c r="H56" s="259"/>
      <c r="I56" s="240"/>
      <c r="J56" s="113"/>
      <c r="K56" s="260"/>
      <c r="L56" s="259"/>
      <c r="M56" s="241"/>
      <c r="N56" s="56"/>
      <c r="O56" s="113"/>
      <c r="P56" s="260"/>
      <c r="Q56" s="259"/>
      <c r="R56" s="241">
        <v>0.12</v>
      </c>
      <c r="S56" s="6" t="s">
        <v>171</v>
      </c>
      <c r="T56" s="113"/>
      <c r="U56" s="260"/>
      <c r="V56" s="259"/>
      <c r="W56" s="241">
        <f>R56</f>
        <v>0.12</v>
      </c>
      <c r="X56" s="6" t="s">
        <v>171</v>
      </c>
      <c r="Y56" s="113"/>
      <c r="Z56" s="260"/>
      <c r="AA56" s="259"/>
      <c r="AB56" s="56"/>
      <c r="AC56" s="56"/>
      <c r="AD56" s="113"/>
      <c r="AE56" s="260"/>
      <c r="AF56" s="259"/>
      <c r="AG56" s="241">
        <f>AE55+AE52-AG55-AG54-AG53-AG52</f>
        <v>0.51</v>
      </c>
      <c r="AH56" s="74" t="s">
        <v>333</v>
      </c>
      <c r="AI56" s="156"/>
      <c r="AJ56" s="36" t="s">
        <v>205</v>
      </c>
      <c r="AK56" s="241">
        <f>D192+D191+D196</f>
        <v>0.82833333333333337</v>
      </c>
      <c r="AL56" s="241">
        <f>M192+M196+M175+M162</f>
        <v>0.87</v>
      </c>
      <c r="AM56" s="19">
        <f>R196+R175+R192+R162</f>
        <v>1.0533333333333335</v>
      </c>
      <c r="AN56" s="19">
        <f>W194+W175+W168+W122</f>
        <v>0.82000000000000006</v>
      </c>
      <c r="AO56" s="19">
        <f>AB122+AB168</f>
        <v>0.54</v>
      </c>
    </row>
    <row r="57" spans="1:41" s="21" customFormat="1" x14ac:dyDescent="0.25">
      <c r="A57" s="261"/>
      <c r="B57" s="260"/>
      <c r="C57" s="259"/>
      <c r="D57" s="56"/>
      <c r="E57" s="56"/>
      <c r="F57" s="113"/>
      <c r="G57" s="260"/>
      <c r="H57" s="259"/>
      <c r="I57" s="240"/>
      <c r="J57" s="113"/>
      <c r="K57" s="241">
        <v>0.04</v>
      </c>
      <c r="L57" s="240">
        <v>6.92</v>
      </c>
      <c r="M57" s="56"/>
      <c r="N57" s="56"/>
      <c r="O57" s="113"/>
      <c r="P57" s="260"/>
      <c r="Q57" s="259"/>
      <c r="R57" s="56"/>
      <c r="S57" s="56"/>
      <c r="T57" s="113"/>
      <c r="U57" s="260"/>
      <c r="V57" s="259"/>
      <c r="W57" s="241">
        <f>U52-W55-W52-W54-W56-W53</f>
        <v>0.38</v>
      </c>
      <c r="X57" s="6" t="s">
        <v>121</v>
      </c>
      <c r="Y57" s="113"/>
      <c r="Z57" s="260"/>
      <c r="AA57" s="259"/>
      <c r="AB57" s="241">
        <f>Z52-AB55-AB52-AB54-AB53</f>
        <v>0.29000000000000004</v>
      </c>
      <c r="AC57" s="6" t="s">
        <v>121</v>
      </c>
      <c r="AD57" s="113"/>
      <c r="AE57" s="260"/>
      <c r="AF57" s="259"/>
      <c r="AG57" s="241"/>
      <c r="AH57" s="241"/>
      <c r="AI57" s="156"/>
      <c r="AJ57" s="36" t="s">
        <v>193</v>
      </c>
      <c r="AK57" s="1">
        <f>SUM(AK43:AK56)</f>
        <v>9.7141666666666655</v>
      </c>
      <c r="AL57" s="1">
        <f>SUM(AL43:AL56)</f>
        <v>9.8666666666666636</v>
      </c>
      <c r="AM57" s="1">
        <f>SUM(AM43:AM56)</f>
        <v>10.133333333333331</v>
      </c>
      <c r="AN57" s="1">
        <f>SUM(AN43:AN56)</f>
        <v>9.64</v>
      </c>
      <c r="AO57" s="1">
        <f>SUM(AO43:AO56)</f>
        <v>8.82</v>
      </c>
    </row>
    <row r="58" spans="1:41" s="21" customFormat="1" ht="15.75" thickBot="1" x14ac:dyDescent="0.3">
      <c r="A58" s="261">
        <v>16</v>
      </c>
      <c r="B58" s="260">
        <v>4.0199999999999996</v>
      </c>
      <c r="C58" s="259">
        <v>7.06</v>
      </c>
      <c r="D58" s="240">
        <f>B58/2</f>
        <v>2.0099999999999998</v>
      </c>
      <c r="E58" s="6" t="s">
        <v>48</v>
      </c>
      <c r="F58" s="113"/>
      <c r="G58" s="241"/>
      <c r="H58" s="240"/>
      <c r="I58" s="80"/>
      <c r="J58" s="113"/>
      <c r="K58" s="260">
        <v>3.92</v>
      </c>
      <c r="L58" s="259">
        <v>7.01</v>
      </c>
      <c r="M58" s="241">
        <f>K58/2</f>
        <v>1.96</v>
      </c>
      <c r="N58" s="6" t="s">
        <v>48</v>
      </c>
      <c r="O58" s="113"/>
      <c r="P58" s="260">
        <v>3.78</v>
      </c>
      <c r="Q58" s="259">
        <v>7.32</v>
      </c>
      <c r="R58" s="241">
        <f>P58/2</f>
        <v>1.89</v>
      </c>
      <c r="S58" s="6" t="s">
        <v>48</v>
      </c>
      <c r="T58" s="113"/>
      <c r="U58" s="260">
        <v>4.3099999999999996</v>
      </c>
      <c r="V58" s="259">
        <v>7.03</v>
      </c>
      <c r="W58" s="241">
        <f>(U58-W123)/2</f>
        <v>2.1549999999999998</v>
      </c>
      <c r="X58" s="6" t="s">
        <v>48</v>
      </c>
      <c r="Y58" s="113"/>
      <c r="Z58" s="260">
        <v>3.89</v>
      </c>
      <c r="AA58" s="259">
        <v>7.24</v>
      </c>
      <c r="AB58" s="241">
        <f>(Z58-AB123)/2</f>
        <v>1.9450000000000001</v>
      </c>
      <c r="AC58" s="6" t="s">
        <v>48</v>
      </c>
      <c r="AD58" s="113"/>
      <c r="AE58" s="260">
        <v>3.91</v>
      </c>
      <c r="AF58" s="259">
        <v>7.17</v>
      </c>
      <c r="AG58" s="241">
        <f>AE55+AE58-AG55-AG59-AG60</f>
        <v>2.5</v>
      </c>
      <c r="AH58" s="6" t="s">
        <v>48</v>
      </c>
      <c r="AI58" s="156"/>
      <c r="AJ58" s="1"/>
    </row>
    <row r="59" spans="1:41" s="21" customFormat="1" x14ac:dyDescent="0.25">
      <c r="A59" s="261"/>
      <c r="B59" s="260"/>
      <c r="C59" s="259"/>
      <c r="D59" s="240">
        <f>D58</f>
        <v>2.0099999999999998</v>
      </c>
      <c r="E59" s="6" t="s">
        <v>49</v>
      </c>
      <c r="F59" s="113"/>
      <c r="G59" s="241"/>
      <c r="H59" s="240"/>
      <c r="I59" s="80"/>
      <c r="J59" s="113"/>
      <c r="K59" s="260"/>
      <c r="L59" s="259"/>
      <c r="M59" s="241">
        <f>M58</f>
        <v>1.96</v>
      </c>
      <c r="N59" s="6" t="s">
        <v>49</v>
      </c>
      <c r="O59" s="113"/>
      <c r="P59" s="260"/>
      <c r="Q59" s="259"/>
      <c r="R59" s="241">
        <f>R58</f>
        <v>1.89</v>
      </c>
      <c r="S59" s="6" t="s">
        <v>49</v>
      </c>
      <c r="T59" s="113"/>
      <c r="U59" s="260"/>
      <c r="V59" s="259"/>
      <c r="W59" s="241">
        <f>W58</f>
        <v>2.1549999999999998</v>
      </c>
      <c r="X59" s="6" t="s">
        <v>49</v>
      </c>
      <c r="Y59" s="113"/>
      <c r="Z59" s="260"/>
      <c r="AA59" s="259"/>
      <c r="AB59" s="241">
        <f>AB58</f>
        <v>1.9450000000000001</v>
      </c>
      <c r="AC59" s="6" t="s">
        <v>49</v>
      </c>
      <c r="AD59" s="113"/>
      <c r="AE59" s="260"/>
      <c r="AF59" s="259"/>
      <c r="AG59" s="241">
        <v>2</v>
      </c>
      <c r="AH59" s="6" t="s">
        <v>49</v>
      </c>
      <c r="AI59" s="156"/>
      <c r="AJ59" s="153" t="s">
        <v>277</v>
      </c>
      <c r="AK59" s="41" t="s">
        <v>1</v>
      </c>
      <c r="AL59" s="38" t="s">
        <v>2</v>
      </c>
      <c r="AM59" s="41" t="s">
        <v>4</v>
      </c>
    </row>
    <row r="60" spans="1:41" s="21" customFormat="1" x14ac:dyDescent="0.25">
      <c r="A60" s="261"/>
      <c r="B60" s="260"/>
      <c r="C60" s="259"/>
      <c r="D60" s="56"/>
      <c r="E60" s="56"/>
      <c r="F60" s="113"/>
      <c r="G60" s="260">
        <v>3.81</v>
      </c>
      <c r="H60" s="259">
        <v>7.01</v>
      </c>
      <c r="I60" s="240"/>
      <c r="J60" s="113"/>
      <c r="K60" s="260"/>
      <c r="L60" s="259"/>
      <c r="M60" s="241"/>
      <c r="N60" s="56"/>
      <c r="O60" s="113"/>
      <c r="P60" s="260"/>
      <c r="Q60" s="259"/>
      <c r="R60" s="56"/>
      <c r="S60" s="56"/>
      <c r="T60" s="113"/>
      <c r="U60" s="260"/>
      <c r="V60" s="259"/>
      <c r="Y60" s="113"/>
      <c r="Z60" s="260"/>
      <c r="AA60" s="259"/>
      <c r="AD60" s="113"/>
      <c r="AE60" s="260"/>
      <c r="AF60" s="259"/>
      <c r="AG60" s="19"/>
      <c r="AH60" s="8"/>
      <c r="AI60" s="156"/>
      <c r="AJ60" s="111" t="s">
        <v>272</v>
      </c>
      <c r="AK60" s="19">
        <f>D4+D30+D58+D59+D73+D87+D91+D122+D125+D151+D9+D22+D25+D39+D40+D47+D54+D55+D64+D74</f>
        <v>22.942499999999995</v>
      </c>
      <c r="AL60" s="19">
        <f>M4+M30+M58+M59+M73+M70+M87+M91+M122+M125+M151+M88+M9+M22+M25+M39+M40+M47+M54+M55+M64+M74</f>
        <v>20.986666666666661</v>
      </c>
      <c r="AM60" s="19">
        <f>R4+R30+R58+R59+R73+R70+R87+R91+R122+R125+R151+R88+R9+R22+R25+R39+R40+R47+R54+R55+R64+R74</f>
        <v>20.75</v>
      </c>
      <c r="AN60" s="19">
        <f>AVERAGE(AK60:AM60)</f>
        <v>21.55972222222222</v>
      </c>
      <c r="AO60" s="21" t="s">
        <v>297</v>
      </c>
    </row>
    <row r="61" spans="1:41" s="21" customFormat="1" x14ac:dyDescent="0.25">
      <c r="A61" s="261">
        <v>17</v>
      </c>
      <c r="B61" s="260">
        <v>2.92</v>
      </c>
      <c r="C61" s="259">
        <v>7.11</v>
      </c>
      <c r="D61" s="241">
        <v>0.01</v>
      </c>
      <c r="E61" s="63" t="s">
        <v>405</v>
      </c>
      <c r="F61" s="113"/>
      <c r="G61" s="260"/>
      <c r="H61" s="259"/>
      <c r="I61" s="240"/>
      <c r="J61" s="113"/>
      <c r="K61" s="260">
        <v>3.02</v>
      </c>
      <c r="L61" s="259">
        <v>7.08</v>
      </c>
      <c r="M61" s="241">
        <v>1.5</v>
      </c>
      <c r="N61" s="63" t="s">
        <v>405</v>
      </c>
      <c r="O61" s="113"/>
      <c r="P61" s="260">
        <v>7.77</v>
      </c>
      <c r="Q61" s="259">
        <v>7.41</v>
      </c>
      <c r="R61" s="19">
        <f>P61-R63</f>
        <v>4.9899999999999993</v>
      </c>
      <c r="S61" s="63" t="s">
        <v>507</v>
      </c>
      <c r="T61" s="113"/>
      <c r="U61" s="260">
        <v>6.44</v>
      </c>
      <c r="V61" s="259">
        <v>7.1</v>
      </c>
      <c r="W61" s="241">
        <f>U61-W62-W63</f>
        <v>3.66</v>
      </c>
      <c r="X61" s="63" t="s">
        <v>222</v>
      </c>
      <c r="Y61" s="113"/>
      <c r="Z61" s="260">
        <v>3.06</v>
      </c>
      <c r="AA61" s="259">
        <v>7.29</v>
      </c>
      <c r="AB61" s="56"/>
      <c r="AC61" s="56"/>
      <c r="AD61" s="113"/>
      <c r="AE61" s="260">
        <v>2.61</v>
      </c>
      <c r="AF61" s="259">
        <v>7.23</v>
      </c>
      <c r="AG61" s="19">
        <v>0.17</v>
      </c>
      <c r="AH61" s="74" t="s">
        <v>338</v>
      </c>
      <c r="AI61" s="156"/>
      <c r="AJ61" s="111" t="s">
        <v>273</v>
      </c>
      <c r="AK61" s="19">
        <f>D35+D36+D38+D45+D46+D51+D52+D53+D66+D75+D78+D81+D82+D83+D89+D90+D96+D117+D121+D123</f>
        <v>2.2966666666666669</v>
      </c>
      <c r="AL61" s="19">
        <f>M35+M36+M38+M45+M46+M51+M52+M53+M66+M75+M78+M81+M82+M83+M89+M90+M96+M117+M121+M123</f>
        <v>2.5150000000000001</v>
      </c>
      <c r="AM61" s="19">
        <f>R35+R36+R38+R45+R46+R51+R52+R53+R66+R75+R78+R81+R82+R83+R89+R90+R96+R117+R121+R123+R32+R56+R69</f>
        <v>2.4833333333333343</v>
      </c>
      <c r="AN61" s="19">
        <f>AVERAGE(AK61:AM61)</f>
        <v>2.4316666666666671</v>
      </c>
      <c r="AO61" s="21" t="s">
        <v>300</v>
      </c>
    </row>
    <row r="62" spans="1:41" s="21" customFormat="1" x14ac:dyDescent="0.25">
      <c r="A62" s="261"/>
      <c r="B62" s="260"/>
      <c r="C62" s="259"/>
      <c r="D62" s="240"/>
      <c r="E62" s="240"/>
      <c r="F62" s="113"/>
      <c r="G62" s="260"/>
      <c r="H62" s="259"/>
      <c r="I62" s="240"/>
      <c r="J62" s="113"/>
      <c r="K62" s="260"/>
      <c r="L62" s="259"/>
      <c r="M62" s="241"/>
      <c r="N62" s="240"/>
      <c r="O62" s="113"/>
      <c r="P62" s="260"/>
      <c r="Q62" s="259"/>
      <c r="R62" s="19"/>
      <c r="S62" s="240"/>
      <c r="T62" s="113"/>
      <c r="U62" s="260"/>
      <c r="V62" s="259"/>
      <c r="W62" s="241"/>
      <c r="X62" s="240"/>
      <c r="Y62" s="113"/>
      <c r="Z62" s="260"/>
      <c r="AA62" s="259"/>
      <c r="AB62" s="19">
        <f>W93</f>
        <v>0.28000000000000003</v>
      </c>
      <c r="AC62" s="7" t="s">
        <v>75</v>
      </c>
      <c r="AD62" s="113"/>
      <c r="AE62" s="260"/>
      <c r="AF62" s="259"/>
      <c r="AG62" s="19">
        <f>AB62</f>
        <v>0.28000000000000003</v>
      </c>
      <c r="AH62" s="7" t="s">
        <v>75</v>
      </c>
      <c r="AI62" s="156"/>
      <c r="AJ62" s="111" t="s">
        <v>274</v>
      </c>
      <c r="AK62" s="19">
        <f>D61+D65+D72+D76+D77+D79+D80+D84+D93+D94+D92+D97+D99+D104+D106+D107+D116+D111+D112+D113+D114+D115+D109+D118+D119+D126+D127+D130+D131+D134+D135+D136+D138+D139+D140+D141+D142+D144+D145+D153+D154+D159+D161+D163+D164+D170+D183+D185</f>
        <v>14.445555555555547</v>
      </c>
      <c r="AL62" s="19">
        <f>M61+M65+M72+M76+M77+M79+M80+M84+M93+M94+M92+M97+M99+M104+M106+M107+M116+M111+M112+M113+M114+M115+M109+M118+M119+M126+M127+M130+M131+M134+M135+M136+M138+M139+M141+M142+M144+M145+M153+M154+M159+M161+M163+M164+M170+M183+M160+M185</f>
        <v>16.074999999999996</v>
      </c>
      <c r="AM62" s="19">
        <f>R61+R65+R72+R76+R77+R79+R80+R84+R93+R94+R90+R97+R99+R104+R106+R107+R116+R111+R112+R113+R114+R115+R109+R118+R119+R126+R127+R130+R131+R134+R135+R136+R138+R139+R141+R142+R144+R145+R153+R154+R162+R163+R164+R169+R183+R160+R185</f>
        <v>15.033333333333331</v>
      </c>
      <c r="AN62" s="19">
        <f>AVERAGE(AK62:AM62)</f>
        <v>15.184629629629626</v>
      </c>
      <c r="AO62" s="21" t="s">
        <v>301</v>
      </c>
    </row>
    <row r="63" spans="1:41" s="21" customFormat="1" x14ac:dyDescent="0.25">
      <c r="A63" s="261"/>
      <c r="B63" s="260"/>
      <c r="C63" s="259"/>
      <c r="D63" s="240">
        <f>B61-D61</f>
        <v>2.91</v>
      </c>
      <c r="E63" s="54" t="s">
        <v>34</v>
      </c>
      <c r="F63" s="113"/>
      <c r="G63" s="260"/>
      <c r="H63" s="259"/>
      <c r="I63" s="240"/>
      <c r="J63" s="113"/>
      <c r="K63" s="260"/>
      <c r="L63" s="259"/>
      <c r="M63" s="241">
        <f>K61-M61</f>
        <v>1.52</v>
      </c>
      <c r="N63" s="54" t="s">
        <v>34</v>
      </c>
      <c r="O63" s="113"/>
      <c r="P63" s="260"/>
      <c r="Q63" s="259"/>
      <c r="R63" s="241">
        <f>AB63</f>
        <v>2.7800000000000002</v>
      </c>
      <c r="S63" s="54" t="s">
        <v>34</v>
      </c>
      <c r="T63" s="113"/>
      <c r="U63" s="260"/>
      <c r="V63" s="259"/>
      <c r="W63" s="241">
        <f>AB63</f>
        <v>2.7800000000000002</v>
      </c>
      <c r="X63" s="54" t="s">
        <v>34</v>
      </c>
      <c r="Y63" s="113"/>
      <c r="Z63" s="260"/>
      <c r="AA63" s="259"/>
      <c r="AB63" s="241">
        <f>Z61-AB62</f>
        <v>2.7800000000000002</v>
      </c>
      <c r="AC63" s="54" t="s">
        <v>34</v>
      </c>
      <c r="AD63" s="113"/>
      <c r="AE63" s="260"/>
      <c r="AF63" s="259"/>
      <c r="AG63" s="241">
        <f>AE61-AG62-AG61</f>
        <v>2.16</v>
      </c>
      <c r="AH63" s="54" t="s">
        <v>34</v>
      </c>
      <c r="AI63" s="156"/>
      <c r="AJ63" s="111" t="s">
        <v>275</v>
      </c>
      <c r="AK63" s="19">
        <f>D203+D201+D200+D198+D197+D195+D194+D193+D190+D188+D184+D182+D180+D179+D178+D173+D172+D171+D165+D155+D150+D149+D147+D146+D143+D132+D129+D124+D120+D110+D103+D102+D101+D95</f>
        <v>9.7499999999999982</v>
      </c>
      <c r="AL63" s="19">
        <f>M203+M201+M200+M198+M197+M195+M194+M193+M190+M188+M184+M182+M180+M179+M178+M173+M172+M171+M165+M155+M150+M149+M147+M146+M143+M132+M129+M124+M120+M110+M103+M102+M101+M95+M167</f>
        <v>9.1033333333333335</v>
      </c>
      <c r="AM63" s="19">
        <f>R203+R201+R200+R198+R195+R194+R193+R190+R188+R184+R182+R180+R179+R178+R173+R172+R169+R165+R155+R150+R149+R147+R146+R143+R132+R128+R124+R120+R110+R103+R102+R101+R95+R167+R197</f>
        <v>8.5033333333333339</v>
      </c>
      <c r="AN63" s="19">
        <f>AVERAGE(AK63:AM63)</f>
        <v>9.1188888888888879</v>
      </c>
      <c r="AO63" s="21" t="s">
        <v>298</v>
      </c>
    </row>
    <row r="64" spans="1:41" s="21" customFormat="1" x14ac:dyDescent="0.25">
      <c r="A64" s="261">
        <v>18</v>
      </c>
      <c r="B64" s="260">
        <v>0.39</v>
      </c>
      <c r="C64" s="259">
        <v>7.34</v>
      </c>
      <c r="D64" s="241">
        <f>R64</f>
        <v>0.13</v>
      </c>
      <c r="E64" s="68" t="s">
        <v>98</v>
      </c>
      <c r="F64" s="113"/>
      <c r="G64" s="260">
        <v>0.85</v>
      </c>
      <c r="H64" s="259">
        <v>7.21</v>
      </c>
      <c r="I64" s="240"/>
      <c r="J64" s="113"/>
      <c r="K64" s="260">
        <v>0.02</v>
      </c>
      <c r="L64" s="259">
        <v>7.2</v>
      </c>
      <c r="M64" s="241">
        <f>D64</f>
        <v>0.13</v>
      </c>
      <c r="N64" s="68" t="s">
        <v>98</v>
      </c>
      <c r="O64" s="113"/>
      <c r="P64" s="241">
        <v>0.13</v>
      </c>
      <c r="Q64" s="240">
        <v>7.55</v>
      </c>
      <c r="R64" s="241">
        <f>P64</f>
        <v>0.13</v>
      </c>
      <c r="S64" s="68" t="s">
        <v>98</v>
      </c>
      <c r="T64" s="113"/>
      <c r="U64" s="241">
        <v>0.11</v>
      </c>
      <c r="V64" s="240">
        <v>7.25</v>
      </c>
      <c r="W64" s="241">
        <f>U64</f>
        <v>0.11</v>
      </c>
      <c r="X64" s="68" t="s">
        <v>98</v>
      </c>
      <c r="Y64" s="113"/>
      <c r="Z64" s="241">
        <v>0.26</v>
      </c>
      <c r="AA64" s="240">
        <v>7.42</v>
      </c>
      <c r="AB64" s="241">
        <f>W64</f>
        <v>0.11</v>
      </c>
      <c r="AC64" s="68" t="s">
        <v>98</v>
      </c>
      <c r="AD64" s="113"/>
      <c r="AE64" s="241">
        <v>0.02</v>
      </c>
      <c r="AF64" s="240">
        <v>7.38</v>
      </c>
      <c r="AG64" s="241">
        <f>AE64</f>
        <v>0.02</v>
      </c>
      <c r="AH64" s="68" t="s">
        <v>98</v>
      </c>
      <c r="AI64" s="156"/>
      <c r="AJ64" s="111" t="s">
        <v>276</v>
      </c>
      <c r="AK64" s="19">
        <f>D202+D196+D192+D189+D187+D181+D166+D137</f>
        <v>2.3158333333333339</v>
      </c>
      <c r="AL64" s="19">
        <f>M202+M196+M192+M189+M187+M181+M166+M137+M175</f>
        <v>2.3733333333333331</v>
      </c>
      <c r="AM64" s="19">
        <f>R202+R196+R192+R189+R187+R181+R166+R137+R175+R159+R92</f>
        <v>2.6433333333333335</v>
      </c>
      <c r="AN64" s="19">
        <f>AVERAGE(AK64:AM64)</f>
        <v>2.4441666666666668</v>
      </c>
      <c r="AO64" s="21" t="s">
        <v>299</v>
      </c>
    </row>
    <row r="65" spans="1:41" s="21" customFormat="1" x14ac:dyDescent="0.25">
      <c r="A65" s="261"/>
      <c r="B65" s="260"/>
      <c r="C65" s="259"/>
      <c r="D65" s="241">
        <v>0.01</v>
      </c>
      <c r="E65" s="14" t="s">
        <v>420</v>
      </c>
      <c r="F65" s="113"/>
      <c r="G65" s="260"/>
      <c r="H65" s="259"/>
      <c r="I65" s="240"/>
      <c r="J65" s="113"/>
      <c r="K65" s="260"/>
      <c r="L65" s="259"/>
      <c r="M65" s="241">
        <f>D65</f>
        <v>0.01</v>
      </c>
      <c r="N65" s="14" t="s">
        <v>420</v>
      </c>
      <c r="O65" s="113"/>
      <c r="P65" s="241">
        <v>0.76</v>
      </c>
      <c r="Q65" s="240">
        <v>7.61</v>
      </c>
      <c r="R65" s="241">
        <f>P66</f>
        <v>0.24</v>
      </c>
      <c r="S65" s="14" t="s">
        <v>129</v>
      </c>
      <c r="T65" s="113"/>
      <c r="U65" s="260">
        <v>0.82</v>
      </c>
      <c r="V65" s="259">
        <v>7.31</v>
      </c>
      <c r="W65" s="241">
        <f>R65</f>
        <v>0.24</v>
      </c>
      <c r="X65" s="14" t="s">
        <v>129</v>
      </c>
      <c r="Y65" s="113"/>
      <c r="Z65" s="241">
        <v>0.43</v>
      </c>
      <c r="AA65" s="240">
        <v>7.56</v>
      </c>
      <c r="AB65" s="56"/>
      <c r="AC65" s="56"/>
      <c r="AD65" s="113"/>
      <c r="AE65" s="241">
        <v>0.16</v>
      </c>
      <c r="AF65" s="240">
        <v>7.48</v>
      </c>
      <c r="AG65" s="241"/>
      <c r="AH65" s="56"/>
      <c r="AI65" s="156"/>
      <c r="AJ65" s="111" t="s">
        <v>555</v>
      </c>
      <c r="AN65" s="19">
        <f>R32+R35+R36+R38+R45+R46+R51+R56+R61+R65+R69+R72+R79+R80+R82+R84+R102+R110+R124+R137+R197+R166</f>
        <v>15.743333333333331</v>
      </c>
    </row>
    <row r="66" spans="1:41" s="21" customFormat="1" x14ac:dyDescent="0.25">
      <c r="A66" s="261"/>
      <c r="B66" s="260"/>
      <c r="C66" s="259"/>
      <c r="D66" s="240">
        <f>B64-D64-D65</f>
        <v>0.25</v>
      </c>
      <c r="E66" s="249" t="s">
        <v>211</v>
      </c>
      <c r="F66" s="113"/>
      <c r="G66" s="260"/>
      <c r="H66" s="259"/>
      <c r="I66" s="240"/>
      <c r="J66" s="113"/>
      <c r="K66" s="260">
        <v>0.51</v>
      </c>
      <c r="L66" s="259">
        <v>7.28</v>
      </c>
      <c r="M66" s="241">
        <f>K64+K66-M64-M65</f>
        <v>0.39</v>
      </c>
      <c r="N66" s="249" t="s">
        <v>211</v>
      </c>
      <c r="O66" s="113"/>
      <c r="P66" s="260">
        <v>0.24</v>
      </c>
      <c r="Q66" s="259">
        <v>7.69</v>
      </c>
      <c r="R66" s="241">
        <f>P65</f>
        <v>0.76</v>
      </c>
      <c r="S66" s="249" t="s">
        <v>211</v>
      </c>
      <c r="T66" s="113"/>
      <c r="U66" s="260"/>
      <c r="V66" s="259"/>
      <c r="W66" s="241">
        <f>U65</f>
        <v>0.82</v>
      </c>
      <c r="X66" s="249" t="s">
        <v>211</v>
      </c>
      <c r="Y66" s="113"/>
      <c r="Z66" s="260">
        <v>0.44</v>
      </c>
      <c r="AA66" s="259">
        <v>7.63</v>
      </c>
      <c r="AB66" s="241">
        <f>Z65+Z64-AB64+Z66-AB88</f>
        <v>0.78</v>
      </c>
      <c r="AC66" s="249" t="s">
        <v>211</v>
      </c>
      <c r="AD66" s="113"/>
      <c r="AE66" s="260">
        <v>0.12</v>
      </c>
      <c r="AF66" s="259">
        <v>7.56</v>
      </c>
      <c r="AG66" s="241">
        <f>AE66</f>
        <v>0.12</v>
      </c>
      <c r="AH66" s="249" t="s">
        <v>211</v>
      </c>
      <c r="AI66" s="156"/>
      <c r="AJ66" s="111" t="s">
        <v>556</v>
      </c>
      <c r="AN66" s="19">
        <f>R77+R103+R144+R160+R159+R187</f>
        <v>2.56</v>
      </c>
    </row>
    <row r="67" spans="1:41" s="21" customFormat="1" x14ac:dyDescent="0.25">
      <c r="A67" s="261"/>
      <c r="B67" s="260"/>
      <c r="C67" s="259"/>
      <c r="D67" s="56"/>
      <c r="E67" s="56"/>
      <c r="F67" s="113"/>
      <c r="G67" s="260"/>
      <c r="H67" s="259"/>
      <c r="I67" s="240"/>
      <c r="J67" s="113"/>
      <c r="K67" s="260"/>
      <c r="L67" s="259"/>
      <c r="M67" s="56"/>
      <c r="N67" s="56"/>
      <c r="O67" s="113"/>
      <c r="P67" s="260"/>
      <c r="Q67" s="259"/>
      <c r="R67" s="56"/>
      <c r="S67" s="56"/>
      <c r="T67" s="113"/>
      <c r="U67" s="260"/>
      <c r="V67" s="259"/>
      <c r="W67" s="56"/>
      <c r="X67" s="56"/>
      <c r="Y67" s="113"/>
      <c r="Z67" s="260"/>
      <c r="AA67" s="259"/>
      <c r="AB67" s="241"/>
      <c r="AC67" s="8"/>
      <c r="AD67" s="113"/>
      <c r="AE67" s="260"/>
      <c r="AF67" s="259"/>
      <c r="AG67" s="241"/>
      <c r="AH67" s="8"/>
      <c r="AI67" s="156"/>
      <c r="AJ67" s="111" t="s">
        <v>286</v>
      </c>
      <c r="AN67" s="19">
        <f>R101</f>
        <v>0.2</v>
      </c>
    </row>
    <row r="68" spans="1:41" s="21" customFormat="1" x14ac:dyDescent="0.25">
      <c r="A68" s="261"/>
      <c r="B68" s="260"/>
      <c r="C68" s="259"/>
      <c r="D68" s="56"/>
      <c r="E68" s="56"/>
      <c r="F68" s="113"/>
      <c r="G68" s="260"/>
      <c r="H68" s="259"/>
      <c r="I68" s="240"/>
      <c r="J68" s="113"/>
      <c r="K68" s="260"/>
      <c r="L68" s="259"/>
      <c r="M68" s="56"/>
      <c r="N68" s="56"/>
      <c r="O68" s="113"/>
      <c r="P68" s="260"/>
      <c r="Q68" s="259"/>
      <c r="R68" s="56"/>
      <c r="S68" s="56"/>
      <c r="T68" s="113"/>
      <c r="U68" s="260">
        <v>2.4900000000000002</v>
      </c>
      <c r="V68" s="259">
        <v>7.51</v>
      </c>
      <c r="W68" s="56"/>
      <c r="X68" s="56"/>
      <c r="Y68" s="113"/>
      <c r="Z68" s="260"/>
      <c r="AA68" s="259"/>
      <c r="AB68" s="56"/>
      <c r="AC68" s="56"/>
      <c r="AD68" s="113"/>
      <c r="AE68" s="260"/>
      <c r="AF68" s="259"/>
      <c r="AG68" s="241"/>
      <c r="AH68" s="56"/>
      <c r="AI68" s="156"/>
      <c r="AJ68" s="111" t="s">
        <v>547</v>
      </c>
      <c r="AN68" s="19">
        <f>R32+R35+R36+R38+R45+R46+R51+R56+R61+R65+R69+R72+R79+R80+R82+R84+R102+R110+R124+R137+R197+R166+R77+R103+R144+R160+R159+R187+R101+R52+R53+R66+R76+R78+R81+R92+R93+R97+R104+R109+R113+R116+R118+R120+R127+R128+R131+R132+R134+R141+R147+R149+R150+R162+R167+R169+R175+R192+R196</f>
        <v>28.293333333333333</v>
      </c>
    </row>
    <row r="69" spans="1:41" s="21" customFormat="1" ht="15.75" thickBot="1" x14ac:dyDescent="0.3">
      <c r="A69" s="261">
        <v>19</v>
      </c>
      <c r="B69" s="260">
        <v>0.03</v>
      </c>
      <c r="C69" s="259">
        <v>7.46</v>
      </c>
      <c r="D69" s="240"/>
      <c r="E69" s="240"/>
      <c r="F69" s="113"/>
      <c r="G69" s="260">
        <v>0.34</v>
      </c>
      <c r="H69" s="259">
        <v>7.33</v>
      </c>
      <c r="I69" s="240"/>
      <c r="J69" s="113"/>
      <c r="K69" s="260">
        <v>0.14000000000000001</v>
      </c>
      <c r="L69" s="259">
        <v>7.36</v>
      </c>
      <c r="M69" s="241"/>
      <c r="N69" s="240"/>
      <c r="O69" s="113"/>
      <c r="P69" s="260">
        <v>0.08</v>
      </c>
      <c r="Q69" s="259">
        <v>7.76</v>
      </c>
      <c r="R69" s="241">
        <f>P69</f>
        <v>0.08</v>
      </c>
      <c r="S69" s="70" t="s">
        <v>52</v>
      </c>
      <c r="T69" s="113"/>
      <c r="U69" s="260"/>
      <c r="V69" s="259"/>
      <c r="W69" s="241">
        <f>R69</f>
        <v>0.08</v>
      </c>
      <c r="X69" s="70" t="s">
        <v>52</v>
      </c>
      <c r="Y69" s="113"/>
      <c r="Z69" s="260">
        <v>0.53</v>
      </c>
      <c r="AA69" s="259">
        <v>7.66</v>
      </c>
      <c r="AB69" s="241"/>
      <c r="AC69" s="240"/>
      <c r="AD69" s="113"/>
      <c r="AE69" s="241">
        <v>0.01</v>
      </c>
      <c r="AF69" s="240">
        <v>7.61</v>
      </c>
      <c r="AG69" s="241"/>
      <c r="AH69" s="240"/>
      <c r="AI69" s="156"/>
    </row>
    <row r="70" spans="1:41" s="21" customFormat="1" x14ac:dyDescent="0.25">
      <c r="A70" s="261"/>
      <c r="B70" s="260"/>
      <c r="C70" s="259"/>
      <c r="D70" s="240"/>
      <c r="E70" s="240"/>
      <c r="F70" s="113"/>
      <c r="G70" s="260"/>
      <c r="H70" s="259"/>
      <c r="I70" s="240"/>
      <c r="J70" s="113"/>
      <c r="K70" s="260"/>
      <c r="L70" s="259"/>
      <c r="M70" s="241"/>
      <c r="N70" s="240"/>
      <c r="O70" s="113"/>
      <c r="P70" s="260"/>
      <c r="Q70" s="259"/>
      <c r="R70" s="241"/>
      <c r="S70" s="56"/>
      <c r="T70" s="113"/>
      <c r="U70" s="260"/>
      <c r="V70" s="259"/>
      <c r="W70" s="241">
        <f>U71</f>
        <v>0.45</v>
      </c>
      <c r="X70" s="249" t="s">
        <v>65</v>
      </c>
      <c r="Y70" s="113"/>
      <c r="Z70" s="260"/>
      <c r="AA70" s="259"/>
      <c r="AB70" s="241">
        <f>Z69</f>
        <v>0.53</v>
      </c>
      <c r="AC70" s="249" t="s">
        <v>65</v>
      </c>
      <c r="AD70" s="113"/>
      <c r="AE70" s="241">
        <v>0.03</v>
      </c>
      <c r="AF70" s="240">
        <v>7.67</v>
      </c>
      <c r="AG70" s="241">
        <f>AE70</f>
        <v>0.03</v>
      </c>
      <c r="AH70" s="249" t="s">
        <v>65</v>
      </c>
      <c r="AI70" s="156"/>
      <c r="AJ70" s="153" t="s">
        <v>278</v>
      </c>
      <c r="AK70" s="184" t="s">
        <v>1</v>
      </c>
    </row>
    <row r="71" spans="1:41" s="21" customFormat="1" x14ac:dyDescent="0.25">
      <c r="A71" s="261"/>
      <c r="B71" s="260"/>
      <c r="C71" s="259"/>
      <c r="D71" s="240"/>
      <c r="E71" s="240"/>
      <c r="F71" s="113"/>
      <c r="G71" s="260"/>
      <c r="H71" s="259"/>
      <c r="I71" s="240"/>
      <c r="J71" s="113"/>
      <c r="K71" s="260"/>
      <c r="L71" s="259"/>
      <c r="M71" s="241"/>
      <c r="N71" s="240"/>
      <c r="O71" s="113"/>
      <c r="P71" s="260"/>
      <c r="Q71" s="259"/>
      <c r="R71" s="241"/>
      <c r="S71" s="56"/>
      <c r="T71" s="113"/>
      <c r="U71" s="260">
        <v>0.45</v>
      </c>
      <c r="V71" s="259">
        <v>7.56</v>
      </c>
      <c r="W71" s="56"/>
      <c r="X71" s="56"/>
      <c r="Y71" s="113"/>
      <c r="Z71" s="260">
        <v>0.22</v>
      </c>
      <c r="AA71" s="259">
        <v>7.77</v>
      </c>
      <c r="AB71" s="241"/>
      <c r="AC71" s="56"/>
      <c r="AD71" s="113"/>
      <c r="AE71" s="260">
        <v>0.06</v>
      </c>
      <c r="AF71" s="259">
        <v>7.72</v>
      </c>
      <c r="AG71" s="241"/>
      <c r="AH71" s="241"/>
      <c r="AI71" s="156"/>
      <c r="AJ71" s="111" t="s">
        <v>279</v>
      </c>
      <c r="AK71" s="19">
        <f>D4+D30+D58+D59+D73+D87+D91+D124+D125+D151+D9+D22+D25+D39+D40+D47+D54+D55+D64+D74+D61+D65+D66+D72+D76+D77+D78+D79+D80+D81+D82+D83+D84+D35+D36+D38+D45+D46+D51+D52+D53+D93+D95+D101+D102+D103+D104+D116+D110+D113+D109+D118+D120+D127+D131+D134+D137+D141+D144+D149+D150+D166+D187+D192+D196+D197</f>
        <v>31.846666666666678</v>
      </c>
      <c r="AO71" s="21" t="s">
        <v>302</v>
      </c>
    </row>
    <row r="72" spans="1:41" s="21" customFormat="1" x14ac:dyDescent="0.25">
      <c r="A72" s="261">
        <v>20</v>
      </c>
      <c r="B72" s="260">
        <v>0.46</v>
      </c>
      <c r="C72" s="259">
        <v>7.55</v>
      </c>
      <c r="D72" s="240">
        <f>B72+B75-D73-D74-D76-D77-D80-D82-D79-D75-D83-D78-D81</f>
        <v>1.4149999999999998</v>
      </c>
      <c r="E72" s="7" t="s">
        <v>422</v>
      </c>
      <c r="F72" s="113"/>
      <c r="G72" s="260">
        <v>0.73</v>
      </c>
      <c r="H72" s="259">
        <v>7.44</v>
      </c>
      <c r="I72" s="240"/>
      <c r="J72" s="113"/>
      <c r="K72" s="260">
        <v>1</v>
      </c>
      <c r="L72" s="259">
        <v>7.49</v>
      </c>
      <c r="M72" s="241">
        <f>K72-M73+K69</f>
        <v>0.92</v>
      </c>
      <c r="N72" s="7" t="s">
        <v>422</v>
      </c>
      <c r="O72" s="113"/>
      <c r="P72" s="260">
        <v>2.2599999999999998</v>
      </c>
      <c r="Q72" s="259">
        <v>7.82</v>
      </c>
      <c r="R72" s="241">
        <f>P72-R73</f>
        <v>2.0399999999999996</v>
      </c>
      <c r="S72" s="7" t="s">
        <v>509</v>
      </c>
      <c r="T72" s="113"/>
      <c r="U72" s="260"/>
      <c r="V72" s="259"/>
      <c r="W72" s="241">
        <f>U71+U68-W65-W69-W70</f>
        <v>2.17</v>
      </c>
      <c r="X72" s="7" t="s">
        <v>266</v>
      </c>
      <c r="Y72" s="113"/>
      <c r="Z72" s="260"/>
      <c r="AA72" s="259"/>
      <c r="AB72" s="241"/>
      <c r="AC72" s="56"/>
      <c r="AD72" s="113"/>
      <c r="AE72" s="260"/>
      <c r="AF72" s="259"/>
      <c r="AG72" s="241"/>
      <c r="AH72" s="241"/>
      <c r="AI72" s="156"/>
      <c r="AJ72" s="111" t="s">
        <v>280</v>
      </c>
      <c r="AK72" s="19">
        <f>D75+D89+D90+D92+D94+D96+D97+D99+D106+D107+D111+D112+D114+D115+D117+D119+D121+D123+D126+D129+D132+D135+D136+D140+D142+D143+D145+D146+D147+D153+D155+D165+D172+D179+D181+D183+D191+D202</f>
        <v>8.4291666666666654</v>
      </c>
      <c r="AO72" s="21" t="s">
        <v>303</v>
      </c>
    </row>
    <row r="73" spans="1:41" s="21" customFormat="1" x14ac:dyDescent="0.25">
      <c r="A73" s="261"/>
      <c r="B73" s="260"/>
      <c r="C73" s="259"/>
      <c r="D73" s="241">
        <f>R73</f>
        <v>0.22</v>
      </c>
      <c r="E73" s="6" t="s">
        <v>38</v>
      </c>
      <c r="F73" s="113"/>
      <c r="G73" s="260"/>
      <c r="H73" s="259"/>
      <c r="I73" s="80"/>
      <c r="J73" s="113"/>
      <c r="K73" s="260"/>
      <c r="L73" s="259"/>
      <c r="M73" s="241">
        <f>D73</f>
        <v>0.22</v>
      </c>
      <c r="N73" s="6" t="s">
        <v>38</v>
      </c>
      <c r="O73" s="113"/>
      <c r="P73" s="260"/>
      <c r="Q73" s="259"/>
      <c r="R73" s="241">
        <f>AB73</f>
        <v>0.22</v>
      </c>
      <c r="S73" s="6" t="s">
        <v>38</v>
      </c>
      <c r="T73" s="113"/>
      <c r="U73" s="260">
        <v>3.32</v>
      </c>
      <c r="V73" s="259">
        <v>7.67</v>
      </c>
      <c r="W73" s="241">
        <f>AB73</f>
        <v>0.22</v>
      </c>
      <c r="X73" s="6" t="s">
        <v>38</v>
      </c>
      <c r="Y73" s="113"/>
      <c r="Z73" s="260"/>
      <c r="AA73" s="259"/>
      <c r="AB73" s="241">
        <f>Z71</f>
        <v>0.22</v>
      </c>
      <c r="AC73" s="6" t="s">
        <v>38</v>
      </c>
      <c r="AD73" s="113"/>
      <c r="AE73" s="260"/>
      <c r="AF73" s="259"/>
      <c r="AG73" s="241"/>
      <c r="AH73" s="241"/>
      <c r="AI73" s="156"/>
      <c r="AJ73" s="111" t="s">
        <v>281</v>
      </c>
      <c r="AK73" s="19">
        <f>D195+D194+D190+D185+D184+D180+D178+D173+D171+D170+D164+D163+D161+D159+D154+D130</f>
        <v>7.559166666666667</v>
      </c>
      <c r="AO73" s="21" t="s">
        <v>304</v>
      </c>
    </row>
    <row r="74" spans="1:41" s="21" customFormat="1" x14ac:dyDescent="0.25">
      <c r="A74" s="261"/>
      <c r="B74" s="260"/>
      <c r="C74" s="259"/>
      <c r="D74" s="241">
        <f>R74</f>
        <v>0.08</v>
      </c>
      <c r="E74" s="15" t="s">
        <v>68</v>
      </c>
      <c r="F74" s="113"/>
      <c r="G74" s="260"/>
      <c r="H74" s="259"/>
      <c r="I74" s="240"/>
      <c r="J74" s="113"/>
      <c r="K74" s="241">
        <v>7.0000000000000007E-2</v>
      </c>
      <c r="L74" s="240">
        <v>7.58</v>
      </c>
      <c r="M74" s="241">
        <f>D74</f>
        <v>0.08</v>
      </c>
      <c r="N74" s="15" t="s">
        <v>68</v>
      </c>
      <c r="O74" s="113"/>
      <c r="P74" s="241">
        <v>0.08</v>
      </c>
      <c r="Q74" s="240">
        <v>7.89</v>
      </c>
      <c r="R74" s="241">
        <f>P74</f>
        <v>0.08</v>
      </c>
      <c r="S74" s="15" t="s">
        <v>68</v>
      </c>
      <c r="T74" s="113"/>
      <c r="U74" s="260"/>
      <c r="V74" s="259"/>
      <c r="W74" s="241">
        <f>AB74</f>
        <v>0.19</v>
      </c>
      <c r="X74" s="15" t="s">
        <v>68</v>
      </c>
      <c r="Y74" s="113"/>
      <c r="Z74" s="260">
        <v>0.56000000000000005</v>
      </c>
      <c r="AA74" s="259">
        <v>7.9</v>
      </c>
      <c r="AB74" s="241">
        <v>0.19</v>
      </c>
      <c r="AC74" s="15" t="s">
        <v>68</v>
      </c>
      <c r="AD74" s="113"/>
      <c r="AE74" s="260">
        <v>0.13</v>
      </c>
      <c r="AF74" s="259">
        <v>7.81</v>
      </c>
      <c r="AG74" s="56"/>
      <c r="AH74" s="56"/>
      <c r="AI74" s="156"/>
      <c r="AJ74" s="111" t="s">
        <v>282</v>
      </c>
      <c r="AK74" s="19">
        <f>D203+D201+D200+D193+D188+D182</f>
        <v>2.6258333333333335</v>
      </c>
      <c r="AO74" s="21" t="s">
        <v>305</v>
      </c>
    </row>
    <row r="75" spans="1:41" s="21" customFormat="1" x14ac:dyDescent="0.25">
      <c r="A75" s="261">
        <v>21</v>
      </c>
      <c r="B75" s="260">
        <v>2.52</v>
      </c>
      <c r="C75" s="259">
        <v>7.71</v>
      </c>
      <c r="D75" s="241">
        <v>0.18</v>
      </c>
      <c r="E75" s="61" t="s">
        <v>145</v>
      </c>
      <c r="F75" s="113"/>
      <c r="G75" s="260">
        <v>2.37</v>
      </c>
      <c r="H75" s="259">
        <v>7.59</v>
      </c>
      <c r="I75" s="240"/>
      <c r="J75" s="113"/>
      <c r="K75" s="260">
        <v>3.23</v>
      </c>
      <c r="L75" s="259">
        <v>7.65</v>
      </c>
      <c r="M75" s="241">
        <v>0.18</v>
      </c>
      <c r="N75" s="61" t="s">
        <v>145</v>
      </c>
      <c r="O75" s="113"/>
      <c r="P75" s="260">
        <v>4.45</v>
      </c>
      <c r="Q75" s="259">
        <v>7.98</v>
      </c>
      <c r="R75" s="56"/>
      <c r="S75" s="56"/>
      <c r="T75" s="113"/>
      <c r="U75" s="260"/>
      <c r="V75" s="259"/>
      <c r="W75" s="56"/>
      <c r="X75" s="56"/>
      <c r="Y75" s="113"/>
      <c r="Z75" s="260"/>
      <c r="AA75" s="259"/>
      <c r="AB75" s="241"/>
      <c r="AC75" s="240"/>
      <c r="AD75" s="113"/>
      <c r="AE75" s="260"/>
      <c r="AF75" s="259"/>
      <c r="AG75" s="241"/>
      <c r="AH75" s="241"/>
      <c r="AI75" s="156"/>
      <c r="AJ75" s="111" t="s">
        <v>283</v>
      </c>
      <c r="AK75" s="19">
        <f>D198+D189</f>
        <v>1.24</v>
      </c>
      <c r="AO75" s="21" t="s">
        <v>306</v>
      </c>
    </row>
    <row r="76" spans="1:41" s="21" customFormat="1" x14ac:dyDescent="0.25">
      <c r="A76" s="261"/>
      <c r="B76" s="260"/>
      <c r="C76" s="259"/>
      <c r="D76" s="241">
        <v>0.12</v>
      </c>
      <c r="E76" s="7" t="s">
        <v>354</v>
      </c>
      <c r="F76" s="113"/>
      <c r="G76" s="260"/>
      <c r="H76" s="259"/>
      <c r="I76" s="240"/>
      <c r="J76" s="113"/>
      <c r="K76" s="260"/>
      <c r="L76" s="259"/>
      <c r="M76" s="241">
        <f>(K75-M80-M82-M81-M78-M75-M83-M79)/2</f>
        <v>1.2375</v>
      </c>
      <c r="N76" s="7" t="s">
        <v>354</v>
      </c>
      <c r="O76" s="113"/>
      <c r="P76" s="260"/>
      <c r="Q76" s="259"/>
      <c r="R76" s="241">
        <v>1.1000000000000001</v>
      </c>
      <c r="S76" s="7" t="s">
        <v>354</v>
      </c>
      <c r="T76" s="113"/>
      <c r="U76" s="260"/>
      <c r="V76" s="259"/>
      <c r="W76" s="241">
        <f>(U73-W73-W74-W80-W82-W81-W78-W83-W79)/2</f>
        <v>0.42999999999999983</v>
      </c>
      <c r="X76" s="7" t="s">
        <v>354</v>
      </c>
      <c r="Y76" s="113"/>
      <c r="Z76" s="260"/>
      <c r="AA76" s="259"/>
      <c r="AB76" s="241"/>
      <c r="AC76" s="240"/>
      <c r="AD76" s="113"/>
      <c r="AE76" s="260">
        <v>0.03</v>
      </c>
      <c r="AF76" s="259">
        <v>7.86</v>
      </c>
      <c r="AG76" s="241"/>
      <c r="AH76" s="241"/>
      <c r="AI76" s="156"/>
      <c r="AJ76" s="111" t="s">
        <v>285</v>
      </c>
      <c r="AK76" s="19">
        <f>D203+D201+D199+D198+D191+D188+D180+D179+D178+D143+D142+D140+D139+D138+D170+D182+D183+D185+D193+D195+D130+D106+D159</f>
        <v>8.9538888888888888</v>
      </c>
      <c r="AO76" s="21" t="s">
        <v>307</v>
      </c>
    </row>
    <row r="77" spans="1:41" s="21" customFormat="1" x14ac:dyDescent="0.25">
      <c r="A77" s="261"/>
      <c r="B77" s="260"/>
      <c r="C77" s="259"/>
      <c r="D77" s="240">
        <v>0.5</v>
      </c>
      <c r="E77" s="58" t="s">
        <v>417</v>
      </c>
      <c r="F77" s="113"/>
      <c r="G77" s="260"/>
      <c r="H77" s="259"/>
      <c r="I77" s="240"/>
      <c r="J77" s="113"/>
      <c r="K77" s="260"/>
      <c r="L77" s="259"/>
      <c r="M77" s="241">
        <f>M76</f>
        <v>1.2375</v>
      </c>
      <c r="N77" s="58" t="s">
        <v>417</v>
      </c>
      <c r="O77" s="113"/>
      <c r="P77" s="260"/>
      <c r="Q77" s="259"/>
      <c r="R77" s="241">
        <v>1.1000000000000001</v>
      </c>
      <c r="S77" s="58" t="s">
        <v>510</v>
      </c>
      <c r="T77" s="113"/>
      <c r="U77" s="260"/>
      <c r="V77" s="259"/>
      <c r="W77" s="241">
        <f>W76</f>
        <v>0.42999999999999983</v>
      </c>
      <c r="X77" s="58" t="s">
        <v>130</v>
      </c>
      <c r="Y77" s="113"/>
      <c r="Z77" s="260"/>
      <c r="AA77" s="259"/>
      <c r="AB77" s="241"/>
      <c r="AC77" s="240"/>
      <c r="AD77" s="113"/>
      <c r="AE77" s="260"/>
      <c r="AF77" s="259"/>
      <c r="AG77" s="241"/>
      <c r="AH77" s="241"/>
      <c r="AI77" s="156"/>
      <c r="AJ77" s="111" t="s">
        <v>284</v>
      </c>
      <c r="AK77" s="19">
        <f>D75+D89+D90+D92+D96+D97+D99+D107+D111+D112+D114+D115+D117+D119+D121+D123+D126+D129+D132+D135+D136+D145+D146+D147+D153+D155+D165+D172+D181+D202+D190+D173+D171+D164+D163+D154+D189+D94+D161+D194</f>
        <v>10.212499999999999</v>
      </c>
      <c r="AO77" s="21" t="s">
        <v>308</v>
      </c>
    </row>
    <row r="78" spans="1:41" s="21" customFormat="1" x14ac:dyDescent="0.25">
      <c r="A78" s="261"/>
      <c r="B78" s="260"/>
      <c r="C78" s="259"/>
      <c r="D78" s="241">
        <f>R78</f>
        <v>0.19</v>
      </c>
      <c r="E78" s="59" t="s">
        <v>74</v>
      </c>
      <c r="F78" s="113"/>
      <c r="G78" s="260"/>
      <c r="H78" s="259"/>
      <c r="I78" s="240"/>
      <c r="J78" s="113"/>
      <c r="K78" s="260"/>
      <c r="L78" s="259"/>
      <c r="M78" s="241">
        <f>D78</f>
        <v>0.19</v>
      </c>
      <c r="N78" s="59" t="s">
        <v>74</v>
      </c>
      <c r="O78" s="113"/>
      <c r="P78" s="260"/>
      <c r="Q78" s="259"/>
      <c r="R78" s="241">
        <f>AB78</f>
        <v>0.19</v>
      </c>
      <c r="S78" s="59" t="s">
        <v>74</v>
      </c>
      <c r="T78" s="113"/>
      <c r="U78" s="260"/>
      <c r="V78" s="259"/>
      <c r="W78" s="241">
        <f>AB78</f>
        <v>0.19</v>
      </c>
      <c r="X78" s="59" t="s">
        <v>74</v>
      </c>
      <c r="Y78" s="113"/>
      <c r="Z78" s="260"/>
      <c r="AA78" s="259"/>
      <c r="AB78" s="241">
        <v>0.19</v>
      </c>
      <c r="AC78" s="59" t="s">
        <v>74</v>
      </c>
      <c r="AD78" s="113"/>
      <c r="AE78" s="260"/>
      <c r="AF78" s="259"/>
      <c r="AG78" s="241">
        <f>AG81</f>
        <v>1.4999999999999999E-2</v>
      </c>
      <c r="AH78" s="59" t="s">
        <v>74</v>
      </c>
      <c r="AI78" s="156"/>
      <c r="AJ78" s="111" t="s">
        <v>286</v>
      </c>
      <c r="AK78" s="19">
        <f>D200+D199+D199+D186+D184+D186+D186+D169+D160+D158+D128+D105+D98</f>
        <v>0.82</v>
      </c>
    </row>
    <row r="79" spans="1:41" s="21" customFormat="1" x14ac:dyDescent="0.25">
      <c r="A79" s="261"/>
      <c r="B79" s="260"/>
      <c r="C79" s="259"/>
      <c r="D79" s="241">
        <v>0.01</v>
      </c>
      <c r="E79" s="22" t="s">
        <v>406</v>
      </c>
      <c r="F79" s="113"/>
      <c r="G79" s="260"/>
      <c r="H79" s="259"/>
      <c r="I79" s="240"/>
      <c r="J79" s="113"/>
      <c r="K79" s="260"/>
      <c r="L79" s="259"/>
      <c r="M79" s="241">
        <v>0.12</v>
      </c>
      <c r="N79" s="22" t="s">
        <v>406</v>
      </c>
      <c r="O79" s="113"/>
      <c r="P79" s="260"/>
      <c r="Q79" s="259"/>
      <c r="R79" s="241">
        <f>(P75-R80-R82-R81-R78+P74-R74-R83)/3</f>
        <v>1.2</v>
      </c>
      <c r="S79" s="22" t="s">
        <v>209</v>
      </c>
      <c r="T79" s="113"/>
      <c r="U79" s="260"/>
      <c r="V79" s="259"/>
      <c r="W79" s="241">
        <f>R79</f>
        <v>1.2</v>
      </c>
      <c r="X79" s="22" t="s">
        <v>209</v>
      </c>
      <c r="Y79" s="113"/>
      <c r="Z79" s="260"/>
      <c r="AA79" s="259"/>
      <c r="AB79" s="56"/>
      <c r="AC79" s="56"/>
      <c r="AD79" s="113"/>
      <c r="AE79" s="260"/>
      <c r="AF79" s="259"/>
      <c r="AG79" s="241"/>
      <c r="AH79" s="56"/>
      <c r="AI79" s="156"/>
      <c r="AJ79" s="111" t="s">
        <v>309</v>
      </c>
      <c r="AK79" s="19">
        <f>D75+D89+D90+D92+D94+D96+D97+D99+D106+D107+D111+D112+D114+D115+D117+D119+D121+D123+D126+D129+D132+D135+D136+D140+D142+D143+D145+D146+D147+D153+D155+D165+D172+D179+D181+D183+D191+D202+D195+D194+D190+D185+D184+D180+D178+D173+D171+D170+D164+D163+D161+D159+D154+D130+D203+D201+D200+D193+D188+D182+D198+D189+D139+D138</f>
        <v>19.986388888888893</v>
      </c>
      <c r="AO79" s="21" t="s">
        <v>310</v>
      </c>
    </row>
    <row r="80" spans="1:41" s="21" customFormat="1" x14ac:dyDescent="0.25">
      <c r="A80" s="261"/>
      <c r="B80" s="260"/>
      <c r="C80" s="259"/>
      <c r="D80" s="241">
        <v>0.01</v>
      </c>
      <c r="E80" s="249" t="s">
        <v>403</v>
      </c>
      <c r="F80" s="113"/>
      <c r="G80" s="260"/>
      <c r="H80" s="259"/>
      <c r="I80" s="240"/>
      <c r="J80" s="113"/>
      <c r="K80" s="260"/>
      <c r="L80" s="259"/>
      <c r="M80" s="241">
        <v>0.01</v>
      </c>
      <c r="N80" s="249" t="s">
        <v>403</v>
      </c>
      <c r="O80" s="113"/>
      <c r="P80" s="260"/>
      <c r="Q80" s="259"/>
      <c r="R80" s="241">
        <f>0.38+0.16</f>
        <v>0.54</v>
      </c>
      <c r="S80" s="249" t="s">
        <v>131</v>
      </c>
      <c r="T80" s="113"/>
      <c r="U80" s="260"/>
      <c r="V80" s="259"/>
      <c r="W80" s="241">
        <f>R80</f>
        <v>0.54</v>
      </c>
      <c r="X80" s="249" t="s">
        <v>131</v>
      </c>
      <c r="Y80" s="113"/>
      <c r="Z80" s="260"/>
      <c r="AA80" s="259"/>
      <c r="AB80" s="56"/>
      <c r="AC80" s="56"/>
      <c r="AD80" s="113"/>
      <c r="AE80" s="260"/>
      <c r="AF80" s="259"/>
      <c r="AG80" s="241"/>
      <c r="AH80" s="56"/>
      <c r="AI80" s="156"/>
    </row>
    <row r="81" spans="1:36" s="21" customFormat="1" x14ac:dyDescent="0.25">
      <c r="A81" s="261"/>
      <c r="B81" s="260"/>
      <c r="C81" s="259"/>
      <c r="D81" s="241">
        <v>0.01</v>
      </c>
      <c r="E81" s="249" t="s">
        <v>73</v>
      </c>
      <c r="F81" s="113"/>
      <c r="G81" s="260"/>
      <c r="H81" s="259"/>
      <c r="I81" s="240"/>
      <c r="J81" s="113"/>
      <c r="K81" s="260"/>
      <c r="L81" s="259"/>
      <c r="M81" s="241">
        <f>D81</f>
        <v>0.01</v>
      </c>
      <c r="N81" s="249" t="s">
        <v>73</v>
      </c>
      <c r="O81" s="113"/>
      <c r="P81" s="260"/>
      <c r="Q81" s="259"/>
      <c r="R81" s="241">
        <v>0.02</v>
      </c>
      <c r="S81" s="249" t="s">
        <v>73</v>
      </c>
      <c r="T81" s="113"/>
      <c r="U81" s="260"/>
      <c r="V81" s="259"/>
      <c r="W81" s="241">
        <f>R81</f>
        <v>0.02</v>
      </c>
      <c r="X81" s="249" t="s">
        <v>73</v>
      </c>
      <c r="Y81" s="113"/>
      <c r="Z81" s="260"/>
      <c r="AA81" s="259"/>
      <c r="AB81" s="241">
        <v>0.2</v>
      </c>
      <c r="AC81" s="249" t="s">
        <v>73</v>
      </c>
      <c r="AD81" s="113"/>
      <c r="AE81" s="260"/>
      <c r="AF81" s="259"/>
      <c r="AG81" s="241">
        <f>AE76/2</f>
        <v>1.4999999999999999E-2</v>
      </c>
      <c r="AH81" s="249" t="s">
        <v>73</v>
      </c>
      <c r="AI81" s="156"/>
      <c r="AJ81" s="1"/>
    </row>
    <row r="82" spans="1:36" s="21" customFormat="1" x14ac:dyDescent="0.25">
      <c r="A82" s="261"/>
      <c r="B82" s="260"/>
      <c r="C82" s="259"/>
      <c r="D82" s="241">
        <v>0.1</v>
      </c>
      <c r="E82" s="68" t="s">
        <v>440</v>
      </c>
      <c r="F82" s="113"/>
      <c r="G82" s="260"/>
      <c r="H82" s="259"/>
      <c r="I82" s="240"/>
      <c r="J82" s="113"/>
      <c r="K82" s="260"/>
      <c r="L82" s="259"/>
      <c r="M82" s="241">
        <f>D82</f>
        <v>0.1</v>
      </c>
      <c r="N82" s="68" t="s">
        <v>440</v>
      </c>
      <c r="O82" s="113"/>
      <c r="P82" s="260"/>
      <c r="Q82" s="259"/>
      <c r="R82" s="241">
        <v>0.1</v>
      </c>
      <c r="S82" s="68" t="s">
        <v>132</v>
      </c>
      <c r="T82" s="113"/>
      <c r="U82" s="260"/>
      <c r="V82" s="259"/>
      <c r="W82" s="241">
        <f>R82</f>
        <v>0.1</v>
      </c>
      <c r="X82" s="68" t="s">
        <v>132</v>
      </c>
      <c r="Y82" s="113"/>
      <c r="Z82" s="260"/>
      <c r="AA82" s="259"/>
      <c r="AB82" s="241"/>
      <c r="AC82" s="240"/>
      <c r="AD82" s="113"/>
      <c r="AE82" s="260"/>
      <c r="AF82" s="259"/>
      <c r="AG82" s="241"/>
      <c r="AH82" s="241"/>
      <c r="AI82" s="156"/>
      <c r="AJ82" s="2"/>
    </row>
    <row r="83" spans="1:36" s="21" customFormat="1" x14ac:dyDescent="0.25">
      <c r="A83" s="261"/>
      <c r="B83" s="260"/>
      <c r="C83" s="259"/>
      <c r="D83" s="241">
        <v>0.14499999999999999</v>
      </c>
      <c r="E83" s="6" t="s">
        <v>343</v>
      </c>
      <c r="F83" s="113"/>
      <c r="G83" s="260"/>
      <c r="H83" s="259"/>
      <c r="I83" s="80"/>
      <c r="J83" s="113"/>
      <c r="K83" s="260"/>
      <c r="L83" s="259"/>
      <c r="M83" s="241">
        <f>D83</f>
        <v>0.14499999999999999</v>
      </c>
      <c r="N83" s="6" t="s">
        <v>343</v>
      </c>
      <c r="O83" s="113"/>
      <c r="P83" s="260"/>
      <c r="Q83" s="259"/>
      <c r="R83" s="241"/>
      <c r="S83" s="240"/>
      <c r="T83" s="113"/>
      <c r="U83" s="260"/>
      <c r="V83" s="259"/>
      <c r="W83" s="241">
        <f>R83</f>
        <v>0</v>
      </c>
      <c r="X83" s="6" t="s">
        <v>313</v>
      </c>
      <c r="Y83" s="113"/>
      <c r="Z83" s="260"/>
      <c r="AA83" s="259"/>
      <c r="AB83" s="241"/>
      <c r="AC83" s="240"/>
      <c r="AD83" s="113"/>
      <c r="AE83" s="260"/>
      <c r="AF83" s="259"/>
      <c r="AG83" s="241"/>
      <c r="AH83" s="241"/>
      <c r="AI83" s="156"/>
      <c r="AJ83" s="2"/>
    </row>
    <row r="84" spans="1:36" s="21" customFormat="1" x14ac:dyDescent="0.25">
      <c r="A84" s="261">
        <v>22</v>
      </c>
      <c r="B84" s="260">
        <v>1.59</v>
      </c>
      <c r="C84" s="259">
        <v>7.83</v>
      </c>
      <c r="D84" s="241">
        <f>B84-D86</f>
        <v>0.20999999999999996</v>
      </c>
      <c r="E84" s="22" t="s">
        <v>417</v>
      </c>
      <c r="F84" s="113"/>
      <c r="G84" s="260">
        <v>1.87</v>
      </c>
      <c r="H84" s="259">
        <v>7.72</v>
      </c>
      <c r="I84" s="240"/>
      <c r="J84" s="113"/>
      <c r="K84" s="260">
        <v>1.59</v>
      </c>
      <c r="L84" s="259">
        <v>7.78</v>
      </c>
      <c r="M84" s="241">
        <f>D84+D106</f>
        <v>0.38999999999999996</v>
      </c>
      <c r="N84" s="22" t="s">
        <v>417</v>
      </c>
      <c r="O84" s="113"/>
      <c r="P84" s="260">
        <v>1.54</v>
      </c>
      <c r="Q84" s="259">
        <v>8.11</v>
      </c>
      <c r="R84" s="241">
        <v>0.16</v>
      </c>
      <c r="S84" s="22" t="s">
        <v>519</v>
      </c>
      <c r="T84" s="113"/>
      <c r="U84" s="260">
        <v>1.62</v>
      </c>
      <c r="V84" s="259">
        <v>7.8</v>
      </c>
      <c r="W84" s="241">
        <f>U84-W85-W86</f>
        <v>9.000000000000008E-2</v>
      </c>
      <c r="X84" s="22" t="s">
        <v>130</v>
      </c>
      <c r="Y84" s="113"/>
      <c r="Z84" s="260">
        <v>1.53</v>
      </c>
      <c r="AA84" s="259">
        <v>8.0299999999999994</v>
      </c>
      <c r="AB84" s="56"/>
      <c r="AC84" s="56"/>
      <c r="AD84" s="113"/>
      <c r="AE84" s="260">
        <v>1.45</v>
      </c>
      <c r="AF84" s="259">
        <v>7.96</v>
      </c>
      <c r="AG84" s="241"/>
      <c r="AH84" s="241"/>
      <c r="AI84" s="156"/>
      <c r="AJ84" s="2"/>
    </row>
    <row r="85" spans="1:36" s="21" customFormat="1" x14ac:dyDescent="0.25">
      <c r="A85" s="261"/>
      <c r="B85" s="260"/>
      <c r="C85" s="259"/>
      <c r="D85" s="56"/>
      <c r="E85" s="56"/>
      <c r="F85" s="113"/>
      <c r="G85" s="260"/>
      <c r="H85" s="259"/>
      <c r="I85" s="240"/>
      <c r="J85" s="113"/>
      <c r="K85" s="260"/>
      <c r="L85" s="259"/>
      <c r="M85" s="56"/>
      <c r="N85" s="56"/>
      <c r="O85" s="113"/>
      <c r="P85" s="260"/>
      <c r="Q85" s="259"/>
      <c r="R85" s="241"/>
      <c r="S85" s="73"/>
      <c r="T85" s="113"/>
      <c r="U85" s="260"/>
      <c r="V85" s="259"/>
      <c r="W85" s="241">
        <f>AB85</f>
        <v>0.03</v>
      </c>
      <c r="X85" s="75" t="s">
        <v>44</v>
      </c>
      <c r="Y85" s="113"/>
      <c r="Z85" s="260"/>
      <c r="AA85" s="259"/>
      <c r="AB85" s="241">
        <v>0.03</v>
      </c>
      <c r="AC85" s="75" t="s">
        <v>44</v>
      </c>
      <c r="AD85" s="113"/>
      <c r="AE85" s="260"/>
      <c r="AF85" s="259"/>
      <c r="AG85" s="241">
        <f>AB97-AG97</f>
        <v>0.4</v>
      </c>
      <c r="AH85" s="220" t="s">
        <v>72</v>
      </c>
      <c r="AI85" s="156"/>
      <c r="AJ85" s="2"/>
    </row>
    <row r="86" spans="1:36" s="21" customFormat="1" x14ac:dyDescent="0.25">
      <c r="A86" s="261"/>
      <c r="B86" s="260"/>
      <c r="C86" s="259"/>
      <c r="D86" s="240">
        <f>R86</f>
        <v>1.3800000000000001</v>
      </c>
      <c r="E86" s="54" t="s">
        <v>34</v>
      </c>
      <c r="F86" s="113"/>
      <c r="G86" s="260"/>
      <c r="H86" s="259"/>
      <c r="I86" s="240"/>
      <c r="J86" s="113"/>
      <c r="K86" s="260"/>
      <c r="L86" s="259"/>
      <c r="M86" s="241">
        <f>K84-M84</f>
        <v>1.2000000000000002</v>
      </c>
      <c r="N86" s="54" t="s">
        <v>34</v>
      </c>
      <c r="O86" s="113"/>
      <c r="P86" s="260"/>
      <c r="Q86" s="259"/>
      <c r="R86" s="241">
        <f>P84-R84</f>
        <v>1.3800000000000001</v>
      </c>
      <c r="S86" s="54" t="s">
        <v>34</v>
      </c>
      <c r="T86" s="113"/>
      <c r="U86" s="260"/>
      <c r="V86" s="259"/>
      <c r="W86" s="241">
        <f>AB86</f>
        <v>1.5</v>
      </c>
      <c r="X86" s="54" t="s">
        <v>34</v>
      </c>
      <c r="Y86" s="113"/>
      <c r="Z86" s="260"/>
      <c r="AA86" s="259"/>
      <c r="AB86" s="241">
        <f>Z84-AB85</f>
        <v>1.5</v>
      </c>
      <c r="AC86" s="54" t="s">
        <v>34</v>
      </c>
      <c r="AD86" s="113"/>
      <c r="AE86" s="260"/>
      <c r="AF86" s="259"/>
      <c r="AG86" s="241">
        <f>AE84-AG85</f>
        <v>1.0499999999999998</v>
      </c>
      <c r="AH86" s="54" t="s">
        <v>34</v>
      </c>
      <c r="AI86" s="156"/>
      <c r="AJ86" s="2"/>
    </row>
    <row r="87" spans="1:36" s="21" customFormat="1" x14ac:dyDescent="0.25">
      <c r="A87" s="261">
        <v>23</v>
      </c>
      <c r="B87" s="260">
        <v>4.2</v>
      </c>
      <c r="C87" s="259">
        <v>7.94</v>
      </c>
      <c r="D87" s="240">
        <f>(B87-D89-D90)/2</f>
        <v>1.9449999999999998</v>
      </c>
      <c r="E87" s="6" t="s">
        <v>23</v>
      </c>
      <c r="F87" s="113"/>
      <c r="G87" s="260">
        <v>0.73</v>
      </c>
      <c r="H87" s="259">
        <v>7.77</v>
      </c>
      <c r="I87" s="80"/>
      <c r="J87" s="113"/>
      <c r="K87" s="260">
        <v>3.62</v>
      </c>
      <c r="L87" s="259">
        <v>7.89</v>
      </c>
      <c r="M87" s="241">
        <f>(K87-M88-M89-M90)/2</f>
        <v>1.655</v>
      </c>
      <c r="N87" s="6" t="s">
        <v>23</v>
      </c>
      <c r="O87" s="113"/>
      <c r="P87" s="260">
        <v>3.71</v>
      </c>
      <c r="Q87" s="259">
        <v>8.2200000000000006</v>
      </c>
      <c r="R87" s="241">
        <f>P87/2</f>
        <v>1.855</v>
      </c>
      <c r="S87" s="6" t="s">
        <v>23</v>
      </c>
      <c r="T87" s="113"/>
      <c r="U87" s="260">
        <v>3.85</v>
      </c>
      <c r="V87" s="259">
        <v>7.91</v>
      </c>
      <c r="W87" s="241">
        <f>U87/2</f>
        <v>1.925</v>
      </c>
      <c r="X87" s="6" t="s">
        <v>23</v>
      </c>
      <c r="Y87" s="113"/>
      <c r="Z87" s="260">
        <v>2.97</v>
      </c>
      <c r="AA87" s="259">
        <v>8.14</v>
      </c>
      <c r="AB87" s="241">
        <f>Z87/2</f>
        <v>1.4850000000000001</v>
      </c>
      <c r="AC87" s="6" t="s">
        <v>23</v>
      </c>
      <c r="AD87" s="113"/>
      <c r="AE87" s="260">
        <v>3.05</v>
      </c>
      <c r="AF87" s="259">
        <v>8.08</v>
      </c>
      <c r="AG87" s="241">
        <f>AE87/2</f>
        <v>1.5249999999999999</v>
      </c>
      <c r="AH87" s="6" t="s">
        <v>23</v>
      </c>
      <c r="AI87" s="156"/>
      <c r="AJ87" s="2"/>
    </row>
    <row r="88" spans="1:36" s="21" customFormat="1" x14ac:dyDescent="0.25">
      <c r="A88" s="261"/>
      <c r="B88" s="260"/>
      <c r="C88" s="259"/>
      <c r="D88" s="240"/>
      <c r="E88" s="240"/>
      <c r="F88" s="113"/>
      <c r="G88" s="260"/>
      <c r="H88" s="259"/>
      <c r="I88" s="240"/>
      <c r="J88" s="113"/>
      <c r="K88" s="260"/>
      <c r="L88" s="259"/>
      <c r="M88" s="241"/>
      <c r="N88" s="240"/>
      <c r="O88" s="113"/>
      <c r="P88" s="260"/>
      <c r="Q88" s="259"/>
      <c r="R88" s="245"/>
      <c r="S88" s="246"/>
      <c r="T88" s="113"/>
      <c r="U88" s="260"/>
      <c r="V88" s="259"/>
      <c r="W88" s="241"/>
      <c r="X88" s="246"/>
      <c r="Y88" s="113"/>
      <c r="Z88" s="260"/>
      <c r="AA88" s="259"/>
      <c r="AB88" s="241">
        <v>0.24</v>
      </c>
      <c r="AC88" s="75" t="s">
        <v>196</v>
      </c>
      <c r="AD88" s="113"/>
      <c r="AE88" s="260"/>
      <c r="AF88" s="259"/>
      <c r="AG88" s="241"/>
      <c r="AH88" s="241"/>
      <c r="AI88" s="156"/>
      <c r="AJ88" s="2"/>
    </row>
    <row r="89" spans="1:36" s="21" customFormat="1" x14ac:dyDescent="0.25">
      <c r="A89" s="261"/>
      <c r="B89" s="260"/>
      <c r="C89" s="259"/>
      <c r="D89" s="241">
        <v>0.19</v>
      </c>
      <c r="E89" s="249" t="s">
        <v>146</v>
      </c>
      <c r="F89" s="113"/>
      <c r="G89" s="260"/>
      <c r="H89" s="259"/>
      <c r="I89" s="240"/>
      <c r="J89" s="113"/>
      <c r="K89" s="260"/>
      <c r="L89" s="259"/>
      <c r="M89" s="241">
        <f>D89</f>
        <v>0.19</v>
      </c>
      <c r="N89" s="249" t="s">
        <v>146</v>
      </c>
      <c r="O89" s="113"/>
      <c r="P89" s="260"/>
      <c r="Q89" s="259"/>
      <c r="R89" s="241"/>
      <c r="S89" s="18"/>
      <c r="T89" s="113"/>
      <c r="U89" s="260"/>
      <c r="V89" s="259"/>
      <c r="W89" s="241"/>
      <c r="X89" s="18"/>
      <c r="Y89" s="113"/>
      <c r="Z89" s="260"/>
      <c r="AA89" s="259"/>
      <c r="AB89" s="241"/>
      <c r="AC89" s="240"/>
      <c r="AD89" s="113"/>
      <c r="AE89" s="260"/>
      <c r="AF89" s="259"/>
      <c r="AG89" s="241"/>
      <c r="AH89" s="241"/>
      <c r="AI89" s="156"/>
      <c r="AJ89" s="2"/>
    </row>
    <row r="90" spans="1:36" s="21" customFormat="1" x14ac:dyDescent="0.25">
      <c r="A90" s="261"/>
      <c r="B90" s="260"/>
      <c r="C90" s="259"/>
      <c r="D90" s="241">
        <f>R56</f>
        <v>0.12</v>
      </c>
      <c r="E90" s="6" t="s">
        <v>147</v>
      </c>
      <c r="F90" s="113"/>
      <c r="G90" s="260"/>
      <c r="H90" s="259"/>
      <c r="I90" s="80"/>
      <c r="J90" s="113"/>
      <c r="K90" s="260"/>
      <c r="L90" s="259"/>
      <c r="M90" s="241">
        <f>D90</f>
        <v>0.12</v>
      </c>
      <c r="N90" s="6" t="s">
        <v>147</v>
      </c>
      <c r="O90" s="113"/>
      <c r="P90" s="260"/>
      <c r="Q90" s="259"/>
      <c r="R90" s="241"/>
      <c r="S90" s="246"/>
      <c r="T90" s="113"/>
      <c r="U90" s="260"/>
      <c r="V90" s="259"/>
      <c r="W90" s="241"/>
      <c r="X90" s="246"/>
      <c r="Y90" s="113"/>
      <c r="Z90" s="260"/>
      <c r="AA90" s="259"/>
      <c r="AB90" s="241"/>
      <c r="AC90" s="240"/>
      <c r="AD90" s="113"/>
      <c r="AE90" s="260"/>
      <c r="AF90" s="259"/>
      <c r="AG90" s="241"/>
      <c r="AH90" s="241"/>
      <c r="AI90" s="156"/>
      <c r="AJ90" s="2"/>
    </row>
    <row r="91" spans="1:36" s="21" customFormat="1" x14ac:dyDescent="0.25">
      <c r="A91" s="261"/>
      <c r="B91" s="260"/>
      <c r="C91" s="259"/>
      <c r="D91" s="240">
        <f>D87</f>
        <v>1.9449999999999998</v>
      </c>
      <c r="E91" s="6" t="s">
        <v>24</v>
      </c>
      <c r="F91" s="113"/>
      <c r="G91" s="260"/>
      <c r="H91" s="259"/>
      <c r="I91" s="80"/>
      <c r="J91" s="113"/>
      <c r="K91" s="260"/>
      <c r="L91" s="259"/>
      <c r="M91" s="241">
        <f>M87</f>
        <v>1.655</v>
      </c>
      <c r="N91" s="6" t="s">
        <v>24</v>
      </c>
      <c r="O91" s="113"/>
      <c r="P91" s="260"/>
      <c r="Q91" s="259"/>
      <c r="R91" s="241">
        <f>R87</f>
        <v>1.855</v>
      </c>
      <c r="S91" s="6" t="s">
        <v>24</v>
      </c>
      <c r="T91" s="113"/>
      <c r="U91" s="260"/>
      <c r="V91" s="259"/>
      <c r="W91" s="241">
        <f>W87</f>
        <v>1.925</v>
      </c>
      <c r="X91" s="6" t="s">
        <v>24</v>
      </c>
      <c r="Y91" s="113"/>
      <c r="Z91" s="260"/>
      <c r="AA91" s="259"/>
      <c r="AB91" s="241">
        <f>AB87</f>
        <v>1.4850000000000001</v>
      </c>
      <c r="AC91" s="6" t="s">
        <v>24</v>
      </c>
      <c r="AD91" s="113"/>
      <c r="AE91" s="260"/>
      <c r="AF91" s="259"/>
      <c r="AG91" s="241">
        <f>AG87</f>
        <v>1.5249999999999999</v>
      </c>
      <c r="AH91" s="6" t="s">
        <v>24</v>
      </c>
      <c r="AI91" s="156"/>
      <c r="AJ91" s="2"/>
    </row>
    <row r="92" spans="1:36" s="21" customFormat="1" x14ac:dyDescent="0.25">
      <c r="A92" s="261">
        <v>24</v>
      </c>
      <c r="B92" s="260">
        <v>0.61</v>
      </c>
      <c r="C92" s="259">
        <v>8.06</v>
      </c>
      <c r="D92" s="241">
        <v>0.15</v>
      </c>
      <c r="E92" s="7" t="s">
        <v>78</v>
      </c>
      <c r="F92" s="113"/>
      <c r="G92" s="260">
        <v>0.73</v>
      </c>
      <c r="H92" s="259">
        <v>7.94</v>
      </c>
      <c r="I92" s="240"/>
      <c r="J92" s="113"/>
      <c r="K92" s="260">
        <v>0.4</v>
      </c>
      <c r="L92" s="259">
        <v>8.0500000000000007</v>
      </c>
      <c r="M92" s="241">
        <f>D92</f>
        <v>0.15</v>
      </c>
      <c r="N92" s="7" t="s">
        <v>78</v>
      </c>
      <c r="O92" s="113"/>
      <c r="P92" s="260">
        <v>0.23</v>
      </c>
      <c r="Q92" s="259">
        <v>8.33</v>
      </c>
      <c r="R92" s="250"/>
      <c r="S92" s="8"/>
      <c r="T92" s="113"/>
      <c r="U92" s="241">
        <v>0.24</v>
      </c>
      <c r="V92" s="240">
        <v>8</v>
      </c>
      <c r="W92" s="241"/>
      <c r="X92" s="240"/>
      <c r="Y92" s="113"/>
      <c r="Z92" s="241">
        <v>0.14000000000000001</v>
      </c>
      <c r="AA92" s="240">
        <v>8.2100000000000009</v>
      </c>
      <c r="AB92" s="241"/>
      <c r="AC92" s="240"/>
      <c r="AD92" s="113"/>
      <c r="AE92" s="241">
        <v>0.17</v>
      </c>
      <c r="AF92" s="240">
        <v>8.18</v>
      </c>
      <c r="AG92" s="241"/>
      <c r="AH92" s="241"/>
      <c r="AI92" s="156"/>
      <c r="AJ92" s="2"/>
    </row>
    <row r="93" spans="1:36" s="21" customFormat="1" x14ac:dyDescent="0.25">
      <c r="A93" s="261"/>
      <c r="B93" s="260"/>
      <c r="C93" s="259"/>
      <c r="D93" s="241">
        <v>0.01</v>
      </c>
      <c r="E93" s="7" t="s">
        <v>353</v>
      </c>
      <c r="F93" s="113"/>
      <c r="G93" s="260"/>
      <c r="H93" s="259"/>
      <c r="I93" s="240"/>
      <c r="J93" s="113"/>
      <c r="K93" s="260"/>
      <c r="L93" s="259"/>
      <c r="M93" s="241">
        <f>D93</f>
        <v>0.01</v>
      </c>
      <c r="N93" s="7" t="s">
        <v>353</v>
      </c>
      <c r="O93" s="113"/>
      <c r="P93" s="260"/>
      <c r="Q93" s="259"/>
      <c r="R93" s="241">
        <v>0.11</v>
      </c>
      <c r="S93" s="7" t="s">
        <v>353</v>
      </c>
      <c r="T93" s="113"/>
      <c r="U93" s="260">
        <v>0.56000000000000005</v>
      </c>
      <c r="V93" s="259">
        <v>8.08</v>
      </c>
      <c r="W93" s="241">
        <f>U93/2</f>
        <v>0.28000000000000003</v>
      </c>
      <c r="X93" s="7" t="s">
        <v>353</v>
      </c>
      <c r="Y93" s="113"/>
      <c r="Z93" s="241">
        <v>0.24</v>
      </c>
      <c r="AA93" s="240">
        <v>8.2899999999999991</v>
      </c>
      <c r="AB93" s="56"/>
      <c r="AC93" s="56"/>
      <c r="AD93" s="113"/>
      <c r="AE93" s="241">
        <v>0.12</v>
      </c>
      <c r="AF93" s="240">
        <v>8.23</v>
      </c>
      <c r="AG93" s="241"/>
      <c r="AH93" s="241"/>
      <c r="AI93" s="156"/>
      <c r="AJ93" s="2"/>
    </row>
    <row r="94" spans="1:36" s="21" customFormat="1" x14ac:dyDescent="0.25">
      <c r="A94" s="261"/>
      <c r="B94" s="260"/>
      <c r="C94" s="259"/>
      <c r="D94" s="240">
        <f>(B92-D96-D93-D92)/2</f>
        <v>0.185</v>
      </c>
      <c r="E94" s="249" t="s">
        <v>495</v>
      </c>
      <c r="F94" s="113"/>
      <c r="G94" s="260"/>
      <c r="H94" s="259"/>
      <c r="I94" s="240"/>
      <c r="J94" s="113"/>
      <c r="K94" s="260"/>
      <c r="L94" s="259"/>
      <c r="M94" s="241">
        <v>0.08</v>
      </c>
      <c r="N94" s="249" t="s">
        <v>53</v>
      </c>
      <c r="O94" s="113"/>
      <c r="P94" s="260">
        <v>0.22</v>
      </c>
      <c r="Q94" s="259">
        <v>8.41</v>
      </c>
      <c r="R94" s="56"/>
      <c r="S94" s="56"/>
      <c r="T94" s="113"/>
      <c r="U94" s="260"/>
      <c r="V94" s="259"/>
      <c r="W94" s="56"/>
      <c r="X94" s="56"/>
      <c r="Y94" s="113"/>
      <c r="Z94" s="260">
        <v>0.28000000000000003</v>
      </c>
      <c r="AA94" s="259">
        <v>8.35</v>
      </c>
      <c r="AB94" s="241"/>
      <c r="AC94" s="240"/>
      <c r="AD94" s="113"/>
      <c r="AE94" s="241">
        <v>0.05</v>
      </c>
      <c r="AF94" s="240">
        <v>8.3000000000000007</v>
      </c>
      <c r="AG94" s="241"/>
      <c r="AH94" s="241"/>
      <c r="AI94" s="156"/>
      <c r="AJ94" s="2"/>
    </row>
    <row r="95" spans="1:36" s="21" customFormat="1" x14ac:dyDescent="0.25">
      <c r="A95" s="261"/>
      <c r="B95" s="260"/>
      <c r="C95" s="259"/>
      <c r="D95" s="240">
        <f>D94</f>
        <v>0.185</v>
      </c>
      <c r="E95" s="249" t="s">
        <v>269</v>
      </c>
      <c r="F95" s="113"/>
      <c r="G95" s="260"/>
      <c r="H95" s="259"/>
      <c r="I95" s="240"/>
      <c r="J95" s="113"/>
      <c r="K95" s="260"/>
      <c r="L95" s="259"/>
      <c r="M95" s="241">
        <v>0.08</v>
      </c>
      <c r="N95" s="249" t="s">
        <v>269</v>
      </c>
      <c r="O95" s="113"/>
      <c r="P95" s="260"/>
      <c r="Q95" s="259"/>
      <c r="R95" s="241">
        <v>0.11</v>
      </c>
      <c r="S95" s="240"/>
      <c r="T95" s="113"/>
      <c r="U95" s="260"/>
      <c r="V95" s="259"/>
      <c r="W95" s="241">
        <f>W93</f>
        <v>0.28000000000000003</v>
      </c>
      <c r="X95" s="249" t="s">
        <v>135</v>
      </c>
      <c r="Y95" s="113"/>
      <c r="Z95" s="260"/>
      <c r="AA95" s="259"/>
      <c r="AB95" s="241"/>
      <c r="AC95" s="240"/>
      <c r="AD95" s="113"/>
      <c r="AE95" s="260">
        <v>0.05</v>
      </c>
      <c r="AF95" s="259">
        <v>8.33</v>
      </c>
      <c r="AG95" s="241"/>
      <c r="AH95" s="241"/>
      <c r="AI95" s="156"/>
      <c r="AJ95" s="2"/>
    </row>
    <row r="96" spans="1:36" s="21" customFormat="1" x14ac:dyDescent="0.25">
      <c r="A96" s="261"/>
      <c r="B96" s="260"/>
      <c r="C96" s="259"/>
      <c r="D96" s="241">
        <v>0.08</v>
      </c>
      <c r="E96" s="70" t="s">
        <v>54</v>
      </c>
      <c r="F96" s="113"/>
      <c r="G96" s="260"/>
      <c r="H96" s="259"/>
      <c r="I96" s="240"/>
      <c r="J96" s="113"/>
      <c r="K96" s="260"/>
      <c r="L96" s="259"/>
      <c r="M96" s="241">
        <f>D96</f>
        <v>0.08</v>
      </c>
      <c r="N96" s="70" t="s">
        <v>54</v>
      </c>
      <c r="O96" s="113"/>
      <c r="P96" s="260"/>
      <c r="Q96" s="259"/>
      <c r="R96" s="241"/>
      <c r="S96" s="56"/>
      <c r="T96" s="113"/>
      <c r="U96" s="260"/>
      <c r="V96" s="259"/>
      <c r="W96" s="241"/>
      <c r="X96" s="240"/>
      <c r="Y96" s="113"/>
      <c r="Z96" s="260"/>
      <c r="AA96" s="259"/>
      <c r="AB96" s="241"/>
      <c r="AC96" s="240"/>
      <c r="AD96" s="113"/>
      <c r="AE96" s="260"/>
      <c r="AF96" s="259"/>
      <c r="AG96" s="241"/>
      <c r="AH96" s="241"/>
      <c r="AI96" s="156"/>
      <c r="AJ96" s="2"/>
    </row>
    <row r="97" spans="1:36" s="21" customFormat="1" x14ac:dyDescent="0.25">
      <c r="A97" s="261">
        <v>25</v>
      </c>
      <c r="B97" s="260">
        <v>1.63</v>
      </c>
      <c r="C97" s="259">
        <v>8.33</v>
      </c>
      <c r="D97" s="240">
        <f>B97-D99-D101-D102-D103</f>
        <v>1.5699999999999998</v>
      </c>
      <c r="E97" s="7" t="s">
        <v>481</v>
      </c>
      <c r="F97" s="113"/>
      <c r="G97" s="260">
        <v>1.62</v>
      </c>
      <c r="H97" s="259">
        <v>8.19</v>
      </c>
      <c r="I97" s="240"/>
      <c r="J97" s="113"/>
      <c r="K97" s="260">
        <v>3.7</v>
      </c>
      <c r="L97" s="259">
        <v>8.25</v>
      </c>
      <c r="M97" s="241">
        <v>3.06</v>
      </c>
      <c r="N97" s="7" t="s">
        <v>149</v>
      </c>
      <c r="O97" s="113"/>
      <c r="P97" s="260">
        <v>0.88</v>
      </c>
      <c r="Q97" s="259">
        <v>8.5399999999999991</v>
      </c>
      <c r="R97" s="241">
        <f>P97</f>
        <v>0.88</v>
      </c>
      <c r="S97" s="77" t="s">
        <v>111</v>
      </c>
      <c r="T97" s="113"/>
      <c r="U97" s="260">
        <v>0.65</v>
      </c>
      <c r="V97" s="259">
        <v>8.1999999999999993</v>
      </c>
      <c r="W97" s="241">
        <f>U97</f>
        <v>0.65</v>
      </c>
      <c r="X97" s="77" t="s">
        <v>111</v>
      </c>
      <c r="Y97" s="113"/>
      <c r="Z97" s="260">
        <v>0.37</v>
      </c>
      <c r="AA97" s="259">
        <v>8.4700000000000006</v>
      </c>
      <c r="AB97" s="241">
        <f>Z97+Z94</f>
        <v>0.65</v>
      </c>
      <c r="AC97" s="77" t="s">
        <v>111</v>
      </c>
      <c r="AD97" s="113"/>
      <c r="AE97" s="241">
        <v>0.12</v>
      </c>
      <c r="AF97" s="240">
        <v>8.41</v>
      </c>
      <c r="AG97" s="241">
        <f>AE97+AE98+AE95+AE94</f>
        <v>0.25</v>
      </c>
      <c r="AH97" s="77" t="s">
        <v>111</v>
      </c>
      <c r="AI97" s="156"/>
      <c r="AJ97" s="2"/>
    </row>
    <row r="98" spans="1:36" s="21" customFormat="1" x14ac:dyDescent="0.25">
      <c r="A98" s="261"/>
      <c r="B98" s="260"/>
      <c r="C98" s="259"/>
      <c r="D98" s="56"/>
      <c r="E98" s="56"/>
      <c r="F98" s="113"/>
      <c r="G98" s="260"/>
      <c r="H98" s="259"/>
      <c r="I98" s="240"/>
      <c r="J98" s="113"/>
      <c r="K98" s="260"/>
      <c r="L98" s="259"/>
      <c r="M98" s="56"/>
      <c r="N98" s="56"/>
      <c r="O98" s="113"/>
      <c r="P98" s="260"/>
      <c r="Q98" s="259"/>
      <c r="R98" s="241"/>
      <c r="S98" s="240"/>
      <c r="T98" s="113"/>
      <c r="U98" s="260"/>
      <c r="V98" s="259"/>
      <c r="W98" s="241"/>
      <c r="X98" s="240"/>
      <c r="Y98" s="113"/>
      <c r="Z98" s="260"/>
      <c r="AA98" s="259"/>
      <c r="AB98" s="241"/>
      <c r="AC98" s="240"/>
      <c r="AD98" s="113"/>
      <c r="AE98" s="241">
        <v>0.03</v>
      </c>
      <c r="AF98" s="240">
        <v>8.4600000000000009</v>
      </c>
      <c r="AG98" s="241"/>
      <c r="AH98" s="241"/>
      <c r="AI98" s="156"/>
      <c r="AJ98" s="2"/>
    </row>
    <row r="99" spans="1:36" s="21" customFormat="1" x14ac:dyDescent="0.25">
      <c r="A99" s="261"/>
      <c r="B99" s="260"/>
      <c r="C99" s="259"/>
      <c r="D99" s="241">
        <v>0.03</v>
      </c>
      <c r="E99" s="7" t="s">
        <v>78</v>
      </c>
      <c r="F99" s="113"/>
      <c r="G99" s="260"/>
      <c r="H99" s="259"/>
      <c r="I99" s="240"/>
      <c r="J99" s="113"/>
      <c r="K99" s="260"/>
      <c r="L99" s="259"/>
      <c r="M99" s="241">
        <f>D99</f>
        <v>0.03</v>
      </c>
      <c r="N99" s="7" t="s">
        <v>78</v>
      </c>
      <c r="O99" s="113"/>
      <c r="P99" s="260">
        <v>3.86</v>
      </c>
      <c r="Q99" s="259">
        <v>8.65</v>
      </c>
      <c r="R99" s="241"/>
      <c r="S99" s="240"/>
      <c r="T99" s="113"/>
      <c r="U99" s="260">
        <v>2.82</v>
      </c>
      <c r="V99" s="259">
        <v>8.3000000000000007</v>
      </c>
      <c r="W99" s="241"/>
      <c r="X99" s="240"/>
      <c r="Y99" s="113"/>
      <c r="Z99" s="260">
        <v>0.23</v>
      </c>
      <c r="AA99" s="259">
        <v>8.5500000000000007</v>
      </c>
      <c r="AB99" s="241"/>
      <c r="AC99" s="240"/>
      <c r="AD99" s="113"/>
      <c r="AE99" s="241">
        <v>7.0000000000000007E-2</v>
      </c>
      <c r="AF99" s="240">
        <v>8.49</v>
      </c>
      <c r="AG99" s="241"/>
      <c r="AH99" s="241"/>
      <c r="AI99" s="156"/>
      <c r="AJ99" s="2"/>
    </row>
    <row r="100" spans="1:36" s="21" customFormat="1" x14ac:dyDescent="0.25">
      <c r="A100" s="261"/>
      <c r="B100" s="260"/>
      <c r="C100" s="259"/>
      <c r="D100" s="240"/>
      <c r="E100" s="240"/>
      <c r="F100" s="113"/>
      <c r="G100" s="260"/>
      <c r="H100" s="259"/>
      <c r="I100" s="240"/>
      <c r="J100" s="113"/>
      <c r="K100" s="260"/>
      <c r="L100" s="259"/>
      <c r="M100" s="241"/>
      <c r="N100" s="240"/>
      <c r="O100" s="113"/>
      <c r="P100" s="260"/>
      <c r="Q100" s="259"/>
      <c r="R100" s="241"/>
      <c r="S100" s="240"/>
      <c r="T100" s="113"/>
      <c r="U100" s="260"/>
      <c r="V100" s="259"/>
      <c r="W100" s="241"/>
      <c r="X100" s="240"/>
      <c r="Y100" s="113"/>
      <c r="Z100" s="260"/>
      <c r="AA100" s="259"/>
      <c r="AB100" s="241"/>
      <c r="AC100" s="240"/>
      <c r="AD100" s="113"/>
      <c r="AE100" s="260">
        <v>0.04</v>
      </c>
      <c r="AF100" s="259">
        <v>8.56</v>
      </c>
      <c r="AG100" s="241"/>
      <c r="AH100" s="241"/>
      <c r="AI100" s="156"/>
      <c r="AJ100" s="2"/>
    </row>
    <row r="101" spans="1:36" s="21" customFormat="1" x14ac:dyDescent="0.25">
      <c r="A101" s="261"/>
      <c r="B101" s="260"/>
      <c r="C101" s="259"/>
      <c r="D101" s="241">
        <v>0.03</v>
      </c>
      <c r="E101" s="249" t="s">
        <v>401</v>
      </c>
      <c r="F101" s="113"/>
      <c r="G101" s="260"/>
      <c r="H101" s="259"/>
      <c r="I101" s="240"/>
      <c r="J101" s="113"/>
      <c r="K101" s="260"/>
      <c r="L101" s="259"/>
      <c r="M101" s="241">
        <f>(K97-M97-M99)</f>
        <v>0.6100000000000001</v>
      </c>
      <c r="N101" s="249" t="s">
        <v>401</v>
      </c>
      <c r="O101" s="113"/>
      <c r="P101" s="260"/>
      <c r="Q101" s="259"/>
      <c r="R101" s="241">
        <v>0.2</v>
      </c>
      <c r="S101" s="249" t="s">
        <v>41</v>
      </c>
      <c r="T101" s="113"/>
      <c r="U101" s="260"/>
      <c r="V101" s="259"/>
      <c r="W101" s="241"/>
      <c r="X101" s="246"/>
      <c r="Y101" s="113"/>
      <c r="Z101" s="260"/>
      <c r="AA101" s="259"/>
      <c r="AB101" s="241"/>
      <c r="AC101" s="240"/>
      <c r="AD101" s="113"/>
      <c r="AE101" s="260"/>
      <c r="AF101" s="259"/>
      <c r="AG101" s="241"/>
      <c r="AH101" s="241"/>
      <c r="AI101" s="156"/>
      <c r="AJ101" s="2"/>
    </row>
    <row r="102" spans="1:36" s="21" customFormat="1" x14ac:dyDescent="0.25">
      <c r="A102" s="261"/>
      <c r="B102" s="260"/>
      <c r="C102" s="259"/>
      <c r="D102" s="241"/>
      <c r="E102" s="240"/>
      <c r="F102" s="113"/>
      <c r="G102" s="260"/>
      <c r="H102" s="259"/>
      <c r="I102" s="240"/>
      <c r="J102" s="113"/>
      <c r="K102" s="260"/>
      <c r="L102" s="259"/>
      <c r="M102" s="241"/>
      <c r="N102" s="240"/>
      <c r="O102" s="113"/>
      <c r="P102" s="260"/>
      <c r="Q102" s="259"/>
      <c r="R102" s="241">
        <v>2.8</v>
      </c>
      <c r="S102" s="249" t="s">
        <v>221</v>
      </c>
      <c r="T102" s="113"/>
      <c r="U102" s="260"/>
      <c r="V102" s="259"/>
      <c r="W102" s="241">
        <f>U99-W104</f>
        <v>2.67</v>
      </c>
      <c r="X102" s="249" t="s">
        <v>221</v>
      </c>
      <c r="Y102" s="113"/>
      <c r="Z102" s="260"/>
      <c r="AA102" s="259"/>
      <c r="AB102" s="241"/>
      <c r="AC102" s="240"/>
      <c r="AD102" s="113"/>
      <c r="AE102" s="260"/>
      <c r="AF102" s="259"/>
      <c r="AG102" s="241"/>
      <c r="AH102" s="241"/>
      <c r="AI102" s="156"/>
      <c r="AJ102" s="2"/>
    </row>
    <row r="103" spans="1:36" s="21" customFormat="1" x14ac:dyDescent="0.25">
      <c r="A103" s="261"/>
      <c r="B103" s="260"/>
      <c r="C103" s="259"/>
      <c r="D103" s="241"/>
      <c r="E103" s="240"/>
      <c r="F103" s="113"/>
      <c r="G103" s="260"/>
      <c r="H103" s="259"/>
      <c r="I103" s="240"/>
      <c r="J103" s="113"/>
      <c r="K103" s="260"/>
      <c r="L103" s="259"/>
      <c r="M103" s="241"/>
      <c r="N103" s="240"/>
      <c r="O103" s="113"/>
      <c r="P103" s="260"/>
      <c r="Q103" s="259"/>
      <c r="R103" s="241">
        <f>P99-R101-R102</f>
        <v>0.85999999999999988</v>
      </c>
      <c r="S103" s="249" t="s">
        <v>42</v>
      </c>
      <c r="T103" s="113"/>
      <c r="U103" s="260"/>
      <c r="V103" s="259"/>
      <c r="W103" s="245"/>
      <c r="X103" s="246"/>
      <c r="Y103" s="113"/>
      <c r="Z103" s="260"/>
      <c r="AA103" s="259"/>
      <c r="AB103" s="241"/>
      <c r="AC103" s="240"/>
      <c r="AD103" s="113"/>
      <c r="AE103" s="260"/>
      <c r="AF103" s="259"/>
      <c r="AG103" s="241"/>
      <c r="AH103" s="241"/>
      <c r="AI103" s="156"/>
      <c r="AJ103" s="2"/>
    </row>
    <row r="104" spans="1:36" s="21" customFormat="1" x14ac:dyDescent="0.25">
      <c r="A104" s="261">
        <v>26</v>
      </c>
      <c r="B104" s="260">
        <v>0.45</v>
      </c>
      <c r="C104" s="259">
        <v>8.4499999999999993</v>
      </c>
      <c r="D104" s="240">
        <f>R104</f>
        <v>0.27</v>
      </c>
      <c r="E104" s="7" t="s">
        <v>107</v>
      </c>
      <c r="F104" s="113"/>
      <c r="G104" s="260">
        <v>0.56999999999999995</v>
      </c>
      <c r="H104" s="259">
        <v>8.31</v>
      </c>
      <c r="I104" s="240"/>
      <c r="J104" s="113"/>
      <c r="K104" s="260">
        <v>0.14000000000000001</v>
      </c>
      <c r="L104" s="259">
        <v>8.3699999999999992</v>
      </c>
      <c r="M104" s="241">
        <f>K104/2</f>
        <v>7.0000000000000007E-2</v>
      </c>
      <c r="N104" s="7" t="s">
        <v>107</v>
      </c>
      <c r="O104" s="113"/>
      <c r="P104" s="260">
        <v>0.27</v>
      </c>
      <c r="Q104" s="259">
        <v>8.73</v>
      </c>
      <c r="R104" s="241">
        <f>P104</f>
        <v>0.27</v>
      </c>
      <c r="S104" s="7" t="s">
        <v>107</v>
      </c>
      <c r="T104" s="113"/>
      <c r="U104" s="260"/>
      <c r="V104" s="259"/>
      <c r="W104" s="241">
        <f>AB104</f>
        <v>0.15</v>
      </c>
      <c r="X104" s="7" t="s">
        <v>107</v>
      </c>
      <c r="Y104" s="113"/>
      <c r="Z104" s="260">
        <v>0.15</v>
      </c>
      <c r="AA104" s="259">
        <v>8.68</v>
      </c>
      <c r="AB104" s="241">
        <f>Z104</f>
        <v>0.15</v>
      </c>
      <c r="AC104" s="7" t="s">
        <v>107</v>
      </c>
      <c r="AD104" s="113"/>
      <c r="AE104" s="260">
        <v>0.01</v>
      </c>
      <c r="AF104" s="259">
        <v>8.61</v>
      </c>
      <c r="AG104" s="241">
        <f>AE99+AE100+AE104</f>
        <v>0.12000000000000001</v>
      </c>
      <c r="AH104" s="7" t="s">
        <v>107</v>
      </c>
      <c r="AI104" s="156"/>
      <c r="AJ104" s="2"/>
    </row>
    <row r="105" spans="1:36" s="21" customFormat="1" x14ac:dyDescent="0.25">
      <c r="A105" s="261"/>
      <c r="B105" s="260"/>
      <c r="C105" s="259"/>
      <c r="D105" s="240"/>
      <c r="E105" s="240"/>
      <c r="F105" s="113"/>
      <c r="G105" s="260"/>
      <c r="H105" s="259"/>
      <c r="I105" s="240"/>
      <c r="J105" s="113"/>
      <c r="K105" s="260"/>
      <c r="L105" s="259"/>
      <c r="M105" s="241"/>
      <c r="N105" s="240"/>
      <c r="O105" s="113"/>
      <c r="P105" s="260"/>
      <c r="Q105" s="259"/>
      <c r="R105" s="241"/>
      <c r="S105" s="56"/>
      <c r="T105" s="113"/>
      <c r="U105" s="260"/>
      <c r="V105" s="259"/>
      <c r="W105" s="241"/>
      <c r="X105" s="56"/>
      <c r="Y105" s="113"/>
      <c r="Z105" s="260"/>
      <c r="AA105" s="259"/>
      <c r="AB105" s="241"/>
      <c r="AC105" s="56"/>
      <c r="AD105" s="113"/>
      <c r="AE105" s="260"/>
      <c r="AF105" s="259"/>
      <c r="AG105" s="241"/>
      <c r="AH105" s="56"/>
      <c r="AI105" s="156"/>
      <c r="AJ105" s="2"/>
    </row>
    <row r="106" spans="1:36" s="21" customFormat="1" x14ac:dyDescent="0.25">
      <c r="A106" s="261"/>
      <c r="B106" s="260"/>
      <c r="C106" s="259"/>
      <c r="D106" s="241">
        <f>B104-D104</f>
        <v>0.18</v>
      </c>
      <c r="E106" s="22" t="s">
        <v>473</v>
      </c>
      <c r="F106" s="113"/>
      <c r="G106" s="260"/>
      <c r="H106" s="259"/>
      <c r="I106" s="240"/>
      <c r="J106" s="113"/>
      <c r="K106" s="260"/>
      <c r="L106" s="259"/>
      <c r="M106" s="241">
        <f>M104</f>
        <v>7.0000000000000007E-2</v>
      </c>
      <c r="N106" s="22" t="s">
        <v>228</v>
      </c>
      <c r="O106" s="113"/>
      <c r="P106" s="260"/>
      <c r="Q106" s="259"/>
      <c r="R106" s="241"/>
      <c r="S106" s="240"/>
      <c r="T106" s="113"/>
      <c r="U106" s="260"/>
      <c r="V106" s="259"/>
      <c r="W106" s="241"/>
      <c r="X106" s="240"/>
      <c r="Y106" s="113"/>
      <c r="Z106" s="260"/>
      <c r="AA106" s="259"/>
      <c r="AB106" s="241"/>
      <c r="AC106" s="240"/>
      <c r="AD106" s="113"/>
      <c r="AE106" s="260"/>
      <c r="AF106" s="259"/>
      <c r="AG106" s="241"/>
      <c r="AH106" s="240"/>
      <c r="AI106" s="156"/>
      <c r="AJ106" s="2"/>
    </row>
    <row r="107" spans="1:36" s="21" customFormat="1" x14ac:dyDescent="0.25">
      <c r="A107" s="261">
        <v>27</v>
      </c>
      <c r="B107" s="260">
        <v>1.79</v>
      </c>
      <c r="C107" s="259">
        <v>8.5399999999999991</v>
      </c>
      <c r="D107" s="241">
        <f>M107</f>
        <v>0.08</v>
      </c>
      <c r="E107" s="7" t="s">
        <v>149</v>
      </c>
      <c r="F107" s="113"/>
      <c r="G107" s="260">
        <v>1.35</v>
      </c>
      <c r="H107" s="259">
        <v>8.42</v>
      </c>
      <c r="I107" s="240"/>
      <c r="J107" s="113"/>
      <c r="K107" s="260">
        <v>1.3</v>
      </c>
      <c r="L107" s="259">
        <v>8.49</v>
      </c>
      <c r="M107" s="241">
        <v>0.08</v>
      </c>
      <c r="N107" s="7" t="s">
        <v>149</v>
      </c>
      <c r="O107" s="113"/>
      <c r="P107" s="260">
        <v>1.07</v>
      </c>
      <c r="Q107" s="259">
        <v>8.86</v>
      </c>
      <c r="R107" s="241"/>
      <c r="S107" s="240"/>
      <c r="T107" s="113"/>
      <c r="U107" s="260">
        <v>1.25</v>
      </c>
      <c r="V107" s="259">
        <v>8.51</v>
      </c>
      <c r="W107" s="241"/>
      <c r="X107" s="240"/>
      <c r="Y107" s="113"/>
      <c r="Z107" s="260">
        <v>1.04</v>
      </c>
      <c r="AA107" s="259">
        <v>8.77</v>
      </c>
      <c r="AB107" s="241"/>
      <c r="AC107" s="240"/>
      <c r="AD107" s="113"/>
      <c r="AE107" s="260">
        <v>0.94</v>
      </c>
      <c r="AF107" s="259">
        <v>8.6999999999999993</v>
      </c>
      <c r="AG107" s="241"/>
      <c r="AH107" s="240"/>
      <c r="AI107" s="156"/>
      <c r="AJ107" s="2"/>
    </row>
    <row r="108" spans="1:36" s="21" customFormat="1" x14ac:dyDescent="0.25">
      <c r="A108" s="261"/>
      <c r="B108" s="260"/>
      <c r="C108" s="259"/>
      <c r="D108" s="56"/>
      <c r="E108" s="56"/>
      <c r="F108" s="113"/>
      <c r="G108" s="260"/>
      <c r="H108" s="259"/>
      <c r="I108" s="240"/>
      <c r="J108" s="113"/>
      <c r="K108" s="260"/>
      <c r="L108" s="259"/>
      <c r="M108" s="56"/>
      <c r="N108" s="56"/>
      <c r="O108" s="113"/>
      <c r="P108" s="260"/>
      <c r="Q108" s="259"/>
      <c r="R108" s="56"/>
      <c r="S108" s="56"/>
      <c r="T108" s="113"/>
      <c r="U108" s="260"/>
      <c r="V108" s="259"/>
      <c r="W108" s="56"/>
      <c r="X108" s="56"/>
      <c r="Y108" s="113"/>
      <c r="Z108" s="260"/>
      <c r="AA108" s="259"/>
      <c r="AB108" s="56"/>
      <c r="AC108" s="56"/>
      <c r="AD108" s="113"/>
      <c r="AE108" s="260"/>
      <c r="AF108" s="259"/>
      <c r="AG108" s="56"/>
      <c r="AH108" s="56"/>
      <c r="AI108" s="156"/>
      <c r="AJ108" s="2"/>
    </row>
    <row r="109" spans="1:36" s="21" customFormat="1" x14ac:dyDescent="0.25">
      <c r="A109" s="261"/>
      <c r="B109" s="260"/>
      <c r="C109" s="259"/>
      <c r="D109" s="241">
        <v>0.14000000000000001</v>
      </c>
      <c r="E109" s="59" t="s">
        <v>109</v>
      </c>
      <c r="F109" s="113"/>
      <c r="G109" s="260"/>
      <c r="H109" s="259"/>
      <c r="I109" s="240"/>
      <c r="J109" s="113"/>
      <c r="K109" s="260"/>
      <c r="L109" s="259"/>
      <c r="M109" s="241">
        <f>R109</f>
        <v>0.14000000000000001</v>
      </c>
      <c r="N109" s="59" t="s">
        <v>109</v>
      </c>
      <c r="O109" s="113"/>
      <c r="P109" s="260"/>
      <c r="Q109" s="259"/>
      <c r="R109" s="241">
        <v>0.14000000000000001</v>
      </c>
      <c r="S109" s="59" t="s">
        <v>109</v>
      </c>
      <c r="T109" s="113"/>
      <c r="U109" s="260"/>
      <c r="V109" s="259"/>
      <c r="W109" s="241">
        <f>R109</f>
        <v>0.14000000000000001</v>
      </c>
      <c r="X109" s="59" t="s">
        <v>109</v>
      </c>
      <c r="Y109" s="113"/>
      <c r="Z109" s="260"/>
      <c r="AA109" s="259"/>
      <c r="AB109" s="241">
        <v>0.14000000000000001</v>
      </c>
      <c r="AC109" s="59" t="s">
        <v>109</v>
      </c>
      <c r="AD109" s="113"/>
      <c r="AE109" s="260"/>
      <c r="AF109" s="259"/>
      <c r="AG109" s="241">
        <f>AB109</f>
        <v>0.14000000000000001</v>
      </c>
      <c r="AH109" s="59" t="s">
        <v>109</v>
      </c>
      <c r="AI109" s="156"/>
      <c r="AJ109" s="2"/>
    </row>
    <row r="110" spans="1:36" s="21" customFormat="1" x14ac:dyDescent="0.25">
      <c r="A110" s="261"/>
      <c r="B110" s="260"/>
      <c r="C110" s="259"/>
      <c r="D110" s="241">
        <v>0.15</v>
      </c>
      <c r="E110" s="62" t="s">
        <v>415</v>
      </c>
      <c r="F110" s="113"/>
      <c r="G110" s="260"/>
      <c r="H110" s="259"/>
      <c r="I110" s="240"/>
      <c r="J110" s="113"/>
      <c r="K110" s="260"/>
      <c r="L110" s="259"/>
      <c r="M110" s="241">
        <v>0.5</v>
      </c>
      <c r="N110" s="62" t="s">
        <v>415</v>
      </c>
      <c r="O110" s="113"/>
      <c r="P110" s="241">
        <v>0.5</v>
      </c>
      <c r="Q110" s="240">
        <v>8.91</v>
      </c>
      <c r="R110" s="241">
        <f>P110</f>
        <v>0.5</v>
      </c>
      <c r="S110" s="62" t="s">
        <v>314</v>
      </c>
      <c r="T110" s="113"/>
      <c r="U110" s="241">
        <v>0.21</v>
      </c>
      <c r="V110" s="240">
        <v>8.6199999999999992</v>
      </c>
      <c r="W110" s="241">
        <v>0.5</v>
      </c>
      <c r="X110" s="62" t="s">
        <v>314</v>
      </c>
      <c r="Y110" s="113"/>
      <c r="Z110" s="241">
        <v>0.42</v>
      </c>
      <c r="AA110" s="240">
        <v>8.9</v>
      </c>
      <c r="AB110" s="241">
        <v>0.24</v>
      </c>
      <c r="AC110" s="75" t="s">
        <v>43</v>
      </c>
      <c r="AD110" s="113"/>
      <c r="AE110" s="241">
        <v>0.17</v>
      </c>
      <c r="AF110" s="240">
        <v>8.82</v>
      </c>
      <c r="AG110" s="241"/>
      <c r="AH110" s="240"/>
      <c r="AI110" s="156"/>
      <c r="AJ110" s="2"/>
    </row>
    <row r="111" spans="1:36" s="21" customFormat="1" x14ac:dyDescent="0.25">
      <c r="A111" s="261">
        <v>28</v>
      </c>
      <c r="B111" s="260">
        <v>7.17</v>
      </c>
      <c r="C111" s="259">
        <v>8.7899999999999991</v>
      </c>
      <c r="D111" s="241">
        <v>0.01</v>
      </c>
      <c r="E111" s="7" t="s">
        <v>78</v>
      </c>
      <c r="F111" s="113"/>
      <c r="G111" s="260">
        <v>1.46</v>
      </c>
      <c r="H111" s="259">
        <v>8.6</v>
      </c>
      <c r="I111" s="240"/>
      <c r="J111" s="113"/>
      <c r="K111" s="241">
        <v>2.15</v>
      </c>
      <c r="L111" s="240">
        <v>8.65</v>
      </c>
      <c r="M111" s="241">
        <f>D111</f>
        <v>0.01</v>
      </c>
      <c r="N111" s="7" t="s">
        <v>78</v>
      </c>
      <c r="O111" s="113"/>
      <c r="P111" s="241">
        <v>1.44</v>
      </c>
      <c r="Q111" s="240">
        <v>9.07</v>
      </c>
      <c r="R111" s="241"/>
      <c r="S111" s="246"/>
      <c r="T111" s="113"/>
      <c r="U111" s="241">
        <v>1.0900000000000001</v>
      </c>
      <c r="V111" s="240">
        <v>8.68</v>
      </c>
      <c r="W111" s="241"/>
      <c r="X111" s="246"/>
      <c r="Y111" s="113"/>
      <c r="Z111" s="260">
        <v>5.07</v>
      </c>
      <c r="AA111" s="259">
        <v>9.0299999999999994</v>
      </c>
      <c r="AB111" s="241"/>
      <c r="AC111" s="240"/>
      <c r="AD111" s="113"/>
      <c r="AE111" s="260">
        <v>5.85</v>
      </c>
      <c r="AF111" s="259">
        <v>8.9499999999999993</v>
      </c>
      <c r="AG111" s="241"/>
      <c r="AH111" s="240"/>
      <c r="AI111" s="156"/>
      <c r="AJ111" s="2"/>
    </row>
    <row r="112" spans="1:36" s="21" customFormat="1" x14ac:dyDescent="0.25">
      <c r="A112" s="261"/>
      <c r="B112" s="260"/>
      <c r="C112" s="259"/>
      <c r="D112" s="241">
        <v>0.1</v>
      </c>
      <c r="E112" s="7" t="s">
        <v>200</v>
      </c>
      <c r="F112" s="113"/>
      <c r="G112" s="260"/>
      <c r="H112" s="259"/>
      <c r="I112" s="240"/>
      <c r="J112" s="113"/>
      <c r="K112" s="260">
        <v>7.07</v>
      </c>
      <c r="L112" s="259">
        <v>8.73</v>
      </c>
      <c r="M112" s="241">
        <f>D112</f>
        <v>0.1</v>
      </c>
      <c r="N112" s="7" t="s">
        <v>200</v>
      </c>
      <c r="O112" s="113"/>
      <c r="P112" s="260">
        <v>6.72</v>
      </c>
      <c r="Q112" s="259">
        <v>9.1199999999999992</v>
      </c>
      <c r="R112" s="56"/>
      <c r="S112" s="56"/>
      <c r="T112" s="113"/>
      <c r="U112" s="260">
        <v>6.86</v>
      </c>
      <c r="V112" s="259">
        <v>8.76</v>
      </c>
      <c r="W112" s="56"/>
      <c r="X112" s="56"/>
      <c r="Y112" s="113"/>
      <c r="Z112" s="260"/>
      <c r="AA112" s="259"/>
      <c r="AB112" s="56"/>
      <c r="AC112" s="56"/>
      <c r="AD112" s="113"/>
      <c r="AE112" s="260"/>
      <c r="AF112" s="259"/>
      <c r="AG112" s="241"/>
      <c r="AH112" s="56"/>
      <c r="AI112" s="156"/>
      <c r="AJ112" s="2"/>
    </row>
    <row r="113" spans="1:36" s="21" customFormat="1" x14ac:dyDescent="0.25">
      <c r="A113" s="261"/>
      <c r="B113" s="260"/>
      <c r="C113" s="259"/>
      <c r="D113" s="241">
        <v>0.14000000000000001</v>
      </c>
      <c r="E113" s="7" t="s">
        <v>72</v>
      </c>
      <c r="F113" s="113"/>
      <c r="G113" s="260"/>
      <c r="H113" s="259"/>
      <c r="I113" s="240"/>
      <c r="J113" s="113"/>
      <c r="K113" s="260"/>
      <c r="L113" s="259"/>
      <c r="M113" s="241">
        <f>D113</f>
        <v>0.14000000000000001</v>
      </c>
      <c r="N113" s="7" t="s">
        <v>72</v>
      </c>
      <c r="O113" s="113"/>
      <c r="P113" s="260"/>
      <c r="Q113" s="259"/>
      <c r="R113" s="241">
        <v>0.14000000000000001</v>
      </c>
      <c r="S113" s="7" t="s">
        <v>72</v>
      </c>
      <c r="T113" s="113"/>
      <c r="U113" s="260"/>
      <c r="V113" s="259"/>
      <c r="W113" s="241">
        <f>R113</f>
        <v>0.14000000000000001</v>
      </c>
      <c r="X113" s="7" t="s">
        <v>72</v>
      </c>
      <c r="Y113" s="113"/>
      <c r="Z113" s="260"/>
      <c r="AA113" s="259"/>
      <c r="AB113" s="241">
        <v>0.14000000000000001</v>
      </c>
      <c r="AC113" s="7" t="s">
        <v>72</v>
      </c>
      <c r="AD113" s="113"/>
      <c r="AE113" s="260"/>
      <c r="AF113" s="259"/>
      <c r="AG113" s="241">
        <f>AB113</f>
        <v>0.14000000000000001</v>
      </c>
      <c r="AH113" s="7" t="s">
        <v>72</v>
      </c>
      <c r="AI113" s="156"/>
      <c r="AJ113" s="2"/>
    </row>
    <row r="114" spans="1:36" s="21" customFormat="1" x14ac:dyDescent="0.25">
      <c r="A114" s="261"/>
      <c r="B114" s="260"/>
      <c r="C114" s="259"/>
      <c r="D114" s="241">
        <v>0.23</v>
      </c>
      <c r="E114" s="58" t="s">
        <v>444</v>
      </c>
      <c r="F114" s="113"/>
      <c r="G114" s="260"/>
      <c r="H114" s="259"/>
      <c r="I114" s="240"/>
      <c r="J114" s="113"/>
      <c r="K114" s="260"/>
      <c r="L114" s="259"/>
      <c r="M114" s="241">
        <f>D114</f>
        <v>0.23</v>
      </c>
      <c r="N114" s="58" t="s">
        <v>444</v>
      </c>
      <c r="O114" s="113"/>
      <c r="P114" s="260"/>
      <c r="Q114" s="259"/>
      <c r="R114" s="56"/>
      <c r="S114" s="56"/>
      <c r="T114" s="113"/>
      <c r="U114" s="260"/>
      <c r="V114" s="259"/>
      <c r="W114" s="56"/>
      <c r="X114" s="56"/>
      <c r="Y114" s="113"/>
      <c r="Z114" s="260"/>
      <c r="AA114" s="259"/>
      <c r="AB114" s="241"/>
      <c r="AC114" s="240"/>
      <c r="AD114" s="113"/>
      <c r="AE114" s="260"/>
      <c r="AF114" s="259"/>
      <c r="AG114" s="241"/>
      <c r="AH114" s="240"/>
      <c r="AI114" s="156"/>
      <c r="AJ114" s="2"/>
    </row>
    <row r="115" spans="1:36" s="21" customFormat="1" x14ac:dyDescent="0.25">
      <c r="A115" s="261"/>
      <c r="B115" s="260"/>
      <c r="C115" s="259"/>
      <c r="D115" s="241">
        <v>0.18</v>
      </c>
      <c r="E115" s="59" t="s">
        <v>228</v>
      </c>
      <c r="F115" s="113"/>
      <c r="G115" s="260"/>
      <c r="H115" s="259"/>
      <c r="I115" s="240"/>
      <c r="J115" s="113"/>
      <c r="K115" s="260"/>
      <c r="L115" s="259"/>
      <c r="M115" s="241">
        <f>D115</f>
        <v>0.18</v>
      </c>
      <c r="N115" s="59" t="s">
        <v>228</v>
      </c>
      <c r="O115" s="113"/>
      <c r="P115" s="260"/>
      <c r="Q115" s="259"/>
      <c r="R115" s="56"/>
      <c r="S115" s="56"/>
      <c r="T115" s="113"/>
      <c r="U115" s="260"/>
      <c r="V115" s="259"/>
      <c r="W115" s="56"/>
      <c r="X115" s="56"/>
      <c r="Y115" s="113"/>
      <c r="Z115" s="260"/>
      <c r="AA115" s="259"/>
      <c r="AB115" s="56"/>
      <c r="AC115" s="56"/>
      <c r="AD115" s="113"/>
      <c r="AE115" s="260"/>
      <c r="AF115" s="259"/>
      <c r="AG115" s="241"/>
      <c r="AH115" s="56"/>
      <c r="AI115" s="156"/>
      <c r="AJ115" s="2"/>
    </row>
    <row r="116" spans="1:36" s="21" customFormat="1" x14ac:dyDescent="0.25">
      <c r="A116" s="261"/>
      <c r="B116" s="260"/>
      <c r="C116" s="259"/>
      <c r="D116" s="240">
        <f>R116</f>
        <v>1.07</v>
      </c>
      <c r="E116" s="58" t="s">
        <v>72</v>
      </c>
      <c r="F116" s="113"/>
      <c r="G116" s="260"/>
      <c r="H116" s="259"/>
      <c r="I116" s="240"/>
      <c r="J116" s="113"/>
      <c r="K116" s="260"/>
      <c r="L116" s="259"/>
      <c r="M116" s="241">
        <f>R116</f>
        <v>1.07</v>
      </c>
      <c r="N116" s="58" t="s">
        <v>72</v>
      </c>
      <c r="O116" s="113"/>
      <c r="P116" s="260"/>
      <c r="Q116" s="259"/>
      <c r="R116" s="241">
        <f>P107</f>
        <v>1.07</v>
      </c>
      <c r="S116" s="58" t="s">
        <v>72</v>
      </c>
      <c r="T116" s="113"/>
      <c r="U116" s="260"/>
      <c r="V116" s="259"/>
      <c r="W116" s="241">
        <f>U107</f>
        <v>1.25</v>
      </c>
      <c r="X116" s="58" t="s">
        <v>72</v>
      </c>
      <c r="Y116" s="113"/>
      <c r="Z116" s="260"/>
      <c r="AA116" s="259"/>
      <c r="AB116" s="241">
        <f>Z107</f>
        <v>1.04</v>
      </c>
      <c r="AC116" s="58" t="s">
        <v>72</v>
      </c>
      <c r="AD116" s="113"/>
      <c r="AE116" s="260"/>
      <c r="AF116" s="259"/>
      <c r="AG116" s="241">
        <f>AE107+AE110</f>
        <v>1.1099999999999999</v>
      </c>
      <c r="AH116" s="58" t="s">
        <v>110</v>
      </c>
      <c r="AI116" s="156"/>
      <c r="AJ116" s="2"/>
    </row>
    <row r="117" spans="1:36" s="21" customFormat="1" x14ac:dyDescent="0.25">
      <c r="A117" s="261"/>
      <c r="B117" s="260"/>
      <c r="C117" s="259"/>
      <c r="D117" s="241">
        <v>0.18</v>
      </c>
      <c r="E117" s="59" t="s">
        <v>81</v>
      </c>
      <c r="F117" s="113"/>
      <c r="G117" s="260"/>
      <c r="H117" s="259"/>
      <c r="I117" s="240"/>
      <c r="J117" s="113"/>
      <c r="K117" s="260"/>
      <c r="L117" s="259"/>
      <c r="M117" s="241">
        <f>D117</f>
        <v>0.18</v>
      </c>
      <c r="N117" s="59" t="s">
        <v>81</v>
      </c>
      <c r="O117" s="113"/>
      <c r="P117" s="260"/>
      <c r="Q117" s="259"/>
      <c r="R117" s="241"/>
      <c r="S117" s="56"/>
      <c r="T117" s="113"/>
      <c r="U117" s="260"/>
      <c r="V117" s="259"/>
      <c r="W117" s="241"/>
      <c r="X117" s="56"/>
      <c r="Y117" s="113"/>
      <c r="Z117" s="260"/>
      <c r="AA117" s="259"/>
      <c r="AB117" s="56"/>
      <c r="AC117" s="56"/>
      <c r="AD117" s="113"/>
      <c r="AE117" s="260"/>
      <c r="AF117" s="259"/>
      <c r="AG117" s="241"/>
      <c r="AH117" s="56"/>
      <c r="AI117" s="156"/>
      <c r="AJ117" s="2"/>
    </row>
    <row r="118" spans="1:36" s="21" customFormat="1" x14ac:dyDescent="0.25">
      <c r="A118" s="261"/>
      <c r="B118" s="260"/>
      <c r="C118" s="259"/>
      <c r="D118" s="241">
        <v>0.01</v>
      </c>
      <c r="E118" s="249" t="s">
        <v>71</v>
      </c>
      <c r="F118" s="113"/>
      <c r="G118" s="260"/>
      <c r="H118" s="259"/>
      <c r="I118" s="240"/>
      <c r="J118" s="113"/>
      <c r="K118" s="260"/>
      <c r="L118" s="259"/>
      <c r="M118" s="241">
        <v>0.14000000000000001</v>
      </c>
      <c r="N118" s="249" t="s">
        <v>71</v>
      </c>
      <c r="O118" s="113"/>
      <c r="P118" s="260"/>
      <c r="Q118" s="259"/>
      <c r="R118" s="241">
        <v>0.15</v>
      </c>
      <c r="S118" s="249" t="s">
        <v>71</v>
      </c>
      <c r="T118" s="113"/>
      <c r="U118" s="260"/>
      <c r="V118" s="259"/>
      <c r="W118" s="241">
        <f>R118</f>
        <v>0.15</v>
      </c>
      <c r="X118" s="249" t="s">
        <v>71</v>
      </c>
      <c r="Y118" s="113"/>
      <c r="Z118" s="260"/>
      <c r="AA118" s="259"/>
      <c r="AB118" s="241">
        <v>0.15</v>
      </c>
      <c r="AC118" s="249" t="s">
        <v>71</v>
      </c>
      <c r="AD118" s="113"/>
      <c r="AE118" s="260"/>
      <c r="AF118" s="259"/>
      <c r="AG118" s="241">
        <f>AB118</f>
        <v>0.15</v>
      </c>
      <c r="AH118" s="249" t="s">
        <v>71</v>
      </c>
      <c r="AI118" s="156"/>
      <c r="AJ118" s="2"/>
    </row>
    <row r="119" spans="1:36" s="21" customFormat="1" x14ac:dyDescent="0.25">
      <c r="A119" s="261"/>
      <c r="B119" s="260"/>
      <c r="C119" s="259"/>
      <c r="D119" s="241">
        <v>0.18</v>
      </c>
      <c r="E119" s="249" t="s">
        <v>79</v>
      </c>
      <c r="F119" s="113"/>
      <c r="G119" s="260"/>
      <c r="H119" s="259"/>
      <c r="I119" s="240"/>
      <c r="J119" s="113"/>
      <c r="K119" s="260"/>
      <c r="L119" s="259"/>
      <c r="M119" s="241">
        <f>D119</f>
        <v>0.18</v>
      </c>
      <c r="N119" s="249" t="s">
        <v>79</v>
      </c>
      <c r="O119" s="113"/>
      <c r="P119" s="260"/>
      <c r="Q119" s="259"/>
      <c r="R119" s="56"/>
      <c r="S119" s="56"/>
      <c r="T119" s="113"/>
      <c r="U119" s="260"/>
      <c r="V119" s="259"/>
      <c r="W119" s="56"/>
      <c r="X119" s="56"/>
      <c r="Y119" s="113"/>
      <c r="Z119" s="260"/>
      <c r="AA119" s="259"/>
      <c r="AB119" s="241"/>
      <c r="AC119" s="56"/>
      <c r="AD119" s="113"/>
      <c r="AE119" s="260"/>
      <c r="AF119" s="259"/>
      <c r="AG119" s="241"/>
      <c r="AH119" s="56"/>
      <c r="AI119" s="156"/>
      <c r="AJ119" s="2"/>
    </row>
    <row r="120" spans="1:36" s="21" customFormat="1" x14ac:dyDescent="0.25">
      <c r="A120" s="261"/>
      <c r="B120" s="260"/>
      <c r="C120" s="259"/>
      <c r="D120" s="241">
        <v>0.04</v>
      </c>
      <c r="E120" s="249" t="s">
        <v>352</v>
      </c>
      <c r="F120" s="113"/>
      <c r="G120" s="260"/>
      <c r="H120" s="259"/>
      <c r="I120" s="240"/>
      <c r="J120" s="113"/>
      <c r="K120" s="260"/>
      <c r="L120" s="259"/>
      <c r="M120" s="241">
        <f>D120</f>
        <v>0.04</v>
      </c>
      <c r="N120" s="249" t="s">
        <v>352</v>
      </c>
      <c r="O120" s="113"/>
      <c r="P120" s="260"/>
      <c r="Q120" s="259"/>
      <c r="R120" s="241">
        <v>0.98</v>
      </c>
      <c r="S120" s="249" t="s">
        <v>352</v>
      </c>
      <c r="T120" s="113"/>
      <c r="U120" s="260"/>
      <c r="V120" s="259"/>
      <c r="W120" s="241">
        <f>R120</f>
        <v>0.98</v>
      </c>
      <c r="X120" s="249" t="s">
        <v>352</v>
      </c>
      <c r="Y120" s="113"/>
      <c r="Z120" s="260"/>
      <c r="AA120" s="259"/>
      <c r="AB120" s="56"/>
      <c r="AC120" s="56"/>
      <c r="AD120" s="113"/>
      <c r="AE120" s="260"/>
      <c r="AF120" s="259"/>
      <c r="AG120" s="241"/>
      <c r="AH120" s="56"/>
      <c r="AI120" s="156"/>
      <c r="AJ120" s="2"/>
    </row>
    <row r="121" spans="1:36" s="21" customFormat="1" x14ac:dyDescent="0.25">
      <c r="A121" s="261"/>
      <c r="B121" s="260"/>
      <c r="C121" s="259"/>
      <c r="D121" s="241">
        <v>0.01</v>
      </c>
      <c r="E121" s="249" t="s">
        <v>80</v>
      </c>
      <c r="F121" s="113"/>
      <c r="G121" s="260"/>
      <c r="H121" s="259"/>
      <c r="I121" s="240"/>
      <c r="J121" s="113"/>
      <c r="K121" s="260"/>
      <c r="L121" s="259"/>
      <c r="M121" s="241">
        <f>D121</f>
        <v>0.01</v>
      </c>
      <c r="N121" s="249" t="s">
        <v>80</v>
      </c>
      <c r="O121" s="113"/>
      <c r="P121" s="260"/>
      <c r="Q121" s="259"/>
      <c r="R121" s="241"/>
      <c r="S121" s="240"/>
      <c r="T121" s="113"/>
      <c r="U121" s="260"/>
      <c r="V121" s="259"/>
      <c r="W121" s="241"/>
      <c r="X121" s="240"/>
      <c r="Y121" s="113"/>
      <c r="Z121" s="260"/>
      <c r="AA121" s="259"/>
      <c r="AB121" s="241">
        <v>0.1</v>
      </c>
      <c r="AC121" s="22" t="s">
        <v>116</v>
      </c>
      <c r="AD121" s="113"/>
      <c r="AE121" s="260"/>
      <c r="AF121" s="259"/>
      <c r="AG121" s="241">
        <f>AB121</f>
        <v>0.1</v>
      </c>
      <c r="AH121" s="22" t="s">
        <v>116</v>
      </c>
      <c r="AI121" s="156"/>
      <c r="AJ121" s="2"/>
    </row>
    <row r="122" spans="1:36" s="21" customFormat="1" x14ac:dyDescent="0.25">
      <c r="A122" s="261"/>
      <c r="B122" s="260"/>
      <c r="C122" s="259"/>
      <c r="D122" s="56"/>
      <c r="E122" s="56"/>
      <c r="F122" s="113"/>
      <c r="G122" s="260"/>
      <c r="H122" s="259"/>
      <c r="I122" s="240"/>
      <c r="J122" s="113"/>
      <c r="K122" s="260"/>
      <c r="L122" s="259"/>
      <c r="M122" s="56"/>
      <c r="N122" s="56"/>
      <c r="O122" s="113"/>
      <c r="P122" s="260"/>
      <c r="Q122" s="259"/>
      <c r="R122" s="241"/>
      <c r="S122" s="240"/>
      <c r="T122" s="113"/>
      <c r="U122" s="260"/>
      <c r="V122" s="259"/>
      <c r="W122" s="241">
        <v>0.06</v>
      </c>
      <c r="X122" s="22" t="s">
        <v>210</v>
      </c>
      <c r="Y122" s="113"/>
      <c r="Z122" s="260"/>
      <c r="AA122" s="259"/>
      <c r="AB122" s="241">
        <v>0.06</v>
      </c>
      <c r="AC122" s="22" t="s">
        <v>210</v>
      </c>
      <c r="AD122" s="113"/>
      <c r="AE122" s="260"/>
      <c r="AF122" s="259"/>
      <c r="AG122" s="241">
        <f>AB122</f>
        <v>0.06</v>
      </c>
      <c r="AH122" s="22" t="s">
        <v>210</v>
      </c>
      <c r="AI122" s="156"/>
      <c r="AJ122" s="2"/>
    </row>
    <row r="123" spans="1:36" s="21" customFormat="1" x14ac:dyDescent="0.25">
      <c r="A123" s="261"/>
      <c r="B123" s="260"/>
      <c r="C123" s="259"/>
      <c r="D123" s="241">
        <v>0.14499999999999999</v>
      </c>
      <c r="E123" s="6" t="s">
        <v>244</v>
      </c>
      <c r="F123" s="113"/>
      <c r="G123" s="260"/>
      <c r="H123" s="259"/>
      <c r="I123" s="80"/>
      <c r="J123" s="113"/>
      <c r="K123" s="260"/>
      <c r="L123" s="259"/>
      <c r="M123" s="241">
        <f>D123</f>
        <v>0.14499999999999999</v>
      </c>
      <c r="N123" s="6" t="s">
        <v>244</v>
      </c>
      <c r="O123" s="113"/>
      <c r="P123" s="260"/>
      <c r="Q123" s="259"/>
      <c r="R123" s="56"/>
      <c r="S123" s="56"/>
      <c r="T123" s="113"/>
      <c r="U123" s="260"/>
      <c r="V123" s="259"/>
      <c r="W123" s="245"/>
      <c r="X123" s="18"/>
      <c r="Y123" s="113"/>
      <c r="Z123" s="260"/>
      <c r="AA123" s="259"/>
      <c r="AB123" s="16"/>
      <c r="AC123" s="18"/>
      <c r="AD123" s="113"/>
      <c r="AE123" s="260"/>
      <c r="AF123" s="259"/>
      <c r="AH123" s="240"/>
      <c r="AI123" s="156"/>
      <c r="AJ123" s="2"/>
    </row>
    <row r="124" spans="1:36" s="21" customFormat="1" x14ac:dyDescent="0.25">
      <c r="A124" s="261"/>
      <c r="B124" s="260"/>
      <c r="C124" s="259"/>
      <c r="D124" s="241">
        <f>R124-D180</f>
        <v>0.47333333333333338</v>
      </c>
      <c r="E124" s="62" t="s">
        <v>123</v>
      </c>
      <c r="F124" s="113"/>
      <c r="G124" s="260"/>
      <c r="H124" s="259"/>
      <c r="I124" s="240"/>
      <c r="J124" s="113"/>
      <c r="K124" s="260"/>
      <c r="L124" s="259"/>
      <c r="M124" s="241">
        <f>D124</f>
        <v>0.47333333333333338</v>
      </c>
      <c r="N124" s="62" t="s">
        <v>123</v>
      </c>
      <c r="O124" s="113"/>
      <c r="P124" s="260"/>
      <c r="Q124" s="259"/>
      <c r="R124" s="241">
        <v>0.62</v>
      </c>
      <c r="S124" s="62" t="s">
        <v>139</v>
      </c>
      <c r="T124" s="113"/>
      <c r="U124" s="260"/>
      <c r="V124" s="259"/>
      <c r="W124" s="241">
        <f>R124</f>
        <v>0.62</v>
      </c>
      <c r="X124" s="62" t="s">
        <v>139</v>
      </c>
      <c r="Y124" s="113"/>
      <c r="Z124" s="260"/>
      <c r="AA124" s="259"/>
      <c r="AB124" s="56"/>
      <c r="AC124" s="56"/>
      <c r="AD124" s="113"/>
      <c r="AE124" s="260"/>
      <c r="AF124" s="259"/>
      <c r="AG124" s="241"/>
      <c r="AH124" s="241"/>
      <c r="AI124" s="156"/>
      <c r="AJ124" s="2"/>
    </row>
    <row r="125" spans="1:36" s="21" customFormat="1" x14ac:dyDescent="0.25">
      <c r="A125" s="261"/>
      <c r="B125" s="260"/>
      <c r="C125" s="259"/>
      <c r="D125" s="240">
        <f>B111-D114-D118-D113-D120-D109-D111-D112-D115-D119-D121-D117-D123-D124+B107-D116-D107-D110</f>
        <v>5.8216666666666681</v>
      </c>
      <c r="E125" s="6" t="s">
        <v>25</v>
      </c>
      <c r="F125" s="113"/>
      <c r="G125" s="260"/>
      <c r="H125" s="259"/>
      <c r="I125" s="80"/>
      <c r="J125" s="113"/>
      <c r="K125" s="260"/>
      <c r="L125" s="259"/>
      <c r="M125" s="241">
        <f>K112+K111-M114-M118-M113-M120-M109-M111-M112-M115-M119-M121-M123-M117-M124+K107-M116-M107-M110-0.03</f>
        <v>6.871666666666667</v>
      </c>
      <c r="N125" s="6" t="s">
        <v>25</v>
      </c>
      <c r="O125" s="113"/>
      <c r="P125" s="260"/>
      <c r="Q125" s="259"/>
      <c r="R125" s="241">
        <f>P112+P111-R118-R113-R120-R109-R124</f>
        <v>6.1300000000000008</v>
      </c>
      <c r="S125" s="6" t="s">
        <v>25</v>
      </c>
      <c r="T125" s="113"/>
      <c r="U125" s="260"/>
      <c r="V125" s="259"/>
      <c r="W125" s="241">
        <f>U112+U110+U111-W110-W118-W113-W120-W109-W124-W122</f>
        <v>5.5700000000000012</v>
      </c>
      <c r="X125" s="6" t="s">
        <v>25</v>
      </c>
      <c r="Y125" s="113"/>
      <c r="Z125" s="260"/>
      <c r="AA125" s="259"/>
      <c r="AB125" s="241">
        <f>Z111-AB118-AB113-AB109-AB121+Z110-AB122</f>
        <v>4.9000000000000012</v>
      </c>
      <c r="AC125" s="6" t="s">
        <v>25</v>
      </c>
      <c r="AD125" s="113"/>
      <c r="AE125" s="260"/>
      <c r="AF125" s="259"/>
      <c r="AG125" s="241">
        <f>AE111-AG121-AG118-AG109-AG113-AG122</f>
        <v>5.2600000000000007</v>
      </c>
      <c r="AH125" s="6" t="s">
        <v>25</v>
      </c>
      <c r="AI125" s="156"/>
      <c r="AJ125" s="2"/>
    </row>
    <row r="126" spans="1:36" s="21" customFormat="1" x14ac:dyDescent="0.25">
      <c r="A126" s="261">
        <v>29</v>
      </c>
      <c r="B126" s="260">
        <v>1.41</v>
      </c>
      <c r="C126" s="259">
        <v>8.98</v>
      </c>
      <c r="D126" s="241">
        <f>M126</f>
        <v>7.0000000000000007E-2</v>
      </c>
      <c r="E126" s="7" t="s">
        <v>155</v>
      </c>
      <c r="F126" s="113"/>
      <c r="G126" s="260">
        <v>1.61</v>
      </c>
      <c r="H126" s="259">
        <v>8.85</v>
      </c>
      <c r="I126" s="240"/>
      <c r="J126" s="113"/>
      <c r="K126" s="260">
        <v>0.14000000000000001</v>
      </c>
      <c r="L126" s="259">
        <v>8.83</v>
      </c>
      <c r="M126" s="241">
        <v>7.0000000000000007E-2</v>
      </c>
      <c r="N126" s="7" t="s">
        <v>155</v>
      </c>
      <c r="O126" s="113"/>
      <c r="P126" s="260">
        <v>0.31</v>
      </c>
      <c r="Q126" s="259">
        <v>9.2899999999999991</v>
      </c>
      <c r="R126" s="241"/>
      <c r="S126" s="240"/>
      <c r="T126" s="113"/>
      <c r="U126" s="260">
        <v>0.2</v>
      </c>
      <c r="V126" s="259">
        <v>8.91</v>
      </c>
      <c r="W126" s="241"/>
      <c r="X126" s="240"/>
      <c r="Y126" s="113"/>
      <c r="Z126" s="260">
        <v>0.35</v>
      </c>
      <c r="AA126" s="259">
        <v>9.19</v>
      </c>
      <c r="AB126" s="241">
        <f>Z126</f>
        <v>0.35</v>
      </c>
      <c r="AC126" s="14" t="s">
        <v>113</v>
      </c>
      <c r="AD126" s="113"/>
      <c r="AE126" s="241">
        <v>0.12</v>
      </c>
      <c r="AF126" s="240">
        <v>9.1199999999999992</v>
      </c>
      <c r="AG126" s="241">
        <f>AE126</f>
        <v>0.12</v>
      </c>
      <c r="AH126" s="14" t="s">
        <v>113</v>
      </c>
      <c r="AI126" s="156"/>
    </row>
    <row r="127" spans="1:36" s="21" customFormat="1" x14ac:dyDescent="0.25">
      <c r="A127" s="261"/>
      <c r="B127" s="260"/>
      <c r="C127" s="259"/>
      <c r="D127" s="241">
        <f>M127</f>
        <v>0.1</v>
      </c>
      <c r="E127" s="7" t="s">
        <v>72</v>
      </c>
      <c r="F127" s="113"/>
      <c r="G127" s="260"/>
      <c r="H127" s="259"/>
      <c r="I127" s="240"/>
      <c r="J127" s="113"/>
      <c r="K127" s="260"/>
      <c r="L127" s="259"/>
      <c r="M127" s="241">
        <v>0.1</v>
      </c>
      <c r="N127" s="7" t="s">
        <v>72</v>
      </c>
      <c r="O127" s="113"/>
      <c r="P127" s="260"/>
      <c r="Q127" s="259"/>
      <c r="R127" s="241">
        <f>P126</f>
        <v>0.31</v>
      </c>
      <c r="S127" s="7" t="s">
        <v>72</v>
      </c>
      <c r="T127" s="113"/>
      <c r="U127" s="260"/>
      <c r="V127" s="259"/>
      <c r="W127" s="241">
        <f>U126</f>
        <v>0.2</v>
      </c>
      <c r="X127" s="7" t="s">
        <v>72</v>
      </c>
      <c r="Y127" s="113"/>
      <c r="Z127" s="260"/>
      <c r="AA127" s="259"/>
      <c r="AB127" s="241">
        <f>Z128</f>
        <v>0.24</v>
      </c>
      <c r="AC127" s="7" t="s">
        <v>72</v>
      </c>
      <c r="AD127" s="113"/>
      <c r="AE127" s="241">
        <v>0.12</v>
      </c>
      <c r="AF127" s="240">
        <v>9.1300000000000008</v>
      </c>
      <c r="AG127" s="241">
        <f>AE127</f>
        <v>0.12</v>
      </c>
      <c r="AH127" s="7" t="s">
        <v>72</v>
      </c>
      <c r="AI127" s="156"/>
    </row>
    <row r="128" spans="1:36" s="21" customFormat="1" x14ac:dyDescent="0.25">
      <c r="A128" s="261"/>
      <c r="B128" s="260"/>
      <c r="C128" s="259"/>
      <c r="D128" s="240"/>
      <c r="E128" s="240"/>
      <c r="F128" s="113"/>
      <c r="G128" s="260"/>
      <c r="H128" s="259"/>
      <c r="I128" s="240"/>
      <c r="J128" s="113"/>
      <c r="K128" s="260">
        <v>1.92</v>
      </c>
      <c r="L128" s="259">
        <v>8.9</v>
      </c>
      <c r="M128" s="241"/>
      <c r="N128" s="240"/>
      <c r="O128" s="113"/>
      <c r="P128" s="260">
        <v>0.91</v>
      </c>
      <c r="Q128" s="259">
        <v>9.3800000000000008</v>
      </c>
      <c r="R128" s="241">
        <f>P128</f>
        <v>0.91</v>
      </c>
      <c r="S128" s="249" t="s">
        <v>164</v>
      </c>
      <c r="T128" s="113"/>
      <c r="U128" s="241">
        <v>0.34</v>
      </c>
      <c r="V128" s="240">
        <v>8.9600000000000009</v>
      </c>
      <c r="W128" s="241">
        <f>U128+U129</f>
        <v>0.87000000000000011</v>
      </c>
      <c r="X128" s="249" t="s">
        <v>164</v>
      </c>
      <c r="Y128" s="113"/>
      <c r="Z128" s="260">
        <v>0.24</v>
      </c>
      <c r="AA128" s="259">
        <v>9.3000000000000007</v>
      </c>
      <c r="AB128" s="241"/>
      <c r="AC128" s="240"/>
      <c r="AD128" s="113"/>
      <c r="AE128" s="260">
        <v>0.23</v>
      </c>
      <c r="AF128" s="259">
        <v>9.18</v>
      </c>
      <c r="AG128" s="241"/>
      <c r="AH128" s="241"/>
      <c r="AI128" s="156"/>
    </row>
    <row r="129" spans="1:35" s="21" customFormat="1" x14ac:dyDescent="0.25">
      <c r="A129" s="261"/>
      <c r="B129" s="260"/>
      <c r="C129" s="259"/>
      <c r="D129" s="240">
        <f>B126-D126-D127</f>
        <v>1.2399999999999998</v>
      </c>
      <c r="E129" s="249" t="s">
        <v>477</v>
      </c>
      <c r="F129" s="113"/>
      <c r="G129" s="260"/>
      <c r="H129" s="259"/>
      <c r="I129" s="240"/>
      <c r="J129" s="113"/>
      <c r="K129" s="260"/>
      <c r="L129" s="259"/>
      <c r="M129" s="241">
        <f>K128</f>
        <v>1.92</v>
      </c>
      <c r="N129" s="249" t="s">
        <v>271</v>
      </c>
      <c r="O129" s="113"/>
      <c r="P129" s="260"/>
      <c r="Q129" s="259"/>
      <c r="R129" s="56"/>
      <c r="S129" s="56"/>
      <c r="T129" s="113"/>
      <c r="U129" s="241">
        <v>0.53</v>
      </c>
      <c r="V129" s="240">
        <v>8.98</v>
      </c>
      <c r="W129" s="241">
        <f>U158</f>
        <v>0.27</v>
      </c>
      <c r="X129" s="75" t="s">
        <v>330</v>
      </c>
      <c r="Y129" s="113"/>
      <c r="Z129" s="260"/>
      <c r="AA129" s="259"/>
      <c r="AB129" s="241">
        <f>Z158</f>
        <v>0.36</v>
      </c>
      <c r="AC129" s="75" t="s">
        <v>45</v>
      </c>
      <c r="AD129" s="113"/>
      <c r="AE129" s="260"/>
      <c r="AF129" s="259"/>
      <c r="AG129" s="241"/>
      <c r="AH129" s="241"/>
      <c r="AI129" s="156"/>
    </row>
    <row r="130" spans="1:35" s="21" customFormat="1" x14ac:dyDescent="0.25">
      <c r="A130" s="261">
        <v>30</v>
      </c>
      <c r="B130" s="260">
        <v>1.43</v>
      </c>
      <c r="C130" s="259">
        <v>9.17</v>
      </c>
      <c r="D130" s="240">
        <f>(B130-D131-D134-D132)</f>
        <v>1.1199999999999999</v>
      </c>
      <c r="E130" s="7" t="s">
        <v>478</v>
      </c>
      <c r="F130" s="113"/>
      <c r="G130" s="260"/>
      <c r="H130" s="259"/>
      <c r="I130" s="240"/>
      <c r="J130" s="113"/>
      <c r="K130" s="241">
        <v>0.25</v>
      </c>
      <c r="L130" s="240">
        <v>9.07</v>
      </c>
      <c r="M130" s="241">
        <f>K131</f>
        <v>7.0000000000000007E-2</v>
      </c>
      <c r="N130" s="7" t="s">
        <v>173</v>
      </c>
      <c r="O130" s="113"/>
      <c r="P130" s="241">
        <v>0.23</v>
      </c>
      <c r="Q130" s="240">
        <v>9.5</v>
      </c>
      <c r="R130" s="56"/>
      <c r="S130" s="56"/>
      <c r="T130" s="113"/>
      <c r="U130" s="241">
        <v>0.22</v>
      </c>
      <c r="V130" s="240">
        <v>9.08</v>
      </c>
      <c r="W130" s="19">
        <f>U130</f>
        <v>0.22</v>
      </c>
      <c r="X130" s="75" t="s">
        <v>318</v>
      </c>
      <c r="Y130" s="113"/>
      <c r="Z130" s="241">
        <v>0.21</v>
      </c>
      <c r="AA130" s="240">
        <v>9.4</v>
      </c>
      <c r="AB130" s="56"/>
      <c r="AC130" s="56"/>
      <c r="AD130" s="113"/>
      <c r="AE130" s="241">
        <v>0.02</v>
      </c>
      <c r="AF130" s="240">
        <v>9.32</v>
      </c>
      <c r="AG130" s="241"/>
      <c r="AH130" s="241"/>
      <c r="AI130" s="156"/>
    </row>
    <row r="131" spans="1:35" s="21" customFormat="1" x14ac:dyDescent="0.25">
      <c r="A131" s="261"/>
      <c r="B131" s="260"/>
      <c r="C131" s="259"/>
      <c r="D131" s="241">
        <v>0.03</v>
      </c>
      <c r="E131" s="59" t="s">
        <v>110</v>
      </c>
      <c r="F131" s="113"/>
      <c r="G131" s="260">
        <v>0.83</v>
      </c>
      <c r="H131" s="259">
        <v>9.0299999999999994</v>
      </c>
      <c r="I131" s="240"/>
      <c r="J131" s="113"/>
      <c r="K131" s="260">
        <v>7.0000000000000007E-2</v>
      </c>
      <c r="L131" s="259">
        <v>9.11</v>
      </c>
      <c r="M131" s="241">
        <f>D131</f>
        <v>0.03</v>
      </c>
      <c r="N131" s="59" t="s">
        <v>110</v>
      </c>
      <c r="O131" s="113"/>
      <c r="P131" s="260">
        <v>0.1</v>
      </c>
      <c r="Q131" s="259">
        <v>9.56</v>
      </c>
      <c r="R131" s="241">
        <v>0.03</v>
      </c>
      <c r="S131" s="59" t="s">
        <v>110</v>
      </c>
      <c r="T131" s="113"/>
      <c r="U131" s="260">
        <v>0.21</v>
      </c>
      <c r="V131" s="259">
        <v>9.1300000000000008</v>
      </c>
      <c r="W131" s="241">
        <f>R131</f>
        <v>0.03</v>
      </c>
      <c r="X131" s="59" t="s">
        <v>110</v>
      </c>
      <c r="Y131" s="113"/>
      <c r="Z131" s="260">
        <v>0.18</v>
      </c>
      <c r="AA131" s="259">
        <v>9.4600000000000009</v>
      </c>
      <c r="AB131" s="241">
        <v>0.03</v>
      </c>
      <c r="AC131" s="59" t="s">
        <v>110</v>
      </c>
      <c r="AD131" s="113"/>
      <c r="AE131" s="260">
        <v>0.13</v>
      </c>
      <c r="AF131" s="259">
        <v>9.35</v>
      </c>
      <c r="AG131" s="241">
        <f>AE130</f>
        <v>0.02</v>
      </c>
      <c r="AH131" s="59" t="s">
        <v>110</v>
      </c>
      <c r="AI131" s="156"/>
    </row>
    <row r="132" spans="1:35" s="21" customFormat="1" x14ac:dyDescent="0.25">
      <c r="A132" s="261"/>
      <c r="B132" s="260"/>
      <c r="C132" s="259"/>
      <c r="D132" s="241">
        <f>M132</f>
        <v>0.25</v>
      </c>
      <c r="E132" s="249" t="s">
        <v>271</v>
      </c>
      <c r="F132" s="113"/>
      <c r="G132" s="260"/>
      <c r="H132" s="259"/>
      <c r="I132" s="240"/>
      <c r="J132" s="113"/>
      <c r="K132" s="260"/>
      <c r="L132" s="259"/>
      <c r="M132" s="241">
        <f>K130</f>
        <v>0.25</v>
      </c>
      <c r="N132" s="249" t="s">
        <v>271</v>
      </c>
      <c r="O132" s="113"/>
      <c r="P132" s="260"/>
      <c r="Q132" s="259"/>
      <c r="R132" s="241">
        <f>P131/3</f>
        <v>3.3333333333333333E-2</v>
      </c>
      <c r="S132" s="77" t="s">
        <v>164</v>
      </c>
      <c r="T132" s="113"/>
      <c r="U132" s="260"/>
      <c r="V132" s="259"/>
      <c r="W132" s="241">
        <f>R132</f>
        <v>3.3333333333333333E-2</v>
      </c>
      <c r="X132" s="77" t="s">
        <v>164</v>
      </c>
      <c r="Y132" s="113"/>
      <c r="Z132" s="260"/>
      <c r="AA132" s="259"/>
      <c r="AB132" s="241"/>
      <c r="AC132" s="240"/>
      <c r="AD132" s="113"/>
      <c r="AE132" s="260"/>
      <c r="AF132" s="259"/>
      <c r="AG132" s="241"/>
      <c r="AH132" s="240"/>
      <c r="AI132" s="156"/>
    </row>
    <row r="133" spans="1:35" s="21" customFormat="1" x14ac:dyDescent="0.25">
      <c r="A133" s="261"/>
      <c r="B133" s="260"/>
      <c r="C133" s="259"/>
      <c r="D133" s="56"/>
      <c r="E133" s="56"/>
      <c r="F133" s="113"/>
      <c r="G133" s="260"/>
      <c r="H133" s="259"/>
      <c r="I133" s="240"/>
      <c r="J133" s="113"/>
      <c r="K133" s="260">
        <v>0.06</v>
      </c>
      <c r="L133" s="259">
        <v>9.15</v>
      </c>
      <c r="M133" s="56"/>
      <c r="N133" s="56"/>
      <c r="O133" s="113"/>
      <c r="P133" s="260"/>
      <c r="Q133" s="259"/>
      <c r="R133" s="56"/>
      <c r="S133" s="56"/>
      <c r="T133" s="113"/>
      <c r="U133" s="260"/>
      <c r="V133" s="259"/>
      <c r="W133" s="56"/>
      <c r="X133" s="56"/>
      <c r="Y133" s="113"/>
      <c r="Z133" s="260"/>
      <c r="AA133" s="259"/>
      <c r="AB133" s="56"/>
      <c r="AC133" s="56"/>
      <c r="AD133" s="113"/>
      <c r="AE133" s="260"/>
      <c r="AF133" s="259"/>
      <c r="AG133" s="241"/>
      <c r="AH133" s="56"/>
      <c r="AI133" s="156"/>
    </row>
    <row r="134" spans="1:35" s="21" customFormat="1" x14ac:dyDescent="0.25">
      <c r="A134" s="261"/>
      <c r="B134" s="260"/>
      <c r="C134" s="259"/>
      <c r="D134" s="241">
        <v>0.03</v>
      </c>
      <c r="E134" s="249" t="s">
        <v>111</v>
      </c>
      <c r="F134" s="113"/>
      <c r="G134" s="260"/>
      <c r="H134" s="259"/>
      <c r="I134" s="240"/>
      <c r="J134" s="113"/>
      <c r="K134" s="260"/>
      <c r="L134" s="259"/>
      <c r="M134" s="241">
        <f>D134</f>
        <v>0.03</v>
      </c>
      <c r="N134" s="249" t="s">
        <v>111</v>
      </c>
      <c r="O134" s="113"/>
      <c r="P134" s="260"/>
      <c r="Q134" s="259"/>
      <c r="R134" s="241">
        <v>0.03</v>
      </c>
      <c r="S134" s="249" t="s">
        <v>111</v>
      </c>
      <c r="T134" s="113"/>
      <c r="U134" s="260"/>
      <c r="V134" s="259"/>
      <c r="W134" s="241">
        <f>U131-W132-W131</f>
        <v>0.14666666666666667</v>
      </c>
      <c r="X134" s="249" t="s">
        <v>111</v>
      </c>
      <c r="Y134" s="113"/>
      <c r="Z134" s="260"/>
      <c r="AA134" s="259"/>
      <c r="AB134" s="241">
        <v>0.18</v>
      </c>
      <c r="AC134" s="249" t="s">
        <v>111</v>
      </c>
      <c r="AD134" s="113"/>
      <c r="AE134" s="260"/>
      <c r="AF134" s="259"/>
      <c r="AG134" s="241">
        <f>AE131</f>
        <v>0.13</v>
      </c>
      <c r="AH134" s="249" t="s">
        <v>111</v>
      </c>
      <c r="AI134" s="156"/>
    </row>
    <row r="135" spans="1:35" s="21" customFormat="1" x14ac:dyDescent="0.25">
      <c r="A135" s="261">
        <v>31</v>
      </c>
      <c r="B135" s="260">
        <v>0.61</v>
      </c>
      <c r="C135" s="259">
        <v>9.2799999999999994</v>
      </c>
      <c r="D135" s="240">
        <f>B135-D137-D136</f>
        <v>0.20999999999999996</v>
      </c>
      <c r="E135" s="7" t="s">
        <v>155</v>
      </c>
      <c r="F135" s="113"/>
      <c r="G135" s="260">
        <v>0.96</v>
      </c>
      <c r="H135" s="259">
        <v>9.14</v>
      </c>
      <c r="I135" s="240"/>
      <c r="J135" s="113"/>
      <c r="K135" s="260">
        <v>0.64</v>
      </c>
      <c r="L135" s="259">
        <v>9.23</v>
      </c>
      <c r="M135" s="241">
        <f>K135/3</f>
        <v>0.21333333333333335</v>
      </c>
      <c r="N135" s="7" t="s">
        <v>155</v>
      </c>
      <c r="O135" s="113"/>
      <c r="P135" s="260">
        <v>0.62</v>
      </c>
      <c r="Q135" s="259">
        <v>9.66</v>
      </c>
      <c r="R135" s="241"/>
      <c r="S135" s="240"/>
      <c r="T135" s="113"/>
      <c r="U135" s="260">
        <v>0.77</v>
      </c>
      <c r="V135" s="259">
        <v>9.25</v>
      </c>
      <c r="W135" s="241">
        <v>0.28999999999999998</v>
      </c>
      <c r="X135" s="75" t="s">
        <v>317</v>
      </c>
      <c r="Y135" s="113"/>
      <c r="Z135" s="260">
        <v>0.75</v>
      </c>
      <c r="AA135" s="259">
        <v>9.5399999999999991</v>
      </c>
      <c r="AB135" s="56"/>
      <c r="AC135" s="56"/>
      <c r="AD135" s="113"/>
      <c r="AE135" s="260">
        <v>0.61</v>
      </c>
      <c r="AF135" s="259">
        <v>9.4499999999999993</v>
      </c>
      <c r="AG135" s="241"/>
      <c r="AH135" s="241"/>
      <c r="AI135" s="156"/>
    </row>
    <row r="136" spans="1:35" s="21" customFormat="1" x14ac:dyDescent="0.25">
      <c r="A136" s="261"/>
      <c r="B136" s="260"/>
      <c r="C136" s="259"/>
      <c r="D136" s="241">
        <v>0.2</v>
      </c>
      <c r="E136" s="77" t="s">
        <v>231</v>
      </c>
      <c r="F136" s="113"/>
      <c r="G136" s="260"/>
      <c r="H136" s="259"/>
      <c r="I136" s="240"/>
      <c r="J136" s="113"/>
      <c r="K136" s="260"/>
      <c r="L136" s="259"/>
      <c r="M136" s="241">
        <f>M135</f>
        <v>0.21333333333333335</v>
      </c>
      <c r="N136" s="77" t="s">
        <v>231</v>
      </c>
      <c r="O136" s="113"/>
      <c r="P136" s="260"/>
      <c r="Q136" s="259"/>
      <c r="R136" s="56"/>
      <c r="S136" s="56"/>
      <c r="T136" s="113"/>
      <c r="U136" s="260"/>
      <c r="V136" s="259"/>
      <c r="W136" s="56"/>
      <c r="X136" s="56"/>
      <c r="Y136" s="113"/>
      <c r="Z136" s="260"/>
      <c r="AA136" s="259"/>
      <c r="AB136" s="56"/>
      <c r="AC136" s="56"/>
      <c r="AD136" s="113"/>
      <c r="AE136" s="260"/>
      <c r="AF136" s="259"/>
      <c r="AG136" s="241"/>
      <c r="AH136" s="241"/>
      <c r="AI136" s="156"/>
    </row>
    <row r="137" spans="1:35" s="21" customFormat="1" x14ac:dyDescent="0.25">
      <c r="A137" s="261"/>
      <c r="B137" s="260"/>
      <c r="C137" s="259"/>
      <c r="D137" s="241">
        <v>0.2</v>
      </c>
      <c r="E137" s="77" t="s">
        <v>412</v>
      </c>
      <c r="F137" s="113"/>
      <c r="G137" s="260"/>
      <c r="H137" s="259"/>
      <c r="I137" s="240"/>
      <c r="J137" s="113"/>
      <c r="K137" s="260"/>
      <c r="L137" s="259"/>
      <c r="M137" s="241">
        <f>M135</f>
        <v>0.21333333333333335</v>
      </c>
      <c r="N137" s="77" t="s">
        <v>412</v>
      </c>
      <c r="O137" s="113"/>
      <c r="P137" s="260"/>
      <c r="Q137" s="259"/>
      <c r="R137" s="241">
        <f>P135</f>
        <v>0.62</v>
      </c>
      <c r="S137" s="77" t="s">
        <v>523</v>
      </c>
      <c r="T137" s="113"/>
      <c r="U137" s="260"/>
      <c r="V137" s="259"/>
      <c r="W137" s="241">
        <f>U135-W135</f>
        <v>0.48000000000000004</v>
      </c>
      <c r="X137" s="77" t="s">
        <v>261</v>
      </c>
      <c r="Y137" s="113"/>
      <c r="Z137" s="260"/>
      <c r="AA137" s="259"/>
      <c r="AB137" s="241"/>
      <c r="AC137" s="240"/>
      <c r="AD137" s="113"/>
      <c r="AE137" s="260"/>
      <c r="AF137" s="259"/>
      <c r="AG137" s="241"/>
      <c r="AH137" s="241"/>
      <c r="AI137" s="156"/>
    </row>
    <row r="138" spans="1:35" s="21" customFormat="1" x14ac:dyDescent="0.25">
      <c r="A138" s="261">
        <v>32</v>
      </c>
      <c r="B138" s="260">
        <v>0.61</v>
      </c>
      <c r="C138" s="259">
        <v>9.4</v>
      </c>
      <c r="D138" s="241">
        <v>0.1</v>
      </c>
      <c r="E138" s="7" t="s">
        <v>156</v>
      </c>
      <c r="F138" s="113"/>
      <c r="G138" s="260">
        <v>0.73</v>
      </c>
      <c r="H138" s="259">
        <v>9.2799999999999994</v>
      </c>
      <c r="I138" s="240"/>
      <c r="J138" s="113"/>
      <c r="K138" s="260">
        <v>0.06</v>
      </c>
      <c r="L138" s="259">
        <v>9.33</v>
      </c>
      <c r="M138" s="241"/>
      <c r="N138" s="240"/>
      <c r="O138" s="113"/>
      <c r="P138" s="260">
        <v>0.1</v>
      </c>
      <c r="Q138" s="259">
        <v>9.77</v>
      </c>
      <c r="R138" s="241"/>
      <c r="S138" s="240"/>
      <c r="T138" s="113"/>
      <c r="U138" s="260">
        <v>0.06</v>
      </c>
      <c r="V138" s="259">
        <v>9.35</v>
      </c>
      <c r="W138" s="56"/>
      <c r="X138" s="56"/>
      <c r="Y138" s="113"/>
      <c r="Z138" s="260">
        <v>0.14000000000000001</v>
      </c>
      <c r="AA138" s="259">
        <v>9.65</v>
      </c>
      <c r="AB138" s="241"/>
      <c r="AC138" s="240"/>
      <c r="AD138" s="113"/>
      <c r="AE138" s="260">
        <v>0.05</v>
      </c>
      <c r="AF138" s="259">
        <v>9.5500000000000007</v>
      </c>
      <c r="AG138" s="241"/>
      <c r="AH138" s="241"/>
      <c r="AI138" s="156"/>
    </row>
    <row r="139" spans="1:35" s="21" customFormat="1" x14ac:dyDescent="0.25">
      <c r="A139" s="261"/>
      <c r="B139" s="260"/>
      <c r="C139" s="259"/>
      <c r="D139" s="241">
        <f>(B138-D143-D141-D138-D144)/3</f>
        <v>3.2222222222222228E-2</v>
      </c>
      <c r="E139" s="7" t="s">
        <v>77</v>
      </c>
      <c r="F139" s="113"/>
      <c r="G139" s="260"/>
      <c r="H139" s="259"/>
      <c r="I139" s="240"/>
      <c r="J139" s="113"/>
      <c r="K139" s="260"/>
      <c r="L139" s="259"/>
      <c r="M139" s="56"/>
      <c r="N139" s="56"/>
      <c r="O139" s="113"/>
      <c r="P139" s="260"/>
      <c r="Q139" s="259"/>
      <c r="R139" s="56"/>
      <c r="S139" s="56"/>
      <c r="T139" s="113"/>
      <c r="U139" s="260"/>
      <c r="V139" s="259"/>
      <c r="W139" s="56"/>
      <c r="X139" s="56"/>
      <c r="Y139" s="113"/>
      <c r="Z139" s="260"/>
      <c r="AA139" s="259"/>
      <c r="AB139" s="56"/>
      <c r="AC139" s="56"/>
      <c r="AD139" s="113"/>
      <c r="AE139" s="260"/>
      <c r="AF139" s="259"/>
      <c r="AG139" s="241"/>
      <c r="AH139" s="241"/>
      <c r="AI139" s="156"/>
    </row>
    <row r="140" spans="1:35" s="21" customFormat="1" x14ac:dyDescent="0.25">
      <c r="A140" s="261"/>
      <c r="B140" s="260"/>
      <c r="C140" s="259"/>
      <c r="D140" s="241">
        <v>0.03</v>
      </c>
      <c r="E140" s="7" t="s">
        <v>88</v>
      </c>
      <c r="F140" s="113"/>
      <c r="G140" s="260"/>
      <c r="H140" s="259"/>
      <c r="I140" s="240"/>
      <c r="J140" s="113"/>
      <c r="K140" s="260"/>
      <c r="L140" s="259"/>
      <c r="M140" s="56"/>
      <c r="N140" s="56"/>
      <c r="O140" s="113"/>
      <c r="P140" s="260"/>
      <c r="Q140" s="259"/>
      <c r="R140" s="56"/>
      <c r="S140" s="56"/>
      <c r="T140" s="113"/>
      <c r="U140" s="260"/>
      <c r="V140" s="259"/>
      <c r="W140" s="56"/>
      <c r="X140" s="56"/>
      <c r="Y140" s="113"/>
      <c r="Z140" s="260"/>
      <c r="AA140" s="259"/>
      <c r="AB140" s="56"/>
      <c r="AC140" s="56"/>
      <c r="AD140" s="113"/>
      <c r="AE140" s="260"/>
      <c r="AF140" s="259"/>
      <c r="AG140" s="56"/>
      <c r="AH140" s="56"/>
      <c r="AI140" s="156"/>
    </row>
    <row r="141" spans="1:35" s="21" customFormat="1" x14ac:dyDescent="0.25">
      <c r="A141" s="261"/>
      <c r="B141" s="260"/>
      <c r="C141" s="259"/>
      <c r="D141" s="241">
        <f>R141</f>
        <v>3.3333333333333333E-2</v>
      </c>
      <c r="E141" s="22" t="s">
        <v>110</v>
      </c>
      <c r="F141" s="113"/>
      <c r="G141" s="260"/>
      <c r="H141" s="259"/>
      <c r="I141" s="240"/>
      <c r="J141" s="113"/>
      <c r="K141" s="260"/>
      <c r="L141" s="259"/>
      <c r="M141" s="241">
        <f>R141</f>
        <v>3.3333333333333333E-2</v>
      </c>
      <c r="N141" s="22" t="s">
        <v>110</v>
      </c>
      <c r="O141" s="113"/>
      <c r="P141" s="260"/>
      <c r="Q141" s="259"/>
      <c r="R141" s="241">
        <f>P138/3</f>
        <v>3.3333333333333333E-2</v>
      </c>
      <c r="S141" s="22" t="s">
        <v>110</v>
      </c>
      <c r="T141" s="113"/>
      <c r="U141" s="260">
        <v>7.0000000000000007E-2</v>
      </c>
      <c r="V141" s="259">
        <v>9.3699999999999992</v>
      </c>
      <c r="W141" s="241">
        <f>U138/2</f>
        <v>0.03</v>
      </c>
      <c r="X141" s="22" t="s">
        <v>110</v>
      </c>
      <c r="Y141" s="113"/>
      <c r="Z141" s="260"/>
      <c r="AA141" s="259"/>
      <c r="AB141" s="241">
        <f>Z138-AB142</f>
        <v>7.0000000000000007E-2</v>
      </c>
      <c r="AC141" s="22" t="s">
        <v>110</v>
      </c>
      <c r="AD141" s="113"/>
      <c r="AE141" s="260"/>
      <c r="AF141" s="259"/>
      <c r="AG141" s="241">
        <f>AE138/2</f>
        <v>2.5000000000000001E-2</v>
      </c>
      <c r="AH141" s="22" t="s">
        <v>110</v>
      </c>
      <c r="AI141" s="156"/>
    </row>
    <row r="142" spans="1:35" s="21" customFormat="1" x14ac:dyDescent="0.25">
      <c r="A142" s="261"/>
      <c r="B142" s="260"/>
      <c r="C142" s="259"/>
      <c r="D142" s="241">
        <v>0.01</v>
      </c>
      <c r="E142" s="249" t="s">
        <v>87</v>
      </c>
      <c r="F142" s="113"/>
      <c r="G142" s="260"/>
      <c r="H142" s="259"/>
      <c r="I142" s="240"/>
      <c r="J142" s="113"/>
      <c r="K142" s="260"/>
      <c r="L142" s="259"/>
      <c r="M142" s="56"/>
      <c r="N142" s="56"/>
      <c r="O142" s="113"/>
      <c r="P142" s="260"/>
      <c r="Q142" s="259"/>
      <c r="R142" s="241"/>
      <c r="S142" s="240"/>
      <c r="T142" s="113"/>
      <c r="U142" s="260"/>
      <c r="V142" s="259"/>
      <c r="W142" s="241">
        <f>U141</f>
        <v>7.0000000000000007E-2</v>
      </c>
      <c r="X142" s="75" t="s">
        <v>180</v>
      </c>
      <c r="Y142" s="113"/>
      <c r="Z142" s="260"/>
      <c r="AA142" s="259"/>
      <c r="AB142" s="241">
        <f>W142</f>
        <v>7.0000000000000007E-2</v>
      </c>
      <c r="AC142" s="75" t="s">
        <v>180</v>
      </c>
      <c r="AD142" s="113"/>
      <c r="AE142" s="260"/>
      <c r="AF142" s="259"/>
      <c r="AG142" s="241">
        <f>AG141</f>
        <v>2.5000000000000001E-2</v>
      </c>
      <c r="AH142" s="75" t="s">
        <v>180</v>
      </c>
      <c r="AI142" s="156"/>
    </row>
    <row r="143" spans="1:35" s="21" customFormat="1" x14ac:dyDescent="0.25">
      <c r="A143" s="261"/>
      <c r="B143" s="260"/>
      <c r="C143" s="259"/>
      <c r="D143" s="240">
        <v>0.35</v>
      </c>
      <c r="E143" s="62" t="s">
        <v>262</v>
      </c>
      <c r="F143" s="113"/>
      <c r="G143" s="260"/>
      <c r="H143" s="259"/>
      <c r="I143" s="240"/>
      <c r="J143" s="113"/>
      <c r="K143" s="260"/>
      <c r="L143" s="259"/>
      <c r="M143" s="56"/>
      <c r="N143" s="56"/>
      <c r="O143" s="113"/>
      <c r="P143" s="260"/>
      <c r="Q143" s="259"/>
      <c r="R143" s="245"/>
      <c r="S143" s="246"/>
      <c r="T143" s="113"/>
      <c r="U143" s="260"/>
      <c r="V143" s="259"/>
      <c r="W143" s="245"/>
      <c r="X143" s="246"/>
      <c r="Y143" s="113"/>
      <c r="Z143" s="260"/>
      <c r="AA143" s="259"/>
      <c r="AB143" s="241"/>
      <c r="AC143" s="240"/>
      <c r="AD143" s="113"/>
      <c r="AE143" s="260"/>
      <c r="AF143" s="259"/>
      <c r="AG143" s="241"/>
      <c r="AH143" s="241"/>
      <c r="AI143" s="156"/>
    </row>
    <row r="144" spans="1:35" s="21" customFormat="1" x14ac:dyDescent="0.25">
      <c r="A144" s="261"/>
      <c r="B144" s="260"/>
      <c r="C144" s="259"/>
      <c r="D144" s="241">
        <f>R144</f>
        <v>0.03</v>
      </c>
      <c r="E144" s="75" t="s">
        <v>438</v>
      </c>
      <c r="F144" s="113"/>
      <c r="G144" s="260"/>
      <c r="H144" s="259"/>
      <c r="I144" s="240"/>
      <c r="J144" s="113"/>
      <c r="K144" s="260"/>
      <c r="L144" s="259"/>
      <c r="M144" s="241">
        <f>R144</f>
        <v>0.03</v>
      </c>
      <c r="N144" s="75" t="s">
        <v>438</v>
      </c>
      <c r="O144" s="113"/>
      <c r="P144" s="260"/>
      <c r="Q144" s="259"/>
      <c r="R144" s="241">
        <v>0.03</v>
      </c>
      <c r="S144" s="75" t="s">
        <v>142</v>
      </c>
      <c r="T144" s="113"/>
      <c r="U144" s="260"/>
      <c r="V144" s="259"/>
      <c r="W144" s="241"/>
      <c r="X144" s="19"/>
      <c r="Y144" s="113"/>
      <c r="Z144" s="260"/>
      <c r="AA144" s="259"/>
      <c r="AB144" s="241"/>
      <c r="AC144" s="240"/>
      <c r="AD144" s="113"/>
      <c r="AE144" s="260"/>
      <c r="AF144" s="259"/>
      <c r="AG144" s="241"/>
      <c r="AH144" s="241"/>
      <c r="AI144" s="156"/>
    </row>
    <row r="145" spans="1:35" s="21" customFormat="1" x14ac:dyDescent="0.25">
      <c r="A145" s="261">
        <v>33</v>
      </c>
      <c r="B145" s="260">
        <v>3.38</v>
      </c>
      <c r="C145" s="259">
        <v>9.5</v>
      </c>
      <c r="D145" s="241">
        <v>0.01</v>
      </c>
      <c r="E145" s="7" t="s">
        <v>155</v>
      </c>
      <c r="F145" s="113"/>
      <c r="G145" s="260">
        <v>3.06</v>
      </c>
      <c r="H145" s="259">
        <v>9.4499999999999993</v>
      </c>
      <c r="I145" s="240"/>
      <c r="J145" s="113"/>
      <c r="K145" s="260">
        <v>5.68</v>
      </c>
      <c r="L145" s="259">
        <v>9.4499999999999993</v>
      </c>
      <c r="M145" s="241">
        <v>0.01</v>
      </c>
      <c r="N145" s="7" t="s">
        <v>155</v>
      </c>
      <c r="O145" s="113"/>
      <c r="P145" s="260">
        <v>3.37</v>
      </c>
      <c r="Q145" s="259">
        <v>9.89</v>
      </c>
      <c r="R145" s="241"/>
      <c r="S145" s="240"/>
      <c r="T145" s="113"/>
      <c r="U145" s="260">
        <v>3.77</v>
      </c>
      <c r="V145" s="259">
        <v>9.4700000000000006</v>
      </c>
      <c r="W145" s="241"/>
      <c r="X145" s="240"/>
      <c r="Y145" s="113"/>
      <c r="Z145" s="260">
        <v>2.91</v>
      </c>
      <c r="AA145" s="259">
        <v>9.77</v>
      </c>
      <c r="AB145" s="241"/>
      <c r="AC145" s="240"/>
      <c r="AD145" s="113"/>
      <c r="AE145" s="260">
        <v>3.32</v>
      </c>
      <c r="AF145" s="259">
        <v>9.69</v>
      </c>
      <c r="AG145" s="241"/>
      <c r="AH145" s="241"/>
      <c r="AI145" s="156"/>
    </row>
    <row r="146" spans="1:35" s="21" customFormat="1" x14ac:dyDescent="0.25">
      <c r="A146" s="261"/>
      <c r="B146" s="260"/>
      <c r="C146" s="259"/>
      <c r="D146" s="241">
        <v>0.09</v>
      </c>
      <c r="E146" s="249" t="s">
        <v>477</v>
      </c>
      <c r="F146" s="113"/>
      <c r="G146" s="260"/>
      <c r="H146" s="259"/>
      <c r="I146" s="240"/>
      <c r="J146" s="113"/>
      <c r="K146" s="260"/>
      <c r="L146" s="259"/>
      <c r="M146" s="241">
        <f>(K145-M149-M150-M151-M145)/2</f>
        <v>1.1999999999999997</v>
      </c>
      <c r="N146" s="249" t="s">
        <v>271</v>
      </c>
      <c r="O146" s="113"/>
      <c r="P146" s="260"/>
      <c r="Q146" s="259"/>
      <c r="R146" s="241"/>
      <c r="S146" s="56"/>
      <c r="T146" s="113"/>
      <c r="U146" s="260"/>
      <c r="V146" s="259"/>
      <c r="W146" s="241"/>
      <c r="X146" s="56"/>
      <c r="Y146" s="113"/>
      <c r="Z146" s="260"/>
      <c r="AA146" s="259"/>
      <c r="AB146" s="241"/>
      <c r="AC146" s="56"/>
      <c r="AD146" s="113"/>
      <c r="AE146" s="260"/>
      <c r="AF146" s="259"/>
      <c r="AG146" s="241"/>
      <c r="AH146" s="241"/>
      <c r="AI146" s="156"/>
    </row>
    <row r="147" spans="1:35" s="21" customFormat="1" x14ac:dyDescent="0.25">
      <c r="A147" s="261"/>
      <c r="B147" s="260"/>
      <c r="C147" s="259"/>
      <c r="D147" s="241">
        <v>0.01</v>
      </c>
      <c r="E147" s="249" t="s">
        <v>494</v>
      </c>
      <c r="F147" s="113"/>
      <c r="G147" s="260"/>
      <c r="H147" s="259"/>
      <c r="I147" s="240"/>
      <c r="J147" s="113"/>
      <c r="K147" s="260"/>
      <c r="L147" s="259"/>
      <c r="M147" s="241">
        <f>M146</f>
        <v>1.1999999999999997</v>
      </c>
      <c r="N147" s="249" t="s">
        <v>91</v>
      </c>
      <c r="O147" s="113"/>
      <c r="P147" s="260"/>
      <c r="Q147" s="259"/>
      <c r="R147" s="241">
        <v>0.1</v>
      </c>
      <c r="S147" s="22" t="s">
        <v>356</v>
      </c>
      <c r="T147" s="113"/>
      <c r="U147" s="260"/>
      <c r="V147" s="259"/>
      <c r="W147" s="241">
        <f>R147</f>
        <v>0.1</v>
      </c>
      <c r="X147" s="22" t="s">
        <v>356</v>
      </c>
      <c r="Y147" s="113"/>
      <c r="Z147" s="260"/>
      <c r="AA147" s="259"/>
      <c r="AB147" s="241"/>
      <c r="AC147" s="56"/>
      <c r="AD147" s="113"/>
      <c r="AE147" s="260"/>
      <c r="AF147" s="259"/>
      <c r="AG147" s="241"/>
      <c r="AH147" s="241"/>
      <c r="AI147" s="156"/>
    </row>
    <row r="148" spans="1:35" s="21" customFormat="1" x14ac:dyDescent="0.25">
      <c r="A148" s="261"/>
      <c r="B148" s="260"/>
      <c r="C148" s="259"/>
      <c r="D148" s="56"/>
      <c r="E148" s="56"/>
      <c r="F148" s="113"/>
      <c r="G148" s="260"/>
      <c r="H148" s="259"/>
      <c r="I148" s="240"/>
      <c r="J148" s="113"/>
      <c r="K148" s="260"/>
      <c r="L148" s="259"/>
      <c r="M148" s="56"/>
      <c r="N148" s="56"/>
      <c r="O148" s="113"/>
      <c r="P148" s="260"/>
      <c r="Q148" s="259"/>
      <c r="R148" s="241"/>
      <c r="S148" s="56"/>
      <c r="T148" s="113"/>
      <c r="U148" s="260"/>
      <c r="V148" s="259"/>
      <c r="W148" s="241"/>
      <c r="X148" s="56"/>
      <c r="Y148" s="113"/>
      <c r="Z148" s="260"/>
      <c r="AA148" s="259"/>
      <c r="AB148" s="241"/>
      <c r="AC148" s="56"/>
      <c r="AD148" s="113"/>
      <c r="AE148" s="260"/>
      <c r="AF148" s="259"/>
      <c r="AG148" s="241"/>
      <c r="AH148" s="241"/>
      <c r="AI148" s="156"/>
    </row>
    <row r="149" spans="1:35" s="21" customFormat="1" x14ac:dyDescent="0.25">
      <c r="A149" s="261"/>
      <c r="B149" s="260"/>
      <c r="C149" s="259"/>
      <c r="D149" s="241">
        <f>R149</f>
        <v>0.15</v>
      </c>
      <c r="E149" s="249" t="s">
        <v>355</v>
      </c>
      <c r="F149" s="113"/>
      <c r="G149" s="260"/>
      <c r="H149" s="259"/>
      <c r="I149" s="240"/>
      <c r="J149" s="113"/>
      <c r="K149" s="260"/>
      <c r="L149" s="259"/>
      <c r="M149" s="241">
        <f>R149</f>
        <v>0.15</v>
      </c>
      <c r="N149" s="249" t="s">
        <v>355</v>
      </c>
      <c r="O149" s="113"/>
      <c r="P149" s="260"/>
      <c r="Q149" s="259"/>
      <c r="R149" s="241">
        <f>AB134-R134</f>
        <v>0.15</v>
      </c>
      <c r="S149" s="249" t="s">
        <v>355</v>
      </c>
      <c r="T149" s="113"/>
      <c r="U149" s="260"/>
      <c r="V149" s="259"/>
      <c r="W149" s="241">
        <f>R149</f>
        <v>0.15</v>
      </c>
      <c r="X149" s="249" t="s">
        <v>355</v>
      </c>
      <c r="Y149" s="113"/>
      <c r="Z149" s="260"/>
      <c r="AA149" s="259"/>
      <c r="AB149" s="241"/>
      <c r="AC149" s="56"/>
      <c r="AD149" s="113"/>
      <c r="AE149" s="260"/>
      <c r="AF149" s="259"/>
      <c r="AG149" s="241"/>
      <c r="AH149" s="241"/>
      <c r="AI149" s="156"/>
    </row>
    <row r="150" spans="1:35" s="21" customFormat="1" x14ac:dyDescent="0.25">
      <c r="A150" s="261"/>
      <c r="B150" s="260"/>
      <c r="C150" s="259"/>
      <c r="D150" s="241">
        <f>R150</f>
        <v>0.34</v>
      </c>
      <c r="E150" s="14" t="s">
        <v>351</v>
      </c>
      <c r="F150" s="113"/>
      <c r="G150" s="260"/>
      <c r="H150" s="259"/>
      <c r="I150" s="240"/>
      <c r="J150" s="113"/>
      <c r="K150" s="260"/>
      <c r="L150" s="259"/>
      <c r="M150" s="241">
        <f>R150</f>
        <v>0.34</v>
      </c>
      <c r="N150" s="14" t="s">
        <v>351</v>
      </c>
      <c r="O150" s="113"/>
      <c r="P150" s="260"/>
      <c r="Q150" s="259"/>
      <c r="R150" s="241">
        <v>0.34</v>
      </c>
      <c r="S150" s="14" t="s">
        <v>351</v>
      </c>
      <c r="T150" s="113"/>
      <c r="U150" s="260"/>
      <c r="V150" s="259"/>
      <c r="W150" s="241">
        <v>0.34</v>
      </c>
      <c r="X150" s="14" t="s">
        <v>351</v>
      </c>
      <c r="Y150" s="113"/>
      <c r="Z150" s="260"/>
      <c r="AA150" s="259"/>
      <c r="AB150" s="241"/>
      <c r="AC150" s="240"/>
      <c r="AD150" s="113"/>
      <c r="AE150" s="260"/>
      <c r="AF150" s="259"/>
      <c r="AG150" s="241"/>
      <c r="AH150" s="241"/>
      <c r="AI150" s="156"/>
    </row>
    <row r="151" spans="1:35" s="21" customFormat="1" x14ac:dyDescent="0.25">
      <c r="A151" s="261"/>
      <c r="B151" s="260"/>
      <c r="C151" s="259"/>
      <c r="D151" s="240">
        <f>B145+B152+B158-D159-D154-D153-D155-D150-D149-D145-D147-D146</f>
        <v>4.8599999999999985</v>
      </c>
      <c r="E151" s="6" t="s">
        <v>26</v>
      </c>
      <c r="F151" s="113"/>
      <c r="G151" s="260"/>
      <c r="H151" s="259"/>
      <c r="I151" s="80"/>
      <c r="J151" s="113"/>
      <c r="K151" s="260"/>
      <c r="L151" s="259"/>
      <c r="M151" s="241">
        <f>R151</f>
        <v>2.7800000000000002</v>
      </c>
      <c r="N151" s="6" t="s">
        <v>26</v>
      </c>
      <c r="O151" s="113"/>
      <c r="P151" s="260"/>
      <c r="Q151" s="259"/>
      <c r="R151" s="241">
        <f>P145-R147-R149-R150</f>
        <v>2.7800000000000002</v>
      </c>
      <c r="S151" s="6" t="s">
        <v>26</v>
      </c>
      <c r="T151" s="113"/>
      <c r="U151" s="260"/>
      <c r="V151" s="259"/>
      <c r="W151" s="241">
        <f>U145-W149-W150-W147</f>
        <v>3.18</v>
      </c>
      <c r="X151" s="6" t="s">
        <v>26</v>
      </c>
      <c r="Y151" s="113"/>
      <c r="Z151" s="260"/>
      <c r="AA151" s="259"/>
      <c r="AB151" s="241">
        <f>Z145</f>
        <v>2.91</v>
      </c>
      <c r="AC151" s="6" t="s">
        <v>26</v>
      </c>
      <c r="AD151" s="113"/>
      <c r="AE151" s="260"/>
      <c r="AF151" s="259"/>
      <c r="AG151" s="241">
        <f>AE145</f>
        <v>3.32</v>
      </c>
      <c r="AH151" s="6" t="s">
        <v>26</v>
      </c>
      <c r="AI151" s="156"/>
    </row>
    <row r="152" spans="1:35" s="21" customFormat="1" x14ac:dyDescent="0.25">
      <c r="A152" s="261">
        <v>34</v>
      </c>
      <c r="B152" s="260">
        <v>4.71</v>
      </c>
      <c r="C152" s="259">
        <v>9.59</v>
      </c>
      <c r="D152" s="56"/>
      <c r="E152" s="56"/>
      <c r="F152" s="113"/>
      <c r="G152" s="260"/>
      <c r="H152" s="259"/>
      <c r="I152" s="240"/>
      <c r="J152" s="113"/>
      <c r="K152" s="260">
        <v>1.93</v>
      </c>
      <c r="L152" s="259">
        <v>9.51</v>
      </c>
      <c r="M152" s="56"/>
      <c r="N152" s="56"/>
      <c r="O152" s="113"/>
      <c r="P152" s="260">
        <v>0.13</v>
      </c>
      <c r="Q152" s="259">
        <v>10.06</v>
      </c>
      <c r="R152" s="56"/>
      <c r="S152" s="56"/>
      <c r="T152" s="113"/>
      <c r="U152" s="260">
        <v>0.31</v>
      </c>
      <c r="V152" s="259">
        <v>9.65</v>
      </c>
      <c r="W152" s="241"/>
      <c r="X152" s="240"/>
      <c r="Y152" s="113"/>
      <c r="Z152" s="260">
        <v>0.39</v>
      </c>
      <c r="AA152" s="259">
        <v>9.91</v>
      </c>
      <c r="AB152" s="241"/>
      <c r="AC152" s="240"/>
      <c r="AD152" s="113"/>
      <c r="AE152" s="241">
        <v>0.05</v>
      </c>
      <c r="AF152" s="240">
        <v>9.85</v>
      </c>
      <c r="AG152" s="241"/>
      <c r="AH152" s="241"/>
      <c r="AI152" s="156"/>
    </row>
    <row r="153" spans="1:35" s="21" customFormat="1" x14ac:dyDescent="0.25">
      <c r="A153" s="261"/>
      <c r="B153" s="260"/>
      <c r="C153" s="259"/>
      <c r="D153" s="240">
        <f>M153</f>
        <v>0.61</v>
      </c>
      <c r="E153" s="7" t="s">
        <v>155</v>
      </c>
      <c r="F153" s="113"/>
      <c r="G153" s="260"/>
      <c r="H153" s="259"/>
      <c r="I153" s="240"/>
      <c r="J153" s="113"/>
      <c r="K153" s="260"/>
      <c r="L153" s="259"/>
      <c r="M153" s="241">
        <f>M155</f>
        <v>0.61</v>
      </c>
      <c r="N153" s="7" t="s">
        <v>155</v>
      </c>
      <c r="O153" s="113"/>
      <c r="P153" s="260"/>
      <c r="Q153" s="259"/>
      <c r="R153" s="56"/>
      <c r="S153" s="56"/>
      <c r="T153" s="113"/>
      <c r="U153" s="260"/>
      <c r="V153" s="259"/>
      <c r="W153" s="241"/>
      <c r="X153" s="240"/>
      <c r="Y153" s="113"/>
      <c r="Z153" s="260"/>
      <c r="AA153" s="259"/>
      <c r="AB153" s="241"/>
      <c r="AC153" s="240"/>
      <c r="AD153" s="113"/>
      <c r="AE153" s="241">
        <v>0.08</v>
      </c>
      <c r="AF153" s="240">
        <v>9.86</v>
      </c>
      <c r="AG153" s="241"/>
      <c r="AH153" s="241"/>
      <c r="AI153" s="156"/>
    </row>
    <row r="154" spans="1:35" s="21" customFormat="1" x14ac:dyDescent="0.25">
      <c r="A154" s="261"/>
      <c r="B154" s="260"/>
      <c r="C154" s="259"/>
      <c r="D154" s="240">
        <f>M154</f>
        <v>0.61</v>
      </c>
      <c r="E154" s="59" t="s">
        <v>233</v>
      </c>
      <c r="F154" s="113"/>
      <c r="G154" s="260"/>
      <c r="H154" s="259"/>
      <c r="I154" s="240"/>
      <c r="J154" s="113"/>
      <c r="K154" s="260"/>
      <c r="L154" s="259"/>
      <c r="M154" s="241">
        <f>M155</f>
        <v>0.61</v>
      </c>
      <c r="N154" s="59" t="s">
        <v>233</v>
      </c>
      <c r="O154" s="113"/>
      <c r="P154" s="260">
        <v>0.34</v>
      </c>
      <c r="Q154" s="259">
        <v>10.130000000000001</v>
      </c>
      <c r="R154" s="245"/>
      <c r="S154" s="96"/>
      <c r="T154" s="113"/>
      <c r="U154" s="260"/>
      <c r="V154" s="259"/>
      <c r="W154" s="245"/>
      <c r="X154" s="96"/>
      <c r="Y154" s="113"/>
      <c r="Z154" s="260">
        <v>0.3</v>
      </c>
      <c r="AA154" s="259">
        <v>10.09</v>
      </c>
      <c r="AB154" s="245"/>
      <c r="AC154" s="96"/>
      <c r="AD154" s="113"/>
      <c r="AE154" s="260">
        <v>0.02</v>
      </c>
      <c r="AF154" s="259">
        <v>9.9499999999999993</v>
      </c>
      <c r="AG154" s="245"/>
      <c r="AH154" s="96"/>
      <c r="AI154" s="156"/>
    </row>
    <row r="155" spans="1:35" s="21" customFormat="1" x14ac:dyDescent="0.25">
      <c r="A155" s="261"/>
      <c r="B155" s="260"/>
      <c r="C155" s="259"/>
      <c r="D155" s="240">
        <f>M155</f>
        <v>0.61</v>
      </c>
      <c r="E155" s="249" t="s">
        <v>84</v>
      </c>
      <c r="F155" s="113"/>
      <c r="G155" s="260"/>
      <c r="H155" s="259"/>
      <c r="I155" s="240"/>
      <c r="J155" s="113"/>
      <c r="K155" s="260"/>
      <c r="L155" s="259"/>
      <c r="M155" s="241">
        <f>(K152-M160)/3</f>
        <v>0.61</v>
      </c>
      <c r="N155" s="249" t="s">
        <v>84</v>
      </c>
      <c r="O155" s="113"/>
      <c r="P155" s="260"/>
      <c r="Q155" s="259"/>
      <c r="R155" s="56"/>
      <c r="S155" s="73"/>
      <c r="T155" s="113"/>
      <c r="U155" s="260"/>
      <c r="V155" s="259"/>
      <c r="W155" s="56"/>
      <c r="X155" s="56"/>
      <c r="Y155" s="113"/>
      <c r="Z155" s="260"/>
      <c r="AA155" s="259"/>
      <c r="AB155" s="56"/>
      <c r="AC155" s="56"/>
      <c r="AD155" s="113"/>
      <c r="AE155" s="260"/>
      <c r="AF155" s="259"/>
      <c r="AG155" s="241"/>
      <c r="AH155" s="241"/>
      <c r="AI155" s="156"/>
    </row>
    <row r="156" spans="1:35" s="21" customFormat="1" x14ac:dyDescent="0.25">
      <c r="A156" s="261"/>
      <c r="B156" s="260"/>
      <c r="C156" s="259"/>
      <c r="D156" s="240"/>
      <c r="E156" s="118"/>
      <c r="F156" s="113"/>
      <c r="G156" s="260"/>
      <c r="H156" s="259"/>
      <c r="I156" s="240"/>
      <c r="J156" s="113"/>
      <c r="K156" s="260"/>
      <c r="L156" s="259"/>
      <c r="M156" s="56"/>
      <c r="N156" s="56"/>
      <c r="O156" s="113"/>
      <c r="P156" s="260"/>
      <c r="Q156" s="259"/>
      <c r="R156" s="241"/>
      <c r="S156" s="240"/>
      <c r="T156" s="113"/>
      <c r="U156" s="260"/>
      <c r="V156" s="259"/>
      <c r="W156" s="241"/>
      <c r="X156" s="240"/>
      <c r="Y156" s="113"/>
      <c r="Z156" s="260"/>
      <c r="AA156" s="259"/>
      <c r="AB156" s="241"/>
      <c r="AC156" s="240"/>
      <c r="AD156" s="113"/>
      <c r="AE156" s="260"/>
      <c r="AF156" s="259"/>
      <c r="AG156" s="241"/>
      <c r="AH156" s="241"/>
      <c r="AI156" s="156"/>
    </row>
    <row r="157" spans="1:35" s="21" customFormat="1" x14ac:dyDescent="0.25">
      <c r="A157" s="261"/>
      <c r="B157" s="260"/>
      <c r="C157" s="259"/>
      <c r="D157" s="240"/>
      <c r="E157" s="240"/>
      <c r="F157" s="113"/>
      <c r="G157" s="260"/>
      <c r="H157" s="259"/>
      <c r="I157" s="240"/>
      <c r="J157" s="113"/>
      <c r="K157" s="260"/>
      <c r="L157" s="259"/>
      <c r="M157" s="241"/>
      <c r="N157" s="240"/>
      <c r="O157" s="113"/>
      <c r="P157" s="260"/>
      <c r="Q157" s="259"/>
      <c r="R157" s="241"/>
      <c r="S157" s="240"/>
      <c r="T157" s="113"/>
      <c r="U157" s="260"/>
      <c r="V157" s="259"/>
      <c r="W157" s="241"/>
      <c r="X157" s="240"/>
      <c r="Y157" s="113"/>
      <c r="Z157" s="260"/>
      <c r="AA157" s="259"/>
      <c r="AB157" s="241"/>
      <c r="AC157" s="240"/>
      <c r="AD157" s="113"/>
      <c r="AE157" s="260"/>
      <c r="AF157" s="259"/>
      <c r="AG157" s="241"/>
      <c r="AH157" s="241"/>
      <c r="AI157" s="156"/>
    </row>
    <row r="158" spans="1:35" s="21" customFormat="1" x14ac:dyDescent="0.25">
      <c r="A158" s="261">
        <v>35</v>
      </c>
      <c r="B158" s="260">
        <v>0.54</v>
      </c>
      <c r="C158" s="259">
        <v>9.85</v>
      </c>
      <c r="D158" s="240"/>
      <c r="E158" s="8"/>
      <c r="F158" s="113"/>
      <c r="G158" s="260">
        <v>0.72</v>
      </c>
      <c r="H158" s="259">
        <v>9.66</v>
      </c>
      <c r="I158" s="240"/>
      <c r="J158" s="113"/>
      <c r="K158" s="260">
        <v>0.34</v>
      </c>
      <c r="L158" s="259">
        <v>9.68</v>
      </c>
      <c r="M158" s="241"/>
      <c r="N158" s="8"/>
      <c r="O158" s="113"/>
      <c r="P158" s="260">
        <v>0.3</v>
      </c>
      <c r="Q158" s="259">
        <v>10.28</v>
      </c>
      <c r="R158" s="56"/>
      <c r="S158" s="56"/>
      <c r="T158" s="113"/>
      <c r="U158" s="260">
        <v>0.27</v>
      </c>
      <c r="V158" s="259">
        <v>9.83</v>
      </c>
      <c r="W158" s="56"/>
      <c r="X158" s="56"/>
      <c r="Y158" s="113"/>
      <c r="Z158" s="260">
        <v>0.36</v>
      </c>
      <c r="AA158" s="259">
        <v>10.14</v>
      </c>
      <c r="AB158" s="56"/>
      <c r="AC158" s="56"/>
      <c r="AD158" s="113"/>
      <c r="AE158" s="241">
        <v>0.03</v>
      </c>
      <c r="AF158" s="240">
        <v>9.98</v>
      </c>
      <c r="AG158" s="241"/>
      <c r="AH158" s="241"/>
      <c r="AI158" s="156"/>
    </row>
    <row r="159" spans="1:35" s="21" customFormat="1" x14ac:dyDescent="0.25">
      <c r="A159" s="261"/>
      <c r="B159" s="260"/>
      <c r="C159" s="259"/>
      <c r="D159" s="240">
        <v>1.34</v>
      </c>
      <c r="E159" s="7" t="s">
        <v>485</v>
      </c>
      <c r="F159" s="113"/>
      <c r="G159" s="260"/>
      <c r="H159" s="259"/>
      <c r="I159" s="240"/>
      <c r="J159" s="113"/>
      <c r="K159" s="260"/>
      <c r="L159" s="259"/>
      <c r="M159" s="241">
        <f>K158</f>
        <v>0.34</v>
      </c>
      <c r="N159" s="7" t="s">
        <v>154</v>
      </c>
      <c r="O159" s="113"/>
      <c r="P159" s="260"/>
      <c r="Q159" s="259"/>
      <c r="R159" s="241">
        <f>R197</f>
        <v>0.15</v>
      </c>
      <c r="S159" s="75" t="s">
        <v>141</v>
      </c>
      <c r="T159" s="113"/>
      <c r="U159" s="260"/>
      <c r="V159" s="259"/>
      <c r="W159" s="241"/>
      <c r="X159" s="19"/>
      <c r="Y159" s="113"/>
      <c r="Z159" s="260"/>
      <c r="AA159" s="259"/>
      <c r="AB159" s="241"/>
      <c r="AC159" s="240"/>
      <c r="AD159" s="113"/>
      <c r="AE159" s="241">
        <v>0.25</v>
      </c>
      <c r="AF159" s="240">
        <v>10.039999999999999</v>
      </c>
      <c r="AG159" s="241"/>
      <c r="AH159" s="241"/>
      <c r="AI159" s="156"/>
    </row>
    <row r="160" spans="1:35" s="21" customFormat="1" x14ac:dyDescent="0.25">
      <c r="A160" s="261">
        <v>36</v>
      </c>
      <c r="B160" s="260">
        <v>1.1599999999999999</v>
      </c>
      <c r="C160" s="259">
        <v>10.01</v>
      </c>
      <c r="D160" s="240"/>
      <c r="E160" s="118"/>
      <c r="F160" s="113"/>
      <c r="G160" s="260">
        <v>0.88</v>
      </c>
      <c r="H160" s="259">
        <v>9.86</v>
      </c>
      <c r="I160" s="240"/>
      <c r="J160" s="113"/>
      <c r="K160" s="260">
        <v>0.51</v>
      </c>
      <c r="L160" s="259">
        <v>9.83</v>
      </c>
      <c r="M160" s="241">
        <v>0.1</v>
      </c>
      <c r="N160" s="75" t="s">
        <v>167</v>
      </c>
      <c r="O160" s="113"/>
      <c r="P160" s="260">
        <v>1.3</v>
      </c>
      <c r="Q160" s="259">
        <v>10.5</v>
      </c>
      <c r="R160" s="241">
        <f>P152</f>
        <v>0.13</v>
      </c>
      <c r="S160" s="75" t="s">
        <v>349</v>
      </c>
      <c r="T160" s="113"/>
      <c r="U160" s="260">
        <v>0.99</v>
      </c>
      <c r="V160" s="259">
        <v>10.029999999999999</v>
      </c>
      <c r="W160" s="241"/>
      <c r="X160" s="240"/>
      <c r="Y160" s="113"/>
      <c r="Z160" s="260">
        <v>0.23</v>
      </c>
      <c r="AA160" s="259">
        <v>10.210000000000001</v>
      </c>
      <c r="AB160" s="241"/>
      <c r="AC160" s="240"/>
      <c r="AD160" s="113"/>
      <c r="AE160" s="241">
        <v>0.01</v>
      </c>
      <c r="AF160" s="240">
        <v>10.14</v>
      </c>
      <c r="AG160" s="241"/>
      <c r="AH160" s="241"/>
      <c r="AI160" s="156"/>
    </row>
    <row r="161" spans="1:35" s="21" customFormat="1" x14ac:dyDescent="0.25">
      <c r="A161" s="261"/>
      <c r="B161" s="260"/>
      <c r="C161" s="259"/>
      <c r="D161" s="240">
        <f>B160</f>
        <v>1.1599999999999999</v>
      </c>
      <c r="E161" s="7" t="s">
        <v>469</v>
      </c>
      <c r="F161" s="113"/>
      <c r="G161" s="260"/>
      <c r="H161" s="259"/>
      <c r="I161" s="240"/>
      <c r="J161" s="113"/>
      <c r="K161" s="260"/>
      <c r="L161" s="259"/>
      <c r="M161" s="241">
        <f>K160+K162</f>
        <v>1.03</v>
      </c>
      <c r="N161" s="7" t="s">
        <v>154</v>
      </c>
      <c r="O161" s="113"/>
      <c r="P161" s="260"/>
      <c r="Q161" s="259"/>
      <c r="R161" s="56"/>
      <c r="S161" s="56"/>
      <c r="T161" s="113"/>
      <c r="U161" s="260"/>
      <c r="V161" s="259"/>
      <c r="W161" s="241"/>
      <c r="X161" s="240"/>
      <c r="Y161" s="113"/>
      <c r="Z161" s="260"/>
      <c r="AA161" s="259"/>
      <c r="AB161" s="241"/>
      <c r="AC161" s="240"/>
      <c r="AD161" s="113"/>
      <c r="AE161" s="241">
        <v>0.01</v>
      </c>
      <c r="AF161" s="240">
        <v>10.16</v>
      </c>
      <c r="AG161" s="241"/>
      <c r="AH161" s="241"/>
      <c r="AI161" s="156"/>
    </row>
    <row r="162" spans="1:35" s="21" customFormat="1" x14ac:dyDescent="0.25">
      <c r="A162" s="261"/>
      <c r="B162" s="260"/>
      <c r="C162" s="259"/>
      <c r="D162" s="56"/>
      <c r="E162" s="56"/>
      <c r="F162" s="113"/>
      <c r="G162" s="241">
        <v>0.99</v>
      </c>
      <c r="H162" s="240">
        <v>9.91</v>
      </c>
      <c r="I162" s="240"/>
      <c r="J162" s="113"/>
      <c r="K162" s="241">
        <v>0.52</v>
      </c>
      <c r="L162" s="240">
        <v>9.9700000000000006</v>
      </c>
      <c r="M162" s="241">
        <v>0.08</v>
      </c>
      <c r="N162" s="22" t="s">
        <v>165</v>
      </c>
      <c r="O162" s="113"/>
      <c r="P162" s="260"/>
      <c r="Q162" s="259"/>
      <c r="R162" s="241">
        <v>0.08</v>
      </c>
      <c r="S162" s="22" t="s">
        <v>165</v>
      </c>
      <c r="T162" s="113"/>
      <c r="U162" s="260"/>
      <c r="V162" s="259"/>
      <c r="W162" s="241"/>
      <c r="X162" s="240"/>
      <c r="Y162" s="113"/>
      <c r="Z162" s="241">
        <v>0.57999999999999996</v>
      </c>
      <c r="AA162" s="240">
        <v>10.34</v>
      </c>
      <c r="AB162" s="241"/>
      <c r="AC162" s="240"/>
      <c r="AD162" s="113"/>
      <c r="AE162" s="241">
        <v>0.32</v>
      </c>
      <c r="AF162" s="240">
        <v>10.25</v>
      </c>
      <c r="AG162" s="241"/>
      <c r="AH162" s="241"/>
      <c r="AI162" s="156"/>
    </row>
    <row r="163" spans="1:35" s="21" customFormat="1" x14ac:dyDescent="0.25">
      <c r="A163" s="261">
        <v>37</v>
      </c>
      <c r="B163" s="260">
        <v>1.46</v>
      </c>
      <c r="C163" s="259">
        <v>10.15</v>
      </c>
      <c r="D163" s="240">
        <v>0.63</v>
      </c>
      <c r="E163" s="7" t="s">
        <v>400</v>
      </c>
      <c r="F163" s="113"/>
      <c r="G163" s="260">
        <v>1.1299999999999999</v>
      </c>
      <c r="H163" s="259">
        <v>10.039999999999999</v>
      </c>
      <c r="I163" s="240"/>
      <c r="J163" s="113"/>
      <c r="K163" s="241">
        <v>1.61</v>
      </c>
      <c r="L163" s="240">
        <v>10.09</v>
      </c>
      <c r="M163" s="241">
        <v>1.1200000000000001</v>
      </c>
      <c r="N163" s="7" t="s">
        <v>229</v>
      </c>
      <c r="O163" s="113"/>
      <c r="P163" s="260">
        <v>1.1000000000000001</v>
      </c>
      <c r="Q163" s="259">
        <v>10.63</v>
      </c>
      <c r="R163" s="241"/>
      <c r="S163" s="240"/>
      <c r="T163" s="113"/>
      <c r="U163" s="260">
        <v>0.7</v>
      </c>
      <c r="V163" s="259">
        <v>10.17</v>
      </c>
      <c r="W163" s="241"/>
      <c r="X163" s="240"/>
      <c r="Y163" s="113"/>
      <c r="Z163" s="241">
        <v>0.12</v>
      </c>
      <c r="AA163" s="240">
        <v>10.43</v>
      </c>
      <c r="AB163" s="241"/>
      <c r="AC163" s="240"/>
      <c r="AD163" s="113"/>
      <c r="AE163" s="241">
        <v>0.06</v>
      </c>
      <c r="AF163" s="240">
        <v>10.32</v>
      </c>
      <c r="AG163" s="241"/>
      <c r="AH163" s="241"/>
      <c r="AI163" s="156"/>
    </row>
    <row r="164" spans="1:35" s="21" customFormat="1" x14ac:dyDescent="0.25">
      <c r="A164" s="261"/>
      <c r="B164" s="260"/>
      <c r="C164" s="259"/>
      <c r="D164" s="241">
        <v>0.11</v>
      </c>
      <c r="E164" s="7" t="s">
        <v>173</v>
      </c>
      <c r="F164" s="113"/>
      <c r="G164" s="260"/>
      <c r="H164" s="259"/>
      <c r="I164" s="240"/>
      <c r="J164" s="113"/>
      <c r="K164" s="260">
        <v>0.83</v>
      </c>
      <c r="L164" s="259">
        <v>10.199999999999999</v>
      </c>
      <c r="M164" s="241">
        <f>D164</f>
        <v>0.11</v>
      </c>
      <c r="N164" s="7" t="s">
        <v>173</v>
      </c>
      <c r="O164" s="113"/>
      <c r="P164" s="260"/>
      <c r="Q164" s="259"/>
      <c r="R164" s="56"/>
      <c r="S164" s="56"/>
      <c r="T164" s="113"/>
      <c r="U164" s="260"/>
      <c r="V164" s="259"/>
      <c r="W164" s="56"/>
      <c r="X164" s="56"/>
      <c r="Y164" s="113"/>
      <c r="Z164" s="260">
        <v>0.48</v>
      </c>
      <c r="AA164" s="259">
        <v>10.54</v>
      </c>
      <c r="AB164" s="241"/>
      <c r="AC164" s="240"/>
      <c r="AD164" s="113"/>
      <c r="AE164" s="241">
        <v>0.03</v>
      </c>
      <c r="AF164" s="240">
        <v>10.39</v>
      </c>
      <c r="AG164" s="241"/>
      <c r="AH164" s="241"/>
      <c r="AI164" s="156"/>
    </row>
    <row r="165" spans="1:35" s="21" customFormat="1" x14ac:dyDescent="0.25">
      <c r="A165" s="261"/>
      <c r="B165" s="260"/>
      <c r="C165" s="259"/>
      <c r="D165" s="241">
        <v>0.11</v>
      </c>
      <c r="E165" s="249" t="s">
        <v>91</v>
      </c>
      <c r="F165" s="113"/>
      <c r="G165" s="260"/>
      <c r="H165" s="259"/>
      <c r="I165" s="240"/>
      <c r="J165" s="113"/>
      <c r="K165" s="260"/>
      <c r="L165" s="259"/>
      <c r="M165" s="241">
        <f>D165</f>
        <v>0.11</v>
      </c>
      <c r="N165" s="249" t="s">
        <v>91</v>
      </c>
      <c r="O165" s="113"/>
      <c r="P165" s="260"/>
      <c r="Q165" s="259"/>
      <c r="R165" s="245"/>
      <c r="S165" s="246"/>
      <c r="T165" s="113"/>
      <c r="U165" s="260"/>
      <c r="V165" s="259"/>
      <c r="W165" s="245"/>
      <c r="X165" s="246"/>
      <c r="Y165" s="113"/>
      <c r="Z165" s="260"/>
      <c r="AA165" s="259"/>
      <c r="AB165" s="241"/>
      <c r="AC165" s="240"/>
      <c r="AD165" s="113"/>
      <c r="AE165" s="260">
        <v>0.2</v>
      </c>
      <c r="AF165" s="260">
        <v>10.45</v>
      </c>
      <c r="AG165" s="241"/>
      <c r="AH165" s="241"/>
      <c r="AI165" s="156"/>
    </row>
    <row r="166" spans="1:35" s="21" customFormat="1" x14ac:dyDescent="0.25">
      <c r="A166" s="261"/>
      <c r="B166" s="260"/>
      <c r="C166" s="259"/>
      <c r="D166" s="241">
        <f>R166</f>
        <v>0.6100000000000001</v>
      </c>
      <c r="E166" s="81" t="s">
        <v>411</v>
      </c>
      <c r="F166" s="113"/>
      <c r="G166" s="260"/>
      <c r="H166" s="259"/>
      <c r="I166" s="240"/>
      <c r="J166" s="113"/>
      <c r="K166" s="260"/>
      <c r="L166" s="259"/>
      <c r="M166" s="241">
        <f>D166</f>
        <v>0.6100000000000001</v>
      </c>
      <c r="N166" s="81" t="s">
        <v>411</v>
      </c>
      <c r="O166" s="113"/>
      <c r="P166" s="260"/>
      <c r="Q166" s="259"/>
      <c r="R166" s="241">
        <f>P163-R167</f>
        <v>0.6100000000000001</v>
      </c>
      <c r="S166" s="81" t="s">
        <v>525</v>
      </c>
      <c r="T166" s="113"/>
      <c r="U166" s="260"/>
      <c r="V166" s="259"/>
      <c r="W166" s="241">
        <f>U160</f>
        <v>0.99</v>
      </c>
      <c r="X166" s="81" t="s">
        <v>144</v>
      </c>
      <c r="Y166" s="113"/>
      <c r="Z166" s="260"/>
      <c r="AA166" s="259"/>
      <c r="AB166" s="241"/>
      <c r="AC166" s="240"/>
      <c r="AD166" s="113"/>
      <c r="AE166" s="260"/>
      <c r="AF166" s="260"/>
      <c r="AG166" s="241"/>
      <c r="AH166" s="241"/>
      <c r="AI166" s="156"/>
    </row>
    <row r="167" spans="1:35" s="21" customFormat="1" x14ac:dyDescent="0.25">
      <c r="A167" s="261"/>
      <c r="B167" s="260"/>
      <c r="C167" s="259"/>
      <c r="D167" s="56"/>
      <c r="E167" s="56"/>
      <c r="F167" s="113"/>
      <c r="G167" s="260"/>
      <c r="H167" s="259"/>
      <c r="I167" s="240"/>
      <c r="J167" s="113"/>
      <c r="K167" s="260"/>
      <c r="L167" s="259"/>
      <c r="M167" s="241">
        <f>D203</f>
        <v>0.49</v>
      </c>
      <c r="N167" s="249" t="s">
        <v>164</v>
      </c>
      <c r="O167" s="113"/>
      <c r="P167" s="260"/>
      <c r="Q167" s="259"/>
      <c r="R167" s="241">
        <f>M167</f>
        <v>0.49</v>
      </c>
      <c r="S167" s="249" t="s">
        <v>164</v>
      </c>
      <c r="T167" s="113"/>
      <c r="U167" s="260"/>
      <c r="V167" s="259"/>
      <c r="W167" s="241"/>
      <c r="X167" s="240"/>
      <c r="Y167" s="113"/>
      <c r="Z167" s="260"/>
      <c r="AA167" s="259"/>
      <c r="AB167" s="241"/>
      <c r="AC167" s="240"/>
      <c r="AD167" s="113"/>
      <c r="AE167" s="260"/>
      <c r="AF167" s="260"/>
      <c r="AG167" s="241"/>
      <c r="AH167" s="241"/>
      <c r="AI167" s="156"/>
    </row>
    <row r="168" spans="1:35" s="21" customFormat="1" x14ac:dyDescent="0.25">
      <c r="A168" s="261"/>
      <c r="B168" s="260"/>
      <c r="C168" s="259"/>
      <c r="D168" s="56"/>
      <c r="E168" s="56"/>
      <c r="F168" s="113"/>
      <c r="G168" s="260"/>
      <c r="H168" s="259"/>
      <c r="I168" s="240"/>
      <c r="J168" s="113"/>
      <c r="K168" s="260"/>
      <c r="L168" s="259"/>
      <c r="M168" s="56"/>
      <c r="N168" s="56"/>
      <c r="O168" s="113"/>
      <c r="P168" s="260"/>
      <c r="Q168" s="259"/>
      <c r="R168" s="241"/>
      <c r="S168" s="240"/>
      <c r="T168" s="113"/>
      <c r="U168" s="260"/>
      <c r="V168" s="259"/>
      <c r="W168" s="241">
        <f>U163</f>
        <v>0.7</v>
      </c>
      <c r="X168" s="15" t="s">
        <v>315</v>
      </c>
      <c r="Y168" s="113"/>
      <c r="Z168" s="260"/>
      <c r="AA168" s="259"/>
      <c r="AB168" s="241">
        <f>Z164</f>
        <v>0.48</v>
      </c>
      <c r="AC168" s="15" t="s">
        <v>315</v>
      </c>
      <c r="AD168" s="113"/>
      <c r="AE168" s="260"/>
      <c r="AF168" s="260"/>
      <c r="AG168" s="241">
        <f>AE165</f>
        <v>0.2</v>
      </c>
      <c r="AH168" s="15" t="s">
        <v>315</v>
      </c>
      <c r="AI168" s="156"/>
    </row>
    <row r="169" spans="1:35" s="21" customFormat="1" x14ac:dyDescent="0.25">
      <c r="A169" s="261"/>
      <c r="B169" s="260"/>
      <c r="C169" s="259"/>
      <c r="D169" s="240"/>
      <c r="E169" s="240"/>
      <c r="F169" s="113"/>
      <c r="G169" s="260"/>
      <c r="H169" s="259"/>
      <c r="I169" s="240"/>
      <c r="J169" s="113"/>
      <c r="K169" s="241">
        <v>0.31</v>
      </c>
      <c r="L169" s="240">
        <v>10.25</v>
      </c>
      <c r="M169" s="241">
        <f>K169</f>
        <v>0.31</v>
      </c>
      <c r="N169" s="249" t="s">
        <v>69</v>
      </c>
      <c r="O169" s="113"/>
      <c r="P169" s="260"/>
      <c r="Q169" s="259"/>
      <c r="R169" s="241">
        <f>P170-R175</f>
        <v>0.26</v>
      </c>
      <c r="S169" s="249" t="s">
        <v>69</v>
      </c>
      <c r="T169" s="113"/>
      <c r="U169" s="241">
        <v>7.0000000000000007E-2</v>
      </c>
      <c r="V169" s="240">
        <v>10.28</v>
      </c>
      <c r="W169" s="241">
        <f>U170+U173-W175</f>
        <v>0.28000000000000003</v>
      </c>
      <c r="X169" s="249" t="s">
        <v>69</v>
      </c>
      <c r="Y169" s="113"/>
      <c r="Z169" s="260"/>
      <c r="AA169" s="259"/>
      <c r="AB169" s="241">
        <f>Z170</f>
        <v>0.39</v>
      </c>
      <c r="AC169" s="249" t="s">
        <v>69</v>
      </c>
      <c r="AD169" s="113"/>
      <c r="AE169" s="260"/>
      <c r="AF169" s="260"/>
      <c r="AG169" s="241">
        <v>0.1</v>
      </c>
      <c r="AH169" s="249" t="s">
        <v>69</v>
      </c>
      <c r="AI169" s="156"/>
    </row>
    <row r="170" spans="1:35" s="21" customFormat="1" x14ac:dyDescent="0.25">
      <c r="A170" s="261">
        <v>38</v>
      </c>
      <c r="B170" s="260">
        <v>0.93</v>
      </c>
      <c r="C170" s="259">
        <v>10.67</v>
      </c>
      <c r="D170" s="240">
        <f>B170-D172-D173-D171</f>
        <v>0.9</v>
      </c>
      <c r="E170" s="7" t="s">
        <v>485</v>
      </c>
      <c r="F170" s="113"/>
      <c r="G170" s="260">
        <v>0.43</v>
      </c>
      <c r="H170" s="259">
        <v>10.27</v>
      </c>
      <c r="I170" s="240"/>
      <c r="J170" s="113"/>
      <c r="K170" s="241">
        <v>0.14000000000000001</v>
      </c>
      <c r="L170" s="240">
        <v>10.35</v>
      </c>
      <c r="M170" s="241">
        <f>K170</f>
        <v>0.14000000000000001</v>
      </c>
      <c r="N170" s="7" t="s">
        <v>154</v>
      </c>
      <c r="O170" s="113"/>
      <c r="P170" s="260">
        <v>0.32</v>
      </c>
      <c r="Q170" s="259">
        <v>10.83</v>
      </c>
      <c r="R170" s="56"/>
      <c r="S170" s="56"/>
      <c r="T170" s="113"/>
      <c r="U170" s="260">
        <v>0.14000000000000001</v>
      </c>
      <c r="V170" s="259">
        <v>10.38</v>
      </c>
      <c r="W170" s="56"/>
      <c r="X170" s="56"/>
      <c r="Y170" s="113"/>
      <c r="Z170" s="260">
        <v>0.39</v>
      </c>
      <c r="AA170" s="259">
        <v>10.65</v>
      </c>
      <c r="AB170" s="56"/>
      <c r="AC170" s="56"/>
      <c r="AD170" s="113"/>
      <c r="AE170" s="241"/>
      <c r="AF170" s="240"/>
      <c r="AG170" s="241"/>
      <c r="AH170" s="241"/>
      <c r="AI170" s="156"/>
    </row>
    <row r="171" spans="1:35" s="21" customFormat="1" x14ac:dyDescent="0.25">
      <c r="A171" s="261"/>
      <c r="B171" s="260"/>
      <c r="C171" s="259"/>
      <c r="D171" s="241">
        <v>0.01</v>
      </c>
      <c r="E171" s="249" t="s">
        <v>337</v>
      </c>
      <c r="F171" s="113"/>
      <c r="G171" s="260"/>
      <c r="H171" s="259"/>
      <c r="I171" s="240"/>
      <c r="J171" s="113"/>
      <c r="K171" s="241">
        <v>0.08</v>
      </c>
      <c r="L171" s="240">
        <v>10.42</v>
      </c>
      <c r="M171" s="241">
        <f>K173</f>
        <v>7.0000000000000007E-2</v>
      </c>
      <c r="N171" s="249" t="s">
        <v>337</v>
      </c>
      <c r="O171" s="113"/>
      <c r="P171" s="260"/>
      <c r="Q171" s="259"/>
      <c r="R171" s="241"/>
      <c r="S171" s="240"/>
      <c r="T171" s="113"/>
      <c r="U171" s="260"/>
      <c r="V171" s="259"/>
      <c r="W171" s="241"/>
      <c r="X171" s="240"/>
      <c r="Y171" s="113"/>
      <c r="Z171" s="260"/>
      <c r="AA171" s="259"/>
      <c r="AB171" s="241"/>
      <c r="AC171" s="240"/>
      <c r="AD171" s="113"/>
      <c r="AE171" s="241"/>
      <c r="AF171" s="240"/>
      <c r="AG171" s="241"/>
      <c r="AH171" s="241"/>
      <c r="AI171" s="156"/>
    </row>
    <row r="172" spans="1:35" s="21" customFormat="1" x14ac:dyDescent="0.25">
      <c r="A172" s="261"/>
      <c r="B172" s="260"/>
      <c r="C172" s="259"/>
      <c r="D172" s="241">
        <v>0.01</v>
      </c>
      <c r="E172" s="249" t="s">
        <v>214</v>
      </c>
      <c r="F172" s="113"/>
      <c r="G172" s="260"/>
      <c r="H172" s="259"/>
      <c r="I172" s="240"/>
      <c r="J172" s="113"/>
      <c r="K172" s="241">
        <v>0.08</v>
      </c>
      <c r="L172" s="240">
        <v>10.46</v>
      </c>
      <c r="M172" s="241">
        <f>K171</f>
        <v>0.08</v>
      </c>
      <c r="N172" s="249" t="s">
        <v>214</v>
      </c>
      <c r="O172" s="113"/>
      <c r="P172" s="260"/>
      <c r="Q172" s="259"/>
      <c r="R172" s="241"/>
      <c r="S172" s="240"/>
      <c r="T172" s="113"/>
      <c r="U172" s="260"/>
      <c r="V172" s="259"/>
      <c r="W172" s="241"/>
      <c r="X172" s="240"/>
      <c r="Y172" s="113"/>
      <c r="Z172" s="260"/>
      <c r="AA172" s="259"/>
      <c r="AB172" s="241"/>
      <c r="AC172" s="240"/>
      <c r="AD172" s="113"/>
      <c r="AE172" s="241"/>
      <c r="AF172" s="240"/>
      <c r="AG172" s="241"/>
      <c r="AH172" s="241"/>
      <c r="AI172" s="156"/>
    </row>
    <row r="173" spans="1:35" s="21" customFormat="1" x14ac:dyDescent="0.25">
      <c r="A173" s="261"/>
      <c r="B173" s="260"/>
      <c r="C173" s="259"/>
      <c r="D173" s="241">
        <v>0.01</v>
      </c>
      <c r="E173" s="249" t="s">
        <v>85</v>
      </c>
      <c r="F173" s="113"/>
      <c r="G173" s="260">
        <v>0.65</v>
      </c>
      <c r="H173" s="259">
        <v>10.38</v>
      </c>
      <c r="I173" s="240"/>
      <c r="J173" s="113"/>
      <c r="K173" s="241">
        <v>7.0000000000000007E-2</v>
      </c>
      <c r="L173" s="240">
        <v>10.51</v>
      </c>
      <c r="M173" s="241">
        <f>K172</f>
        <v>0.08</v>
      </c>
      <c r="N173" s="249" t="s">
        <v>85</v>
      </c>
      <c r="O173" s="113"/>
      <c r="P173" s="260"/>
      <c r="Q173" s="259"/>
      <c r="R173" s="241"/>
      <c r="S173" s="240"/>
      <c r="T173" s="113"/>
      <c r="U173" s="260">
        <v>0.2</v>
      </c>
      <c r="V173" s="259">
        <v>10.62</v>
      </c>
      <c r="W173" s="241"/>
      <c r="X173" s="240"/>
      <c r="Y173" s="113"/>
      <c r="Z173" s="260"/>
      <c r="AA173" s="259"/>
      <c r="AB173" s="241"/>
      <c r="AC173" s="240"/>
      <c r="AD173" s="113"/>
      <c r="AE173" s="241"/>
      <c r="AF173" s="240"/>
      <c r="AG173" s="241"/>
      <c r="AH173" s="241"/>
      <c r="AI173" s="156"/>
    </row>
    <row r="174" spans="1:35" s="21" customFormat="1" ht="12.75" customHeight="1" x14ac:dyDescent="0.25">
      <c r="A174" s="261"/>
      <c r="B174" s="260"/>
      <c r="C174" s="259"/>
      <c r="D174" s="56"/>
      <c r="E174" s="56"/>
      <c r="F174" s="113"/>
      <c r="G174" s="260"/>
      <c r="H174" s="259"/>
      <c r="I174" s="240"/>
      <c r="J174" s="113"/>
      <c r="K174" s="241">
        <v>0.09</v>
      </c>
      <c r="L174" s="240">
        <v>10.58</v>
      </c>
      <c r="M174" s="56"/>
      <c r="N174" s="56"/>
      <c r="O174" s="113"/>
      <c r="P174" s="260"/>
      <c r="Q174" s="259"/>
      <c r="R174" s="241"/>
      <c r="S174" s="240"/>
      <c r="T174" s="113"/>
      <c r="U174" s="260"/>
      <c r="V174" s="259"/>
      <c r="W174" s="241"/>
      <c r="X174" s="240"/>
      <c r="Y174" s="113"/>
      <c r="Z174" s="260"/>
      <c r="AA174" s="259"/>
      <c r="AB174" s="241"/>
      <c r="AC174" s="240"/>
      <c r="AD174" s="113"/>
      <c r="AE174" s="241"/>
      <c r="AF174" s="240"/>
      <c r="AG174" s="241"/>
      <c r="AH174" s="241"/>
      <c r="AI174" s="156"/>
    </row>
    <row r="175" spans="1:35" s="21" customFormat="1" ht="12.75" customHeight="1" x14ac:dyDescent="0.25">
      <c r="A175" s="261"/>
      <c r="B175" s="260"/>
      <c r="C175" s="259"/>
      <c r="D175" s="56"/>
      <c r="E175" s="56"/>
      <c r="F175" s="113"/>
      <c r="G175" s="260"/>
      <c r="H175" s="259"/>
      <c r="I175" s="240"/>
      <c r="J175" s="113"/>
      <c r="K175" s="241">
        <v>0.06</v>
      </c>
      <c r="L175" s="240">
        <v>10.63</v>
      </c>
      <c r="M175" s="241">
        <f>K176</f>
        <v>0.06</v>
      </c>
      <c r="N175" s="22" t="s">
        <v>165</v>
      </c>
      <c r="O175" s="113"/>
      <c r="P175" s="260"/>
      <c r="Q175" s="259"/>
      <c r="R175" s="241">
        <f>M175</f>
        <v>0.06</v>
      </c>
      <c r="S175" s="22" t="s">
        <v>165</v>
      </c>
      <c r="T175" s="113"/>
      <c r="U175" s="260"/>
      <c r="V175" s="259"/>
      <c r="W175" s="241">
        <f>R175</f>
        <v>0.06</v>
      </c>
      <c r="X175" s="22" t="s">
        <v>165</v>
      </c>
      <c r="Y175" s="113"/>
      <c r="Z175" s="260"/>
      <c r="AA175" s="259"/>
      <c r="AB175" s="241"/>
      <c r="AC175" s="240"/>
      <c r="AD175" s="113"/>
      <c r="AE175" s="241"/>
      <c r="AF175" s="240"/>
      <c r="AG175" s="241"/>
      <c r="AH175" s="241"/>
      <c r="AI175" s="156"/>
    </row>
    <row r="176" spans="1:35" s="21" customFormat="1" x14ac:dyDescent="0.25">
      <c r="A176" s="261"/>
      <c r="B176" s="260"/>
      <c r="C176" s="259"/>
      <c r="D176" s="240"/>
      <c r="E176" s="240"/>
      <c r="F176" s="113"/>
      <c r="G176" s="260">
        <v>2.21</v>
      </c>
      <c r="H176" s="259">
        <v>10.56</v>
      </c>
      <c r="I176" s="240"/>
      <c r="J176" s="113"/>
      <c r="K176" s="241">
        <v>0.06</v>
      </c>
      <c r="L176" s="240">
        <v>10.66</v>
      </c>
      <c r="M176" s="56"/>
      <c r="N176" s="56"/>
      <c r="O176" s="113"/>
      <c r="P176" s="269">
        <v>0.43</v>
      </c>
      <c r="Q176" s="293">
        <v>11.3</v>
      </c>
      <c r="R176" s="244"/>
      <c r="S176" s="248"/>
      <c r="T176" s="113"/>
      <c r="U176" s="260">
        <v>0.25</v>
      </c>
      <c r="V176" s="259">
        <v>10.81</v>
      </c>
      <c r="W176" s="241"/>
      <c r="X176" s="248"/>
      <c r="Y176" s="113"/>
      <c r="Z176" s="241"/>
      <c r="AA176" s="240"/>
      <c r="AB176" s="241"/>
      <c r="AC176" s="240"/>
      <c r="AD176" s="113"/>
      <c r="AE176" s="241"/>
      <c r="AF176" s="240"/>
      <c r="AG176" s="241"/>
      <c r="AH176" s="241"/>
      <c r="AI176" s="156"/>
    </row>
    <row r="177" spans="1:35" s="21" customFormat="1" x14ac:dyDescent="0.25">
      <c r="A177" s="261"/>
      <c r="B177" s="260"/>
      <c r="C177" s="259"/>
      <c r="D177" s="56"/>
      <c r="E177" s="56"/>
      <c r="F177" s="113"/>
      <c r="G177" s="260"/>
      <c r="H177" s="259"/>
      <c r="I177" s="240"/>
      <c r="J177" s="113"/>
      <c r="K177" s="241">
        <v>1.04</v>
      </c>
      <c r="L177" s="240">
        <v>10.78</v>
      </c>
      <c r="M177" s="241"/>
      <c r="N177" s="240"/>
      <c r="O177" s="113"/>
      <c r="P177" s="269"/>
      <c r="Q177" s="293"/>
      <c r="R177" s="244"/>
      <c r="S177" s="248"/>
      <c r="T177" s="113"/>
      <c r="U177" s="260"/>
      <c r="V177" s="259"/>
      <c r="W177" s="241"/>
      <c r="X177" s="248"/>
      <c r="Y177" s="113"/>
      <c r="Z177" s="241"/>
      <c r="AA177" s="240"/>
      <c r="AB177" s="241"/>
      <c r="AC177" s="240"/>
      <c r="AD177" s="113"/>
      <c r="AE177" s="241"/>
      <c r="AF177" s="240"/>
      <c r="AG177" s="241"/>
      <c r="AH177" s="241"/>
      <c r="AI177" s="156"/>
    </row>
    <row r="178" spans="1:35" s="21" customFormat="1" x14ac:dyDescent="0.25">
      <c r="A178" s="261">
        <v>39</v>
      </c>
      <c r="B178" s="260">
        <v>0.82</v>
      </c>
      <c r="C178" s="259">
        <v>10.82</v>
      </c>
      <c r="D178" s="241">
        <f>D180</f>
        <v>0.14666666666666664</v>
      </c>
      <c r="E178" s="249" t="s">
        <v>341</v>
      </c>
      <c r="F178" s="113"/>
      <c r="G178" s="260"/>
      <c r="H178" s="259"/>
      <c r="I178" s="240"/>
      <c r="J178" s="113"/>
      <c r="K178" s="260">
        <v>0.37</v>
      </c>
      <c r="L178" s="259">
        <v>10.88</v>
      </c>
      <c r="M178" s="241"/>
      <c r="N178" s="240"/>
      <c r="O178" s="113"/>
      <c r="P178" s="269"/>
      <c r="Q178" s="293"/>
      <c r="R178" s="244"/>
      <c r="S178" s="248"/>
      <c r="T178" s="113"/>
      <c r="U178" s="260"/>
      <c r="V178" s="259"/>
      <c r="W178" s="241"/>
      <c r="X178" s="246"/>
      <c r="Y178" s="113"/>
      <c r="Z178" s="241"/>
      <c r="AA178" s="240"/>
      <c r="AB178" s="241"/>
      <c r="AC178" s="240"/>
      <c r="AD178" s="113"/>
      <c r="AE178" s="241"/>
      <c r="AF178" s="240"/>
      <c r="AG178" s="241"/>
      <c r="AH178" s="241"/>
      <c r="AI178" s="156"/>
    </row>
    <row r="179" spans="1:35" s="21" customFormat="1" x14ac:dyDescent="0.25">
      <c r="A179" s="261"/>
      <c r="B179" s="260"/>
      <c r="C179" s="259"/>
      <c r="D179" s="241">
        <f>D180</f>
        <v>0.14666666666666664</v>
      </c>
      <c r="E179" s="249" t="s">
        <v>93</v>
      </c>
      <c r="F179" s="113"/>
      <c r="G179" s="260"/>
      <c r="H179" s="259"/>
      <c r="I179" s="240"/>
      <c r="J179" s="113"/>
      <c r="K179" s="260"/>
      <c r="L179" s="259"/>
      <c r="M179" s="241"/>
      <c r="N179" s="240"/>
      <c r="O179" s="113"/>
      <c r="P179" s="269"/>
      <c r="Q179" s="293"/>
      <c r="R179" s="244"/>
      <c r="S179" s="248"/>
      <c r="T179" s="113"/>
      <c r="U179" s="260"/>
      <c r="V179" s="259"/>
      <c r="W179" s="241"/>
      <c r="X179" s="248"/>
      <c r="Y179" s="113"/>
      <c r="Z179" s="241"/>
      <c r="AA179" s="240"/>
      <c r="AB179" s="241"/>
      <c r="AC179" s="240"/>
      <c r="AD179" s="113"/>
      <c r="AE179" s="241"/>
      <c r="AF179" s="240"/>
      <c r="AG179" s="241"/>
      <c r="AH179" s="241"/>
      <c r="AI179" s="156"/>
    </row>
    <row r="180" spans="1:35" s="21" customFormat="1" x14ac:dyDescent="0.25">
      <c r="A180" s="261"/>
      <c r="B180" s="260"/>
      <c r="C180" s="259"/>
      <c r="D180" s="241">
        <f>(B178-D181)/3</f>
        <v>0.14666666666666664</v>
      </c>
      <c r="E180" s="15" t="s">
        <v>159</v>
      </c>
      <c r="F180" s="113"/>
      <c r="G180" s="260"/>
      <c r="H180" s="259"/>
      <c r="I180" s="240"/>
      <c r="J180" s="113"/>
      <c r="K180" s="260"/>
      <c r="L180" s="259"/>
      <c r="M180" s="241"/>
      <c r="N180" s="240"/>
      <c r="O180" s="113"/>
      <c r="P180" s="269"/>
      <c r="Q180" s="293"/>
      <c r="R180" s="244"/>
      <c r="S180" s="248"/>
      <c r="T180" s="113"/>
      <c r="U180" s="260"/>
      <c r="V180" s="259"/>
      <c r="W180" s="241"/>
      <c r="X180" s="248"/>
      <c r="Y180" s="113"/>
      <c r="Z180" s="241"/>
      <c r="AA180" s="240"/>
      <c r="AB180" s="241"/>
      <c r="AC180" s="240"/>
      <c r="AD180" s="113"/>
      <c r="AE180" s="241"/>
      <c r="AF180" s="240"/>
      <c r="AG180" s="241"/>
      <c r="AH180" s="241"/>
      <c r="AI180" s="156"/>
    </row>
    <row r="181" spans="1:35" s="21" customFormat="1" x14ac:dyDescent="0.25">
      <c r="A181" s="261"/>
      <c r="B181" s="260"/>
      <c r="C181" s="259"/>
      <c r="D181" s="240">
        <f>M181</f>
        <v>0.38</v>
      </c>
      <c r="E181" s="75" t="s">
        <v>195</v>
      </c>
      <c r="F181" s="113"/>
      <c r="G181" s="260"/>
      <c r="H181" s="259"/>
      <c r="I181" s="240"/>
      <c r="J181" s="113"/>
      <c r="K181" s="241">
        <v>0.01</v>
      </c>
      <c r="L181" s="240">
        <v>11</v>
      </c>
      <c r="M181" s="241">
        <f>K181+K178</f>
        <v>0.38</v>
      </c>
      <c r="N181" s="75" t="s">
        <v>195</v>
      </c>
      <c r="O181" s="113"/>
      <c r="P181" s="269"/>
      <c r="Q181" s="293"/>
      <c r="R181" s="244"/>
      <c r="S181" s="248"/>
      <c r="T181" s="113"/>
      <c r="U181" s="260"/>
      <c r="V181" s="259"/>
      <c r="W181" s="241"/>
      <c r="X181" s="248"/>
      <c r="Y181" s="113"/>
      <c r="Z181" s="241"/>
      <c r="AA181" s="240"/>
      <c r="AB181" s="241"/>
      <c r="AC181" s="240"/>
      <c r="AD181" s="113"/>
      <c r="AE181" s="241"/>
      <c r="AF181" s="240"/>
      <c r="AG181" s="241"/>
      <c r="AH181" s="241"/>
      <c r="AI181" s="156"/>
    </row>
    <row r="182" spans="1:35" s="21" customFormat="1" x14ac:dyDescent="0.25">
      <c r="A182" s="261">
        <v>40</v>
      </c>
      <c r="B182" s="260">
        <v>1.62</v>
      </c>
      <c r="C182" s="259">
        <v>11.1</v>
      </c>
      <c r="D182" s="240">
        <f>B182-D184-D185-D183</f>
        <v>0.9600000000000003</v>
      </c>
      <c r="E182" s="249" t="s">
        <v>450</v>
      </c>
      <c r="F182" s="113"/>
      <c r="G182" s="260">
        <v>1.21</v>
      </c>
      <c r="H182" s="259">
        <v>10.98</v>
      </c>
      <c r="I182" s="240"/>
      <c r="J182" s="113"/>
      <c r="K182" s="241">
        <v>0.03</v>
      </c>
      <c r="L182" s="240">
        <v>11.04</v>
      </c>
      <c r="M182" s="241">
        <f>K185</f>
        <v>0.11</v>
      </c>
      <c r="N182" s="249" t="s">
        <v>161</v>
      </c>
      <c r="O182" s="113"/>
      <c r="P182" s="269">
        <v>0.2</v>
      </c>
      <c r="Q182" s="293">
        <v>11.44</v>
      </c>
      <c r="R182" s="244"/>
      <c r="S182" s="248"/>
      <c r="T182" s="113"/>
      <c r="U182" s="241"/>
      <c r="V182" s="240"/>
      <c r="W182" s="241"/>
      <c r="X182" s="248"/>
      <c r="Y182" s="113"/>
      <c r="Z182" s="241"/>
      <c r="AA182" s="240"/>
      <c r="AB182" s="241"/>
      <c r="AC182" s="240"/>
      <c r="AD182" s="113"/>
      <c r="AE182" s="241"/>
      <c r="AF182" s="240"/>
      <c r="AG182" s="241"/>
      <c r="AH182" s="241"/>
      <c r="AI182" s="156"/>
    </row>
    <row r="183" spans="1:35" s="21" customFormat="1" x14ac:dyDescent="0.25">
      <c r="A183" s="261"/>
      <c r="B183" s="260"/>
      <c r="C183" s="259"/>
      <c r="D183" s="241">
        <v>0.12</v>
      </c>
      <c r="E183" s="22" t="s">
        <v>449</v>
      </c>
      <c r="F183" s="113"/>
      <c r="G183" s="260"/>
      <c r="H183" s="259"/>
      <c r="I183" s="240"/>
      <c r="J183" s="113"/>
      <c r="K183" s="241">
        <v>0.02</v>
      </c>
      <c r="L183" s="240">
        <v>11.09</v>
      </c>
      <c r="M183" s="241">
        <f>K184</f>
        <v>0.03</v>
      </c>
      <c r="N183" s="22" t="s">
        <v>162</v>
      </c>
      <c r="O183" s="113"/>
      <c r="P183" s="269"/>
      <c r="Q183" s="293"/>
      <c r="R183" s="244"/>
      <c r="S183" s="248"/>
      <c r="T183" s="113"/>
      <c r="U183" s="241"/>
      <c r="V183" s="240"/>
      <c r="W183" s="241"/>
      <c r="X183" s="248"/>
      <c r="Y183" s="113"/>
      <c r="Z183" s="241"/>
      <c r="AA183" s="240"/>
      <c r="AB183" s="241"/>
      <c r="AC183" s="240"/>
      <c r="AD183" s="113"/>
      <c r="AE183" s="241"/>
      <c r="AF183" s="240"/>
      <c r="AG183" s="241"/>
      <c r="AH183" s="241"/>
      <c r="AI183" s="156"/>
    </row>
    <row r="184" spans="1:35" s="21" customFormat="1" x14ac:dyDescent="0.25">
      <c r="A184" s="261"/>
      <c r="B184" s="260"/>
      <c r="C184" s="259"/>
      <c r="D184" s="241">
        <f>R120-D120-D147-D165-D200</f>
        <v>0.39999999999999997</v>
      </c>
      <c r="E184" s="249" t="s">
        <v>542</v>
      </c>
      <c r="F184" s="113"/>
      <c r="G184" s="260"/>
      <c r="H184" s="259"/>
      <c r="I184" s="240"/>
      <c r="J184" s="113"/>
      <c r="K184" s="241">
        <v>0.03</v>
      </c>
      <c r="L184" s="240">
        <v>11.13</v>
      </c>
      <c r="M184" s="241">
        <f>K182</f>
        <v>0.03</v>
      </c>
      <c r="N184" s="249" t="s">
        <v>251</v>
      </c>
      <c r="O184" s="113"/>
      <c r="P184" s="269"/>
      <c r="Q184" s="293"/>
      <c r="R184" s="244"/>
      <c r="S184" s="248"/>
      <c r="T184" s="113"/>
      <c r="U184" s="241"/>
      <c r="V184" s="240"/>
      <c r="W184" s="241"/>
      <c r="X184" s="248"/>
      <c r="Y184" s="113"/>
      <c r="Z184" s="241"/>
      <c r="AA184" s="240"/>
      <c r="AB184" s="241"/>
      <c r="AC184" s="240"/>
      <c r="AD184" s="113"/>
      <c r="AE184" s="241"/>
      <c r="AF184" s="240"/>
      <c r="AG184" s="241"/>
      <c r="AH184" s="241"/>
      <c r="AI184" s="156"/>
    </row>
    <row r="185" spans="1:35" s="21" customFormat="1" x14ac:dyDescent="0.25">
      <c r="A185" s="261"/>
      <c r="B185" s="260"/>
      <c r="C185" s="259"/>
      <c r="D185" s="241">
        <f>R118-D118</f>
        <v>0.13999999999999999</v>
      </c>
      <c r="E185" s="249" t="s">
        <v>493</v>
      </c>
      <c r="F185" s="113"/>
      <c r="G185" s="260"/>
      <c r="H185" s="259"/>
      <c r="I185" s="240"/>
      <c r="J185" s="113"/>
      <c r="K185" s="260">
        <v>0.11</v>
      </c>
      <c r="L185" s="259">
        <v>11.15</v>
      </c>
      <c r="M185" s="241">
        <f>K183</f>
        <v>0.02</v>
      </c>
      <c r="N185" s="249" t="s">
        <v>252</v>
      </c>
      <c r="O185" s="113"/>
      <c r="P185" s="269"/>
      <c r="Q185" s="293"/>
      <c r="R185" s="244"/>
      <c r="S185" s="248"/>
      <c r="T185" s="113"/>
      <c r="U185" s="241"/>
      <c r="V185" s="240"/>
      <c r="W185" s="241"/>
      <c r="X185" s="248"/>
      <c r="Y185" s="113"/>
      <c r="Z185" s="241"/>
      <c r="AA185" s="240"/>
      <c r="AB185" s="241"/>
      <c r="AC185" s="240"/>
      <c r="AD185" s="113"/>
      <c r="AE185" s="241"/>
      <c r="AF185" s="240"/>
      <c r="AG185" s="241"/>
      <c r="AH185" s="241"/>
      <c r="AI185" s="156"/>
    </row>
    <row r="186" spans="1:35" s="21" customFormat="1" x14ac:dyDescent="0.25">
      <c r="A186" s="261"/>
      <c r="B186" s="260"/>
      <c r="C186" s="259"/>
      <c r="D186" s="56"/>
      <c r="E186" s="56"/>
      <c r="F186" s="113"/>
      <c r="G186" s="260"/>
      <c r="H186" s="259"/>
      <c r="I186" s="240"/>
      <c r="J186" s="113"/>
      <c r="K186" s="260"/>
      <c r="L186" s="259"/>
      <c r="M186" s="56"/>
      <c r="N186" s="56"/>
      <c r="O186" s="113"/>
      <c r="P186" s="269"/>
      <c r="Q186" s="293"/>
      <c r="R186" s="244"/>
      <c r="S186" s="248"/>
      <c r="T186" s="113"/>
      <c r="U186" s="241"/>
      <c r="V186" s="240"/>
      <c r="W186" s="241"/>
      <c r="X186" s="248"/>
      <c r="Y186" s="113"/>
      <c r="Z186" s="241"/>
      <c r="AA186" s="240"/>
      <c r="AB186" s="241"/>
      <c r="AC186" s="240"/>
      <c r="AD186" s="113"/>
      <c r="AE186" s="241"/>
      <c r="AF186" s="240"/>
      <c r="AG186" s="241"/>
      <c r="AH186" s="241"/>
      <c r="AI186" s="156"/>
    </row>
    <row r="187" spans="1:35" s="21" customFormat="1" x14ac:dyDescent="0.25">
      <c r="A187" s="261">
        <v>41</v>
      </c>
      <c r="B187" s="260">
        <v>0.62</v>
      </c>
      <c r="C187" s="259">
        <v>11.38</v>
      </c>
      <c r="D187" s="254">
        <f>M187</f>
        <v>0.28999999999999998</v>
      </c>
      <c r="E187" s="75" t="s">
        <v>35</v>
      </c>
      <c r="F187" s="113"/>
      <c r="G187" s="260">
        <v>0.9</v>
      </c>
      <c r="H187" s="259">
        <v>11.24</v>
      </c>
      <c r="I187" s="240"/>
      <c r="J187" s="113"/>
      <c r="K187" s="260">
        <v>0.28999999999999998</v>
      </c>
      <c r="L187" s="259">
        <v>11.25</v>
      </c>
      <c r="M187" s="241">
        <f>K187-M189</f>
        <v>0.28999999999999998</v>
      </c>
      <c r="N187" s="75" t="s">
        <v>35</v>
      </c>
      <c r="O187" s="113"/>
      <c r="P187" s="260">
        <v>0.28999999999999998</v>
      </c>
      <c r="Q187" s="259">
        <v>11.79</v>
      </c>
      <c r="R187" s="241">
        <f>P187</f>
        <v>0.28999999999999998</v>
      </c>
      <c r="S187" s="75" t="s">
        <v>348</v>
      </c>
      <c r="T187" s="113"/>
      <c r="U187" s="241"/>
      <c r="V187" s="240"/>
      <c r="W187" s="241"/>
      <c r="X187" s="19"/>
      <c r="Y187" s="113"/>
      <c r="Z187" s="241"/>
      <c r="AA187" s="240"/>
      <c r="AB187" s="241"/>
      <c r="AC187" s="240"/>
      <c r="AD187" s="113"/>
      <c r="AE187" s="241"/>
      <c r="AF187" s="240"/>
      <c r="AG187" s="241"/>
      <c r="AH187" s="241"/>
      <c r="AI187" s="156"/>
    </row>
    <row r="188" spans="1:35" s="21" customFormat="1" x14ac:dyDescent="0.25">
      <c r="A188" s="261"/>
      <c r="B188" s="260"/>
      <c r="C188" s="259"/>
      <c r="D188" s="241">
        <f>D192</f>
        <v>8.2500000000000004E-2</v>
      </c>
      <c r="E188" s="22" t="s">
        <v>246</v>
      </c>
      <c r="F188" s="113"/>
      <c r="G188" s="260"/>
      <c r="H188" s="259"/>
      <c r="I188" s="240"/>
      <c r="J188" s="113"/>
      <c r="K188" s="260"/>
      <c r="L188" s="259"/>
      <c r="M188" s="56"/>
      <c r="N188" s="56"/>
      <c r="O188" s="113"/>
      <c r="P188" s="260"/>
      <c r="Q188" s="259"/>
      <c r="R188" s="241"/>
      <c r="S188" s="19"/>
      <c r="T188" s="113"/>
      <c r="U188" s="241"/>
      <c r="V188" s="240"/>
      <c r="W188" s="241"/>
      <c r="X188" s="19"/>
      <c r="Y188" s="113"/>
      <c r="Z188" s="241"/>
      <c r="AA188" s="240"/>
      <c r="AB188" s="241"/>
      <c r="AC188" s="240"/>
      <c r="AD188" s="113"/>
      <c r="AE188" s="241"/>
      <c r="AF188" s="240"/>
      <c r="AG188" s="241"/>
      <c r="AH188" s="241"/>
      <c r="AI188" s="156"/>
    </row>
    <row r="189" spans="1:35" s="21" customFormat="1" x14ac:dyDescent="0.25">
      <c r="A189" s="261"/>
      <c r="B189" s="260"/>
      <c r="C189" s="259"/>
      <c r="D189" s="246"/>
      <c r="E189" s="107"/>
      <c r="F189" s="113"/>
      <c r="G189" s="260"/>
      <c r="H189" s="259"/>
      <c r="I189" s="240"/>
      <c r="J189" s="113"/>
      <c r="K189" s="260"/>
      <c r="L189" s="259"/>
      <c r="M189" s="245"/>
      <c r="N189" s="107"/>
      <c r="O189" s="113"/>
      <c r="P189" s="260"/>
      <c r="Q189" s="259"/>
      <c r="R189" s="245"/>
      <c r="S189" s="107"/>
      <c r="T189" s="113"/>
      <c r="U189" s="241"/>
      <c r="V189" s="240"/>
      <c r="W189" s="241"/>
      <c r="X189" s="19"/>
      <c r="Y189" s="113"/>
      <c r="Z189" s="241"/>
      <c r="AA189" s="240"/>
      <c r="AB189" s="241"/>
      <c r="AC189" s="240"/>
      <c r="AD189" s="113"/>
      <c r="AE189" s="241"/>
      <c r="AF189" s="240"/>
      <c r="AG189" s="241"/>
      <c r="AH189" s="241"/>
      <c r="AI189" s="156"/>
    </row>
    <row r="190" spans="1:35" s="21" customFormat="1" x14ac:dyDescent="0.25">
      <c r="A190" s="261"/>
      <c r="B190" s="260"/>
      <c r="C190" s="259"/>
      <c r="D190" s="241">
        <f>D192</f>
        <v>8.2500000000000004E-2</v>
      </c>
      <c r="E190" s="22" t="s">
        <v>240</v>
      </c>
      <c r="F190" s="113"/>
      <c r="G190" s="260"/>
      <c r="H190" s="259"/>
      <c r="I190" s="240"/>
      <c r="J190" s="113"/>
      <c r="K190" s="260"/>
      <c r="L190" s="259"/>
      <c r="M190" s="241">
        <f>K192</f>
        <v>0.1</v>
      </c>
      <c r="N190" s="22" t="s">
        <v>240</v>
      </c>
      <c r="O190" s="113"/>
      <c r="P190" s="260"/>
      <c r="Q190" s="259"/>
      <c r="R190" s="241"/>
      <c r="S190" s="19"/>
      <c r="T190" s="113"/>
      <c r="U190" s="241"/>
      <c r="V190" s="240"/>
      <c r="W190" s="241"/>
      <c r="X190" s="19"/>
      <c r="Y190" s="113"/>
      <c r="Z190" s="241"/>
      <c r="AA190" s="240"/>
      <c r="AB190" s="241"/>
      <c r="AC190" s="240"/>
      <c r="AD190" s="113"/>
      <c r="AE190" s="241"/>
      <c r="AF190" s="240"/>
      <c r="AG190" s="241"/>
      <c r="AH190" s="241"/>
      <c r="AI190" s="156"/>
    </row>
    <row r="191" spans="1:35" s="21" customFormat="1" x14ac:dyDescent="0.25">
      <c r="A191" s="261"/>
      <c r="B191" s="260"/>
      <c r="C191" s="259"/>
      <c r="D191" s="241">
        <f>D192</f>
        <v>8.2500000000000004E-2</v>
      </c>
      <c r="E191" s="22" t="s">
        <v>263</v>
      </c>
      <c r="F191" s="113"/>
      <c r="G191" s="260"/>
      <c r="H191" s="259"/>
      <c r="I191" s="240"/>
      <c r="J191" s="113"/>
      <c r="K191" s="260"/>
      <c r="L191" s="259"/>
      <c r="M191" s="241"/>
      <c r="O191" s="113"/>
      <c r="P191" s="260"/>
      <c r="Q191" s="259"/>
      <c r="R191" s="241"/>
      <c r="S191" s="56"/>
      <c r="T191" s="113"/>
      <c r="U191" s="241"/>
      <c r="V191" s="240"/>
      <c r="W191" s="241"/>
      <c r="X191" s="19"/>
      <c r="Y191" s="113"/>
      <c r="Z191" s="241"/>
      <c r="AA191" s="240"/>
      <c r="AB191" s="241"/>
      <c r="AC191" s="240"/>
      <c r="AD191" s="113"/>
      <c r="AE191" s="241"/>
      <c r="AF191" s="240"/>
      <c r="AG191" s="241"/>
      <c r="AH191" s="241"/>
      <c r="AI191" s="156"/>
    </row>
    <row r="192" spans="1:35" s="21" customFormat="1" x14ac:dyDescent="0.25">
      <c r="A192" s="261"/>
      <c r="B192" s="260"/>
      <c r="C192" s="259"/>
      <c r="D192" s="241">
        <f>(B187-D187-D189)/4</f>
        <v>8.2500000000000004E-2</v>
      </c>
      <c r="E192" s="22" t="s">
        <v>117</v>
      </c>
      <c r="F192" s="113"/>
      <c r="G192" s="260"/>
      <c r="H192" s="259"/>
      <c r="I192" s="240"/>
      <c r="J192" s="113"/>
      <c r="K192" s="241">
        <v>0.1</v>
      </c>
      <c r="L192" s="240">
        <v>11.39</v>
      </c>
      <c r="M192" s="19">
        <f>K192</f>
        <v>0.1</v>
      </c>
      <c r="N192" s="22" t="s">
        <v>117</v>
      </c>
      <c r="O192" s="113"/>
      <c r="P192" s="241">
        <v>0.25</v>
      </c>
      <c r="Q192" s="240">
        <v>11.89</v>
      </c>
      <c r="R192" s="241">
        <f>P192</f>
        <v>0.25</v>
      </c>
      <c r="S192" s="22" t="s">
        <v>117</v>
      </c>
      <c r="T192" s="113"/>
      <c r="U192" s="241"/>
      <c r="V192" s="240"/>
      <c r="W192" s="241"/>
      <c r="X192" s="240"/>
      <c r="Y192" s="113"/>
      <c r="Z192" s="241"/>
      <c r="AA192" s="240"/>
      <c r="AB192" s="241"/>
      <c r="AC192" s="240"/>
      <c r="AD192" s="113"/>
      <c r="AE192" s="241"/>
      <c r="AF192" s="240"/>
      <c r="AG192" s="241"/>
      <c r="AH192" s="241"/>
      <c r="AI192" s="156"/>
    </row>
    <row r="193" spans="1:42" s="21" customFormat="1" x14ac:dyDescent="0.25">
      <c r="A193" s="261">
        <v>42</v>
      </c>
      <c r="B193" s="260">
        <v>2.08</v>
      </c>
      <c r="C193" s="259">
        <v>11.51</v>
      </c>
      <c r="D193" s="240">
        <f>(B193-D194)/3</f>
        <v>0.66333333333333333</v>
      </c>
      <c r="E193" s="249" t="s">
        <v>450</v>
      </c>
      <c r="F193" s="113"/>
      <c r="G193" s="260">
        <v>1.48</v>
      </c>
      <c r="H193" s="259">
        <v>11.4</v>
      </c>
      <c r="I193" s="240"/>
      <c r="J193" s="113"/>
      <c r="K193" s="241">
        <v>0.63</v>
      </c>
      <c r="L193" s="240">
        <v>11.48</v>
      </c>
      <c r="M193" s="241">
        <f>K194</f>
        <v>0.31</v>
      </c>
      <c r="N193" s="249" t="s">
        <v>161</v>
      </c>
      <c r="O193" s="113"/>
      <c r="P193" s="263">
        <v>0.61</v>
      </c>
      <c r="Q193" s="266">
        <v>12</v>
      </c>
      <c r="R193" s="241"/>
      <c r="S193" s="240"/>
      <c r="T193" s="113"/>
      <c r="U193" s="241"/>
      <c r="V193" s="240"/>
      <c r="W193" s="241"/>
      <c r="X193" s="240"/>
      <c r="Y193" s="113"/>
      <c r="Z193" s="241"/>
      <c r="AA193" s="240"/>
      <c r="AB193" s="241"/>
      <c r="AC193" s="240"/>
      <c r="AD193" s="113"/>
      <c r="AE193" s="241"/>
      <c r="AF193" s="240"/>
      <c r="AG193" s="241"/>
      <c r="AH193" s="241"/>
      <c r="AI193" s="156"/>
    </row>
    <row r="194" spans="1:42" s="21" customFormat="1" x14ac:dyDescent="0.25">
      <c r="A194" s="261"/>
      <c r="B194" s="260"/>
      <c r="C194" s="259"/>
      <c r="D194" s="241">
        <v>0.09</v>
      </c>
      <c r="E194" s="249" t="s">
        <v>491</v>
      </c>
      <c r="F194" s="113"/>
      <c r="G194" s="260"/>
      <c r="H194" s="259"/>
      <c r="I194" s="240"/>
      <c r="J194" s="113"/>
      <c r="K194" s="241">
        <v>0.31</v>
      </c>
      <c r="L194" s="240">
        <v>11.61</v>
      </c>
      <c r="M194" s="241">
        <f>K195</f>
        <v>0.16</v>
      </c>
      <c r="N194" s="249" t="s">
        <v>242</v>
      </c>
      <c r="O194" s="113"/>
      <c r="P194" s="264"/>
      <c r="Q194" s="267"/>
      <c r="R194" s="56"/>
      <c r="S194" s="56"/>
      <c r="T194" s="113"/>
      <c r="U194" s="241"/>
      <c r="V194" s="240"/>
      <c r="W194" s="241"/>
      <c r="X194" s="240"/>
      <c r="Y194" s="113"/>
      <c r="Z194" s="241"/>
      <c r="AA194" s="240"/>
      <c r="AB194" s="241"/>
      <c r="AC194" s="240"/>
      <c r="AD194" s="113"/>
      <c r="AE194" s="241"/>
      <c r="AF194" s="240"/>
      <c r="AG194" s="241"/>
      <c r="AH194" s="241"/>
      <c r="AI194" s="156"/>
    </row>
    <row r="195" spans="1:42" s="21" customFormat="1" x14ac:dyDescent="0.25">
      <c r="A195" s="261"/>
      <c r="B195" s="260"/>
      <c r="C195" s="259"/>
      <c r="D195" s="240">
        <f>D193</f>
        <v>0.66333333333333333</v>
      </c>
      <c r="E195" s="249" t="s">
        <v>492</v>
      </c>
      <c r="F195" s="113"/>
      <c r="G195" s="260"/>
      <c r="H195" s="259"/>
      <c r="I195" s="240"/>
      <c r="J195" s="113"/>
      <c r="K195" s="241">
        <v>0.16</v>
      </c>
      <c r="L195" s="240">
        <v>11.68</v>
      </c>
      <c r="M195" s="241">
        <f>K196</f>
        <v>0.04</v>
      </c>
      <c r="N195" s="249" t="s">
        <v>253</v>
      </c>
      <c r="O195" s="113"/>
      <c r="P195" s="264"/>
      <c r="Q195" s="267"/>
      <c r="R195" s="241"/>
      <c r="S195" s="240"/>
      <c r="T195" s="113"/>
      <c r="U195" s="241"/>
      <c r="V195" s="240"/>
      <c r="W195" s="241"/>
      <c r="X195" s="240"/>
      <c r="Y195" s="113"/>
      <c r="Z195" s="241"/>
      <c r="AA195" s="240"/>
      <c r="AB195" s="241"/>
      <c r="AC195" s="240"/>
      <c r="AD195" s="113"/>
      <c r="AE195" s="241"/>
      <c r="AF195" s="240"/>
      <c r="AG195" s="241"/>
      <c r="AH195" s="241"/>
      <c r="AI195" s="156"/>
    </row>
    <row r="196" spans="1:42" s="21" customFormat="1" x14ac:dyDescent="0.25">
      <c r="A196" s="261"/>
      <c r="B196" s="260"/>
      <c r="C196" s="259"/>
      <c r="D196" s="240">
        <f>D193</f>
        <v>0.66333333333333333</v>
      </c>
      <c r="E196" s="15" t="s">
        <v>117</v>
      </c>
      <c r="F196" s="113"/>
      <c r="G196" s="260"/>
      <c r="H196" s="259"/>
      <c r="I196" s="240"/>
      <c r="J196" s="113"/>
      <c r="K196" s="241">
        <v>0.04</v>
      </c>
      <c r="L196" s="240">
        <v>11.77</v>
      </c>
      <c r="M196" s="241">
        <f>K193</f>
        <v>0.63</v>
      </c>
      <c r="N196" s="15" t="s">
        <v>117</v>
      </c>
      <c r="O196" s="113"/>
      <c r="P196" s="264"/>
      <c r="Q196" s="267"/>
      <c r="R196" s="241">
        <f>D196</f>
        <v>0.66333333333333333</v>
      </c>
      <c r="S196" s="15" t="s">
        <v>117</v>
      </c>
      <c r="T196" s="113"/>
      <c r="U196" s="241"/>
      <c r="V196" s="240"/>
      <c r="W196" s="241"/>
      <c r="X196" s="240"/>
      <c r="Y196" s="113"/>
      <c r="Z196" s="241"/>
      <c r="AA196" s="240"/>
      <c r="AB196" s="241"/>
      <c r="AC196" s="240"/>
      <c r="AD196" s="113"/>
      <c r="AE196" s="241"/>
      <c r="AF196" s="240"/>
      <c r="AG196" s="241"/>
      <c r="AH196" s="241"/>
      <c r="AI196" s="156"/>
    </row>
    <row r="197" spans="1:42" s="21" customFormat="1" x14ac:dyDescent="0.25">
      <c r="A197" s="261">
        <v>43</v>
      </c>
      <c r="B197" s="260">
        <v>1.91</v>
      </c>
      <c r="C197" s="259">
        <v>12.07</v>
      </c>
      <c r="D197" s="241">
        <f>M197</f>
        <v>0.15</v>
      </c>
      <c r="E197" s="75" t="s">
        <v>36</v>
      </c>
      <c r="F197" s="113"/>
      <c r="G197" s="260">
        <v>1.9</v>
      </c>
      <c r="H197" s="259">
        <v>11.88</v>
      </c>
      <c r="I197" s="240"/>
      <c r="J197" s="113"/>
      <c r="K197" s="241">
        <v>0.06</v>
      </c>
      <c r="L197" s="240">
        <v>11.84</v>
      </c>
      <c r="M197" s="241">
        <f>K197+K198+K199</f>
        <v>0.15</v>
      </c>
      <c r="N197" s="75" t="s">
        <v>36</v>
      </c>
      <c r="O197" s="113"/>
      <c r="P197" s="265"/>
      <c r="Q197" s="268"/>
      <c r="R197" s="241">
        <f>P158/2</f>
        <v>0.15</v>
      </c>
      <c r="S197" s="75" t="s">
        <v>36</v>
      </c>
      <c r="T197" s="113"/>
      <c r="U197" s="241"/>
      <c r="V197" s="240"/>
      <c r="W197" s="241"/>
      <c r="X197" s="19"/>
      <c r="Y197" s="113"/>
      <c r="Z197" s="241"/>
      <c r="AA197" s="240"/>
      <c r="AB197" s="241"/>
      <c r="AC197" s="240"/>
      <c r="AD197" s="113"/>
      <c r="AE197" s="241"/>
      <c r="AF197" s="240"/>
      <c r="AG197" s="241"/>
      <c r="AH197" s="241"/>
      <c r="AI197" s="156"/>
    </row>
    <row r="198" spans="1:42" s="21" customFormat="1" x14ac:dyDescent="0.25">
      <c r="A198" s="261"/>
      <c r="B198" s="260"/>
      <c r="C198" s="259"/>
      <c r="D198" s="240">
        <f>B197-D197-D200-D201-D202</f>
        <v>1.24</v>
      </c>
      <c r="E198" s="249" t="s">
        <v>256</v>
      </c>
      <c r="F198" s="113"/>
      <c r="G198" s="260"/>
      <c r="H198" s="259"/>
      <c r="I198" s="240"/>
      <c r="J198" s="113"/>
      <c r="K198" s="241">
        <v>7.0000000000000007E-2</v>
      </c>
      <c r="L198" s="240">
        <v>11.87</v>
      </c>
      <c r="M198" s="56"/>
      <c r="N198" s="56"/>
      <c r="O198" s="113"/>
      <c r="P198" s="241"/>
      <c r="Q198" s="240"/>
      <c r="R198" s="241"/>
      <c r="S198" s="240"/>
      <c r="T198" s="113"/>
      <c r="U198" s="241"/>
      <c r="V198" s="240"/>
      <c r="W198" s="241"/>
      <c r="X198" s="240"/>
      <c r="Y198" s="113"/>
      <c r="Z198" s="241"/>
      <c r="AA198" s="240"/>
      <c r="AB198" s="241"/>
      <c r="AC198" s="240"/>
      <c r="AD198" s="113"/>
      <c r="AE198" s="241"/>
      <c r="AF198" s="240"/>
      <c r="AG198" s="241"/>
      <c r="AH198" s="241"/>
      <c r="AI198" s="156"/>
    </row>
    <row r="199" spans="1:42" s="21" customFormat="1" x14ac:dyDescent="0.25">
      <c r="A199" s="261"/>
      <c r="B199" s="260"/>
      <c r="C199" s="259"/>
      <c r="D199" s="241"/>
      <c r="E199" s="240"/>
      <c r="F199" s="113"/>
      <c r="G199" s="260"/>
      <c r="H199" s="259"/>
      <c r="I199" s="240"/>
      <c r="J199" s="113"/>
      <c r="K199" s="241">
        <v>0.02</v>
      </c>
      <c r="L199" s="240">
        <v>11.93</v>
      </c>
      <c r="M199" s="241"/>
      <c r="N199" s="240"/>
      <c r="O199" s="113"/>
      <c r="P199" s="241"/>
      <c r="Q199" s="240"/>
      <c r="R199" s="241"/>
      <c r="S199" s="240"/>
      <c r="T199" s="113"/>
      <c r="U199" s="241"/>
      <c r="V199" s="240"/>
      <c r="W199" s="241"/>
      <c r="X199" s="240"/>
      <c r="Y199" s="113"/>
      <c r="Z199" s="241"/>
      <c r="AA199" s="240"/>
      <c r="AB199" s="241"/>
      <c r="AC199" s="240"/>
      <c r="AD199" s="113"/>
      <c r="AE199" s="241"/>
      <c r="AF199" s="240"/>
      <c r="AG199" s="241"/>
      <c r="AH199" s="241"/>
      <c r="AI199" s="156"/>
    </row>
    <row r="200" spans="1:42" s="21" customFormat="1" x14ac:dyDescent="0.25">
      <c r="A200" s="261"/>
      <c r="B200" s="260"/>
      <c r="C200" s="259"/>
      <c r="D200" s="241">
        <v>0.42</v>
      </c>
      <c r="E200" s="249" t="s">
        <v>543</v>
      </c>
      <c r="F200" s="113"/>
      <c r="G200" s="260"/>
      <c r="H200" s="259"/>
      <c r="I200" s="240"/>
      <c r="J200" s="113"/>
      <c r="K200" s="260">
        <v>0.09</v>
      </c>
      <c r="L200" s="259">
        <v>11.97</v>
      </c>
      <c r="M200" s="241"/>
      <c r="N200" s="240"/>
      <c r="O200" s="113"/>
      <c r="P200" s="241"/>
      <c r="Q200" s="240"/>
      <c r="R200" s="241"/>
      <c r="S200" s="240"/>
      <c r="T200" s="113"/>
      <c r="U200" s="241"/>
      <c r="V200" s="240"/>
      <c r="W200" s="241"/>
      <c r="X200" s="240"/>
      <c r="Y200" s="113"/>
      <c r="Z200" s="241"/>
      <c r="AA200" s="240"/>
      <c r="AB200" s="241"/>
      <c r="AC200" s="240"/>
      <c r="AD200" s="113"/>
      <c r="AE200" s="241"/>
      <c r="AF200" s="240"/>
      <c r="AG200" s="241"/>
      <c r="AH200" s="241"/>
      <c r="AI200" s="156"/>
    </row>
    <row r="201" spans="1:42" s="21" customFormat="1" x14ac:dyDescent="0.25">
      <c r="A201" s="261"/>
      <c r="B201" s="260"/>
      <c r="C201" s="259"/>
      <c r="D201" s="241">
        <v>0.01</v>
      </c>
      <c r="E201" s="249" t="s">
        <v>246</v>
      </c>
      <c r="F201" s="113"/>
      <c r="G201" s="260"/>
      <c r="H201" s="259"/>
      <c r="I201" s="240"/>
      <c r="J201" s="113"/>
      <c r="K201" s="260"/>
      <c r="L201" s="259"/>
      <c r="M201" s="56"/>
      <c r="N201" s="56"/>
      <c r="O201" s="113"/>
      <c r="P201" s="241"/>
      <c r="Q201" s="240"/>
      <c r="R201" s="241"/>
      <c r="S201" s="240"/>
      <c r="T201" s="113"/>
      <c r="U201" s="241"/>
      <c r="V201" s="240"/>
      <c r="W201" s="241"/>
      <c r="X201" s="240"/>
      <c r="Y201" s="113"/>
      <c r="Z201" s="241"/>
      <c r="AA201" s="240"/>
      <c r="AB201" s="241"/>
      <c r="AC201" s="240"/>
      <c r="AD201" s="113"/>
      <c r="AE201" s="241"/>
      <c r="AF201" s="240"/>
      <c r="AG201" s="241"/>
      <c r="AH201" s="241"/>
      <c r="AI201" s="156"/>
    </row>
    <row r="202" spans="1:42" s="21" customFormat="1" x14ac:dyDescent="0.25">
      <c r="A202" s="261"/>
      <c r="B202" s="260"/>
      <c r="C202" s="259"/>
      <c r="D202" s="241">
        <f>M202</f>
        <v>0.09</v>
      </c>
      <c r="E202" s="61" t="s">
        <v>254</v>
      </c>
      <c r="F202" s="113"/>
      <c r="G202" s="260"/>
      <c r="H202" s="259"/>
      <c r="I202" s="240"/>
      <c r="J202" s="113"/>
      <c r="K202" s="260"/>
      <c r="L202" s="259"/>
      <c r="M202" s="241">
        <f>K200</f>
        <v>0.09</v>
      </c>
      <c r="N202" s="61" t="s">
        <v>254</v>
      </c>
      <c r="O202" s="113"/>
      <c r="P202" s="241"/>
      <c r="Q202" s="240"/>
      <c r="R202" s="241"/>
      <c r="S202" s="240"/>
      <c r="T202" s="113"/>
      <c r="U202" s="241"/>
      <c r="V202" s="240"/>
      <c r="W202" s="241"/>
      <c r="X202" s="240"/>
      <c r="Y202" s="113"/>
      <c r="Z202" s="241"/>
      <c r="AA202" s="240"/>
      <c r="AB202" s="241"/>
      <c r="AC202" s="240"/>
      <c r="AD202" s="113"/>
      <c r="AE202" s="241"/>
      <c r="AF202" s="240"/>
      <c r="AG202" s="241"/>
      <c r="AH202" s="241"/>
      <c r="AI202" s="156"/>
    </row>
    <row r="203" spans="1:42" s="21" customFormat="1" x14ac:dyDescent="0.25">
      <c r="A203" s="242">
        <v>44</v>
      </c>
      <c r="B203" s="241">
        <v>0.49</v>
      </c>
      <c r="C203" s="240">
        <v>12.28</v>
      </c>
      <c r="D203" s="240">
        <f>B203</f>
        <v>0.49</v>
      </c>
      <c r="E203" s="249" t="s">
        <v>259</v>
      </c>
      <c r="F203" s="113"/>
      <c r="G203" s="260">
        <v>2.1</v>
      </c>
      <c r="H203" s="259">
        <v>12.47</v>
      </c>
      <c r="I203" s="240"/>
      <c r="J203" s="113"/>
      <c r="K203" s="241"/>
      <c r="L203" s="240"/>
      <c r="M203" s="241"/>
      <c r="N203" s="240"/>
      <c r="O203" s="113"/>
      <c r="P203" s="241"/>
      <c r="Q203" s="240"/>
      <c r="R203" s="241"/>
      <c r="S203" s="240"/>
      <c r="T203" s="113"/>
      <c r="U203" s="241"/>
      <c r="V203" s="240"/>
      <c r="W203" s="241"/>
      <c r="X203" s="240"/>
      <c r="Y203" s="113"/>
      <c r="Z203" s="241"/>
      <c r="AA203" s="240"/>
      <c r="AB203" s="241"/>
      <c r="AC203" s="240"/>
      <c r="AD203" s="113"/>
      <c r="AE203" s="241"/>
      <c r="AF203" s="240"/>
      <c r="AG203" s="241"/>
      <c r="AH203" s="241"/>
      <c r="AI203" s="156"/>
      <c r="AJ203" s="27"/>
      <c r="AK203" s="27"/>
      <c r="AL203" s="27"/>
      <c r="AM203" s="27"/>
      <c r="AN203" s="27"/>
      <c r="AO203" s="27"/>
      <c r="AP203" s="27"/>
    </row>
    <row r="204" spans="1:42" s="21" customFormat="1" x14ac:dyDescent="0.25">
      <c r="A204" s="242">
        <v>45</v>
      </c>
      <c r="B204" s="241">
        <v>0.33</v>
      </c>
      <c r="C204" s="240">
        <v>12.46</v>
      </c>
      <c r="D204" s="56"/>
      <c r="E204" s="56"/>
      <c r="F204" s="113"/>
      <c r="G204" s="260"/>
      <c r="H204" s="259"/>
      <c r="I204" s="240"/>
      <c r="J204" s="113"/>
      <c r="K204" s="241"/>
      <c r="L204" s="240"/>
      <c r="M204" s="56"/>
      <c r="N204" s="56"/>
      <c r="O204" s="113"/>
      <c r="P204" s="241"/>
      <c r="Q204" s="240"/>
      <c r="R204" s="241"/>
      <c r="S204" s="240"/>
      <c r="T204" s="113"/>
      <c r="U204" s="241"/>
      <c r="V204" s="240"/>
      <c r="W204" s="241"/>
      <c r="X204" s="240"/>
      <c r="Y204" s="113"/>
      <c r="Z204" s="241"/>
      <c r="AA204" s="240"/>
      <c r="AB204" s="241"/>
      <c r="AC204" s="240"/>
      <c r="AD204" s="113"/>
      <c r="AE204" s="241"/>
      <c r="AF204" s="240"/>
      <c r="AG204" s="241"/>
      <c r="AH204" s="241"/>
      <c r="AI204" s="156"/>
      <c r="AJ204" s="27"/>
      <c r="AK204" s="27"/>
      <c r="AL204" s="27"/>
      <c r="AM204" s="27"/>
      <c r="AN204" s="27"/>
      <c r="AO204" s="27"/>
      <c r="AP204" s="27"/>
    </row>
    <row r="205" spans="1:42" s="21" customFormat="1" x14ac:dyDescent="0.25">
      <c r="A205" s="242">
        <v>46</v>
      </c>
      <c r="B205" s="241">
        <v>0.21</v>
      </c>
      <c r="C205" s="240">
        <v>12.73</v>
      </c>
      <c r="D205" s="56"/>
      <c r="E205" s="56"/>
      <c r="F205" s="113"/>
      <c r="G205" s="260"/>
      <c r="H205" s="259"/>
      <c r="I205" s="240"/>
      <c r="J205" s="113"/>
      <c r="K205" s="241"/>
      <c r="L205" s="240"/>
      <c r="M205" s="241"/>
      <c r="N205" s="240"/>
      <c r="O205" s="113"/>
      <c r="P205" s="241"/>
      <c r="Q205" s="240"/>
      <c r="R205" s="241"/>
      <c r="S205" s="240"/>
      <c r="T205" s="113"/>
      <c r="U205" s="241"/>
      <c r="V205" s="240"/>
      <c r="W205" s="241"/>
      <c r="X205" s="240"/>
      <c r="Y205" s="113"/>
      <c r="Z205" s="241"/>
      <c r="AA205" s="240"/>
      <c r="AB205" s="241"/>
      <c r="AC205" s="240"/>
      <c r="AD205" s="113"/>
      <c r="AE205" s="241"/>
      <c r="AF205" s="240"/>
      <c r="AG205" s="241"/>
      <c r="AH205" s="241"/>
      <c r="AI205" s="156"/>
      <c r="AJ205" s="27"/>
      <c r="AK205" s="27"/>
      <c r="AL205" s="27"/>
      <c r="AM205" s="27"/>
      <c r="AN205" s="27"/>
      <c r="AO205" s="27"/>
      <c r="AP205" s="27"/>
    </row>
    <row r="206" spans="1:42" s="21" customFormat="1" x14ac:dyDescent="0.25">
      <c r="A206" s="242">
        <v>47</v>
      </c>
      <c r="B206" s="241">
        <v>0.57999999999999996</v>
      </c>
      <c r="C206" s="240">
        <v>13.05</v>
      </c>
      <c r="D206" s="56"/>
      <c r="E206" s="56"/>
      <c r="F206" s="113"/>
      <c r="G206" s="241">
        <v>1.85</v>
      </c>
      <c r="H206" s="240">
        <v>12.8</v>
      </c>
      <c r="I206" s="240"/>
      <c r="J206" s="113"/>
      <c r="K206" s="241"/>
      <c r="L206" s="240"/>
      <c r="M206" s="241"/>
      <c r="N206" s="240"/>
      <c r="O206" s="113"/>
      <c r="P206" s="241"/>
      <c r="Q206" s="240"/>
      <c r="R206" s="241"/>
      <c r="S206" s="240"/>
      <c r="T206" s="113"/>
      <c r="U206" s="241"/>
      <c r="V206" s="240"/>
      <c r="W206" s="241"/>
      <c r="X206" s="240"/>
      <c r="Y206" s="113"/>
      <c r="Z206" s="241"/>
      <c r="AA206" s="240"/>
      <c r="AB206" s="241"/>
      <c r="AC206" s="240"/>
      <c r="AD206" s="113"/>
      <c r="AE206" s="241"/>
      <c r="AF206" s="240"/>
      <c r="AG206" s="241"/>
      <c r="AH206" s="241"/>
      <c r="AI206" s="156"/>
      <c r="AJ206" s="27"/>
      <c r="AK206" s="27"/>
      <c r="AL206" s="27"/>
      <c r="AM206" s="27"/>
      <c r="AN206" s="27"/>
      <c r="AO206" s="27"/>
      <c r="AP206" s="27"/>
    </row>
    <row r="207" spans="1:42" s="21" customFormat="1" x14ac:dyDescent="0.25">
      <c r="A207" s="50" t="s">
        <v>224</v>
      </c>
      <c r="B207" s="111">
        <f>SUM(B3:B206)</f>
        <v>99.99</v>
      </c>
      <c r="C207" s="153"/>
      <c r="D207" s="111">
        <f>SUM(D3:D206)</f>
        <v>98.453055555555551</v>
      </c>
      <c r="E207" s="153"/>
      <c r="F207" s="113"/>
      <c r="G207" s="111">
        <f>SUM(G3:G206)</f>
        <v>100.02</v>
      </c>
      <c r="H207" s="153"/>
      <c r="I207" s="153"/>
      <c r="J207" s="113"/>
      <c r="K207" s="111">
        <f>SUM(K3:K206)</f>
        <v>99.950000000000045</v>
      </c>
      <c r="L207" s="153"/>
      <c r="M207" s="111">
        <f>SUM(M3:M206)</f>
        <v>98.513333333333364</v>
      </c>
      <c r="N207" s="153"/>
      <c r="O207" s="113"/>
      <c r="P207" s="111">
        <f>SUM(P3:P206)</f>
        <v>100.02</v>
      </c>
      <c r="Q207" s="153"/>
      <c r="R207" s="111">
        <f>SUM(R3:R206)</f>
        <v>96.533333333333317</v>
      </c>
      <c r="S207" s="153"/>
      <c r="T207" s="113"/>
      <c r="U207" s="111">
        <f>SUM(U3:U206)</f>
        <v>99.989999999999966</v>
      </c>
      <c r="V207" s="4"/>
      <c r="W207" s="111">
        <f>SUM(W3:W206)</f>
        <v>99.340000000000032</v>
      </c>
      <c r="X207" s="4"/>
      <c r="Y207" s="113"/>
      <c r="Z207" s="111">
        <f>SUM(Z3:Z206)</f>
        <v>99.980000000000018</v>
      </c>
      <c r="AA207" s="153"/>
      <c r="AB207" s="111">
        <f>SUM(AB3:AB206)</f>
        <v>93.840000000000018</v>
      </c>
      <c r="AC207" s="153"/>
      <c r="AD207" s="113"/>
      <c r="AE207" s="111">
        <f>SUM(AE3:AE206)</f>
        <v>100.01</v>
      </c>
      <c r="AF207" s="111"/>
      <c r="AG207" s="111">
        <f>SUM(AG3:AG206)</f>
        <v>97.620000000000047</v>
      </c>
      <c r="AH207" s="111"/>
      <c r="AI207" s="156"/>
    </row>
    <row r="208" spans="1:42" x14ac:dyDescent="0.25">
      <c r="U208" s="23"/>
      <c r="V208" s="46"/>
      <c r="W208" s="23"/>
      <c r="X208" s="46"/>
      <c r="Z208" s="138"/>
      <c r="AA208" s="154"/>
      <c r="AB208" s="138"/>
      <c r="AC208" s="154"/>
      <c r="AF208" s="138"/>
    </row>
    <row r="209" spans="1:29" x14ac:dyDescent="0.25">
      <c r="A209" s="121" t="s">
        <v>399</v>
      </c>
      <c r="U209" s="23"/>
      <c r="V209" s="46"/>
      <c r="W209" s="23"/>
      <c r="X209" s="46"/>
      <c r="Z209" s="138"/>
      <c r="AA209" s="154"/>
      <c r="AB209" s="138"/>
      <c r="AC209" s="154"/>
    </row>
    <row r="210" spans="1:29" x14ac:dyDescent="0.25">
      <c r="U210" s="23"/>
      <c r="V210" s="46"/>
      <c r="W210" s="23"/>
      <c r="X210" s="46"/>
      <c r="Z210" s="138"/>
      <c r="AA210" s="154"/>
      <c r="AB210" s="138"/>
      <c r="AC210" s="154"/>
    </row>
    <row r="211" spans="1:29" x14ac:dyDescent="0.25">
      <c r="U211" s="23"/>
      <c r="V211" s="46"/>
      <c r="W211" s="23"/>
      <c r="X211" s="46"/>
      <c r="Z211" s="138"/>
      <c r="AA211" s="154"/>
      <c r="AB211" s="138"/>
      <c r="AC211" s="154"/>
    </row>
    <row r="212" spans="1:29" x14ac:dyDescent="0.25">
      <c r="U212" s="23"/>
      <c r="V212" s="46"/>
      <c r="W212" s="23"/>
      <c r="X212" s="46"/>
      <c r="Z212" s="138"/>
      <c r="AA212" s="154"/>
      <c r="AB212" s="138"/>
      <c r="AC212" s="154"/>
    </row>
    <row r="213" spans="1:29" x14ac:dyDescent="0.25">
      <c r="U213" s="23"/>
      <c r="V213" s="46"/>
      <c r="W213" s="23"/>
      <c r="X213" s="46"/>
      <c r="Z213" s="138"/>
      <c r="AA213" s="154"/>
      <c r="AB213" s="138"/>
      <c r="AC213" s="154"/>
    </row>
    <row r="214" spans="1:29" x14ac:dyDescent="0.25">
      <c r="U214" s="23"/>
      <c r="V214" s="46"/>
      <c r="W214" s="23"/>
      <c r="X214" s="46"/>
      <c r="Z214" s="138"/>
      <c r="AA214" s="154"/>
      <c r="AB214" s="138"/>
      <c r="AC214" s="154"/>
    </row>
    <row r="215" spans="1:29" x14ac:dyDescent="0.25">
      <c r="U215" s="23"/>
      <c r="V215" s="46"/>
      <c r="W215" s="23"/>
      <c r="X215" s="46"/>
      <c r="Z215" s="138"/>
      <c r="AA215" s="154"/>
      <c r="AB215" s="138"/>
      <c r="AC215" s="154"/>
    </row>
    <row r="216" spans="1:29" x14ac:dyDescent="0.25">
      <c r="U216" s="23"/>
      <c r="V216" s="46"/>
      <c r="W216" s="23"/>
      <c r="X216" s="46"/>
      <c r="Z216" s="138"/>
      <c r="AA216" s="154"/>
      <c r="AB216" s="138"/>
      <c r="AC216" s="154"/>
    </row>
    <row r="217" spans="1:29" x14ac:dyDescent="0.25">
      <c r="U217" s="23"/>
      <c r="V217" s="46"/>
      <c r="W217" s="23"/>
      <c r="X217" s="46"/>
      <c r="Z217" s="138"/>
      <c r="AA217" s="154"/>
      <c r="AB217" s="138"/>
      <c r="AC217" s="154"/>
    </row>
    <row r="218" spans="1:29" x14ac:dyDescent="0.25">
      <c r="U218" s="23"/>
      <c r="V218" s="46"/>
      <c r="W218" s="23"/>
      <c r="X218" s="46"/>
      <c r="Z218" s="138"/>
      <c r="AA218" s="154"/>
      <c r="AB218" s="138"/>
      <c r="AC218" s="154"/>
    </row>
    <row r="219" spans="1:29" x14ac:dyDescent="0.25">
      <c r="U219" s="23"/>
      <c r="V219" s="46"/>
      <c r="W219" s="23"/>
      <c r="X219" s="46"/>
      <c r="Z219" s="138"/>
      <c r="AA219" s="154"/>
      <c r="AB219" s="138"/>
      <c r="AC219" s="154"/>
    </row>
    <row r="220" spans="1:29" x14ac:dyDescent="0.25">
      <c r="U220" s="23"/>
      <c r="V220" s="46"/>
      <c r="W220" s="23"/>
      <c r="X220" s="46"/>
      <c r="Z220" s="138"/>
      <c r="AA220" s="154"/>
      <c r="AB220" s="138"/>
      <c r="AC220" s="154"/>
    </row>
    <row r="221" spans="1:29" x14ac:dyDescent="0.25">
      <c r="U221" s="23"/>
      <c r="V221" s="46"/>
      <c r="W221" s="23"/>
      <c r="X221" s="46"/>
      <c r="Z221" s="138"/>
      <c r="AA221" s="154"/>
      <c r="AB221" s="138"/>
      <c r="AC221" s="154"/>
    </row>
    <row r="222" spans="1:29" x14ac:dyDescent="0.25">
      <c r="U222" s="23"/>
      <c r="V222" s="46"/>
      <c r="W222" s="23"/>
      <c r="X222" s="46"/>
      <c r="Z222" s="138"/>
      <c r="AA222" s="154"/>
      <c r="AB222" s="138"/>
      <c r="AC222" s="154"/>
    </row>
    <row r="223" spans="1:29" x14ac:dyDescent="0.25">
      <c r="U223" s="23"/>
      <c r="V223" s="46"/>
      <c r="W223" s="23"/>
      <c r="X223" s="46"/>
      <c r="Z223" s="138"/>
      <c r="AA223" s="154"/>
      <c r="AB223" s="138"/>
      <c r="AC223" s="154"/>
    </row>
    <row r="224" spans="1:29" x14ac:dyDescent="0.25">
      <c r="U224" s="23"/>
      <c r="V224" s="46"/>
      <c r="W224" s="23"/>
      <c r="X224" s="46"/>
      <c r="Z224" s="138"/>
      <c r="AA224" s="154"/>
      <c r="AB224" s="138"/>
      <c r="AC224" s="154"/>
    </row>
    <row r="225" spans="21:29" x14ac:dyDescent="0.25">
      <c r="U225" s="23"/>
      <c r="V225" s="46"/>
      <c r="W225" s="23"/>
      <c r="X225" s="46"/>
      <c r="Z225" s="138"/>
      <c r="AA225" s="154"/>
      <c r="AB225" s="138"/>
      <c r="AC225" s="154"/>
    </row>
    <row r="226" spans="21:29" x14ac:dyDescent="0.25">
      <c r="U226" s="23"/>
      <c r="V226" s="46"/>
      <c r="W226" s="23"/>
      <c r="X226" s="46"/>
      <c r="Z226" s="138"/>
      <c r="AA226" s="154"/>
      <c r="AB226" s="138"/>
      <c r="AC226" s="154"/>
    </row>
    <row r="227" spans="21:29" x14ac:dyDescent="0.25">
      <c r="U227" s="23"/>
      <c r="V227" s="46"/>
      <c r="W227" s="23"/>
      <c r="X227" s="46"/>
      <c r="Z227" s="138"/>
      <c r="AA227" s="154"/>
      <c r="AB227" s="138"/>
      <c r="AC227" s="154"/>
    </row>
    <row r="228" spans="21:29" x14ac:dyDescent="0.25">
      <c r="U228" s="23"/>
      <c r="V228" s="46"/>
      <c r="W228" s="23"/>
      <c r="X228" s="46"/>
      <c r="Z228" s="138"/>
      <c r="AA228" s="154"/>
      <c r="AB228" s="138"/>
      <c r="AC228" s="154"/>
    </row>
    <row r="229" spans="21:29" x14ac:dyDescent="0.25">
      <c r="U229" s="23"/>
      <c r="V229" s="46"/>
      <c r="W229" s="23"/>
      <c r="X229" s="46"/>
      <c r="Z229" s="138"/>
      <c r="AA229" s="154"/>
      <c r="AB229" s="138"/>
      <c r="AC229" s="154"/>
    </row>
    <row r="230" spans="21:29" x14ac:dyDescent="0.25">
      <c r="U230" s="23"/>
      <c r="V230" s="46"/>
      <c r="W230" s="23"/>
      <c r="X230" s="46"/>
      <c r="Z230" s="138"/>
      <c r="AA230" s="154"/>
      <c r="AB230" s="138"/>
      <c r="AC230" s="154"/>
    </row>
    <row r="231" spans="21:29" x14ac:dyDescent="0.25">
      <c r="U231" s="23"/>
      <c r="V231" s="46"/>
      <c r="W231" s="23"/>
      <c r="X231" s="46"/>
      <c r="Z231" s="138"/>
      <c r="AA231" s="154"/>
      <c r="AB231" s="138"/>
      <c r="AC231" s="154"/>
    </row>
    <row r="232" spans="21:29" x14ac:dyDescent="0.25">
      <c r="U232" s="23"/>
      <c r="V232" s="46"/>
      <c r="W232" s="23"/>
      <c r="X232" s="46"/>
      <c r="Z232" s="138"/>
      <c r="AA232" s="154"/>
      <c r="AB232" s="138"/>
      <c r="AC232" s="154"/>
    </row>
    <row r="233" spans="21:29" x14ac:dyDescent="0.25">
      <c r="U233" s="23"/>
      <c r="V233" s="46"/>
      <c r="W233" s="23"/>
      <c r="X233" s="46"/>
      <c r="Z233" s="138"/>
      <c r="AA233" s="154"/>
      <c r="AB233" s="138"/>
      <c r="AC233" s="154"/>
    </row>
    <row r="234" spans="21:29" x14ac:dyDescent="0.25">
      <c r="U234" s="23"/>
      <c r="V234" s="46"/>
      <c r="W234" s="23"/>
      <c r="X234" s="46"/>
      <c r="Z234" s="138"/>
      <c r="AA234" s="154"/>
      <c r="AB234" s="138"/>
      <c r="AC234" s="154"/>
    </row>
    <row r="235" spans="21:29" x14ac:dyDescent="0.25">
      <c r="U235" s="23"/>
      <c r="V235" s="46"/>
      <c r="W235" s="23"/>
      <c r="X235" s="46"/>
      <c r="Z235" s="138"/>
      <c r="AA235" s="154"/>
      <c r="AB235" s="138"/>
      <c r="AC235" s="154"/>
    </row>
    <row r="236" spans="21:29" x14ac:dyDescent="0.25">
      <c r="U236" s="23"/>
      <c r="V236" s="46"/>
      <c r="W236" s="23"/>
      <c r="X236" s="46"/>
      <c r="Z236" s="138"/>
      <c r="AA236" s="154"/>
      <c r="AB236" s="138"/>
      <c r="AC236" s="154"/>
    </row>
    <row r="237" spans="21:29" x14ac:dyDescent="0.25">
      <c r="U237" s="23"/>
      <c r="V237" s="46"/>
      <c r="W237" s="23"/>
      <c r="X237" s="46"/>
      <c r="Z237" s="138"/>
      <c r="AA237" s="154"/>
      <c r="AB237" s="138"/>
      <c r="AC237" s="154"/>
    </row>
    <row r="238" spans="21:29" x14ac:dyDescent="0.25">
      <c r="U238" s="23"/>
      <c r="V238" s="46"/>
      <c r="W238" s="23"/>
      <c r="X238" s="46"/>
      <c r="Z238" s="138"/>
      <c r="AA238" s="154"/>
      <c r="AB238" s="138"/>
      <c r="AC238" s="154"/>
    </row>
    <row r="239" spans="21:29" x14ac:dyDescent="0.25">
      <c r="U239" s="23"/>
      <c r="V239" s="46"/>
      <c r="W239" s="23"/>
      <c r="X239" s="46"/>
      <c r="Z239" s="138"/>
      <c r="AA239" s="154"/>
      <c r="AB239" s="138"/>
      <c r="AC239" s="154"/>
    </row>
    <row r="240" spans="21:29" x14ac:dyDescent="0.25">
      <c r="U240" s="23"/>
      <c r="V240" s="46"/>
      <c r="W240" s="23"/>
      <c r="X240" s="46"/>
      <c r="Z240" s="138"/>
      <c r="AA240" s="154"/>
      <c r="AB240" s="138"/>
      <c r="AC240" s="154"/>
    </row>
    <row r="241" spans="21:29" x14ac:dyDescent="0.25">
      <c r="U241" s="23"/>
      <c r="V241" s="46"/>
      <c r="W241" s="23"/>
      <c r="X241" s="46"/>
      <c r="Z241" s="138"/>
      <c r="AA241" s="154"/>
      <c r="AB241" s="138"/>
      <c r="AC241" s="154"/>
    </row>
    <row r="242" spans="21:29" x14ac:dyDescent="0.25">
      <c r="U242" s="23"/>
      <c r="V242" s="46"/>
      <c r="W242" s="23"/>
      <c r="X242" s="46"/>
      <c r="Z242" s="138"/>
      <c r="AA242" s="154"/>
      <c r="AB242" s="138"/>
      <c r="AC242" s="154"/>
    </row>
    <row r="243" spans="21:29" x14ac:dyDescent="0.25">
      <c r="U243" s="23"/>
      <c r="V243" s="46"/>
      <c r="W243" s="23"/>
      <c r="X243" s="46"/>
      <c r="Z243" s="138"/>
      <c r="AA243" s="154"/>
      <c r="AB243" s="138"/>
      <c r="AC243" s="154"/>
    </row>
    <row r="244" spans="21:29" x14ac:dyDescent="0.25">
      <c r="U244" s="23"/>
      <c r="V244" s="46"/>
      <c r="W244" s="23"/>
      <c r="X244" s="46"/>
      <c r="Z244" s="138"/>
      <c r="AA244" s="154"/>
      <c r="AB244" s="138"/>
      <c r="AC244" s="154"/>
    </row>
    <row r="245" spans="21:29" x14ac:dyDescent="0.25">
      <c r="U245" s="23"/>
      <c r="V245" s="46"/>
      <c r="W245" s="23"/>
      <c r="X245" s="46"/>
      <c r="Z245" s="138"/>
      <c r="AA245" s="154"/>
      <c r="AB245" s="138"/>
      <c r="AC245" s="154"/>
    </row>
    <row r="246" spans="21:29" x14ac:dyDescent="0.25">
      <c r="U246" s="23"/>
      <c r="V246" s="46"/>
      <c r="W246" s="23"/>
      <c r="X246" s="46"/>
      <c r="Z246" s="138"/>
      <c r="AA246" s="154"/>
      <c r="AB246" s="138"/>
      <c r="AC246" s="154"/>
    </row>
    <row r="247" spans="21:29" x14ac:dyDescent="0.25">
      <c r="U247" s="23"/>
      <c r="V247" s="46"/>
      <c r="W247" s="23"/>
      <c r="X247" s="46"/>
      <c r="Z247" s="138"/>
      <c r="AA247" s="154"/>
      <c r="AB247" s="138"/>
      <c r="AC247" s="154"/>
    </row>
    <row r="248" spans="21:29" x14ac:dyDescent="0.25">
      <c r="U248" s="23"/>
      <c r="V248" s="46"/>
      <c r="W248" s="23"/>
      <c r="X248" s="46"/>
      <c r="Z248" s="138"/>
      <c r="AA248" s="154"/>
      <c r="AB248" s="138"/>
      <c r="AC248" s="154"/>
    </row>
    <row r="249" spans="21:29" x14ac:dyDescent="0.25">
      <c r="U249" s="23"/>
      <c r="V249" s="46"/>
      <c r="W249" s="23"/>
      <c r="X249" s="46"/>
      <c r="Z249" s="138"/>
      <c r="AA249" s="154"/>
      <c r="AB249" s="138"/>
      <c r="AC249" s="154"/>
    </row>
    <row r="250" spans="21:29" x14ac:dyDescent="0.25">
      <c r="U250" s="23"/>
      <c r="V250" s="46"/>
      <c r="W250" s="23"/>
      <c r="X250" s="46"/>
      <c r="Z250" s="138"/>
      <c r="AA250" s="154"/>
      <c r="AB250" s="138"/>
      <c r="AC250" s="154"/>
    </row>
    <row r="251" spans="21:29" x14ac:dyDescent="0.25">
      <c r="U251" s="23"/>
      <c r="V251" s="46"/>
      <c r="W251" s="23"/>
      <c r="X251" s="46"/>
      <c r="Z251" s="138"/>
      <c r="AA251" s="154"/>
      <c r="AB251" s="138"/>
      <c r="AC251" s="154"/>
    </row>
    <row r="252" spans="21:29" x14ac:dyDescent="0.25">
      <c r="U252" s="23"/>
      <c r="V252" s="46"/>
      <c r="W252" s="23"/>
      <c r="X252" s="46"/>
      <c r="Z252" s="138"/>
      <c r="AA252" s="154"/>
      <c r="AB252" s="138"/>
      <c r="AC252" s="154"/>
    </row>
    <row r="253" spans="21:29" x14ac:dyDescent="0.25">
      <c r="U253" s="23"/>
      <c r="V253" s="46"/>
      <c r="W253" s="23"/>
      <c r="X253" s="46"/>
      <c r="Z253" s="138"/>
      <c r="AA253" s="154"/>
      <c r="AB253" s="138"/>
      <c r="AC253" s="154"/>
    </row>
    <row r="254" spans="21:29" x14ac:dyDescent="0.25">
      <c r="U254" s="23"/>
      <c r="V254" s="46"/>
      <c r="W254" s="23"/>
      <c r="X254" s="46"/>
      <c r="Z254" s="138"/>
      <c r="AA254" s="154"/>
      <c r="AB254" s="138"/>
      <c r="AC254" s="154"/>
    </row>
    <row r="255" spans="21:29" x14ac:dyDescent="0.25">
      <c r="U255" s="23"/>
      <c r="V255" s="46"/>
      <c r="W255" s="23"/>
      <c r="X255" s="46"/>
      <c r="Z255" s="138"/>
      <c r="AA255" s="154"/>
      <c r="AB255" s="138"/>
      <c r="AC255" s="154"/>
    </row>
    <row r="256" spans="21:29" x14ac:dyDescent="0.25">
      <c r="U256" s="23"/>
      <c r="V256" s="46"/>
      <c r="W256" s="23"/>
      <c r="X256" s="46"/>
      <c r="Z256" s="138"/>
      <c r="AA256" s="154"/>
      <c r="AB256" s="138"/>
      <c r="AC256" s="154"/>
    </row>
    <row r="257" spans="21:29" x14ac:dyDescent="0.25">
      <c r="U257" s="23"/>
      <c r="V257" s="46"/>
      <c r="W257" s="23"/>
      <c r="X257" s="46"/>
      <c r="Z257" s="138"/>
      <c r="AA257" s="154"/>
      <c r="AB257" s="138"/>
      <c r="AC257" s="154"/>
    </row>
    <row r="258" spans="21:29" x14ac:dyDescent="0.25">
      <c r="U258" s="23"/>
      <c r="V258" s="46"/>
      <c r="W258" s="23"/>
      <c r="X258" s="46"/>
      <c r="Z258" s="138"/>
      <c r="AA258" s="154"/>
      <c r="AB258" s="138"/>
      <c r="AC258" s="154"/>
    </row>
    <row r="259" spans="21:29" x14ac:dyDescent="0.25">
      <c r="U259" s="23"/>
      <c r="V259" s="46"/>
      <c r="W259" s="23"/>
      <c r="X259" s="46"/>
      <c r="Z259" s="138"/>
      <c r="AA259" s="154"/>
      <c r="AB259" s="138"/>
      <c r="AC259" s="154"/>
    </row>
    <row r="260" spans="21:29" x14ac:dyDescent="0.25">
      <c r="U260" s="23"/>
      <c r="V260" s="46"/>
      <c r="W260" s="23"/>
      <c r="X260" s="46"/>
      <c r="Z260" s="138"/>
      <c r="AA260" s="154"/>
      <c r="AB260" s="138"/>
      <c r="AC260" s="154"/>
    </row>
    <row r="261" spans="21:29" x14ac:dyDescent="0.25">
      <c r="U261" s="23"/>
      <c r="V261" s="46"/>
      <c r="W261" s="23"/>
      <c r="X261" s="46"/>
      <c r="Z261" s="138"/>
      <c r="AA261" s="154"/>
      <c r="AB261" s="138"/>
      <c r="AC261" s="154"/>
    </row>
    <row r="262" spans="21:29" x14ac:dyDescent="0.25">
      <c r="U262" s="23"/>
      <c r="V262" s="46"/>
      <c r="W262" s="23"/>
      <c r="X262" s="46"/>
      <c r="Z262" s="138"/>
      <c r="AA262" s="154"/>
      <c r="AB262" s="138"/>
      <c r="AC262" s="154"/>
    </row>
    <row r="263" spans="21:29" x14ac:dyDescent="0.25">
      <c r="U263" s="23"/>
      <c r="V263" s="46"/>
      <c r="W263" s="23"/>
      <c r="X263" s="46"/>
      <c r="Z263" s="138"/>
      <c r="AA263" s="154"/>
      <c r="AB263" s="138"/>
      <c r="AC263" s="154"/>
    </row>
    <row r="264" spans="21:29" x14ac:dyDescent="0.25">
      <c r="U264" s="23"/>
      <c r="V264" s="46"/>
      <c r="W264" s="23"/>
      <c r="X264" s="46"/>
      <c r="Z264" s="138"/>
      <c r="AA264" s="154"/>
      <c r="AB264" s="138"/>
      <c r="AC264" s="154"/>
    </row>
    <row r="265" spans="21:29" x14ac:dyDescent="0.25">
      <c r="U265" s="23"/>
      <c r="V265" s="46"/>
      <c r="W265" s="23"/>
      <c r="X265" s="46"/>
      <c r="Z265" s="138"/>
      <c r="AA265" s="154"/>
      <c r="AB265" s="138"/>
      <c r="AC265" s="154"/>
    </row>
    <row r="266" spans="21:29" x14ac:dyDescent="0.25">
      <c r="U266" s="23"/>
      <c r="V266" s="46"/>
      <c r="W266" s="23"/>
      <c r="X266" s="46"/>
      <c r="Z266" s="138"/>
      <c r="AA266" s="154"/>
      <c r="AB266" s="138"/>
      <c r="AC266" s="154"/>
    </row>
    <row r="267" spans="21:29" x14ac:dyDescent="0.25">
      <c r="U267" s="23"/>
      <c r="V267" s="46"/>
      <c r="W267" s="23"/>
      <c r="X267" s="46"/>
      <c r="Z267" s="138"/>
      <c r="AA267" s="154"/>
      <c r="AB267" s="138"/>
      <c r="AC267" s="154"/>
    </row>
    <row r="268" spans="21:29" x14ac:dyDescent="0.25">
      <c r="U268" s="23"/>
      <c r="V268" s="46"/>
      <c r="W268" s="23"/>
      <c r="X268" s="46"/>
      <c r="Z268" s="138"/>
      <c r="AA268" s="154"/>
      <c r="AB268" s="138"/>
      <c r="AC268" s="154"/>
    </row>
    <row r="269" spans="21:29" x14ac:dyDescent="0.25">
      <c r="U269" s="23"/>
      <c r="V269" s="46"/>
      <c r="W269" s="23"/>
      <c r="X269" s="46"/>
      <c r="Z269" s="138"/>
      <c r="AA269" s="154"/>
      <c r="AB269" s="138"/>
      <c r="AC269" s="154"/>
    </row>
    <row r="270" spans="21:29" x14ac:dyDescent="0.25">
      <c r="U270" s="23"/>
      <c r="V270" s="46"/>
      <c r="W270" s="23"/>
      <c r="X270" s="46"/>
      <c r="Z270" s="138"/>
      <c r="AA270" s="154"/>
      <c r="AB270" s="138"/>
      <c r="AC270" s="154"/>
    </row>
    <row r="271" spans="21:29" x14ac:dyDescent="0.25">
      <c r="U271" s="23"/>
      <c r="V271" s="46"/>
      <c r="W271" s="23"/>
      <c r="X271" s="46"/>
      <c r="Z271" s="138"/>
      <c r="AA271" s="154"/>
      <c r="AB271" s="138"/>
      <c r="AC271" s="154"/>
    </row>
    <row r="272" spans="21:29" x14ac:dyDescent="0.25">
      <c r="U272" s="23"/>
      <c r="V272" s="46"/>
      <c r="W272" s="23"/>
      <c r="X272" s="46"/>
      <c r="Z272" s="138"/>
      <c r="AA272" s="154"/>
      <c r="AB272" s="138"/>
      <c r="AC272" s="154"/>
    </row>
    <row r="273" spans="21:29" x14ac:dyDescent="0.25">
      <c r="U273" s="23"/>
      <c r="V273" s="46"/>
      <c r="W273" s="23"/>
      <c r="X273" s="46"/>
      <c r="Z273" s="138"/>
      <c r="AA273" s="154"/>
      <c r="AB273" s="138"/>
      <c r="AC273" s="154"/>
    </row>
    <row r="274" spans="21:29" x14ac:dyDescent="0.25">
      <c r="U274" s="23"/>
      <c r="V274" s="46"/>
      <c r="W274" s="23"/>
      <c r="X274" s="46"/>
      <c r="Z274" s="138"/>
      <c r="AA274" s="154"/>
      <c r="AB274" s="138"/>
      <c r="AC274" s="154"/>
    </row>
    <row r="275" spans="21:29" x14ac:dyDescent="0.25">
      <c r="U275" s="23"/>
      <c r="V275" s="46"/>
      <c r="W275" s="23"/>
      <c r="X275" s="46"/>
      <c r="Z275" s="138"/>
      <c r="AA275" s="154"/>
      <c r="AB275" s="138"/>
      <c r="AC275" s="154"/>
    </row>
    <row r="276" spans="21:29" x14ac:dyDescent="0.25">
      <c r="U276" s="23"/>
      <c r="V276" s="46"/>
      <c r="W276" s="23"/>
      <c r="X276" s="46"/>
      <c r="Z276" s="138"/>
      <c r="AA276" s="154"/>
      <c r="AB276" s="138"/>
      <c r="AC276" s="154"/>
    </row>
    <row r="277" spans="21:29" x14ac:dyDescent="0.25">
      <c r="U277" s="23"/>
      <c r="V277" s="46"/>
      <c r="W277" s="23"/>
      <c r="X277" s="46"/>
      <c r="Z277" s="138"/>
      <c r="AA277" s="154"/>
      <c r="AB277" s="138"/>
      <c r="AC277" s="154"/>
    </row>
    <row r="278" spans="21:29" x14ac:dyDescent="0.25">
      <c r="U278" s="23"/>
      <c r="V278" s="46"/>
      <c r="W278" s="23"/>
      <c r="X278" s="46"/>
      <c r="Z278" s="138"/>
      <c r="AA278" s="154"/>
      <c r="AB278" s="138"/>
      <c r="AC278" s="154"/>
    </row>
    <row r="279" spans="21:29" x14ac:dyDescent="0.25">
      <c r="U279" s="23"/>
      <c r="V279" s="46"/>
      <c r="W279" s="23"/>
      <c r="X279" s="46"/>
      <c r="Z279" s="138"/>
      <c r="AA279" s="154"/>
      <c r="AB279" s="138"/>
      <c r="AC279" s="154"/>
    </row>
    <row r="280" spans="21:29" x14ac:dyDescent="0.25">
      <c r="U280" s="23"/>
      <c r="V280" s="46"/>
      <c r="W280" s="23"/>
      <c r="X280" s="46"/>
      <c r="Z280" s="138"/>
      <c r="AA280" s="154"/>
      <c r="AB280" s="138"/>
      <c r="AC280" s="154"/>
    </row>
    <row r="281" spans="21:29" x14ac:dyDescent="0.25">
      <c r="U281" s="23"/>
      <c r="V281" s="46"/>
      <c r="W281" s="23"/>
      <c r="X281" s="46"/>
      <c r="Z281" s="138"/>
      <c r="AA281" s="154"/>
      <c r="AB281" s="138"/>
      <c r="AC281" s="154"/>
    </row>
    <row r="282" spans="21:29" x14ac:dyDescent="0.25">
      <c r="U282" s="23"/>
      <c r="V282" s="46"/>
      <c r="W282" s="23"/>
      <c r="X282" s="46"/>
      <c r="Z282" s="138"/>
      <c r="AA282" s="154"/>
      <c r="AB282" s="138"/>
      <c r="AC282" s="154"/>
    </row>
    <row r="283" spans="21:29" x14ac:dyDescent="0.25">
      <c r="U283" s="23"/>
      <c r="V283" s="46"/>
      <c r="W283" s="23"/>
      <c r="X283" s="46"/>
      <c r="Z283" s="138"/>
      <c r="AA283" s="154"/>
      <c r="AB283" s="138"/>
      <c r="AC283" s="154"/>
    </row>
    <row r="284" spans="21:29" x14ac:dyDescent="0.25">
      <c r="U284" s="23"/>
      <c r="V284" s="46"/>
      <c r="W284" s="23"/>
      <c r="X284" s="46"/>
      <c r="Z284" s="138"/>
      <c r="AA284" s="154"/>
      <c r="AB284" s="138"/>
      <c r="AC284" s="154"/>
    </row>
    <row r="285" spans="21:29" x14ac:dyDescent="0.25">
      <c r="U285" s="23"/>
      <c r="V285" s="46"/>
      <c r="W285" s="23"/>
      <c r="X285" s="46"/>
      <c r="Z285" s="138"/>
      <c r="AA285" s="154"/>
      <c r="AB285" s="138"/>
      <c r="AC285" s="154"/>
    </row>
    <row r="286" spans="21:29" x14ac:dyDescent="0.25">
      <c r="U286" s="23"/>
      <c r="V286" s="46"/>
      <c r="W286" s="23"/>
      <c r="X286" s="46"/>
      <c r="Z286" s="138"/>
      <c r="AA286" s="154"/>
      <c r="AB286" s="138"/>
      <c r="AC286" s="154"/>
    </row>
    <row r="287" spans="21:29" x14ac:dyDescent="0.25">
      <c r="U287" s="23"/>
      <c r="V287" s="46"/>
      <c r="W287" s="23"/>
      <c r="X287" s="46"/>
      <c r="Z287" s="138"/>
      <c r="AA287" s="154"/>
      <c r="AB287" s="138"/>
      <c r="AC287" s="154"/>
    </row>
    <row r="288" spans="21:29" x14ac:dyDescent="0.25">
      <c r="U288" s="23"/>
      <c r="V288" s="46"/>
      <c r="W288" s="23"/>
      <c r="X288" s="46"/>
      <c r="Z288" s="138"/>
      <c r="AA288" s="154"/>
      <c r="AB288" s="138"/>
      <c r="AC288" s="154"/>
    </row>
    <row r="289" spans="21:36" x14ac:dyDescent="0.25">
      <c r="U289" s="23"/>
      <c r="V289" s="46"/>
      <c r="W289" s="23"/>
      <c r="X289" s="46"/>
      <c r="Z289" s="138"/>
      <c r="AA289" s="154"/>
      <c r="AB289" s="138"/>
      <c r="AC289" s="154"/>
    </row>
    <row r="290" spans="21:36" x14ac:dyDescent="0.25">
      <c r="U290" s="23"/>
      <c r="V290" s="46"/>
      <c r="W290" s="23"/>
      <c r="X290" s="46"/>
      <c r="Z290" s="138"/>
      <c r="AA290" s="154"/>
      <c r="AB290" s="138"/>
      <c r="AC290" s="154"/>
    </row>
    <row r="291" spans="21:36" x14ac:dyDescent="0.25">
      <c r="U291" s="23"/>
      <c r="V291" s="46"/>
      <c r="W291" s="23"/>
      <c r="X291" s="46"/>
      <c r="Z291" s="138"/>
      <c r="AA291" s="154"/>
      <c r="AB291" s="138"/>
      <c r="AC291" s="154"/>
    </row>
    <row r="292" spans="21:36" x14ac:dyDescent="0.25">
      <c r="U292" s="23"/>
      <c r="V292" s="46"/>
      <c r="W292" s="23"/>
      <c r="X292" s="46"/>
      <c r="Z292" s="138"/>
      <c r="AA292" s="154"/>
      <c r="AB292" s="138"/>
      <c r="AC292" s="154"/>
    </row>
    <row r="293" spans="21:36" x14ac:dyDescent="0.25">
      <c r="U293" s="23"/>
      <c r="V293" s="46"/>
      <c r="W293" s="23"/>
      <c r="X293" s="46"/>
      <c r="Z293" s="138"/>
      <c r="AA293" s="154"/>
      <c r="AB293" s="138"/>
      <c r="AC293" s="154"/>
    </row>
    <row r="294" spans="21:36" x14ac:dyDescent="0.25">
      <c r="U294" s="23"/>
      <c r="V294" s="46"/>
      <c r="W294" s="23"/>
      <c r="X294" s="46"/>
      <c r="Z294" s="138"/>
      <c r="AA294" s="154"/>
      <c r="AB294" s="138"/>
      <c r="AC294" s="154"/>
    </row>
    <row r="295" spans="21:36" x14ac:dyDescent="0.25">
      <c r="U295" s="23"/>
      <c r="V295" s="46"/>
      <c r="W295" s="23"/>
      <c r="X295" s="46"/>
      <c r="Z295" s="138"/>
      <c r="AA295" s="154"/>
      <c r="AB295" s="138"/>
      <c r="AC295" s="154"/>
    </row>
    <row r="296" spans="21:36" x14ac:dyDescent="0.25">
      <c r="U296" s="23"/>
      <c r="V296" s="46"/>
      <c r="W296" s="23"/>
      <c r="X296" s="46"/>
      <c r="Z296" s="138"/>
      <c r="AA296" s="154"/>
      <c r="AB296" s="138"/>
      <c r="AC296" s="154"/>
    </row>
    <row r="297" spans="21:36" x14ac:dyDescent="0.25">
      <c r="U297" s="23"/>
      <c r="V297" s="46"/>
      <c r="W297" s="23"/>
      <c r="X297" s="46"/>
      <c r="Z297" s="138"/>
      <c r="AA297" s="154"/>
      <c r="AB297" s="138"/>
      <c r="AC297" s="154"/>
      <c r="AJ297" s="133"/>
    </row>
    <row r="298" spans="21:36" x14ac:dyDescent="0.25">
      <c r="U298" s="23"/>
      <c r="V298" s="46"/>
      <c r="W298" s="23"/>
      <c r="X298" s="46"/>
      <c r="Z298" s="138"/>
      <c r="AA298" s="154"/>
      <c r="AB298" s="138"/>
      <c r="AC298" s="154"/>
    </row>
    <row r="299" spans="21:36" x14ac:dyDescent="0.25">
      <c r="U299" s="23"/>
      <c r="V299" s="46"/>
      <c r="W299" s="23"/>
      <c r="X299" s="46"/>
      <c r="Z299" s="138"/>
      <c r="AA299" s="154"/>
      <c r="AB299" s="138"/>
      <c r="AC299" s="154"/>
    </row>
    <row r="300" spans="21:36" x14ac:dyDescent="0.25">
      <c r="U300" s="23"/>
      <c r="V300" s="46"/>
      <c r="W300" s="23"/>
      <c r="X300" s="46"/>
      <c r="Z300" s="138"/>
      <c r="AA300" s="154"/>
      <c r="AB300" s="138"/>
      <c r="AC300" s="154"/>
    </row>
    <row r="301" spans="21:36" x14ac:dyDescent="0.25">
      <c r="U301" s="23"/>
      <c r="V301" s="46"/>
      <c r="W301" s="23"/>
      <c r="X301" s="46"/>
      <c r="Z301" s="138"/>
      <c r="AA301" s="154"/>
      <c r="AB301" s="138"/>
      <c r="AC301" s="154"/>
    </row>
    <row r="302" spans="21:36" x14ac:dyDescent="0.25">
      <c r="U302" s="23"/>
      <c r="V302" s="46"/>
      <c r="W302" s="23"/>
      <c r="X302" s="46"/>
      <c r="Z302" s="138"/>
      <c r="AA302" s="154"/>
      <c r="AB302" s="138"/>
      <c r="AC302" s="154"/>
    </row>
    <row r="303" spans="21:36" x14ac:dyDescent="0.25">
      <c r="U303" s="23"/>
      <c r="V303" s="46"/>
      <c r="W303" s="23"/>
      <c r="X303" s="46"/>
      <c r="Z303" s="138"/>
      <c r="AA303" s="154"/>
      <c r="AB303" s="138"/>
      <c r="AC303" s="154"/>
    </row>
    <row r="304" spans="21:36" x14ac:dyDescent="0.25">
      <c r="U304" s="23"/>
      <c r="V304" s="46"/>
      <c r="W304" s="23"/>
      <c r="X304" s="46"/>
      <c r="Z304" s="138"/>
      <c r="AA304" s="154"/>
      <c r="AB304" s="138"/>
      <c r="AC304" s="154"/>
    </row>
    <row r="305" spans="21:29" x14ac:dyDescent="0.25">
      <c r="U305" s="23"/>
      <c r="V305" s="46"/>
      <c r="W305" s="23"/>
      <c r="X305" s="46"/>
      <c r="Z305" s="138"/>
      <c r="AA305" s="154"/>
      <c r="AB305" s="138"/>
      <c r="AC305" s="154"/>
    </row>
    <row r="306" spans="21:29" x14ac:dyDescent="0.25">
      <c r="U306" s="23"/>
      <c r="V306" s="46"/>
      <c r="W306" s="23"/>
      <c r="X306" s="46"/>
      <c r="Z306" s="138"/>
      <c r="AA306" s="154"/>
      <c r="AB306" s="138"/>
      <c r="AC306" s="154"/>
    </row>
    <row r="307" spans="21:29" x14ac:dyDescent="0.25">
      <c r="U307" s="23"/>
      <c r="V307" s="46"/>
      <c r="W307" s="23"/>
      <c r="X307" s="46"/>
      <c r="Z307" s="138"/>
      <c r="AA307" s="154"/>
      <c r="AB307" s="138"/>
      <c r="AC307" s="154"/>
    </row>
    <row r="308" spans="21:29" x14ac:dyDescent="0.25">
      <c r="U308" s="23"/>
      <c r="V308" s="46"/>
      <c r="W308" s="23"/>
      <c r="X308" s="46"/>
      <c r="Z308" s="138"/>
      <c r="AA308" s="154"/>
      <c r="AB308" s="138"/>
      <c r="AC308" s="154"/>
    </row>
    <row r="309" spans="21:29" x14ac:dyDescent="0.25">
      <c r="U309" s="23"/>
      <c r="V309" s="46"/>
      <c r="W309" s="23"/>
      <c r="X309" s="46"/>
      <c r="Z309" s="138"/>
      <c r="AA309" s="154"/>
      <c r="AB309" s="138"/>
      <c r="AC309" s="154"/>
    </row>
    <row r="310" spans="21:29" x14ac:dyDescent="0.25">
      <c r="U310" s="23"/>
      <c r="V310" s="46"/>
      <c r="W310" s="23"/>
      <c r="X310" s="46"/>
      <c r="Z310" s="138"/>
      <c r="AA310" s="154"/>
      <c r="AB310" s="138"/>
      <c r="AC310" s="154"/>
    </row>
    <row r="311" spans="21:29" x14ac:dyDescent="0.25">
      <c r="U311" s="23"/>
      <c r="V311" s="46"/>
      <c r="W311" s="23"/>
      <c r="X311" s="46"/>
      <c r="Z311" s="138"/>
      <c r="AA311" s="154"/>
      <c r="AB311" s="138"/>
      <c r="AC311" s="154"/>
    </row>
    <row r="312" spans="21:29" x14ac:dyDescent="0.25">
      <c r="U312" s="23"/>
      <c r="V312" s="46"/>
      <c r="W312" s="23"/>
      <c r="X312" s="46"/>
      <c r="Z312" s="138"/>
      <c r="AA312" s="154"/>
      <c r="AB312" s="138"/>
      <c r="AC312" s="154"/>
    </row>
    <row r="313" spans="21:29" x14ac:dyDescent="0.25">
      <c r="U313" s="23"/>
      <c r="V313" s="46"/>
      <c r="W313" s="23"/>
      <c r="X313" s="46"/>
      <c r="Z313" s="138"/>
      <c r="AA313" s="154"/>
      <c r="AB313" s="138"/>
      <c r="AC313" s="154"/>
    </row>
    <row r="314" spans="21:29" x14ac:dyDescent="0.25">
      <c r="U314" s="23"/>
      <c r="V314" s="46"/>
      <c r="W314" s="23"/>
      <c r="X314" s="46"/>
      <c r="Z314" s="138"/>
      <c r="AA314" s="154"/>
      <c r="AB314" s="138"/>
      <c r="AC314" s="154"/>
    </row>
    <row r="315" spans="21:29" x14ac:dyDescent="0.25">
      <c r="U315" s="23"/>
      <c r="V315" s="46"/>
      <c r="W315" s="23"/>
      <c r="X315" s="46"/>
      <c r="Z315" s="138"/>
      <c r="AA315" s="154"/>
      <c r="AB315" s="138"/>
      <c r="AC315" s="154"/>
    </row>
    <row r="316" spans="21:29" x14ac:dyDescent="0.25">
      <c r="U316" s="23"/>
      <c r="V316" s="46"/>
      <c r="W316" s="23"/>
      <c r="X316" s="46"/>
      <c r="Z316" s="138"/>
      <c r="AA316" s="154"/>
      <c r="AB316" s="138"/>
      <c r="AC316" s="154"/>
    </row>
    <row r="317" spans="21:29" x14ac:dyDescent="0.25">
      <c r="U317" s="23"/>
      <c r="V317" s="46"/>
      <c r="W317" s="23"/>
      <c r="X317" s="46"/>
      <c r="Z317" s="138"/>
      <c r="AA317" s="154"/>
      <c r="AB317" s="138"/>
      <c r="AC317" s="154"/>
    </row>
    <row r="318" spans="21:29" x14ac:dyDescent="0.25">
      <c r="U318" s="23"/>
      <c r="V318" s="46"/>
      <c r="W318" s="23"/>
      <c r="X318" s="46"/>
      <c r="Z318" s="138"/>
      <c r="AA318" s="154"/>
      <c r="AB318" s="138"/>
      <c r="AC318" s="154"/>
    </row>
    <row r="319" spans="21:29" x14ac:dyDescent="0.25">
      <c r="U319" s="23"/>
      <c r="V319" s="46"/>
      <c r="W319" s="23"/>
      <c r="X319" s="46"/>
      <c r="Z319" s="138"/>
      <c r="AA319" s="154"/>
      <c r="AB319" s="138"/>
      <c r="AC319" s="154"/>
    </row>
    <row r="320" spans="21:29" x14ac:dyDescent="0.25">
      <c r="U320" s="23"/>
      <c r="V320" s="46"/>
      <c r="W320" s="23"/>
      <c r="X320" s="46"/>
      <c r="Z320" s="138"/>
      <c r="AA320" s="154"/>
      <c r="AB320" s="138"/>
      <c r="AC320" s="154"/>
    </row>
    <row r="321" spans="21:29" x14ac:dyDescent="0.25">
      <c r="U321" s="23"/>
      <c r="V321" s="46"/>
      <c r="W321" s="23"/>
      <c r="X321" s="46"/>
      <c r="Z321" s="138"/>
      <c r="AA321" s="154"/>
      <c r="AB321" s="138"/>
      <c r="AC321" s="154"/>
    </row>
    <row r="322" spans="21:29" x14ac:dyDescent="0.25">
      <c r="U322" s="23"/>
      <c r="V322" s="46"/>
      <c r="W322" s="23"/>
      <c r="X322" s="46"/>
      <c r="Z322" s="138"/>
      <c r="AA322" s="154"/>
      <c r="AB322" s="138"/>
      <c r="AC322" s="154"/>
    </row>
    <row r="323" spans="21:29" x14ac:dyDescent="0.25">
      <c r="U323" s="23"/>
      <c r="V323" s="46"/>
      <c r="W323" s="23"/>
      <c r="X323" s="46"/>
      <c r="Z323" s="138"/>
      <c r="AA323" s="154"/>
      <c r="AB323" s="138"/>
      <c r="AC323" s="154"/>
    </row>
    <row r="324" spans="21:29" x14ac:dyDescent="0.25">
      <c r="U324" s="23"/>
      <c r="V324" s="46"/>
      <c r="W324" s="23"/>
      <c r="X324" s="46"/>
      <c r="Z324" s="138"/>
      <c r="AA324" s="154"/>
      <c r="AB324" s="138"/>
      <c r="AC324" s="154"/>
    </row>
    <row r="325" spans="21:29" x14ac:dyDescent="0.25">
      <c r="U325" s="23"/>
      <c r="V325" s="46"/>
      <c r="W325" s="23"/>
      <c r="X325" s="46"/>
      <c r="Z325" s="138"/>
      <c r="AA325" s="154"/>
      <c r="AB325" s="138"/>
      <c r="AC325" s="154"/>
    </row>
    <row r="326" spans="21:29" x14ac:dyDescent="0.25">
      <c r="U326" s="23"/>
      <c r="V326" s="46"/>
      <c r="W326" s="23"/>
      <c r="X326" s="46"/>
      <c r="Z326" s="138"/>
      <c r="AA326" s="154"/>
      <c r="AB326" s="138"/>
      <c r="AC326" s="154"/>
    </row>
    <row r="327" spans="21:29" x14ac:dyDescent="0.25">
      <c r="U327" s="23"/>
      <c r="V327" s="46"/>
      <c r="W327" s="23"/>
      <c r="X327" s="46"/>
      <c r="Z327" s="138"/>
      <c r="AA327" s="154"/>
      <c r="AB327" s="138"/>
      <c r="AC327" s="154"/>
    </row>
    <row r="328" spans="21:29" x14ac:dyDescent="0.25">
      <c r="U328" s="23"/>
      <c r="V328" s="46"/>
      <c r="W328" s="23"/>
      <c r="X328" s="46"/>
      <c r="Z328" s="138"/>
      <c r="AA328" s="154"/>
      <c r="AB328" s="138"/>
      <c r="AC328" s="154"/>
    </row>
    <row r="329" spans="21:29" x14ac:dyDescent="0.25">
      <c r="U329" s="23"/>
      <c r="V329" s="46"/>
      <c r="W329" s="23"/>
      <c r="X329" s="46"/>
      <c r="Z329" s="138"/>
      <c r="AA329" s="154"/>
      <c r="AB329" s="138"/>
      <c r="AC329" s="154"/>
    </row>
    <row r="330" spans="21:29" x14ac:dyDescent="0.25">
      <c r="U330" s="23"/>
      <c r="V330" s="46"/>
      <c r="W330" s="23"/>
      <c r="X330" s="46"/>
      <c r="Z330" s="138"/>
      <c r="AA330" s="154"/>
      <c r="AB330" s="138"/>
      <c r="AC330" s="154"/>
    </row>
    <row r="331" spans="21:29" x14ac:dyDescent="0.25">
      <c r="U331" s="23"/>
      <c r="V331" s="46"/>
      <c r="W331" s="23"/>
      <c r="X331" s="46"/>
      <c r="Z331" s="138"/>
      <c r="AA331" s="154"/>
      <c r="AB331" s="138"/>
      <c r="AC331" s="154"/>
    </row>
    <row r="332" spans="21:29" x14ac:dyDescent="0.25">
      <c r="U332" s="23"/>
      <c r="V332" s="46"/>
      <c r="W332" s="23"/>
      <c r="X332" s="46"/>
      <c r="Z332" s="138"/>
      <c r="AA332" s="154"/>
      <c r="AB332" s="138"/>
      <c r="AC332" s="154"/>
    </row>
    <row r="333" spans="21:29" x14ac:dyDescent="0.25">
      <c r="U333" s="23"/>
      <c r="V333" s="46"/>
      <c r="W333" s="23"/>
      <c r="X333" s="46"/>
      <c r="Z333" s="138"/>
      <c r="AA333" s="154"/>
      <c r="AB333" s="138"/>
      <c r="AC333" s="154"/>
    </row>
    <row r="334" spans="21:29" x14ac:dyDescent="0.25">
      <c r="U334" s="23"/>
      <c r="V334" s="46"/>
      <c r="W334" s="23"/>
      <c r="X334" s="46"/>
      <c r="Z334" s="138"/>
      <c r="AA334" s="154"/>
      <c r="AB334" s="138"/>
      <c r="AC334" s="154"/>
    </row>
    <row r="335" spans="21:29" x14ac:dyDescent="0.25">
      <c r="U335" s="23"/>
      <c r="V335" s="46"/>
      <c r="W335" s="23"/>
      <c r="X335" s="46"/>
      <c r="Z335" s="138"/>
      <c r="AA335" s="154"/>
      <c r="AB335" s="138"/>
      <c r="AC335" s="154"/>
    </row>
    <row r="336" spans="21:29" x14ac:dyDescent="0.25">
      <c r="U336" s="23"/>
      <c r="V336" s="46"/>
      <c r="W336" s="23"/>
      <c r="X336" s="46"/>
      <c r="Z336" s="138"/>
      <c r="AA336" s="154"/>
      <c r="AB336" s="138"/>
      <c r="AC336" s="154"/>
    </row>
    <row r="337" spans="21:29" x14ac:dyDescent="0.25">
      <c r="U337" s="23"/>
      <c r="V337" s="46"/>
      <c r="W337" s="23"/>
      <c r="X337" s="46"/>
      <c r="Z337" s="138"/>
      <c r="AA337" s="154"/>
      <c r="AB337" s="138"/>
      <c r="AC337" s="154"/>
    </row>
    <row r="338" spans="21:29" x14ac:dyDescent="0.25">
      <c r="U338" s="23"/>
      <c r="V338" s="46"/>
      <c r="W338" s="23"/>
      <c r="X338" s="46"/>
      <c r="Z338" s="138"/>
      <c r="AA338" s="154"/>
      <c r="AB338" s="138"/>
      <c r="AC338" s="154"/>
    </row>
    <row r="339" spans="21:29" x14ac:dyDescent="0.25">
      <c r="U339" s="23"/>
      <c r="V339" s="46"/>
      <c r="W339" s="23"/>
      <c r="X339" s="46"/>
      <c r="Z339" s="138"/>
      <c r="AA339" s="154"/>
      <c r="AB339" s="138"/>
      <c r="AC339" s="154"/>
    </row>
    <row r="340" spans="21:29" x14ac:dyDescent="0.25">
      <c r="U340" s="23"/>
      <c r="V340" s="46"/>
      <c r="W340" s="23"/>
      <c r="X340" s="46"/>
      <c r="Z340" s="138"/>
      <c r="AA340" s="154"/>
      <c r="AB340" s="138"/>
      <c r="AC340" s="154"/>
    </row>
    <row r="341" spans="21:29" x14ac:dyDescent="0.25">
      <c r="U341" s="23"/>
      <c r="V341" s="46"/>
      <c r="W341" s="23"/>
      <c r="X341" s="46"/>
      <c r="Z341" s="138"/>
      <c r="AA341" s="154"/>
      <c r="AB341" s="138"/>
      <c r="AC341" s="154"/>
    </row>
    <row r="342" spans="21:29" x14ac:dyDescent="0.25">
      <c r="U342" s="23"/>
      <c r="V342" s="46"/>
      <c r="W342" s="23"/>
      <c r="X342" s="46"/>
      <c r="Z342" s="138"/>
      <c r="AA342" s="154"/>
      <c r="AB342" s="138"/>
      <c r="AC342" s="154"/>
    </row>
    <row r="343" spans="21:29" x14ac:dyDescent="0.25">
      <c r="U343" s="23"/>
      <c r="V343" s="46"/>
      <c r="W343" s="23"/>
      <c r="X343" s="46"/>
      <c r="Z343" s="138"/>
      <c r="AA343" s="154"/>
      <c r="AB343" s="138"/>
      <c r="AC343" s="154"/>
    </row>
    <row r="344" spans="21:29" x14ac:dyDescent="0.25">
      <c r="U344" s="23"/>
      <c r="V344" s="46"/>
      <c r="W344" s="23"/>
      <c r="X344" s="46"/>
      <c r="Z344" s="138"/>
      <c r="AA344" s="154"/>
      <c r="AB344" s="138"/>
      <c r="AC344" s="154"/>
    </row>
    <row r="345" spans="21:29" x14ac:dyDescent="0.25">
      <c r="U345" s="23"/>
      <c r="V345" s="46"/>
      <c r="W345" s="23"/>
      <c r="X345" s="46"/>
      <c r="Z345" s="138"/>
      <c r="AA345" s="154"/>
      <c r="AB345" s="138"/>
      <c r="AC345" s="154"/>
    </row>
    <row r="346" spans="21:29" x14ac:dyDescent="0.25">
      <c r="U346" s="23"/>
      <c r="V346" s="46"/>
      <c r="W346" s="23"/>
      <c r="X346" s="46"/>
      <c r="Z346" s="138"/>
      <c r="AA346" s="154"/>
      <c r="AB346" s="138"/>
      <c r="AC346" s="154"/>
    </row>
    <row r="347" spans="21:29" x14ac:dyDescent="0.25">
      <c r="U347" s="23"/>
      <c r="V347" s="46"/>
      <c r="W347" s="23"/>
      <c r="X347" s="46"/>
      <c r="Z347" s="138"/>
      <c r="AA347" s="154"/>
      <c r="AB347" s="138"/>
      <c r="AC347" s="154"/>
    </row>
    <row r="348" spans="21:29" x14ac:dyDescent="0.25">
      <c r="U348" s="23"/>
      <c r="V348" s="46"/>
      <c r="W348" s="23"/>
      <c r="X348" s="46"/>
      <c r="Z348" s="138"/>
      <c r="AA348" s="154"/>
      <c r="AB348" s="138"/>
      <c r="AC348" s="154"/>
    </row>
    <row r="349" spans="21:29" x14ac:dyDescent="0.25">
      <c r="U349" s="23"/>
      <c r="V349" s="46"/>
      <c r="W349" s="23"/>
      <c r="X349" s="46"/>
      <c r="Z349" s="138"/>
      <c r="AA349" s="154"/>
      <c r="AB349" s="138"/>
      <c r="AC349" s="154"/>
    </row>
    <row r="350" spans="21:29" x14ac:dyDescent="0.25">
      <c r="U350" s="23"/>
      <c r="V350" s="46"/>
      <c r="W350" s="23"/>
      <c r="X350" s="46"/>
      <c r="Z350" s="138"/>
      <c r="AA350" s="154"/>
      <c r="AB350" s="138"/>
      <c r="AC350" s="154"/>
    </row>
    <row r="351" spans="21:29" x14ac:dyDescent="0.25">
      <c r="U351" s="23"/>
      <c r="V351" s="46"/>
      <c r="W351" s="23"/>
      <c r="X351" s="46"/>
      <c r="Z351" s="138"/>
      <c r="AA351" s="154"/>
      <c r="AB351" s="138"/>
      <c r="AC351" s="154"/>
    </row>
    <row r="352" spans="21:29" x14ac:dyDescent="0.25">
      <c r="U352" s="23"/>
      <c r="V352" s="46"/>
      <c r="W352" s="23"/>
      <c r="X352" s="46"/>
      <c r="Z352" s="138"/>
      <c r="AA352" s="154"/>
      <c r="AB352" s="138"/>
      <c r="AC352" s="154"/>
    </row>
    <row r="353" spans="21:29" x14ac:dyDescent="0.25">
      <c r="U353" s="23"/>
      <c r="V353" s="46"/>
      <c r="W353" s="23"/>
      <c r="X353" s="46"/>
      <c r="Z353" s="138"/>
      <c r="AA353" s="154"/>
      <c r="AB353" s="138"/>
      <c r="AC353" s="154"/>
    </row>
    <row r="354" spans="21:29" x14ac:dyDescent="0.25">
      <c r="U354" s="23"/>
      <c r="V354" s="46"/>
      <c r="W354" s="23"/>
      <c r="X354" s="46"/>
      <c r="Z354" s="138"/>
      <c r="AA354" s="154"/>
      <c r="AB354" s="138"/>
      <c r="AC354" s="154"/>
    </row>
    <row r="355" spans="21:29" x14ac:dyDescent="0.25">
      <c r="U355" s="23"/>
      <c r="V355" s="46"/>
      <c r="W355" s="23"/>
      <c r="X355" s="46"/>
      <c r="Z355" s="138"/>
      <c r="AA355" s="154"/>
      <c r="AB355" s="138"/>
      <c r="AC355" s="154"/>
    </row>
    <row r="356" spans="21:29" x14ac:dyDescent="0.25">
      <c r="U356" s="23"/>
      <c r="V356" s="46"/>
      <c r="W356" s="23"/>
      <c r="X356" s="46"/>
      <c r="Z356" s="138"/>
      <c r="AA356" s="154"/>
      <c r="AB356" s="138"/>
      <c r="AC356" s="154"/>
    </row>
    <row r="357" spans="21:29" x14ac:dyDescent="0.25">
      <c r="U357" s="23"/>
      <c r="V357" s="46"/>
      <c r="W357" s="23"/>
      <c r="X357" s="46"/>
      <c r="Z357" s="138"/>
      <c r="AA357" s="154"/>
      <c r="AB357" s="138"/>
      <c r="AC357" s="154"/>
    </row>
    <row r="358" spans="21:29" x14ac:dyDescent="0.25">
      <c r="U358" s="23"/>
      <c r="V358" s="46"/>
      <c r="W358" s="23"/>
      <c r="X358" s="46"/>
      <c r="Z358" s="138"/>
      <c r="AA358" s="154"/>
      <c r="AB358" s="138"/>
      <c r="AC358" s="154"/>
    </row>
    <row r="359" spans="21:29" x14ac:dyDescent="0.25">
      <c r="U359" s="23"/>
      <c r="V359" s="46"/>
      <c r="W359" s="23"/>
      <c r="X359" s="46"/>
      <c r="Z359" s="138"/>
      <c r="AA359" s="154"/>
      <c r="AB359" s="138"/>
      <c r="AC359" s="154"/>
    </row>
    <row r="360" spans="21:29" x14ac:dyDescent="0.25">
      <c r="U360" s="23"/>
      <c r="V360" s="46"/>
      <c r="W360" s="23"/>
      <c r="X360" s="46"/>
      <c r="Z360" s="138"/>
      <c r="AA360" s="154"/>
      <c r="AB360" s="138"/>
      <c r="AC360" s="154"/>
    </row>
    <row r="361" spans="21:29" x14ac:dyDescent="0.25">
      <c r="U361" s="23"/>
      <c r="V361" s="46"/>
      <c r="W361" s="23"/>
      <c r="X361" s="46"/>
      <c r="Z361" s="138"/>
      <c r="AA361" s="154"/>
      <c r="AB361" s="138"/>
      <c r="AC361" s="154"/>
    </row>
    <row r="362" spans="21:29" x14ac:dyDescent="0.25">
      <c r="U362" s="23"/>
      <c r="V362" s="46"/>
      <c r="W362" s="23"/>
      <c r="X362" s="46"/>
      <c r="Z362" s="138"/>
      <c r="AA362" s="154"/>
      <c r="AB362" s="138"/>
      <c r="AC362" s="154"/>
    </row>
    <row r="363" spans="21:29" x14ac:dyDescent="0.25">
      <c r="U363" s="23"/>
      <c r="V363" s="46"/>
      <c r="W363" s="23"/>
      <c r="X363" s="46"/>
      <c r="Z363" s="138"/>
      <c r="AA363" s="154"/>
      <c r="AB363" s="138"/>
      <c r="AC363" s="154"/>
    </row>
    <row r="364" spans="21:29" x14ac:dyDescent="0.25">
      <c r="U364" s="23"/>
      <c r="V364" s="46"/>
      <c r="W364" s="23"/>
      <c r="X364" s="46"/>
      <c r="Z364" s="138"/>
      <c r="AA364" s="154"/>
      <c r="AB364" s="138"/>
      <c r="AC364" s="154"/>
    </row>
    <row r="365" spans="21:29" x14ac:dyDescent="0.25">
      <c r="U365" s="23"/>
      <c r="V365" s="46"/>
      <c r="W365" s="23"/>
      <c r="X365" s="46"/>
      <c r="Z365" s="138"/>
      <c r="AA365" s="154"/>
      <c r="AB365" s="138"/>
      <c r="AC365" s="154"/>
    </row>
    <row r="366" spans="21:29" x14ac:dyDescent="0.25">
      <c r="U366" s="23"/>
      <c r="V366" s="46"/>
      <c r="W366" s="23"/>
      <c r="X366" s="46"/>
      <c r="Z366" s="138"/>
      <c r="AA366" s="154"/>
      <c r="AB366" s="138"/>
      <c r="AC366" s="154"/>
    </row>
    <row r="367" spans="21:29" x14ac:dyDescent="0.25">
      <c r="U367" s="23"/>
      <c r="V367" s="46"/>
      <c r="W367" s="23"/>
      <c r="X367" s="46"/>
      <c r="Z367" s="138"/>
      <c r="AA367" s="154"/>
      <c r="AB367" s="138"/>
      <c r="AC367" s="154"/>
    </row>
    <row r="368" spans="21:29" x14ac:dyDescent="0.25">
      <c r="U368" s="23"/>
      <c r="V368" s="46"/>
      <c r="W368" s="23"/>
      <c r="X368" s="46"/>
      <c r="Z368" s="138"/>
      <c r="AA368" s="154"/>
      <c r="AB368" s="138"/>
      <c r="AC368" s="154"/>
    </row>
    <row r="369" spans="21:29" x14ac:dyDescent="0.25">
      <c r="U369" s="23"/>
      <c r="V369" s="46"/>
      <c r="W369" s="23"/>
      <c r="X369" s="46"/>
      <c r="Z369" s="138"/>
      <c r="AA369" s="154"/>
      <c r="AB369" s="138"/>
      <c r="AC369" s="154"/>
    </row>
    <row r="370" spans="21:29" x14ac:dyDescent="0.25">
      <c r="U370" s="23"/>
      <c r="V370" s="46"/>
      <c r="W370" s="23"/>
      <c r="X370" s="46"/>
      <c r="Z370" s="138"/>
      <c r="AA370" s="154"/>
      <c r="AB370" s="138"/>
      <c r="AC370" s="154"/>
    </row>
    <row r="371" spans="21:29" x14ac:dyDescent="0.25">
      <c r="U371" s="23"/>
      <c r="V371" s="46"/>
      <c r="W371" s="23"/>
      <c r="X371" s="46"/>
      <c r="Z371" s="138"/>
      <c r="AA371" s="154"/>
      <c r="AB371" s="138"/>
      <c r="AC371" s="154"/>
    </row>
    <row r="372" spans="21:29" x14ac:dyDescent="0.25">
      <c r="U372" s="23"/>
      <c r="V372" s="46"/>
      <c r="W372" s="23"/>
      <c r="X372" s="46"/>
      <c r="Z372" s="138"/>
      <c r="AA372" s="154"/>
      <c r="AB372" s="138"/>
      <c r="AC372" s="154"/>
    </row>
    <row r="373" spans="21:29" x14ac:dyDescent="0.25">
      <c r="U373" s="23"/>
      <c r="V373" s="46"/>
      <c r="W373" s="23"/>
      <c r="X373" s="46"/>
      <c r="Z373" s="138"/>
      <c r="AA373" s="154"/>
      <c r="AB373" s="138"/>
      <c r="AC373" s="154"/>
    </row>
    <row r="374" spans="21:29" x14ac:dyDescent="0.25">
      <c r="U374" s="23"/>
      <c r="V374" s="46"/>
      <c r="W374" s="23"/>
      <c r="X374" s="46"/>
      <c r="Z374" s="138"/>
      <c r="AA374" s="154"/>
      <c r="AB374" s="138"/>
      <c r="AC374" s="154"/>
    </row>
    <row r="375" spans="21:29" x14ac:dyDescent="0.25">
      <c r="U375" s="23"/>
      <c r="V375" s="46"/>
      <c r="W375" s="23"/>
      <c r="X375" s="46"/>
      <c r="Z375" s="138"/>
      <c r="AA375" s="154"/>
      <c r="AB375" s="138"/>
      <c r="AC375" s="154"/>
    </row>
    <row r="376" spans="21:29" x14ac:dyDescent="0.25">
      <c r="U376" s="23"/>
      <c r="V376" s="46"/>
      <c r="W376" s="23"/>
      <c r="X376" s="46"/>
      <c r="Z376" s="138"/>
      <c r="AA376" s="154"/>
      <c r="AB376" s="138"/>
      <c r="AC376" s="154"/>
    </row>
    <row r="377" spans="21:29" x14ac:dyDescent="0.25">
      <c r="U377" s="23"/>
      <c r="V377" s="46"/>
      <c r="W377" s="23"/>
      <c r="X377" s="46"/>
    </row>
    <row r="378" spans="21:29" x14ac:dyDescent="0.25">
      <c r="U378" s="23"/>
      <c r="V378" s="46"/>
      <c r="W378" s="23"/>
      <c r="X378" s="46"/>
    </row>
    <row r="379" spans="21:29" x14ac:dyDescent="0.25">
      <c r="U379" s="23"/>
      <c r="V379" s="46"/>
      <c r="W379" s="23"/>
      <c r="X379" s="46"/>
    </row>
    <row r="380" spans="21:29" x14ac:dyDescent="0.25">
      <c r="U380" s="23"/>
      <c r="V380" s="46"/>
      <c r="W380" s="23"/>
      <c r="X380" s="46"/>
    </row>
    <row r="381" spans="21:29" x14ac:dyDescent="0.25">
      <c r="U381" s="23"/>
      <c r="V381" s="46"/>
      <c r="W381" s="23"/>
      <c r="X381" s="46"/>
    </row>
    <row r="382" spans="21:29" x14ac:dyDescent="0.25">
      <c r="U382" s="23"/>
      <c r="V382" s="46"/>
      <c r="W382" s="23"/>
      <c r="X382" s="46"/>
    </row>
    <row r="383" spans="21:29" x14ac:dyDescent="0.25">
      <c r="U383" s="23"/>
      <c r="V383" s="46"/>
      <c r="W383" s="23"/>
      <c r="X383" s="46"/>
    </row>
    <row r="384" spans="21:29" x14ac:dyDescent="0.25">
      <c r="U384" s="23"/>
      <c r="V384" s="46"/>
      <c r="W384" s="23"/>
      <c r="X384" s="46"/>
    </row>
    <row r="385" spans="21:24" x14ac:dyDescent="0.25">
      <c r="U385" s="23"/>
      <c r="V385" s="46"/>
      <c r="W385" s="23"/>
      <c r="X385" s="46"/>
    </row>
    <row r="386" spans="21:24" x14ac:dyDescent="0.25">
      <c r="U386" s="23"/>
      <c r="V386" s="46"/>
      <c r="W386" s="23"/>
      <c r="X386" s="46"/>
    </row>
    <row r="387" spans="21:24" x14ac:dyDescent="0.25">
      <c r="U387" s="23"/>
      <c r="V387" s="46"/>
      <c r="W387" s="23"/>
      <c r="X387" s="46"/>
    </row>
    <row r="388" spans="21:24" x14ac:dyDescent="0.25">
      <c r="U388" s="23"/>
      <c r="V388" s="46"/>
      <c r="W388" s="23"/>
      <c r="X388" s="46"/>
    </row>
    <row r="389" spans="21:24" x14ac:dyDescent="0.25">
      <c r="U389" s="23"/>
      <c r="V389" s="46"/>
      <c r="W389" s="23"/>
      <c r="X389" s="46"/>
    </row>
    <row r="390" spans="21:24" x14ac:dyDescent="0.25">
      <c r="U390" s="23"/>
      <c r="V390" s="46"/>
      <c r="W390" s="23"/>
      <c r="X390" s="46"/>
    </row>
    <row r="391" spans="21:24" x14ac:dyDescent="0.25">
      <c r="U391" s="23"/>
      <c r="V391" s="46"/>
      <c r="W391" s="23"/>
      <c r="X391" s="46"/>
    </row>
    <row r="392" spans="21:24" x14ac:dyDescent="0.25">
      <c r="U392" s="23"/>
      <c r="V392" s="46"/>
      <c r="W392" s="23"/>
      <c r="X392" s="46"/>
    </row>
    <row r="393" spans="21:24" x14ac:dyDescent="0.25">
      <c r="U393" s="23"/>
      <c r="V393" s="46"/>
      <c r="W393" s="23"/>
      <c r="X393" s="46"/>
    </row>
    <row r="394" spans="21:24" x14ac:dyDescent="0.25">
      <c r="U394" s="23"/>
      <c r="V394" s="46"/>
      <c r="W394" s="23"/>
      <c r="X394" s="46"/>
    </row>
    <row r="395" spans="21:24" x14ac:dyDescent="0.25">
      <c r="U395" s="23"/>
      <c r="V395" s="46"/>
      <c r="W395" s="23"/>
      <c r="X395" s="46"/>
    </row>
    <row r="396" spans="21:24" x14ac:dyDescent="0.25">
      <c r="U396" s="23"/>
      <c r="V396" s="46"/>
      <c r="W396" s="23"/>
      <c r="X396" s="46"/>
    </row>
    <row r="397" spans="21:24" x14ac:dyDescent="0.25">
      <c r="U397" s="23"/>
      <c r="V397" s="46"/>
      <c r="W397" s="23"/>
      <c r="X397" s="46"/>
    </row>
    <row r="398" spans="21:24" x14ac:dyDescent="0.25">
      <c r="U398" s="23"/>
      <c r="V398" s="46"/>
      <c r="W398" s="23"/>
      <c r="X398" s="46"/>
    </row>
    <row r="399" spans="21:24" x14ac:dyDescent="0.25">
      <c r="U399" s="23"/>
      <c r="V399" s="46"/>
      <c r="W399" s="23"/>
      <c r="X399" s="46"/>
    </row>
    <row r="400" spans="21:24" x14ac:dyDescent="0.25">
      <c r="U400" s="23"/>
      <c r="V400" s="46"/>
      <c r="W400" s="23"/>
      <c r="X400" s="46"/>
    </row>
    <row r="401" spans="21:24" x14ac:dyDescent="0.25">
      <c r="U401" s="23"/>
      <c r="V401" s="46"/>
      <c r="W401" s="23"/>
      <c r="X401" s="46"/>
    </row>
    <row r="402" spans="21:24" x14ac:dyDescent="0.25">
      <c r="U402" s="23"/>
      <c r="V402" s="46"/>
      <c r="W402" s="23"/>
      <c r="X402" s="46"/>
    </row>
    <row r="403" spans="21:24" x14ac:dyDescent="0.25">
      <c r="U403" s="23"/>
      <c r="V403" s="46"/>
      <c r="W403" s="23"/>
      <c r="X403" s="46"/>
    </row>
    <row r="404" spans="21:24" x14ac:dyDescent="0.25">
      <c r="U404" s="23"/>
      <c r="V404" s="46"/>
      <c r="W404" s="23"/>
      <c r="X404" s="46"/>
    </row>
    <row r="405" spans="21:24" x14ac:dyDescent="0.25">
      <c r="U405" s="23"/>
      <c r="V405" s="46"/>
      <c r="W405" s="23"/>
      <c r="X405" s="46"/>
    </row>
    <row r="406" spans="21:24" x14ac:dyDescent="0.25">
      <c r="U406" s="23"/>
      <c r="V406" s="46"/>
      <c r="W406" s="23"/>
      <c r="X406" s="46"/>
    </row>
    <row r="407" spans="21:24" x14ac:dyDescent="0.25">
      <c r="U407" s="23"/>
      <c r="V407" s="46"/>
      <c r="W407" s="23"/>
      <c r="X407" s="46"/>
    </row>
    <row r="408" spans="21:24" x14ac:dyDescent="0.25">
      <c r="U408" s="23"/>
      <c r="V408" s="46"/>
      <c r="W408" s="23"/>
      <c r="X408" s="46"/>
    </row>
    <row r="409" spans="21:24" x14ac:dyDescent="0.25">
      <c r="U409" s="23"/>
      <c r="V409" s="46"/>
      <c r="W409" s="23"/>
      <c r="X409" s="46"/>
    </row>
    <row r="410" spans="21:24" x14ac:dyDescent="0.25">
      <c r="U410" s="23"/>
      <c r="V410" s="46"/>
      <c r="W410" s="23"/>
      <c r="X410" s="46"/>
    </row>
    <row r="411" spans="21:24" x14ac:dyDescent="0.25">
      <c r="U411" s="23"/>
      <c r="V411" s="46"/>
      <c r="W411" s="23"/>
      <c r="X411" s="46"/>
    </row>
    <row r="412" spans="21:24" x14ac:dyDescent="0.25">
      <c r="U412" s="23"/>
      <c r="V412" s="46"/>
      <c r="W412" s="23"/>
      <c r="X412" s="46"/>
    </row>
    <row r="413" spans="21:24" x14ac:dyDescent="0.25">
      <c r="U413" s="23"/>
      <c r="V413" s="46"/>
      <c r="W413" s="23"/>
      <c r="X413" s="46"/>
    </row>
    <row r="414" spans="21:24" x14ac:dyDescent="0.25">
      <c r="U414" s="23"/>
      <c r="V414" s="46"/>
      <c r="W414" s="23"/>
      <c r="X414" s="46"/>
    </row>
    <row r="415" spans="21:24" x14ac:dyDescent="0.25">
      <c r="U415" s="23"/>
      <c r="V415" s="46"/>
      <c r="W415" s="23"/>
      <c r="X415" s="46"/>
    </row>
    <row r="416" spans="21:24" x14ac:dyDescent="0.25">
      <c r="U416" s="23"/>
      <c r="V416" s="46"/>
      <c r="W416" s="23"/>
      <c r="X416" s="46"/>
    </row>
    <row r="417" spans="21:24" x14ac:dyDescent="0.25">
      <c r="U417" s="23"/>
      <c r="V417" s="46"/>
      <c r="W417" s="23"/>
      <c r="X417" s="46"/>
    </row>
    <row r="418" spans="21:24" x14ac:dyDescent="0.25">
      <c r="U418" s="23"/>
      <c r="V418" s="46"/>
      <c r="W418" s="23"/>
      <c r="X418" s="46"/>
    </row>
    <row r="419" spans="21:24" x14ac:dyDescent="0.25">
      <c r="U419" s="23"/>
      <c r="V419" s="46"/>
      <c r="W419" s="23"/>
      <c r="X419" s="46"/>
    </row>
    <row r="420" spans="21:24" x14ac:dyDescent="0.25">
      <c r="U420" s="23"/>
      <c r="V420" s="46"/>
      <c r="W420" s="23"/>
      <c r="X420" s="46"/>
    </row>
  </sheetData>
  <mergeCells count="601">
    <mergeCell ref="Z1:AC1"/>
    <mergeCell ref="AE1:AH1"/>
    <mergeCell ref="K164:K168"/>
    <mergeCell ref="L178:L180"/>
    <mergeCell ref="K178:K180"/>
    <mergeCell ref="AA97:AA98"/>
    <mergeCell ref="Z97:Z98"/>
    <mergeCell ref="Z94:Z96"/>
    <mergeCell ref="AA94:AA96"/>
    <mergeCell ref="Z87:Z91"/>
    <mergeCell ref="AA170:AA175"/>
    <mergeCell ref="Z170:Z175"/>
    <mergeCell ref="Z160:Z161"/>
    <mergeCell ref="Z128:Z129"/>
    <mergeCell ref="AA128:AA129"/>
    <mergeCell ref="Z99:Z103"/>
    <mergeCell ref="AA99:AA103"/>
    <mergeCell ref="AA126:AA127"/>
    <mergeCell ref="AA111:AA125"/>
    <mergeCell ref="L158:L159"/>
    <mergeCell ref="L107:L110"/>
    <mergeCell ref="K107:K110"/>
    <mergeCell ref="P152:P153"/>
    <mergeCell ref="V176:V181"/>
    <mergeCell ref="A1:B1"/>
    <mergeCell ref="C1:E1"/>
    <mergeCell ref="K1:N1"/>
    <mergeCell ref="P1:S1"/>
    <mergeCell ref="U1:X1"/>
    <mergeCell ref="L112:L125"/>
    <mergeCell ref="K112:K125"/>
    <mergeCell ref="K104:K106"/>
    <mergeCell ref="K72:K73"/>
    <mergeCell ref="Q94:Q96"/>
    <mergeCell ref="Q99:Q103"/>
    <mergeCell ref="P112:P125"/>
    <mergeCell ref="U93:U96"/>
    <mergeCell ref="C107:C110"/>
    <mergeCell ref="B84:B86"/>
    <mergeCell ref="B87:B91"/>
    <mergeCell ref="H97:H103"/>
    <mergeCell ref="L12:L13"/>
    <mergeCell ref="K12:K13"/>
    <mergeCell ref="G14:G18"/>
    <mergeCell ref="H14:H18"/>
    <mergeCell ref="L3:L4"/>
    <mergeCell ref="P3:P4"/>
    <mergeCell ref="C111:C125"/>
    <mergeCell ref="U176:U181"/>
    <mergeCell ref="L160:L161"/>
    <mergeCell ref="K160:K161"/>
    <mergeCell ref="K75:K83"/>
    <mergeCell ref="P97:P98"/>
    <mergeCell ref="P154:P157"/>
    <mergeCell ref="P135:P137"/>
    <mergeCell ref="P107:P109"/>
    <mergeCell ref="P126:P127"/>
    <mergeCell ref="P104:P106"/>
    <mergeCell ref="K92:K96"/>
    <mergeCell ref="L92:L96"/>
    <mergeCell ref="L131:L132"/>
    <mergeCell ref="K131:K132"/>
    <mergeCell ref="K133:K134"/>
    <mergeCell ref="Q170:Q175"/>
    <mergeCell ref="P170:P175"/>
    <mergeCell ref="Q176:Q181"/>
    <mergeCell ref="P176:P181"/>
    <mergeCell ref="Q126:Q127"/>
    <mergeCell ref="K126:K127"/>
    <mergeCell ref="L126:L127"/>
    <mergeCell ref="K145:K151"/>
    <mergeCell ref="Q152:Q153"/>
    <mergeCell ref="Q154:Q157"/>
    <mergeCell ref="L164:L168"/>
    <mergeCell ref="K128:K129"/>
    <mergeCell ref="K135:K137"/>
    <mergeCell ref="K152:K157"/>
    <mergeCell ref="L152:L157"/>
    <mergeCell ref="Q160:Q162"/>
    <mergeCell ref="P160:P162"/>
    <mergeCell ref="P158:P159"/>
    <mergeCell ref="Q158:Q159"/>
    <mergeCell ref="Q131:Q134"/>
    <mergeCell ref="L138:L144"/>
    <mergeCell ref="L135:L137"/>
    <mergeCell ref="K138:K144"/>
    <mergeCell ref="Q163:Q169"/>
    <mergeCell ref="P163:P169"/>
    <mergeCell ref="Q135:Q137"/>
    <mergeCell ref="L128:L129"/>
    <mergeCell ref="L145:L151"/>
    <mergeCell ref="K158:K159"/>
    <mergeCell ref="P145:P151"/>
    <mergeCell ref="Q145:Q151"/>
    <mergeCell ref="P131:P134"/>
    <mergeCell ref="Q128:Q129"/>
    <mergeCell ref="G203:G205"/>
    <mergeCell ref="H203:H205"/>
    <mergeCell ref="H182:H186"/>
    <mergeCell ref="G182:G186"/>
    <mergeCell ref="G197:G202"/>
    <mergeCell ref="H193:H196"/>
    <mergeCell ref="H131:H134"/>
    <mergeCell ref="G107:G110"/>
    <mergeCell ref="H176:H181"/>
    <mergeCell ref="G176:G181"/>
    <mergeCell ref="G173:G175"/>
    <mergeCell ref="H173:H175"/>
    <mergeCell ref="H170:H172"/>
    <mergeCell ref="G170:G172"/>
    <mergeCell ref="H126:H130"/>
    <mergeCell ref="G163:G169"/>
    <mergeCell ref="H163:H169"/>
    <mergeCell ref="H160:H161"/>
    <mergeCell ref="G160:G161"/>
    <mergeCell ref="H158:H159"/>
    <mergeCell ref="G158:G159"/>
    <mergeCell ref="G131:G134"/>
    <mergeCell ref="H107:H110"/>
    <mergeCell ref="L200:L202"/>
    <mergeCell ref="K200:K202"/>
    <mergeCell ref="P187:P191"/>
    <mergeCell ref="Q187:Q191"/>
    <mergeCell ref="L187:L191"/>
    <mergeCell ref="L185:L186"/>
    <mergeCell ref="K185:K186"/>
    <mergeCell ref="K187:K191"/>
    <mergeCell ref="B197:B202"/>
    <mergeCell ref="C197:C202"/>
    <mergeCell ref="G187:G192"/>
    <mergeCell ref="C193:C196"/>
    <mergeCell ref="B193:B196"/>
    <mergeCell ref="G193:G196"/>
    <mergeCell ref="H197:H202"/>
    <mergeCell ref="H187:H192"/>
    <mergeCell ref="Q182:Q186"/>
    <mergeCell ref="P182:P186"/>
    <mergeCell ref="B187:B192"/>
    <mergeCell ref="C187:C192"/>
    <mergeCell ref="Q193:Q197"/>
    <mergeCell ref="P193:P197"/>
    <mergeCell ref="B107:B110"/>
    <mergeCell ref="C64:C68"/>
    <mergeCell ref="B170:B177"/>
    <mergeCell ref="B182:B186"/>
    <mergeCell ref="C182:C186"/>
    <mergeCell ref="B178:B181"/>
    <mergeCell ref="B130:B134"/>
    <mergeCell ref="C130:C134"/>
    <mergeCell ref="B160:B162"/>
    <mergeCell ref="C160:C162"/>
    <mergeCell ref="C158:C159"/>
    <mergeCell ref="B158:B159"/>
    <mergeCell ref="B135:B137"/>
    <mergeCell ref="B145:B151"/>
    <mergeCell ref="B75:B83"/>
    <mergeCell ref="C84:C86"/>
    <mergeCell ref="C170:C177"/>
    <mergeCell ref="C178:C181"/>
    <mergeCell ref="C104:C106"/>
    <mergeCell ref="G97:G103"/>
    <mergeCell ref="C97:C103"/>
    <mergeCell ref="B126:B129"/>
    <mergeCell ref="B163:B169"/>
    <mergeCell ref="C163:C169"/>
    <mergeCell ref="B52:B57"/>
    <mergeCell ref="B64:B68"/>
    <mergeCell ref="G126:G130"/>
    <mergeCell ref="L8:L9"/>
    <mergeCell ref="L19:L20"/>
    <mergeCell ref="K64:K65"/>
    <mergeCell ref="K58:K60"/>
    <mergeCell ref="L58:L60"/>
    <mergeCell ref="K61:K63"/>
    <mergeCell ref="H72:H74"/>
    <mergeCell ref="G69:G71"/>
    <mergeCell ref="H69:H71"/>
    <mergeCell ref="C69:C71"/>
    <mergeCell ref="B69:B71"/>
    <mergeCell ref="B72:B74"/>
    <mergeCell ref="C72:C74"/>
    <mergeCell ref="K87:K91"/>
    <mergeCell ref="K84:K86"/>
    <mergeCell ref="B111:B125"/>
    <mergeCell ref="P19:P20"/>
    <mergeCell ref="P27:P28"/>
    <mergeCell ref="P31:P34"/>
    <mergeCell ref="K19:K20"/>
    <mergeCell ref="L23:L28"/>
    <mergeCell ref="B138:B144"/>
    <mergeCell ref="B152:B157"/>
    <mergeCell ref="C75:C83"/>
    <mergeCell ref="C92:C96"/>
    <mergeCell ref="H111:H125"/>
    <mergeCell ref="G111:G125"/>
    <mergeCell ref="C152:C157"/>
    <mergeCell ref="C126:C129"/>
    <mergeCell ref="C87:C91"/>
    <mergeCell ref="B92:B96"/>
    <mergeCell ref="B97:B103"/>
    <mergeCell ref="C135:C137"/>
    <mergeCell ref="C145:C151"/>
    <mergeCell ref="C138:C144"/>
    <mergeCell ref="G138:G144"/>
    <mergeCell ref="H138:H144"/>
    <mergeCell ref="B104:B106"/>
    <mergeCell ref="G19:G21"/>
    <mergeCell ref="K23:K28"/>
    <mergeCell ref="B6:B7"/>
    <mergeCell ref="K3:K4"/>
    <mergeCell ref="H6:H7"/>
    <mergeCell ref="H3:H4"/>
    <mergeCell ref="B3:B4"/>
    <mergeCell ref="C3:C4"/>
    <mergeCell ref="G36:G37"/>
    <mergeCell ref="H22:H28"/>
    <mergeCell ref="G22:G28"/>
    <mergeCell ref="G31:G35"/>
    <mergeCell ref="H31:H35"/>
    <mergeCell ref="C11:C13"/>
    <mergeCell ref="B36:B37"/>
    <mergeCell ref="G6:G7"/>
    <mergeCell ref="C6:C7"/>
    <mergeCell ref="G11:G13"/>
    <mergeCell ref="H11:H13"/>
    <mergeCell ref="C36:C37"/>
    <mergeCell ref="K33:K35"/>
    <mergeCell ref="K8:K9"/>
    <mergeCell ref="H36:H37"/>
    <mergeCell ref="P52:P57"/>
    <mergeCell ref="P45:P47"/>
    <mergeCell ref="Q38:Q44"/>
    <mergeCell ref="G29:G30"/>
    <mergeCell ref="H29:H30"/>
    <mergeCell ref="K29:K30"/>
    <mergeCell ref="K38:K44"/>
    <mergeCell ref="H38:H44"/>
    <mergeCell ref="G38:G44"/>
    <mergeCell ref="Q52:Q57"/>
    <mergeCell ref="L45:L47"/>
    <mergeCell ref="K45:K47"/>
    <mergeCell ref="L54:L56"/>
    <mergeCell ref="L52:L53"/>
    <mergeCell ref="K52:K53"/>
    <mergeCell ref="K54:K56"/>
    <mergeCell ref="L50:L51"/>
    <mergeCell ref="K50:K51"/>
    <mergeCell ref="P48:P51"/>
    <mergeCell ref="L29:L30"/>
    <mergeCell ref="L33:L35"/>
    <mergeCell ref="P36:P37"/>
    <mergeCell ref="B48:B51"/>
    <mergeCell ref="H52:H57"/>
    <mergeCell ref="C48:C51"/>
    <mergeCell ref="C38:C44"/>
    <mergeCell ref="G52:G57"/>
    <mergeCell ref="C52:C57"/>
    <mergeCell ref="H64:H68"/>
    <mergeCell ref="G64:G68"/>
    <mergeCell ref="B38:B44"/>
    <mergeCell ref="B61:B63"/>
    <mergeCell ref="C45:C47"/>
    <mergeCell ref="B45:B47"/>
    <mergeCell ref="C58:C60"/>
    <mergeCell ref="B58:B60"/>
    <mergeCell ref="V65:V67"/>
    <mergeCell ref="V58:V60"/>
    <mergeCell ref="V61:V63"/>
    <mergeCell ref="B8:B9"/>
    <mergeCell ref="C8:C9"/>
    <mergeCell ref="L16:L18"/>
    <mergeCell ref="K16:K18"/>
    <mergeCell ref="P16:P18"/>
    <mergeCell ref="P29:P30"/>
    <mergeCell ref="B11:B13"/>
    <mergeCell ref="C14:C18"/>
    <mergeCell ref="B14:B18"/>
    <mergeCell ref="C29:C35"/>
    <mergeCell ref="G8:G9"/>
    <mergeCell ref="H8:H9"/>
    <mergeCell ref="C22:C28"/>
    <mergeCell ref="B19:B21"/>
    <mergeCell ref="C19:C21"/>
    <mergeCell ref="B29:B35"/>
    <mergeCell ref="B22:B28"/>
    <mergeCell ref="P23:P26"/>
    <mergeCell ref="P58:P60"/>
    <mergeCell ref="Q58:Q60"/>
    <mergeCell ref="C61:C63"/>
    <mergeCell ref="AF128:AF129"/>
    <mergeCell ref="AE128:AE129"/>
    <mergeCell ref="AE111:AE125"/>
    <mergeCell ref="AF111:AF125"/>
    <mergeCell ref="AF87:AF91"/>
    <mergeCell ref="AE87:AE91"/>
    <mergeCell ref="AF74:AF75"/>
    <mergeCell ref="AE74:AE75"/>
    <mergeCell ref="AF107:AF109"/>
    <mergeCell ref="AE107:AE109"/>
    <mergeCell ref="AF104:AF106"/>
    <mergeCell ref="AE104:AE106"/>
    <mergeCell ref="AF100:AF103"/>
    <mergeCell ref="AE100:AE103"/>
    <mergeCell ref="AF95:AF96"/>
    <mergeCell ref="Z104:Z106"/>
    <mergeCell ref="V107:V109"/>
    <mergeCell ref="Z126:Z127"/>
    <mergeCell ref="AA84:AA86"/>
    <mergeCell ref="AA87:AA91"/>
    <mergeCell ref="V87:V91"/>
    <mergeCell ref="V84:V86"/>
    <mergeCell ref="V73:V83"/>
    <mergeCell ref="AA71:AA73"/>
    <mergeCell ref="Z71:Z73"/>
    <mergeCell ref="V71:V72"/>
    <mergeCell ref="Z84:Z86"/>
    <mergeCell ref="Z111:Z125"/>
    <mergeCell ref="AA107:AA109"/>
    <mergeCell ref="Z107:Z109"/>
    <mergeCell ref="AA104:AA106"/>
    <mergeCell ref="V93:V96"/>
    <mergeCell ref="AA74:AA83"/>
    <mergeCell ref="Z74:Z83"/>
    <mergeCell ref="AF50:AF51"/>
    <mergeCell ref="AE50:AE51"/>
    <mergeCell ref="Q45:Q47"/>
    <mergeCell ref="Q48:Q51"/>
    <mergeCell ref="L38:L44"/>
    <mergeCell ref="AA38:AA44"/>
    <mergeCell ref="Z38:Z44"/>
    <mergeCell ref="Z49:Z51"/>
    <mergeCell ref="AA49:AA51"/>
    <mergeCell ref="AF45:AF48"/>
    <mergeCell ref="AE45:AE48"/>
    <mergeCell ref="V45:V47"/>
    <mergeCell ref="U45:U47"/>
    <mergeCell ref="P38:P44"/>
    <mergeCell ref="Z52:Z57"/>
    <mergeCell ref="AE52:AE54"/>
    <mergeCell ref="AF52:AF54"/>
    <mergeCell ref="AA45:AA47"/>
    <mergeCell ref="Z45:Z47"/>
    <mergeCell ref="U52:U57"/>
    <mergeCell ref="U48:U51"/>
    <mergeCell ref="AA69:AA70"/>
    <mergeCell ref="AA66:AA68"/>
    <mergeCell ref="Z58:Z60"/>
    <mergeCell ref="AA58:AA60"/>
    <mergeCell ref="Z66:Z68"/>
    <mergeCell ref="AA61:AA63"/>
    <mergeCell ref="AF55:AF57"/>
    <mergeCell ref="AE55:AE57"/>
    <mergeCell ref="U65:U67"/>
    <mergeCell ref="U61:U63"/>
    <mergeCell ref="AE58:AE60"/>
    <mergeCell ref="AF58:AF60"/>
    <mergeCell ref="AF61:AF63"/>
    <mergeCell ref="Z61:Z63"/>
    <mergeCell ref="AE61:AE63"/>
    <mergeCell ref="Z69:Z70"/>
    <mergeCell ref="AA52:AA57"/>
    <mergeCell ref="AF71:AF73"/>
    <mergeCell ref="AE95:AE96"/>
    <mergeCell ref="AF66:AF68"/>
    <mergeCell ref="AE66:AE68"/>
    <mergeCell ref="AF76:AF83"/>
    <mergeCell ref="AE76:AE83"/>
    <mergeCell ref="AF84:AF86"/>
    <mergeCell ref="AE84:AE86"/>
    <mergeCell ref="AE71:AE73"/>
    <mergeCell ref="AF19:AF21"/>
    <mergeCell ref="AE19:AE21"/>
    <mergeCell ref="Z22:Z28"/>
    <mergeCell ref="Z29:Z35"/>
    <mergeCell ref="AA29:AA35"/>
    <mergeCell ref="AF30:AF34"/>
    <mergeCell ref="AE30:AE34"/>
    <mergeCell ref="AF38:AF44"/>
    <mergeCell ref="AE38:AE44"/>
    <mergeCell ref="AF23:AF28"/>
    <mergeCell ref="AE23:AE28"/>
    <mergeCell ref="AE36:AE37"/>
    <mergeCell ref="AF36:AF37"/>
    <mergeCell ref="AA36:AA37"/>
    <mergeCell ref="Z36:Z37"/>
    <mergeCell ref="AA22:AA28"/>
    <mergeCell ref="L61:L63"/>
    <mergeCell ref="L87:L91"/>
    <mergeCell ref="P94:P96"/>
    <mergeCell ref="Q107:Q109"/>
    <mergeCell ref="Q104:Q106"/>
    <mergeCell ref="L64:L65"/>
    <mergeCell ref="L97:L103"/>
    <mergeCell ref="P75:P83"/>
    <mergeCell ref="Q75:Q83"/>
    <mergeCell ref="Q61:Q63"/>
    <mergeCell ref="P61:P63"/>
    <mergeCell ref="P128:P129"/>
    <mergeCell ref="L104:L106"/>
    <mergeCell ref="Q66:Q68"/>
    <mergeCell ref="P66:P68"/>
    <mergeCell ref="P138:P144"/>
    <mergeCell ref="Q87:Q91"/>
    <mergeCell ref="Q112:Q125"/>
    <mergeCell ref="L84:L86"/>
    <mergeCell ref="L72:L73"/>
    <mergeCell ref="P69:P71"/>
    <mergeCell ref="P99:P103"/>
    <mergeCell ref="Q72:Q73"/>
    <mergeCell ref="L69:L71"/>
    <mergeCell ref="Q138:Q144"/>
    <mergeCell ref="L133:L134"/>
    <mergeCell ref="K97:K103"/>
    <mergeCell ref="P87:P91"/>
    <mergeCell ref="L75:L83"/>
    <mergeCell ref="P72:P73"/>
    <mergeCell ref="L66:L68"/>
    <mergeCell ref="K69:K71"/>
    <mergeCell ref="Q69:Q71"/>
    <mergeCell ref="Q97:Q98"/>
    <mergeCell ref="P92:P93"/>
    <mergeCell ref="Q92:Q93"/>
    <mergeCell ref="Q84:Q86"/>
    <mergeCell ref="P84:P86"/>
    <mergeCell ref="K66:K68"/>
    <mergeCell ref="AA4:AA5"/>
    <mergeCell ref="Z4:Z5"/>
    <mergeCell ref="AA6:AA7"/>
    <mergeCell ref="Z6:Z7"/>
    <mergeCell ref="Z158:Z159"/>
    <mergeCell ref="AA158:AA159"/>
    <mergeCell ref="Z152:Z153"/>
    <mergeCell ref="AA152:AA153"/>
    <mergeCell ref="U97:U98"/>
    <mergeCell ref="V97:V98"/>
    <mergeCell ref="V131:V134"/>
    <mergeCell ref="U131:U134"/>
    <mergeCell ref="AA19:AA21"/>
    <mergeCell ref="V99:V106"/>
    <mergeCell ref="V126:V127"/>
    <mergeCell ref="V52:V57"/>
    <mergeCell ref="V48:V51"/>
    <mergeCell ref="Z138:Z144"/>
    <mergeCell ref="AA138:AA144"/>
    <mergeCell ref="U8:U9"/>
    <mergeCell ref="V3:V5"/>
    <mergeCell ref="U3:U5"/>
    <mergeCell ref="U58:U60"/>
    <mergeCell ref="U107:U109"/>
    <mergeCell ref="Q19:Q20"/>
    <mergeCell ref="V17:V18"/>
    <mergeCell ref="U17:U18"/>
    <mergeCell ref="Z19:Z21"/>
    <mergeCell ref="U38:U44"/>
    <mergeCell ref="Q29:Q30"/>
    <mergeCell ref="U36:U37"/>
    <mergeCell ref="V36:V37"/>
    <mergeCell ref="V30:V35"/>
    <mergeCell ref="U30:U35"/>
    <mergeCell ref="V38:V44"/>
    <mergeCell ref="U22:U23"/>
    <mergeCell ref="Q23:Q26"/>
    <mergeCell ref="Q27:Q28"/>
    <mergeCell ref="Q31:Q34"/>
    <mergeCell ref="Z14:Z18"/>
    <mergeCell ref="Q16:Q18"/>
    <mergeCell ref="V22:V23"/>
    <mergeCell ref="V24:V28"/>
    <mergeCell ref="U24:U28"/>
    <mergeCell ref="Q36:Q37"/>
    <mergeCell ref="Q3:Q4"/>
    <mergeCell ref="AE145:AE151"/>
    <mergeCell ref="AF145:AF151"/>
    <mergeCell ref="AF154:AF157"/>
    <mergeCell ref="AE154:AE157"/>
    <mergeCell ref="AA154:AA157"/>
    <mergeCell ref="Z154:Z157"/>
    <mergeCell ref="AF165:AF169"/>
    <mergeCell ref="AE165:AE169"/>
    <mergeCell ref="V163:V168"/>
    <mergeCell ref="V145:V151"/>
    <mergeCell ref="AA160:AA161"/>
    <mergeCell ref="AA164:AA169"/>
    <mergeCell ref="Z164:Z169"/>
    <mergeCell ref="Z145:Z151"/>
    <mergeCell ref="AA145:AA151"/>
    <mergeCell ref="V152:V157"/>
    <mergeCell ref="U145:U151"/>
    <mergeCell ref="U99:U106"/>
    <mergeCell ref="U126:U127"/>
    <mergeCell ref="U112:U125"/>
    <mergeCell ref="V141:V144"/>
    <mergeCell ref="V138:V140"/>
    <mergeCell ref="V112:V125"/>
    <mergeCell ref="V173:V175"/>
    <mergeCell ref="V170:V172"/>
    <mergeCell ref="U170:U172"/>
    <mergeCell ref="U173:U175"/>
    <mergeCell ref="V160:V162"/>
    <mergeCell ref="U160:U162"/>
    <mergeCell ref="V158:V159"/>
    <mergeCell ref="U158:U159"/>
    <mergeCell ref="U68:U70"/>
    <mergeCell ref="V68:V70"/>
    <mergeCell ref="U71:U72"/>
    <mergeCell ref="U141:U144"/>
    <mergeCell ref="V135:V137"/>
    <mergeCell ref="U135:U137"/>
    <mergeCell ref="U138:U140"/>
    <mergeCell ref="U152:U157"/>
    <mergeCell ref="U163:U168"/>
    <mergeCell ref="U73:U83"/>
    <mergeCell ref="U87:U91"/>
    <mergeCell ref="U84:U86"/>
    <mergeCell ref="AF135:AF137"/>
    <mergeCell ref="AE135:AE137"/>
    <mergeCell ref="AA135:AA137"/>
    <mergeCell ref="Z135:Z137"/>
    <mergeCell ref="Z131:Z134"/>
    <mergeCell ref="AA131:AA134"/>
    <mergeCell ref="AF138:AF144"/>
    <mergeCell ref="AE138:AE144"/>
    <mergeCell ref="AE131:AE134"/>
    <mergeCell ref="AF131:AF134"/>
    <mergeCell ref="AE8:AE9"/>
    <mergeCell ref="AF8:AF9"/>
    <mergeCell ref="Q8:Q9"/>
    <mergeCell ref="P8:P9"/>
    <mergeCell ref="V8:V9"/>
    <mergeCell ref="AE14:AE15"/>
    <mergeCell ref="AE16:AE17"/>
    <mergeCell ref="AE12:AE13"/>
    <mergeCell ref="AF12:AF13"/>
    <mergeCell ref="AF16:AF17"/>
    <mergeCell ref="AF14:AF15"/>
    <mergeCell ref="AA14:AA18"/>
    <mergeCell ref="A3:A4"/>
    <mergeCell ref="A6:A7"/>
    <mergeCell ref="A8:A9"/>
    <mergeCell ref="A11:A13"/>
    <mergeCell ref="A14:A18"/>
    <mergeCell ref="A19:A21"/>
    <mergeCell ref="A22:A28"/>
    <mergeCell ref="A29:A35"/>
    <mergeCell ref="A36:A37"/>
    <mergeCell ref="A38:A44"/>
    <mergeCell ref="A45:A47"/>
    <mergeCell ref="A48:A51"/>
    <mergeCell ref="A52:A57"/>
    <mergeCell ref="A58:A60"/>
    <mergeCell ref="A61:A63"/>
    <mergeCell ref="A64:A68"/>
    <mergeCell ref="A69:A71"/>
    <mergeCell ref="A72:A74"/>
    <mergeCell ref="A75:A83"/>
    <mergeCell ref="A84:A86"/>
    <mergeCell ref="A87:A91"/>
    <mergeCell ref="A92:A96"/>
    <mergeCell ref="A97:A103"/>
    <mergeCell ref="A104:A106"/>
    <mergeCell ref="A107:A110"/>
    <mergeCell ref="A111:A125"/>
    <mergeCell ref="A126:A129"/>
    <mergeCell ref="A178:A181"/>
    <mergeCell ref="A182:A186"/>
    <mergeCell ref="A187:A192"/>
    <mergeCell ref="A193:A196"/>
    <mergeCell ref="A197:A202"/>
    <mergeCell ref="A130:A134"/>
    <mergeCell ref="A135:A137"/>
    <mergeCell ref="A138:A144"/>
    <mergeCell ref="A145:A151"/>
    <mergeCell ref="A152:A157"/>
    <mergeCell ref="A158:A159"/>
    <mergeCell ref="A160:A162"/>
    <mergeCell ref="A163:A169"/>
    <mergeCell ref="A170:A177"/>
    <mergeCell ref="G1:I1"/>
    <mergeCell ref="H145:H157"/>
    <mergeCell ref="G145:G157"/>
    <mergeCell ref="H135:H137"/>
    <mergeCell ref="G135:G137"/>
    <mergeCell ref="H104:H106"/>
    <mergeCell ref="G104:G106"/>
    <mergeCell ref="H87:H91"/>
    <mergeCell ref="G87:G91"/>
    <mergeCell ref="H84:H86"/>
    <mergeCell ref="G84:G86"/>
    <mergeCell ref="H45:H47"/>
    <mergeCell ref="G45:G47"/>
    <mergeCell ref="H60:H63"/>
    <mergeCell ref="G75:G83"/>
    <mergeCell ref="H48:H51"/>
    <mergeCell ref="G48:G51"/>
    <mergeCell ref="H75:H83"/>
    <mergeCell ref="G60:G63"/>
    <mergeCell ref="G72:G74"/>
    <mergeCell ref="G92:G96"/>
    <mergeCell ref="H92:H96"/>
    <mergeCell ref="G3:G4"/>
    <mergeCell ref="H19:H21"/>
  </mergeCells>
  <pageMargins left="0.7" right="0.7" top="0.75" bottom="0.75" header="0.3" footer="0.3"/>
  <pageSetup paperSize="8" scale="35" orientation="portrait" r:id="rId1"/>
  <ignoredErrors>
    <ignoredError sqref="AO14:AO15 AO9 AP14 AO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W244"/>
  <sheetViews>
    <sheetView tabSelected="1" topLeftCell="AB1" zoomScale="80" zoomScaleNormal="80" workbookViewId="0">
      <pane ySplit="1" topLeftCell="A49" activePane="bottomLeft" state="frozen"/>
      <selection pane="bottomLeft" activeCell="AJ60" sqref="AJ60"/>
    </sheetView>
  </sheetViews>
  <sheetFormatPr defaultColWidth="9.140625" defaultRowHeight="15" x14ac:dyDescent="0.25"/>
  <cols>
    <col min="1" max="1" width="16.7109375" style="85" bestFit="1" customWidth="1"/>
    <col min="2" max="2" width="9.7109375" style="29" bestFit="1" customWidth="1"/>
    <col min="3" max="3" width="7.85546875" style="85" bestFit="1" customWidth="1"/>
    <col min="4" max="4" width="8.85546875" style="85" bestFit="1" customWidth="1"/>
    <col min="5" max="5" width="23.85546875" style="85" bestFit="1" customWidth="1"/>
    <col min="6" max="6" width="2.140625" style="113" customWidth="1"/>
    <col min="7" max="7" width="9.7109375" style="29" bestFit="1" customWidth="1"/>
    <col min="8" max="8" width="7.85546875" style="85" bestFit="1" customWidth="1"/>
    <col min="9" max="9" width="9.7109375" style="85" bestFit="1" customWidth="1"/>
    <col min="10" max="10" width="2.140625" style="113" customWidth="1"/>
    <col min="11" max="11" width="9.7109375" style="147" bestFit="1" customWidth="1"/>
    <col min="12" max="12" width="7.85546875" style="211" bestFit="1" customWidth="1"/>
    <col min="13" max="13" width="8.85546875" style="147" bestFit="1" customWidth="1"/>
    <col min="14" max="14" width="23.85546875" style="211" bestFit="1" customWidth="1"/>
    <col min="15" max="15" width="2.140625" style="113" customWidth="1"/>
    <col min="16" max="16" width="9.7109375" style="29" bestFit="1" customWidth="1"/>
    <col min="17" max="17" width="7.85546875" style="85" bestFit="1" customWidth="1"/>
    <col min="18" max="18" width="8.85546875" style="29" bestFit="1" customWidth="1"/>
    <col min="19" max="19" width="21.5703125" style="85" bestFit="1" customWidth="1"/>
    <col min="20" max="20" width="2.140625" style="113" customWidth="1"/>
    <col min="21" max="21" width="9.7109375" style="196" bestFit="1" customWidth="1"/>
    <col min="22" max="22" width="7.85546875" style="221" bestFit="1" customWidth="1"/>
    <col min="23" max="23" width="8.85546875" style="196" bestFit="1" customWidth="1"/>
    <col min="24" max="24" width="25.42578125" style="221" bestFit="1" customWidth="1"/>
    <col min="25" max="25" width="2.140625" style="113" customWidth="1"/>
    <col min="26" max="26" width="9.7109375" style="29" bestFit="1" customWidth="1"/>
    <col min="27" max="27" width="7.85546875" style="85" bestFit="1" customWidth="1"/>
    <col min="28" max="28" width="8.85546875" style="29" bestFit="1" customWidth="1"/>
    <col min="29" max="29" width="22.42578125" style="85" bestFit="1" customWidth="1"/>
    <col min="30" max="30" width="2.140625" style="113" customWidth="1"/>
    <col min="31" max="31" width="9.7109375" style="147" bestFit="1" customWidth="1"/>
    <col min="32" max="32" width="7.85546875" style="211" bestFit="1" customWidth="1"/>
    <col min="33" max="33" width="8.85546875" style="147" bestFit="1" customWidth="1"/>
    <col min="34" max="34" width="22.140625" style="147" customWidth="1"/>
    <col min="35" max="35" width="2.5703125" style="155" customWidth="1"/>
    <col min="36" max="36" width="26.7109375" style="29" bestFit="1" customWidth="1"/>
    <col min="37" max="37" width="20.28515625" style="29" bestFit="1" customWidth="1"/>
    <col min="38" max="39" width="6.85546875" style="29" bestFit="1" customWidth="1"/>
    <col min="40" max="40" width="11.42578125" style="29" bestFit="1" customWidth="1"/>
    <col min="41" max="41" width="11.140625" style="29" bestFit="1" customWidth="1"/>
    <col min="42" max="42" width="17.140625" style="29" bestFit="1" customWidth="1"/>
    <col min="43" max="16384" width="9.140625" style="29"/>
  </cols>
  <sheetData>
    <row r="1" spans="1:49" x14ac:dyDescent="0.25">
      <c r="A1" s="279" t="s">
        <v>15</v>
      </c>
      <c r="B1" s="279"/>
      <c r="C1" s="279" t="s">
        <v>1</v>
      </c>
      <c r="D1" s="279"/>
      <c r="E1" s="279"/>
      <c r="G1" s="276" t="s">
        <v>3</v>
      </c>
      <c r="H1" s="276"/>
      <c r="I1" s="276"/>
      <c r="K1" s="274" t="s">
        <v>2</v>
      </c>
      <c r="L1" s="274"/>
      <c r="M1" s="274"/>
      <c r="N1" s="274"/>
      <c r="P1" s="279" t="s">
        <v>4</v>
      </c>
      <c r="Q1" s="279"/>
      <c r="R1" s="279"/>
      <c r="S1" s="279"/>
      <c r="U1" s="272" t="s">
        <v>16</v>
      </c>
      <c r="V1" s="272"/>
      <c r="W1" s="272"/>
      <c r="X1" s="272"/>
      <c r="Z1" s="279" t="s">
        <v>5</v>
      </c>
      <c r="AA1" s="279"/>
      <c r="AB1" s="279"/>
      <c r="AC1" s="279"/>
      <c r="AE1" s="272" t="s">
        <v>6</v>
      </c>
      <c r="AF1" s="272"/>
      <c r="AG1" s="272"/>
      <c r="AH1" s="272"/>
    </row>
    <row r="2" spans="1:49" x14ac:dyDescent="0.25">
      <c r="A2" s="207" t="s">
        <v>55</v>
      </c>
      <c r="B2" s="134" t="s">
        <v>7</v>
      </c>
      <c r="C2" s="134" t="s">
        <v>8</v>
      </c>
      <c r="D2" s="18" t="s">
        <v>213</v>
      </c>
      <c r="E2" s="8" t="s">
        <v>17</v>
      </c>
      <c r="G2" s="134" t="s">
        <v>7</v>
      </c>
      <c r="H2" s="134" t="s">
        <v>8</v>
      </c>
      <c r="I2" s="49" t="s">
        <v>17</v>
      </c>
      <c r="K2" s="45" t="s">
        <v>7</v>
      </c>
      <c r="L2" s="45" t="s">
        <v>8</v>
      </c>
      <c r="M2" s="18" t="s">
        <v>213</v>
      </c>
      <c r="N2" s="8" t="s">
        <v>17</v>
      </c>
      <c r="P2" s="134" t="s">
        <v>7</v>
      </c>
      <c r="Q2" s="134" t="s">
        <v>8</v>
      </c>
      <c r="R2" s="18" t="s">
        <v>213</v>
      </c>
      <c r="S2" s="8" t="s">
        <v>17</v>
      </c>
      <c r="U2" s="208" t="s">
        <v>7</v>
      </c>
      <c r="V2" s="208" t="s">
        <v>8</v>
      </c>
      <c r="W2" s="18" t="s">
        <v>213</v>
      </c>
      <c r="X2" s="8" t="s">
        <v>17</v>
      </c>
      <c r="Z2" s="134" t="s">
        <v>7</v>
      </c>
      <c r="AA2" s="134" t="s">
        <v>8</v>
      </c>
      <c r="AB2" s="18" t="s">
        <v>213</v>
      </c>
      <c r="AC2" s="8" t="s">
        <v>17</v>
      </c>
      <c r="AE2" s="45" t="s">
        <v>7</v>
      </c>
      <c r="AF2" s="45" t="s">
        <v>8</v>
      </c>
      <c r="AG2" s="18" t="s">
        <v>213</v>
      </c>
      <c r="AH2" s="8" t="s">
        <v>17</v>
      </c>
    </row>
    <row r="3" spans="1:49" s="25" customFormat="1" x14ac:dyDescent="0.25">
      <c r="A3" s="261">
        <v>1</v>
      </c>
      <c r="B3" s="260">
        <v>21.61</v>
      </c>
      <c r="C3" s="259">
        <v>4.1500000000000004</v>
      </c>
      <c r="D3" s="240">
        <f>B3+B5-D4</f>
        <v>20.329999999999998</v>
      </c>
      <c r="E3" s="54" t="s">
        <v>34</v>
      </c>
      <c r="F3" s="113"/>
      <c r="G3" s="260">
        <v>26.76</v>
      </c>
      <c r="H3" s="259">
        <v>4.07</v>
      </c>
      <c r="I3" s="240"/>
      <c r="J3" s="113"/>
      <c r="K3" s="19">
        <v>0.04</v>
      </c>
      <c r="L3" s="19"/>
      <c r="M3" s="241">
        <f>K4</f>
        <v>21.99</v>
      </c>
      <c r="N3" s="54" t="s">
        <v>34</v>
      </c>
      <c r="O3" s="113"/>
      <c r="P3" s="260">
        <v>25.49</v>
      </c>
      <c r="Q3" s="259">
        <v>4.1100000000000003</v>
      </c>
      <c r="R3" s="241">
        <f>P3+P5-R4</f>
        <v>23.49</v>
      </c>
      <c r="S3" s="54" t="s">
        <v>34</v>
      </c>
      <c r="T3" s="113"/>
      <c r="U3" s="260">
        <v>22.34</v>
      </c>
      <c r="V3" s="259">
        <v>4.13</v>
      </c>
      <c r="W3" s="241">
        <f>U3-W4</f>
        <v>20.09</v>
      </c>
      <c r="X3" s="54" t="s">
        <v>34</v>
      </c>
      <c r="Y3" s="113"/>
      <c r="Z3" s="260">
        <v>21.6</v>
      </c>
      <c r="AA3" s="259">
        <v>4.05</v>
      </c>
      <c r="AB3" s="241">
        <f>AG3</f>
        <v>19.350000000000001</v>
      </c>
      <c r="AC3" s="54" t="s">
        <v>34</v>
      </c>
      <c r="AD3" s="113"/>
      <c r="AE3" s="241">
        <v>0.1</v>
      </c>
      <c r="AF3" s="240">
        <v>4.03</v>
      </c>
      <c r="AG3" s="114">
        <f>AE4</f>
        <v>19.350000000000001</v>
      </c>
      <c r="AH3" s="54" t="s">
        <v>34</v>
      </c>
      <c r="AI3" s="141"/>
      <c r="AJ3" s="4"/>
      <c r="AK3" s="1"/>
      <c r="AL3" s="1"/>
    </row>
    <row r="4" spans="1:49" s="25" customFormat="1" x14ac:dyDescent="0.25">
      <c r="A4" s="261"/>
      <c r="B4" s="260"/>
      <c r="C4" s="259"/>
      <c r="D4" s="240">
        <f>R4</f>
        <v>2.25</v>
      </c>
      <c r="E4" s="80" t="s">
        <v>28</v>
      </c>
      <c r="F4" s="113"/>
      <c r="G4" s="260"/>
      <c r="H4" s="259"/>
      <c r="I4" s="80"/>
      <c r="J4" s="113"/>
      <c r="K4" s="241">
        <v>21.99</v>
      </c>
      <c r="L4" s="240">
        <v>4.13</v>
      </c>
      <c r="M4" s="241">
        <f>K5</f>
        <v>0.01</v>
      </c>
      <c r="N4" s="80" t="s">
        <v>28</v>
      </c>
      <c r="O4" s="113"/>
      <c r="P4" s="260"/>
      <c r="Q4" s="259"/>
      <c r="R4" s="241">
        <f>AB4</f>
        <v>2.25</v>
      </c>
      <c r="S4" s="80" t="s">
        <v>28</v>
      </c>
      <c r="T4" s="113"/>
      <c r="U4" s="260"/>
      <c r="V4" s="259"/>
      <c r="W4" s="241">
        <f>R4</f>
        <v>2.25</v>
      </c>
      <c r="X4" s="80" t="s">
        <v>28</v>
      </c>
      <c r="Y4" s="113"/>
      <c r="Z4" s="260"/>
      <c r="AA4" s="259"/>
      <c r="AB4" s="241">
        <f>Z3-AB3</f>
        <v>2.25</v>
      </c>
      <c r="AC4" s="80" t="s">
        <v>28</v>
      </c>
      <c r="AD4" s="113"/>
      <c r="AE4" s="241">
        <v>19.350000000000001</v>
      </c>
      <c r="AF4" s="240">
        <v>4.1500000000000004</v>
      </c>
      <c r="AG4" s="114">
        <f>AE5</f>
        <v>10.45</v>
      </c>
      <c r="AH4" s="80" t="s">
        <v>28</v>
      </c>
      <c r="AI4" s="141"/>
      <c r="AJ4" s="241"/>
      <c r="AK4" s="222" t="s">
        <v>1</v>
      </c>
      <c r="AL4" s="105" t="s">
        <v>2</v>
      </c>
      <c r="AM4" s="222" t="s">
        <v>4</v>
      </c>
      <c r="AN4" s="105" t="s">
        <v>16</v>
      </c>
      <c r="AO4" s="222" t="s">
        <v>5</v>
      </c>
      <c r="AP4" s="222" t="s">
        <v>6</v>
      </c>
    </row>
    <row r="5" spans="1:49" s="25" customFormat="1" ht="15.75" thickBot="1" x14ac:dyDescent="0.3">
      <c r="A5" s="242">
        <v>2</v>
      </c>
      <c r="B5" s="241">
        <v>0.97</v>
      </c>
      <c r="C5" s="240">
        <v>4.26</v>
      </c>
      <c r="D5" s="24"/>
      <c r="E5" s="24"/>
      <c r="F5" s="113"/>
      <c r="G5" s="241">
        <v>0.28999999999999998</v>
      </c>
      <c r="H5" s="240">
        <v>4.24</v>
      </c>
      <c r="I5" s="240"/>
      <c r="J5" s="113"/>
      <c r="K5" s="241">
        <v>0.01</v>
      </c>
      <c r="L5" s="240">
        <v>4.3499999999999996</v>
      </c>
      <c r="M5" s="24"/>
      <c r="N5" s="24"/>
      <c r="O5" s="113"/>
      <c r="P5" s="241">
        <v>0.25</v>
      </c>
      <c r="Q5" s="240">
        <v>4.29</v>
      </c>
      <c r="R5" s="24"/>
      <c r="S5" s="24"/>
      <c r="T5" s="113"/>
      <c r="U5" s="260"/>
      <c r="V5" s="259"/>
      <c r="W5" s="24"/>
      <c r="X5" s="24"/>
      <c r="Y5" s="113"/>
      <c r="Z5" s="260"/>
      <c r="AA5" s="259"/>
      <c r="AB5" s="24"/>
      <c r="AC5" s="24"/>
      <c r="AD5" s="113"/>
      <c r="AE5" s="241">
        <v>10.45</v>
      </c>
      <c r="AF5" s="240">
        <v>4.2699999999999996</v>
      </c>
      <c r="AG5" s="24"/>
      <c r="AH5" s="24"/>
      <c r="AI5" s="141"/>
      <c r="AJ5" s="160" t="s">
        <v>32</v>
      </c>
      <c r="AK5" s="16">
        <f ca="1">D4+D35+D60+D61+D78+D93+D97+D130+D132+D160+D96</f>
        <v>17.863333333333337</v>
      </c>
      <c r="AL5" s="16">
        <f ca="1">M4+M35+M60+M61+M78+M93+M97+M130+M132+M160+M96</f>
        <v>17.732499999999998</v>
      </c>
      <c r="AM5" s="16">
        <f>R4+R35+R57+R60+R61+R78+R93+R97+R132+R160+R58+R87</f>
        <v>17.36</v>
      </c>
      <c r="AN5" s="16">
        <f>W4+W35+W57+W60+W61+W78+W93+W97+W132+W160+W58+W87</f>
        <v>18.365000000000002</v>
      </c>
      <c r="AO5" s="16">
        <f>AB4+AB35+AB60+AB61+AB93+AB97+AB132+AB160+AB36+AB57+AB78</f>
        <v>17.899999999999999</v>
      </c>
      <c r="AP5" s="241">
        <f>AG4+AG9+AG14+AG35+AG60+AG61+AG93+AG97+AG132+AG160</f>
        <v>35.045000000000002</v>
      </c>
      <c r="AQ5" s="160">
        <f ca="1">AVERAGE(AK5:AP5)</f>
        <v>20.710972222222221</v>
      </c>
      <c r="AR5" s="111"/>
    </row>
    <row r="6" spans="1:49" s="25" customFormat="1" x14ac:dyDescent="0.25">
      <c r="A6" s="261">
        <v>3</v>
      </c>
      <c r="B6" s="260">
        <v>0.33</v>
      </c>
      <c r="C6" s="259">
        <v>4.3899999999999997</v>
      </c>
      <c r="D6" s="240"/>
      <c r="E6" s="240"/>
      <c r="F6" s="113"/>
      <c r="G6" s="260">
        <v>0.09</v>
      </c>
      <c r="H6" s="259">
        <v>4.34</v>
      </c>
      <c r="I6" s="240"/>
      <c r="J6" s="113"/>
      <c r="K6" s="241">
        <v>0.03</v>
      </c>
      <c r="L6" s="240">
        <v>4.4400000000000004</v>
      </c>
      <c r="M6" s="241"/>
      <c r="N6" s="240"/>
      <c r="O6" s="113"/>
      <c r="P6" s="241">
        <v>0.14000000000000001</v>
      </c>
      <c r="Q6" s="240">
        <v>4.42</v>
      </c>
      <c r="R6" s="241"/>
      <c r="S6" s="240"/>
      <c r="T6" s="113"/>
      <c r="U6" s="241">
        <v>0.05</v>
      </c>
      <c r="V6" s="240">
        <v>4.45</v>
      </c>
      <c r="W6" s="241"/>
      <c r="X6" s="240"/>
      <c r="Y6" s="113"/>
      <c r="Z6" s="241">
        <v>0.04</v>
      </c>
      <c r="AA6" s="240">
        <v>4.37</v>
      </c>
      <c r="AB6" s="241"/>
      <c r="AC6" s="240"/>
      <c r="AD6" s="113"/>
      <c r="AE6" s="260">
        <v>0.06</v>
      </c>
      <c r="AF6" s="259">
        <v>4.4800000000000004</v>
      </c>
      <c r="AG6" s="114"/>
      <c r="AH6" s="114"/>
      <c r="AI6" s="141"/>
      <c r="AJ6" s="161" t="s">
        <v>97</v>
      </c>
      <c r="AK6" s="19">
        <f>D10+D79+D100+D46</f>
        <v>0.96</v>
      </c>
      <c r="AL6" s="19">
        <f>M10+M79+M100+M46</f>
        <v>0.91</v>
      </c>
      <c r="AM6" s="19">
        <f>R10+R79+R46+R100</f>
        <v>1.04</v>
      </c>
      <c r="AN6" s="19">
        <f>W10+W79+W46</f>
        <v>1.07</v>
      </c>
      <c r="AO6" s="19">
        <f>AB10+AB46+AB79</f>
        <v>1.02</v>
      </c>
      <c r="AP6" s="241">
        <f>AG10+AG46+AG13</f>
        <v>9.9</v>
      </c>
      <c r="AQ6" s="161">
        <f>AVERAGE(AK6:AO6)</f>
        <v>1</v>
      </c>
      <c r="AR6" s="168">
        <f ca="1">AQ5+AQ6</f>
        <v>21.710972222222221</v>
      </c>
      <c r="AS6" s="169" t="s">
        <v>292</v>
      </c>
      <c r="AT6" s="111"/>
      <c r="AV6" s="174" t="s">
        <v>287</v>
      </c>
      <c r="AW6" s="175"/>
    </row>
    <row r="7" spans="1:49" s="25" customFormat="1" x14ac:dyDescent="0.25">
      <c r="A7" s="261"/>
      <c r="B7" s="260"/>
      <c r="C7" s="259"/>
      <c r="D7" s="240"/>
      <c r="E7" s="240"/>
      <c r="F7" s="113"/>
      <c r="G7" s="260"/>
      <c r="H7" s="259"/>
      <c r="I7" s="240"/>
      <c r="J7" s="113"/>
      <c r="K7" s="241">
        <v>0.01</v>
      </c>
      <c r="L7" s="240">
        <v>4.5</v>
      </c>
      <c r="M7" s="241"/>
      <c r="N7" s="240"/>
      <c r="O7" s="113"/>
      <c r="P7" s="241">
        <v>0.05</v>
      </c>
      <c r="Q7" s="240">
        <v>4.49</v>
      </c>
      <c r="R7" s="241"/>
      <c r="S7" s="240"/>
      <c r="T7" s="113"/>
      <c r="U7" s="241">
        <v>0</v>
      </c>
      <c r="V7" s="240">
        <v>4.5199999999999996</v>
      </c>
      <c r="W7" s="241"/>
      <c r="X7" s="240"/>
      <c r="Y7" s="113"/>
      <c r="Z7" s="241">
        <v>0.04</v>
      </c>
      <c r="AA7" s="240">
        <v>4.5199999999999996</v>
      </c>
      <c r="AB7" s="241"/>
      <c r="AC7" s="240"/>
      <c r="AD7" s="113"/>
      <c r="AE7" s="260"/>
      <c r="AF7" s="259"/>
      <c r="AG7" s="114"/>
      <c r="AH7" s="114"/>
      <c r="AI7" s="141"/>
      <c r="AJ7" s="162" t="s">
        <v>122</v>
      </c>
      <c r="AK7" s="19"/>
      <c r="AL7" s="19"/>
      <c r="AM7" s="19"/>
      <c r="AN7" s="19"/>
      <c r="AO7" s="19"/>
      <c r="AP7" s="26"/>
      <c r="AQ7" s="162">
        <v>0</v>
      </c>
      <c r="AR7" s="111"/>
      <c r="AS7" s="111"/>
      <c r="AT7" s="111"/>
      <c r="AV7" s="176" t="s">
        <v>288</v>
      </c>
      <c r="AW7" s="177"/>
    </row>
    <row r="8" spans="1:49" s="25" customFormat="1" x14ac:dyDescent="0.25">
      <c r="A8" s="261">
        <v>4</v>
      </c>
      <c r="B8" s="260">
        <v>0.7</v>
      </c>
      <c r="C8" s="259">
        <v>4.7300000000000004</v>
      </c>
      <c r="D8" s="240"/>
      <c r="E8" s="24"/>
      <c r="F8" s="113"/>
      <c r="G8" s="260">
        <v>0.09</v>
      </c>
      <c r="H8" s="259">
        <v>4.54</v>
      </c>
      <c r="I8" s="240"/>
      <c r="J8" s="113"/>
      <c r="K8" s="260">
        <v>0.65</v>
      </c>
      <c r="L8" s="259">
        <v>4.68</v>
      </c>
      <c r="M8" s="241"/>
      <c r="N8" s="24"/>
      <c r="O8" s="113"/>
      <c r="P8" s="260">
        <v>0.7</v>
      </c>
      <c r="Q8" s="259">
        <v>4.6900000000000004</v>
      </c>
      <c r="R8" s="241"/>
      <c r="S8" s="240"/>
      <c r="T8" s="113"/>
      <c r="U8" s="260">
        <v>0.68</v>
      </c>
      <c r="V8" s="259">
        <v>4.6900000000000004</v>
      </c>
      <c r="W8" s="241"/>
      <c r="X8" s="240"/>
      <c r="Y8" s="113"/>
      <c r="Z8" s="260">
        <v>0.63</v>
      </c>
      <c r="AA8" s="259">
        <v>4.6100000000000003</v>
      </c>
      <c r="AB8" s="241"/>
      <c r="AC8" s="240"/>
      <c r="AD8" s="113"/>
      <c r="AE8" s="241">
        <v>0.02</v>
      </c>
      <c r="AF8" s="240">
        <v>4.6399999999999997</v>
      </c>
      <c r="AG8" s="114"/>
      <c r="AH8" s="114"/>
      <c r="AI8" s="141"/>
      <c r="AJ8" s="162" t="s">
        <v>124</v>
      </c>
      <c r="AK8" s="19"/>
      <c r="AL8" s="19"/>
      <c r="AM8" s="19"/>
      <c r="AN8" s="19"/>
      <c r="AO8" s="19"/>
      <c r="AP8" s="241"/>
      <c r="AQ8" s="162"/>
      <c r="AR8" s="111"/>
      <c r="AS8" s="111"/>
      <c r="AT8" s="111"/>
      <c r="AV8" s="178" t="s">
        <v>289</v>
      </c>
      <c r="AW8" s="179"/>
    </row>
    <row r="9" spans="1:49" s="25" customFormat="1" x14ac:dyDescent="0.25">
      <c r="A9" s="261"/>
      <c r="B9" s="260"/>
      <c r="C9" s="259"/>
      <c r="D9" s="240"/>
      <c r="E9" s="16"/>
      <c r="F9" s="113"/>
      <c r="G9" s="260"/>
      <c r="H9" s="259"/>
      <c r="I9" s="240"/>
      <c r="J9" s="113"/>
      <c r="K9" s="260"/>
      <c r="L9" s="259"/>
      <c r="M9" s="241"/>
      <c r="N9" s="16"/>
      <c r="O9" s="113"/>
      <c r="P9" s="260"/>
      <c r="Q9" s="259"/>
      <c r="R9" s="245"/>
      <c r="S9" s="16"/>
      <c r="T9" s="113"/>
      <c r="U9" s="260"/>
      <c r="V9" s="259"/>
      <c r="W9" s="241"/>
      <c r="X9" s="16"/>
      <c r="Y9" s="113"/>
      <c r="Z9" s="260"/>
      <c r="AA9" s="259"/>
      <c r="AB9" s="245"/>
      <c r="AC9" s="16"/>
      <c r="AD9" s="113"/>
      <c r="AE9" s="260">
        <v>18.940000000000001</v>
      </c>
      <c r="AF9" s="259">
        <v>4.7300000000000004</v>
      </c>
      <c r="AG9" s="114">
        <f>AE9-AG10</f>
        <v>9.9400000000000013</v>
      </c>
      <c r="AH9" s="109" t="s">
        <v>37</v>
      </c>
      <c r="AI9" s="141"/>
      <c r="AJ9" s="162" t="s">
        <v>31</v>
      </c>
      <c r="AK9" s="241">
        <f>D16+D33</f>
        <v>0.57000000000000006</v>
      </c>
      <c r="AL9" s="241">
        <f>M16+M33</f>
        <v>0.59</v>
      </c>
      <c r="AM9" s="241">
        <f>R16+R33</f>
        <v>0.57000000000000006</v>
      </c>
      <c r="AN9" s="241">
        <f>W16+W33</f>
        <v>0.57000000000000006</v>
      </c>
      <c r="AO9" s="241">
        <f>AB16</f>
        <v>0.56999999999999995</v>
      </c>
      <c r="AP9" s="241"/>
      <c r="AQ9" s="162">
        <f t="shared" ref="AQ9:AQ16" si="0">AVERAGE(AK9:AO9)</f>
        <v>0.57400000000000007</v>
      </c>
      <c r="AR9" s="111"/>
      <c r="AS9" s="169" t="s">
        <v>193</v>
      </c>
      <c r="AT9" s="111"/>
      <c r="AV9" s="180" t="s">
        <v>290</v>
      </c>
      <c r="AW9" s="181"/>
    </row>
    <row r="10" spans="1:49" s="25" customFormat="1" ht="15.75" thickBot="1" x14ac:dyDescent="0.3">
      <c r="A10" s="261"/>
      <c r="B10" s="260"/>
      <c r="C10" s="259"/>
      <c r="D10" s="240">
        <f>B8</f>
        <v>0.7</v>
      </c>
      <c r="E10" s="15" t="s">
        <v>19</v>
      </c>
      <c r="F10" s="113"/>
      <c r="G10" s="260"/>
      <c r="H10" s="259"/>
      <c r="I10" s="240"/>
      <c r="J10" s="113"/>
      <c r="K10" s="260"/>
      <c r="L10" s="259"/>
      <c r="M10" s="241">
        <f>K8-M9</f>
        <v>0.65</v>
      </c>
      <c r="N10" s="15" t="s">
        <v>19</v>
      </c>
      <c r="O10" s="113"/>
      <c r="P10" s="260"/>
      <c r="Q10" s="259"/>
      <c r="R10" s="241">
        <f>P8-R9</f>
        <v>0.7</v>
      </c>
      <c r="S10" s="15" t="s">
        <v>19</v>
      </c>
      <c r="T10" s="113"/>
      <c r="U10" s="260"/>
      <c r="V10" s="259"/>
      <c r="W10" s="241">
        <f>U8-W9</f>
        <v>0.68</v>
      </c>
      <c r="X10" s="15" t="s">
        <v>19</v>
      </c>
      <c r="Y10" s="113"/>
      <c r="Z10" s="260"/>
      <c r="AA10" s="259"/>
      <c r="AB10" s="241">
        <f>Z8-AB9</f>
        <v>0.63</v>
      </c>
      <c r="AC10" s="15" t="s">
        <v>19</v>
      </c>
      <c r="AD10" s="113"/>
      <c r="AE10" s="260"/>
      <c r="AF10" s="259"/>
      <c r="AG10" s="114">
        <v>9</v>
      </c>
      <c r="AH10" s="15" t="s">
        <v>19</v>
      </c>
      <c r="AI10" s="141"/>
      <c r="AJ10" s="162" t="s">
        <v>59</v>
      </c>
      <c r="AK10" s="19">
        <f>D23+D40</f>
        <v>0.32333333333333336</v>
      </c>
      <c r="AL10" s="19">
        <f>M23+M40</f>
        <v>0.30000000000000004</v>
      </c>
      <c r="AM10" s="241">
        <f>R23+R40</f>
        <v>0.35333333333333339</v>
      </c>
      <c r="AN10" s="241">
        <f>W23+W40</f>
        <v>0.20333333333333334</v>
      </c>
      <c r="AO10" s="241">
        <f>AB23</f>
        <v>0.32</v>
      </c>
      <c r="AP10" s="241">
        <f>AG23</f>
        <v>0.01</v>
      </c>
      <c r="AQ10" s="162">
        <f>AVERAGE(AK10:AO10)</f>
        <v>0.30000000000000004</v>
      </c>
      <c r="AR10" s="170">
        <f>SUM(AQ7:AQ10)</f>
        <v>0.87400000000000011</v>
      </c>
      <c r="AS10" s="169" t="s">
        <v>293</v>
      </c>
      <c r="AT10" s="111"/>
      <c r="AV10" s="182" t="s">
        <v>291</v>
      </c>
      <c r="AW10" s="183"/>
    </row>
    <row r="11" spans="1:49" s="25" customFormat="1" x14ac:dyDescent="0.25">
      <c r="A11" s="242">
        <v>5</v>
      </c>
      <c r="B11" s="241">
        <v>10.199999999999999</v>
      </c>
      <c r="C11" s="240">
        <v>4.8600000000000003</v>
      </c>
      <c r="D11" s="240">
        <f>B11</f>
        <v>10.199999999999999</v>
      </c>
      <c r="E11" s="54" t="s">
        <v>34</v>
      </c>
      <c r="F11" s="113"/>
      <c r="G11" s="241">
        <v>12.73</v>
      </c>
      <c r="H11" s="240">
        <v>4.75</v>
      </c>
      <c r="I11" s="240"/>
      <c r="J11" s="113"/>
      <c r="K11" s="241">
        <v>9.48</v>
      </c>
      <c r="L11" s="240">
        <v>4.8099999999999996</v>
      </c>
      <c r="M11" s="241">
        <f>K11</f>
        <v>9.48</v>
      </c>
      <c r="N11" s="54" t="s">
        <v>34</v>
      </c>
      <c r="O11" s="113"/>
      <c r="P11" s="241">
        <v>11.38</v>
      </c>
      <c r="Q11" s="240">
        <v>4.8099999999999996</v>
      </c>
      <c r="R11" s="241">
        <f>P11</f>
        <v>11.38</v>
      </c>
      <c r="S11" s="54" t="s">
        <v>34</v>
      </c>
      <c r="T11" s="113"/>
      <c r="U11" s="241">
        <v>9.91</v>
      </c>
      <c r="V11" s="240">
        <v>4.83</v>
      </c>
      <c r="W11" s="241">
        <f>U11</f>
        <v>9.91</v>
      </c>
      <c r="X11" s="54" t="s">
        <v>34</v>
      </c>
      <c r="Y11" s="113"/>
      <c r="Z11" s="241">
        <v>9.44</v>
      </c>
      <c r="AA11" s="240">
        <v>4.7300000000000004</v>
      </c>
      <c r="AB11" s="241">
        <f>Z11</f>
        <v>9.44</v>
      </c>
      <c r="AC11" s="54" t="s">
        <v>34</v>
      </c>
      <c r="AD11" s="113"/>
      <c r="AE11" s="241">
        <v>8.9600000000000009</v>
      </c>
      <c r="AF11" s="240">
        <v>4.8600000000000003</v>
      </c>
      <c r="AG11" s="114">
        <f>AE11</f>
        <v>8.9600000000000009</v>
      </c>
      <c r="AH11" s="54" t="s">
        <v>34</v>
      </c>
      <c r="AI11" s="141"/>
      <c r="AJ11" s="163" t="s">
        <v>29</v>
      </c>
      <c r="AK11" s="241">
        <f>D17+D38+D66+D115+D146+D168+D105</f>
        <v>2.4424999999999999</v>
      </c>
      <c r="AL11" s="241">
        <f>M17+M38+M66+M115+M146+M168+M105</f>
        <v>2.2625000000000002</v>
      </c>
      <c r="AM11" s="241">
        <f>R17+R38+R66</f>
        <v>2.5499999999999998</v>
      </c>
      <c r="AN11" s="245">
        <f>W17+W38+W66</f>
        <v>2.6</v>
      </c>
      <c r="AO11" s="241">
        <f>AB17</f>
        <v>2.84</v>
      </c>
      <c r="AP11" s="241"/>
      <c r="AQ11" s="163">
        <f t="shared" si="0"/>
        <v>2.5390000000000001</v>
      </c>
      <c r="AR11" s="111"/>
      <c r="AS11" s="111"/>
      <c r="AT11" s="111"/>
    </row>
    <row r="12" spans="1:49" s="25" customFormat="1" x14ac:dyDescent="0.25">
      <c r="A12" s="261">
        <v>6</v>
      </c>
      <c r="B12" s="260">
        <v>0.36</v>
      </c>
      <c r="C12" s="259">
        <v>5.04</v>
      </c>
      <c r="D12" s="240"/>
      <c r="E12" s="240"/>
      <c r="F12" s="113"/>
      <c r="G12" s="260">
        <v>0.16</v>
      </c>
      <c r="H12" s="259">
        <v>5.0199999999999996</v>
      </c>
      <c r="I12" s="240"/>
      <c r="J12" s="113"/>
      <c r="K12" s="241">
        <v>7.0000000000000007E-2</v>
      </c>
      <c r="L12" s="240">
        <v>4.99</v>
      </c>
      <c r="M12" s="241"/>
      <c r="N12" s="240"/>
      <c r="O12" s="113"/>
      <c r="P12" s="241">
        <v>0.05</v>
      </c>
      <c r="Q12" s="240">
        <v>5</v>
      </c>
      <c r="R12" s="241"/>
      <c r="S12" s="240"/>
      <c r="T12" s="113"/>
      <c r="U12" s="241">
        <v>0.06</v>
      </c>
      <c r="V12" s="240">
        <v>5</v>
      </c>
      <c r="W12" s="241"/>
      <c r="X12" s="240"/>
      <c r="Y12" s="113"/>
      <c r="Z12" s="241">
        <v>0.11</v>
      </c>
      <c r="AA12" s="240">
        <v>4.92</v>
      </c>
      <c r="AB12" s="241"/>
      <c r="AC12" s="240"/>
      <c r="AD12" s="113"/>
      <c r="AE12" s="260">
        <v>0.6</v>
      </c>
      <c r="AF12" s="259">
        <v>5.0999999999999996</v>
      </c>
      <c r="AG12" s="114"/>
      <c r="AH12" s="240"/>
      <c r="AI12" s="141"/>
      <c r="AJ12" s="163" t="s">
        <v>58</v>
      </c>
      <c r="AK12" s="19">
        <f>D26+D77+D102+D107+D119+D152+D179</f>
        <v>1.625</v>
      </c>
      <c r="AL12" s="19">
        <f ca="1">M26+M77+M102+M107+M119+M152+M179</f>
        <v>2.3047222222222228</v>
      </c>
      <c r="AM12" s="241">
        <f>R26+R77</f>
        <v>1.51</v>
      </c>
      <c r="AN12" s="245">
        <f>W26+W77</f>
        <v>2.72</v>
      </c>
      <c r="AO12" s="241">
        <f>AB26</f>
        <v>2.57</v>
      </c>
      <c r="AP12" s="241">
        <f>AG26</f>
        <v>0.04</v>
      </c>
      <c r="AQ12" s="163">
        <f t="shared" ca="1" si="0"/>
        <v>2.1459444444444449</v>
      </c>
      <c r="AR12" s="111"/>
      <c r="AS12" s="111"/>
      <c r="AT12" s="111"/>
    </row>
    <row r="13" spans="1:49" s="25" customFormat="1" x14ac:dyDescent="0.25">
      <c r="A13" s="261"/>
      <c r="B13" s="260"/>
      <c r="C13" s="259"/>
      <c r="D13" s="240"/>
      <c r="E13" s="240"/>
      <c r="F13" s="113"/>
      <c r="G13" s="260"/>
      <c r="H13" s="259"/>
      <c r="I13" s="240"/>
      <c r="J13" s="113"/>
      <c r="K13" s="260">
        <v>0.08</v>
      </c>
      <c r="L13" s="259">
        <v>5.08</v>
      </c>
      <c r="M13" s="241"/>
      <c r="N13" s="240"/>
      <c r="O13" s="113"/>
      <c r="P13" s="241">
        <v>0.3</v>
      </c>
      <c r="Q13" s="240">
        <v>5.05</v>
      </c>
      <c r="R13" s="241"/>
      <c r="S13" s="240"/>
      <c r="T13" s="113"/>
      <c r="U13" s="241">
        <v>0.03</v>
      </c>
      <c r="V13" s="240">
        <v>5.03</v>
      </c>
      <c r="W13" s="241"/>
      <c r="X13" s="240"/>
      <c r="Y13" s="113"/>
      <c r="Z13" s="241">
        <v>7.0000000000000007E-2</v>
      </c>
      <c r="AA13" s="240">
        <v>4.99</v>
      </c>
      <c r="AB13" s="241"/>
      <c r="AC13" s="240"/>
      <c r="AD13" s="113"/>
      <c r="AE13" s="260"/>
      <c r="AF13" s="259"/>
      <c r="AG13" s="114">
        <f>AE12</f>
        <v>0.6</v>
      </c>
      <c r="AH13" s="74" t="s">
        <v>332</v>
      </c>
      <c r="AI13" s="141"/>
      <c r="AJ13" s="163" t="s">
        <v>18</v>
      </c>
      <c r="AK13" s="19">
        <f>D72+D176+D48</f>
        <v>1.105</v>
      </c>
      <c r="AL13" s="19">
        <f>M72+M176+M48</f>
        <v>1.835</v>
      </c>
      <c r="AM13" s="19">
        <f>R24+R48+R72</f>
        <v>2.06</v>
      </c>
      <c r="AN13" s="19">
        <f>W24+W48+W72</f>
        <v>2.1675</v>
      </c>
      <c r="AO13" s="19">
        <f>AB24</f>
        <v>1.2</v>
      </c>
      <c r="AP13" s="241">
        <f>AG24</f>
        <v>0.02</v>
      </c>
      <c r="AQ13" s="163">
        <f t="shared" si="0"/>
        <v>1.6735</v>
      </c>
      <c r="AR13" s="111"/>
      <c r="AS13" s="111"/>
      <c r="AT13" s="111"/>
    </row>
    <row r="14" spans="1:49" s="25" customFormat="1" x14ac:dyDescent="0.25">
      <c r="A14" s="261"/>
      <c r="B14" s="260"/>
      <c r="C14" s="259"/>
      <c r="D14" s="240"/>
      <c r="E14" s="240"/>
      <c r="F14" s="113"/>
      <c r="G14" s="260"/>
      <c r="H14" s="259"/>
      <c r="I14" s="240"/>
      <c r="J14" s="113"/>
      <c r="K14" s="260"/>
      <c r="L14" s="259"/>
      <c r="M14" s="241"/>
      <c r="N14" s="240"/>
      <c r="O14" s="113"/>
      <c r="P14" s="241">
        <v>0.05</v>
      </c>
      <c r="Q14" s="240">
        <v>5.13</v>
      </c>
      <c r="R14" s="245"/>
      <c r="S14" s="16"/>
      <c r="T14" s="113"/>
      <c r="U14" s="241">
        <v>7.0000000000000007E-2</v>
      </c>
      <c r="V14" s="240">
        <v>5.09</v>
      </c>
      <c r="W14" s="245"/>
      <c r="X14" s="16"/>
      <c r="Y14" s="113"/>
      <c r="Z14" s="241">
        <v>0</v>
      </c>
      <c r="AA14" s="240">
        <v>5.05</v>
      </c>
      <c r="AB14" s="245"/>
      <c r="AC14" s="16"/>
      <c r="AD14" s="113"/>
      <c r="AE14" s="260">
        <v>0.41</v>
      </c>
      <c r="AF14" s="259">
        <v>5.19</v>
      </c>
      <c r="AG14" s="114">
        <f>AE14</f>
        <v>0.41</v>
      </c>
      <c r="AH14" s="149" t="s">
        <v>30</v>
      </c>
      <c r="AI14" s="141"/>
      <c r="AJ14" s="163" t="s">
        <v>60</v>
      </c>
      <c r="AK14" s="19">
        <f ca="1">D51+D81+D89+D114+D123+D162</f>
        <v>1.2555555555555555</v>
      </c>
      <c r="AL14" s="19">
        <f ca="1">M51+M81+M89+M114+M123+M162</f>
        <v>1.4255555555555555</v>
      </c>
      <c r="AM14" s="19">
        <f>R51+R81+R89</f>
        <v>1.1499999999999999</v>
      </c>
      <c r="AN14" s="19">
        <f>W51+W81+W89+W30</f>
        <v>1.99</v>
      </c>
      <c r="AO14" s="19">
        <f>AB30</f>
        <v>1.74</v>
      </c>
      <c r="AP14" s="241">
        <f>AG30</f>
        <v>0.12</v>
      </c>
      <c r="AQ14" s="163">
        <f t="shared" ca="1" si="0"/>
        <v>1.5122222222222221</v>
      </c>
      <c r="AR14" s="171">
        <f ca="1">SUM(AQ11:AQ14)</f>
        <v>7.7551666666666668</v>
      </c>
      <c r="AS14" s="169" t="s">
        <v>296</v>
      </c>
      <c r="AT14" s="111"/>
    </row>
    <row r="15" spans="1:49" s="25" customFormat="1" x14ac:dyDescent="0.25">
      <c r="A15" s="261">
        <v>7</v>
      </c>
      <c r="B15" s="260">
        <v>0.23</v>
      </c>
      <c r="C15" s="259">
        <v>5.3</v>
      </c>
      <c r="D15" s="240"/>
      <c r="E15" s="240"/>
      <c r="F15" s="113"/>
      <c r="G15" s="260">
        <v>0.32</v>
      </c>
      <c r="H15" s="259">
        <v>5.21</v>
      </c>
      <c r="I15" s="240"/>
      <c r="J15" s="113"/>
      <c r="K15" s="241">
        <v>0.2</v>
      </c>
      <c r="L15" s="240">
        <v>5.24</v>
      </c>
      <c r="M15" s="241"/>
      <c r="N15" s="240"/>
      <c r="O15" s="113"/>
      <c r="P15" s="241">
        <v>0.05</v>
      </c>
      <c r="Q15" s="240">
        <v>5.18</v>
      </c>
      <c r="R15" s="241"/>
      <c r="S15" s="240"/>
      <c r="T15" s="113"/>
      <c r="U15" s="241">
        <v>0.01</v>
      </c>
      <c r="V15" s="240">
        <v>5.15</v>
      </c>
      <c r="W15" s="241"/>
      <c r="X15" s="240"/>
      <c r="Y15" s="113"/>
      <c r="Z15" s="260">
        <v>3.41</v>
      </c>
      <c r="AA15" s="259">
        <v>5.22</v>
      </c>
      <c r="AB15" s="241"/>
      <c r="AC15" s="24"/>
      <c r="AD15" s="113"/>
      <c r="AE15" s="260"/>
      <c r="AF15" s="259"/>
      <c r="AG15" s="114"/>
      <c r="AH15" s="114"/>
      <c r="AI15" s="141"/>
      <c r="AJ15" s="164" t="s">
        <v>27</v>
      </c>
      <c r="AK15" s="19">
        <f>D49+D83+D103+D109+D110+D111+D135+D140+D155+D193+D200+D209+D218+D228</f>
        <v>5.915</v>
      </c>
      <c r="AL15" s="19">
        <f>M49+M83+M103+M109+M110+M111+M135+M140+M155+M193+M200+M209+M218+M228</f>
        <v>5.0966666666666685</v>
      </c>
      <c r="AM15" s="19">
        <f>R49+R83+R109+R110+R111</f>
        <v>3.9400000000000004</v>
      </c>
      <c r="AN15" s="19">
        <f>W49+W83+W109+W110+W111</f>
        <v>4.4150000000000009</v>
      </c>
      <c r="AO15" s="19">
        <f>AB25</f>
        <v>4.1700000000000008</v>
      </c>
      <c r="AP15" s="241">
        <f>AG25</f>
        <v>0.08</v>
      </c>
      <c r="AQ15" s="164">
        <f t="shared" si="0"/>
        <v>4.7073333333333336</v>
      </c>
      <c r="AR15" s="111"/>
      <c r="AS15" s="111"/>
      <c r="AT15" s="111"/>
    </row>
    <row r="16" spans="1:49" s="25" customFormat="1" x14ac:dyDescent="0.25">
      <c r="A16" s="261"/>
      <c r="B16" s="260"/>
      <c r="C16" s="259"/>
      <c r="D16" s="240">
        <f>R16</f>
        <v>0.14000000000000001</v>
      </c>
      <c r="E16" s="10" t="s">
        <v>31</v>
      </c>
      <c r="F16" s="113"/>
      <c r="G16" s="260"/>
      <c r="H16" s="259"/>
      <c r="I16" s="240"/>
      <c r="J16" s="113"/>
      <c r="K16" s="241">
        <v>0.02</v>
      </c>
      <c r="L16" s="240">
        <v>5.29</v>
      </c>
      <c r="M16" s="241">
        <f>K15+K16</f>
        <v>0.22</v>
      </c>
      <c r="N16" s="10" t="s">
        <v>31</v>
      </c>
      <c r="O16" s="113"/>
      <c r="P16" s="241">
        <v>0.14000000000000001</v>
      </c>
      <c r="Q16" s="240">
        <v>5.24</v>
      </c>
      <c r="R16" s="241">
        <f>P16</f>
        <v>0.14000000000000001</v>
      </c>
      <c r="S16" s="10" t="s">
        <v>31</v>
      </c>
      <c r="T16" s="113"/>
      <c r="U16" s="241">
        <v>0.14000000000000001</v>
      </c>
      <c r="V16" s="240">
        <v>5.25</v>
      </c>
      <c r="W16" s="241">
        <f>U16</f>
        <v>0.14000000000000001</v>
      </c>
      <c r="X16" s="10" t="s">
        <v>31</v>
      </c>
      <c r="Y16" s="113"/>
      <c r="Z16" s="260"/>
      <c r="AA16" s="259"/>
      <c r="AB16" s="241">
        <v>0.56999999999999995</v>
      </c>
      <c r="AC16" s="10" t="s">
        <v>31</v>
      </c>
      <c r="AD16" s="113"/>
      <c r="AE16" s="260"/>
      <c r="AF16" s="259"/>
      <c r="AG16" s="114"/>
      <c r="AH16" s="114"/>
      <c r="AI16" s="141"/>
      <c r="AJ16" s="164" t="s">
        <v>61</v>
      </c>
      <c r="AK16" s="19">
        <f ca="1">D84+D126+D164+D190</f>
        <v>1.5355555555555556</v>
      </c>
      <c r="AL16" s="19">
        <f ca="1">M84+M126+M164+M190</f>
        <v>1.3255555555555554</v>
      </c>
      <c r="AM16" s="19">
        <f>R84+R119+R103</f>
        <v>0.8550000000000002</v>
      </c>
      <c r="AN16" s="19">
        <f>W84+W119+W103+W31</f>
        <v>1.21</v>
      </c>
      <c r="AO16" s="19">
        <f>AB31</f>
        <v>1.74</v>
      </c>
      <c r="AP16" s="241">
        <f>AG31</f>
        <v>0.21499999999999997</v>
      </c>
      <c r="AQ16" s="164">
        <f t="shared" ca="1" si="0"/>
        <v>1.2932222222222223</v>
      </c>
      <c r="AR16" s="111"/>
      <c r="AS16" s="111"/>
      <c r="AT16" s="111"/>
    </row>
    <row r="17" spans="1:46" s="25" customFormat="1" x14ac:dyDescent="0.25">
      <c r="A17" s="261"/>
      <c r="B17" s="260"/>
      <c r="C17" s="259"/>
      <c r="D17" s="241">
        <f>B15-D16</f>
        <v>0.09</v>
      </c>
      <c r="E17" s="7" t="s">
        <v>29</v>
      </c>
      <c r="F17" s="115"/>
      <c r="G17" s="260"/>
      <c r="H17" s="259"/>
      <c r="I17" s="240"/>
      <c r="J17" s="115"/>
      <c r="K17" s="260">
        <v>0.02</v>
      </c>
      <c r="L17" s="259">
        <v>5.31</v>
      </c>
      <c r="M17" s="241">
        <f>K17</f>
        <v>0.02</v>
      </c>
      <c r="N17" s="7" t="s">
        <v>29</v>
      </c>
      <c r="O17" s="115"/>
      <c r="P17" s="260">
        <v>0.27</v>
      </c>
      <c r="Q17" s="259">
        <v>5.32</v>
      </c>
      <c r="R17" s="241">
        <f>P17</f>
        <v>0.27</v>
      </c>
      <c r="S17" s="7" t="s">
        <v>29</v>
      </c>
      <c r="T17" s="115"/>
      <c r="U17" s="241">
        <v>0.1</v>
      </c>
      <c r="V17" s="240">
        <v>5.28</v>
      </c>
      <c r="W17" s="241">
        <f>U17+U18</f>
        <v>0.32</v>
      </c>
      <c r="X17" s="7" t="s">
        <v>29</v>
      </c>
      <c r="Y17" s="115"/>
      <c r="Z17" s="260"/>
      <c r="AA17" s="259"/>
      <c r="AB17" s="241">
        <f>Z20+Z15-AB16-AB22</f>
        <v>2.84</v>
      </c>
      <c r="AC17" s="7" t="s">
        <v>29</v>
      </c>
      <c r="AD17" s="115"/>
      <c r="AE17" s="260"/>
      <c r="AF17" s="259"/>
      <c r="AG17" s="114"/>
      <c r="AH17" s="114"/>
      <c r="AI17" s="141"/>
      <c r="AJ17" s="164" t="s">
        <v>21</v>
      </c>
      <c r="AK17" s="19">
        <f>D94+D149</f>
        <v>0.10250000000000001</v>
      </c>
      <c r="AL17" s="19">
        <f>M94+M149</f>
        <v>0.26249999999999996</v>
      </c>
      <c r="AM17" s="19">
        <f>R64+R118</f>
        <v>0.22</v>
      </c>
      <c r="AN17" s="19">
        <f>W64+W118+W27</f>
        <v>0.22</v>
      </c>
      <c r="AO17" s="19">
        <f>AB27</f>
        <v>0.13</v>
      </c>
      <c r="AP17" s="241"/>
      <c r="AQ17" s="164">
        <f t="shared" ref="AQ17:AQ22" si="1">AVERAGE(AK17:AO17)</f>
        <v>0.187</v>
      </c>
      <c r="AR17" s="111"/>
      <c r="AS17" s="111"/>
      <c r="AT17" s="111"/>
    </row>
    <row r="18" spans="1:46" s="25" customFormat="1" x14ac:dyDescent="0.25">
      <c r="A18" s="261"/>
      <c r="B18" s="260"/>
      <c r="C18" s="259"/>
      <c r="D18" s="240"/>
      <c r="E18" s="24"/>
      <c r="F18" s="113"/>
      <c r="G18" s="260"/>
      <c r="H18" s="259"/>
      <c r="I18" s="240"/>
      <c r="J18" s="113"/>
      <c r="K18" s="260"/>
      <c r="L18" s="259"/>
      <c r="M18" s="241"/>
      <c r="N18" s="24"/>
      <c r="O18" s="113"/>
      <c r="P18" s="260"/>
      <c r="Q18" s="259"/>
      <c r="R18" s="241"/>
      <c r="S18" s="240"/>
      <c r="T18" s="113"/>
      <c r="U18" s="260">
        <v>0.22</v>
      </c>
      <c r="V18" s="259">
        <v>5.32</v>
      </c>
      <c r="W18" s="241"/>
      <c r="X18" s="240"/>
      <c r="Y18" s="113"/>
      <c r="Z18" s="260"/>
      <c r="AA18" s="259"/>
      <c r="AB18" s="241"/>
      <c r="AC18" s="240"/>
      <c r="AD18" s="113"/>
      <c r="AE18" s="260">
        <v>0.02</v>
      </c>
      <c r="AF18" s="259">
        <v>5.37</v>
      </c>
      <c r="AG18" s="114"/>
      <c r="AH18" s="114"/>
      <c r="AI18" s="141"/>
      <c r="AJ18" s="164" t="s">
        <v>101</v>
      </c>
      <c r="AK18" s="19">
        <f>D131+D202</f>
        <v>0.92999999999999994</v>
      </c>
      <c r="AL18" s="19">
        <f>M131+M202</f>
        <v>0.93666666666666665</v>
      </c>
      <c r="AM18" s="19">
        <f>R131</f>
        <v>0.83</v>
      </c>
      <c r="AN18" s="19">
        <f>W131</f>
        <v>0.83</v>
      </c>
      <c r="AO18" s="19">
        <f>AB44</f>
        <v>0.86</v>
      </c>
      <c r="AP18" s="241">
        <f>AG44</f>
        <v>0.27833333333333332</v>
      </c>
      <c r="AQ18" s="164">
        <f t="shared" si="1"/>
        <v>0.8773333333333333</v>
      </c>
      <c r="AR18" s="172">
        <f ca="1">SUM(AQ15:AQ18)</f>
        <v>7.0328888888888885</v>
      </c>
      <c r="AS18" s="169" t="s">
        <v>295</v>
      </c>
      <c r="AT18" s="111"/>
    </row>
    <row r="19" spans="1:46" s="25" customFormat="1" x14ac:dyDescent="0.25">
      <c r="A19" s="261"/>
      <c r="B19" s="260"/>
      <c r="C19" s="259"/>
      <c r="D19" s="240"/>
      <c r="E19" s="240"/>
      <c r="F19" s="113"/>
      <c r="G19" s="260"/>
      <c r="H19" s="259"/>
      <c r="I19" s="240"/>
      <c r="J19" s="113"/>
      <c r="K19" s="260"/>
      <c r="L19" s="259"/>
      <c r="M19" s="241"/>
      <c r="N19" s="240"/>
      <c r="O19" s="113"/>
      <c r="P19" s="260"/>
      <c r="Q19" s="259"/>
      <c r="R19" s="241"/>
      <c r="S19" s="240"/>
      <c r="T19" s="113"/>
      <c r="U19" s="260"/>
      <c r="V19" s="259"/>
      <c r="W19" s="241"/>
      <c r="X19" s="240"/>
      <c r="Y19" s="113"/>
      <c r="Z19" s="260"/>
      <c r="AA19" s="259"/>
      <c r="AB19" s="241"/>
      <c r="AC19" s="240"/>
      <c r="AD19" s="113"/>
      <c r="AE19" s="260"/>
      <c r="AF19" s="259"/>
      <c r="AG19" s="114"/>
      <c r="AH19" s="114"/>
      <c r="AI19" s="141"/>
      <c r="AJ19" s="165" t="s">
        <v>22</v>
      </c>
      <c r="AK19" s="19">
        <f>D98+D145+D182</f>
        <v>0.27</v>
      </c>
      <c r="AL19" s="19">
        <f>M98+M145+M182+M75</f>
        <v>0.2</v>
      </c>
      <c r="AM19" s="19">
        <f>R44+R145+R75+R148</f>
        <v>0.43</v>
      </c>
      <c r="AN19" s="19">
        <f>W44+W145+W75+W148</f>
        <v>0.43000000000000005</v>
      </c>
      <c r="AO19" s="19">
        <f>AB47</f>
        <v>0.33</v>
      </c>
      <c r="AP19" s="26"/>
      <c r="AQ19" s="165">
        <f t="shared" si="1"/>
        <v>0.33200000000000002</v>
      </c>
      <c r="AR19" s="111"/>
      <c r="AS19" s="111"/>
      <c r="AT19" s="111"/>
    </row>
    <row r="20" spans="1:46" s="25" customFormat="1" x14ac:dyDescent="0.25">
      <c r="A20" s="261">
        <v>8</v>
      </c>
      <c r="B20" s="260">
        <v>12.15</v>
      </c>
      <c r="C20" s="259">
        <v>5.62</v>
      </c>
      <c r="D20" s="240"/>
      <c r="E20" s="8"/>
      <c r="F20" s="113"/>
      <c r="G20" s="260">
        <v>14.3</v>
      </c>
      <c r="H20" s="259">
        <v>5.48</v>
      </c>
      <c r="I20" s="240"/>
      <c r="J20" s="113"/>
      <c r="K20" s="260">
        <v>0.01</v>
      </c>
      <c r="L20" s="259">
        <v>5.46</v>
      </c>
      <c r="M20" s="241"/>
      <c r="N20" s="8"/>
      <c r="O20" s="113"/>
      <c r="P20" s="260">
        <v>0.03</v>
      </c>
      <c r="Q20" s="259">
        <v>5.42</v>
      </c>
      <c r="R20" s="241"/>
      <c r="S20" s="240"/>
      <c r="T20" s="113"/>
      <c r="U20" s="241">
        <v>0.02</v>
      </c>
      <c r="V20" s="240">
        <v>5.4</v>
      </c>
      <c r="W20" s="241"/>
      <c r="X20" s="240"/>
      <c r="Y20" s="113"/>
      <c r="Z20" s="260">
        <v>10.58</v>
      </c>
      <c r="AA20" s="259">
        <v>5.47</v>
      </c>
      <c r="AB20" s="24"/>
      <c r="AC20" s="24"/>
      <c r="AD20" s="113"/>
      <c r="AE20" s="241">
        <v>0.02</v>
      </c>
      <c r="AF20" s="240">
        <v>5.45</v>
      </c>
      <c r="AG20" s="114"/>
      <c r="AH20" s="114"/>
      <c r="AI20" s="141"/>
      <c r="AJ20" s="165" t="s">
        <v>63</v>
      </c>
      <c r="AK20" s="19">
        <f>D54+D183</f>
        <v>0.63500000000000001</v>
      </c>
      <c r="AL20" s="19">
        <f>M54+M183</f>
        <v>0.67500000000000004</v>
      </c>
      <c r="AM20" s="19">
        <f>R54+R183</f>
        <v>0.45500000000000002</v>
      </c>
      <c r="AN20" s="19">
        <f>W54+W183</f>
        <v>0.45500000000000002</v>
      </c>
      <c r="AO20" s="19">
        <f>AB54</f>
        <v>0.45</v>
      </c>
      <c r="AP20" s="26">
        <f>AG54</f>
        <v>0.15</v>
      </c>
      <c r="AQ20" s="165">
        <f t="shared" si="1"/>
        <v>0.53400000000000003</v>
      </c>
      <c r="AR20" s="111"/>
      <c r="AS20" s="111"/>
      <c r="AT20" s="111"/>
    </row>
    <row r="21" spans="1:46" s="25" customFormat="1" x14ac:dyDescent="0.25">
      <c r="A21" s="261"/>
      <c r="B21" s="260"/>
      <c r="C21" s="259"/>
      <c r="D21" s="240"/>
      <c r="E21" s="241"/>
      <c r="F21" s="113"/>
      <c r="G21" s="260"/>
      <c r="H21" s="259"/>
      <c r="I21" s="240"/>
      <c r="J21" s="113"/>
      <c r="K21" s="260"/>
      <c r="L21" s="259"/>
      <c r="M21" s="241"/>
      <c r="N21" s="241"/>
      <c r="O21" s="113"/>
      <c r="P21" s="260"/>
      <c r="Q21" s="259"/>
      <c r="R21" s="241"/>
      <c r="S21" s="8"/>
      <c r="T21" s="113"/>
      <c r="U21" s="241">
        <v>0.01</v>
      </c>
      <c r="V21" s="240">
        <v>5.44</v>
      </c>
      <c r="W21" s="241"/>
      <c r="X21" s="8"/>
      <c r="Y21" s="113"/>
      <c r="Z21" s="260"/>
      <c r="AA21" s="259"/>
      <c r="AB21" s="24"/>
      <c r="AC21" s="24"/>
      <c r="AD21" s="113"/>
      <c r="AE21" s="241">
        <v>0.02</v>
      </c>
      <c r="AF21" s="240">
        <v>5.49</v>
      </c>
      <c r="AG21" s="114">
        <v>3.6</v>
      </c>
      <c r="AH21" s="74" t="s">
        <v>335</v>
      </c>
      <c r="AI21" s="141"/>
      <c r="AJ21" s="165" t="s">
        <v>39</v>
      </c>
      <c r="AK21" s="19">
        <f>D86+D184</f>
        <v>0.15</v>
      </c>
      <c r="AL21" s="19">
        <f>M86+M184</f>
        <v>0.15</v>
      </c>
      <c r="AM21" s="19">
        <f>R50+R86+R184</f>
        <v>0.15</v>
      </c>
      <c r="AN21" s="19">
        <f>W50+W86+W184</f>
        <v>0.15</v>
      </c>
      <c r="AO21" s="19">
        <f>AB50</f>
        <v>0.15</v>
      </c>
      <c r="AP21" s="26"/>
      <c r="AQ21" s="165">
        <f t="shared" si="1"/>
        <v>0.15</v>
      </c>
      <c r="AR21" s="111"/>
      <c r="AS21" s="111"/>
      <c r="AT21" s="111"/>
    </row>
    <row r="22" spans="1:46" s="25" customFormat="1" x14ac:dyDescent="0.25">
      <c r="A22" s="261"/>
      <c r="B22" s="260"/>
      <c r="C22" s="259"/>
      <c r="D22" s="240">
        <f>B20</f>
        <v>12.15</v>
      </c>
      <c r="E22" s="54" t="s">
        <v>34</v>
      </c>
      <c r="F22" s="113"/>
      <c r="G22" s="260"/>
      <c r="H22" s="259"/>
      <c r="I22" s="240"/>
      <c r="J22" s="113"/>
      <c r="K22" s="241">
        <v>10.51</v>
      </c>
      <c r="L22" s="240">
        <v>5.56</v>
      </c>
      <c r="M22" s="241">
        <f>K22</f>
        <v>10.51</v>
      </c>
      <c r="N22" s="54" t="s">
        <v>34</v>
      </c>
      <c r="O22" s="113"/>
      <c r="P22" s="241">
        <v>12.5</v>
      </c>
      <c r="Q22" s="240">
        <v>5.58</v>
      </c>
      <c r="R22" s="241">
        <f>P22</f>
        <v>12.5</v>
      </c>
      <c r="S22" s="54" t="s">
        <v>34</v>
      </c>
      <c r="T22" s="113"/>
      <c r="U22" s="241">
        <v>11.4</v>
      </c>
      <c r="V22" s="240">
        <v>5.59</v>
      </c>
      <c r="W22" s="241">
        <f>U22+U23-W23-W24-W26+U27</f>
        <v>10.430000000000001</v>
      </c>
      <c r="X22" s="54" t="s">
        <v>34</v>
      </c>
      <c r="Y22" s="113"/>
      <c r="Z22" s="260"/>
      <c r="AA22" s="259"/>
      <c r="AB22" s="241">
        <f>Z20</f>
        <v>10.58</v>
      </c>
      <c r="AC22" s="54" t="s">
        <v>34</v>
      </c>
      <c r="AD22" s="113"/>
      <c r="AE22" s="241">
        <v>10.31</v>
      </c>
      <c r="AF22" s="240">
        <v>5.62</v>
      </c>
      <c r="AG22" s="114">
        <f>AE22-AG21-AG29</f>
        <v>6.0100000000000007</v>
      </c>
      <c r="AH22" s="54" t="s">
        <v>34</v>
      </c>
      <c r="AI22" s="141"/>
      <c r="AJ22" s="165" t="s">
        <v>98</v>
      </c>
      <c r="AK22" s="19">
        <f>D69+D136</f>
        <v>0.56999999999999995</v>
      </c>
      <c r="AL22" s="19">
        <f>M69+M136</f>
        <v>0.56999999999999995</v>
      </c>
      <c r="AM22" s="19">
        <f>R69+R105</f>
        <v>0.86</v>
      </c>
      <c r="AN22" s="19">
        <f>W74+W105</f>
        <v>0.86</v>
      </c>
      <c r="AO22" s="19">
        <f>AB74</f>
        <v>0.56999999999999995</v>
      </c>
      <c r="AP22" s="26">
        <f>AG74</f>
        <v>0.10250000000000001</v>
      </c>
      <c r="AQ22" s="165">
        <f t="shared" si="1"/>
        <v>0.68599999999999994</v>
      </c>
      <c r="AR22" s="173">
        <f>SUM(AQ19:AQ22)</f>
        <v>1.702</v>
      </c>
      <c r="AS22" s="169" t="s">
        <v>294</v>
      </c>
      <c r="AT22" s="111"/>
    </row>
    <row r="23" spans="1:46" s="25" customFormat="1" x14ac:dyDescent="0.25">
      <c r="A23" s="261">
        <v>9</v>
      </c>
      <c r="B23" s="260">
        <v>0.67</v>
      </c>
      <c r="C23" s="259">
        <v>5.83</v>
      </c>
      <c r="D23" s="241">
        <f>R23</f>
        <v>0.17</v>
      </c>
      <c r="E23" s="10" t="s">
        <v>59</v>
      </c>
      <c r="F23" s="113"/>
      <c r="G23" s="260">
        <v>0.97</v>
      </c>
      <c r="H23" s="259">
        <v>5.67</v>
      </c>
      <c r="I23" s="240"/>
      <c r="J23" s="113"/>
      <c r="K23" s="260">
        <v>0.45</v>
      </c>
      <c r="L23" s="259">
        <v>5.75</v>
      </c>
      <c r="M23" s="241">
        <f>D23</f>
        <v>0.17</v>
      </c>
      <c r="N23" s="10" t="s">
        <v>59</v>
      </c>
      <c r="O23" s="113"/>
      <c r="P23" s="260">
        <v>0.65</v>
      </c>
      <c r="Q23" s="259">
        <v>5.8</v>
      </c>
      <c r="R23" s="241">
        <f>P28</f>
        <v>0.17</v>
      </c>
      <c r="S23" s="10" t="s">
        <v>59</v>
      </c>
      <c r="T23" s="113"/>
      <c r="U23" s="260">
        <v>1.05</v>
      </c>
      <c r="V23" s="259">
        <v>5.79</v>
      </c>
      <c r="W23" s="241">
        <f>U29</f>
        <v>0.02</v>
      </c>
      <c r="X23" s="10" t="s">
        <v>59</v>
      </c>
      <c r="Y23" s="113"/>
      <c r="Z23" s="260">
        <v>8.39</v>
      </c>
      <c r="AA23" s="259">
        <v>5.68</v>
      </c>
      <c r="AB23" s="26">
        <v>0.32</v>
      </c>
      <c r="AC23" s="10" t="s">
        <v>59</v>
      </c>
      <c r="AD23" s="113"/>
      <c r="AE23" s="260">
        <v>0.15</v>
      </c>
      <c r="AF23" s="259">
        <v>5.77</v>
      </c>
      <c r="AG23" s="114">
        <v>0.01</v>
      </c>
      <c r="AH23" s="10" t="s">
        <v>59</v>
      </c>
      <c r="AI23" s="141"/>
      <c r="AJ23" s="166" t="s">
        <v>182</v>
      </c>
      <c r="AK23" s="19">
        <f>D230+D226+D210+D205+D203+D153</f>
        <v>3.0900000000000003</v>
      </c>
      <c r="AL23" s="19">
        <f>M230+M226+M210+M205+M203+M153+M175</f>
        <v>2.4400000000000004</v>
      </c>
      <c r="AM23" s="19">
        <f>R168+R210+R153+R136+R175+R88+R226</f>
        <v>2.74</v>
      </c>
      <c r="AN23" s="19">
        <f>W136+W210+W146+W144+W88+W149+W175</f>
        <v>2.9</v>
      </c>
      <c r="AO23" s="19">
        <f>AB88+AB90+AB118+AB136+AB166</f>
        <v>2.3200000000000003</v>
      </c>
      <c r="AP23" s="213"/>
      <c r="AQ23" s="166">
        <f>AVERAGE(AK23:AO23)</f>
        <v>2.6980000000000004</v>
      </c>
      <c r="AR23" s="111"/>
      <c r="AS23" s="111"/>
      <c r="AT23" s="111"/>
    </row>
    <row r="24" spans="1:46" s="25" customFormat="1" x14ac:dyDescent="0.25">
      <c r="A24" s="261"/>
      <c r="B24" s="260"/>
      <c r="C24" s="259"/>
      <c r="D24" s="240"/>
      <c r="E24" s="240"/>
      <c r="F24" s="113"/>
      <c r="G24" s="260"/>
      <c r="H24" s="259"/>
      <c r="I24" s="240"/>
      <c r="J24" s="113"/>
      <c r="K24" s="260"/>
      <c r="L24" s="259"/>
      <c r="M24" s="24"/>
      <c r="N24" s="24"/>
      <c r="O24" s="113"/>
      <c r="P24" s="260"/>
      <c r="Q24" s="259"/>
      <c r="R24" s="241">
        <f>P23</f>
        <v>0.65</v>
      </c>
      <c r="S24" s="58" t="s">
        <v>18</v>
      </c>
      <c r="T24" s="113"/>
      <c r="U24" s="260"/>
      <c r="V24" s="259"/>
      <c r="W24" s="245">
        <v>2</v>
      </c>
      <c r="X24" s="58" t="s">
        <v>18</v>
      </c>
      <c r="Y24" s="113"/>
      <c r="Z24" s="260"/>
      <c r="AA24" s="259"/>
      <c r="AB24" s="241">
        <v>1.2</v>
      </c>
      <c r="AC24" s="58" t="s">
        <v>18</v>
      </c>
      <c r="AD24" s="113"/>
      <c r="AE24" s="260"/>
      <c r="AF24" s="259"/>
      <c r="AG24" s="245">
        <v>0.02</v>
      </c>
      <c r="AH24" s="58" t="s">
        <v>18</v>
      </c>
      <c r="AI24" s="141"/>
      <c r="AJ24" s="159" t="s">
        <v>183</v>
      </c>
      <c r="AK24" s="16">
        <f ca="1">D34+D32+D41+D42+D55+D53+D71+D70+D80+D85+D82+D95+D101+D112+D121+D122+D125+D127+D117+D120+D128+D124+D133+D134+D138+D139+D142+D143+D144+D147+D150+D151+D156+D154+D159+D161+D163+D181+D178+D192+D201+D206+D207+D220+D221+D233+D108</f>
        <v>9.0672222222222221</v>
      </c>
      <c r="AL24" s="19">
        <f ca="1">M34+M32+M41+M42+M55+M53+M71+M70+M80+M85+M82+M95+M101+M112+M121+M122+M125+M127+M117+M120+M128+M124+M133+M134+M138+M139+M142+M143+M144+M147+M150+M151+M156+M154+M159+M161+M163+M181+M178+M192+M201+M206+M207+M221+M233+M108+M180</f>
        <v>9.7433333333333341</v>
      </c>
      <c r="AM24" s="19">
        <f>R34+R32+R55+R53+R59+R73+R71+R70+R80+R85+R82+R94+R95+R96+R101+R108+R112+R121+R122+R125+R127+R117+R134+R140+R139+R142+R147+R159+R161+R163+R191+R41+R42+R180+R187+R221+R137</f>
        <v>8.7816666666666663</v>
      </c>
      <c r="AN24" s="19">
        <f>W34+W32+W55+W53+W59+W73+W71+W70+W80+W85+W82+W94+W95+W96+W101+W108+W112+W121+W122+W125+W127+W117+W134+W140+W139+W142+W147+W159+W161+W163+W191+W41+W42+W180+W113+W187+W137</f>
        <v>10.090833333333336</v>
      </c>
      <c r="AO24" s="19">
        <f>AB34+AB32+AB45+AB55+AB53+AB59+AB73+AB71+AB70+AB85+AB82+AB113+AB112+AB122+AB125+AB117+AB139+AB142+AB42+AB41+AB116+AB126+AB134+AB147+AB163+AB187+AB121+AB137</f>
        <v>9.5733333333333341</v>
      </c>
      <c r="AP24" s="204">
        <f>AG32+AG34+AG41+AG42+AG53+AG59+AG70+AG73+AG71+AG82+AG85+AG112+AG113+AG121+AG116+AG117+AG122+AG125+AG126+AG134+AG139+AG142+AG147+AG166+AG163+AG187+AG21+AG75+AG29+AG79+AG137</f>
        <v>10.314166666666667</v>
      </c>
      <c r="AQ24" s="159">
        <f ca="1">AVERAGE(AK24:AP24)</f>
        <v>9.4280092592592606</v>
      </c>
      <c r="AR24" s="111"/>
      <c r="AS24" s="111"/>
      <c r="AT24" s="111"/>
    </row>
    <row r="25" spans="1:46" s="25" customFormat="1" x14ac:dyDescent="0.25">
      <c r="A25" s="261"/>
      <c r="B25" s="260"/>
      <c r="C25" s="259"/>
      <c r="D25" s="240"/>
      <c r="E25" s="240"/>
      <c r="F25" s="113"/>
      <c r="G25" s="260"/>
      <c r="H25" s="259"/>
      <c r="I25" s="240"/>
      <c r="J25" s="113"/>
      <c r="K25" s="260"/>
      <c r="L25" s="259"/>
      <c r="M25" s="241"/>
      <c r="N25" s="240"/>
      <c r="O25" s="113"/>
      <c r="P25" s="260"/>
      <c r="Q25" s="259"/>
      <c r="R25" s="24"/>
      <c r="S25" s="24"/>
      <c r="T25" s="113"/>
      <c r="U25" s="260"/>
      <c r="V25" s="259"/>
      <c r="W25" s="24"/>
      <c r="X25" s="24"/>
      <c r="Y25" s="113"/>
      <c r="Z25" s="260"/>
      <c r="AA25" s="259"/>
      <c r="AB25" s="241">
        <f>Z23-AB23-AB24-AB26-AB27</f>
        <v>4.1700000000000008</v>
      </c>
      <c r="AC25" s="249" t="s">
        <v>27</v>
      </c>
      <c r="AD25" s="113"/>
      <c r="AE25" s="260"/>
      <c r="AF25" s="259"/>
      <c r="AG25" s="245">
        <v>0.08</v>
      </c>
      <c r="AH25" s="249" t="s">
        <v>27</v>
      </c>
      <c r="AI25" s="141"/>
      <c r="AJ25" s="19" t="s">
        <v>34</v>
      </c>
      <c r="AK25" s="19">
        <f>D3+D11+D22+D39+D63+D92</f>
        <v>49.970000000000006</v>
      </c>
      <c r="AL25" s="19">
        <f>M3+M11+M22+M39+M63+M92</f>
        <v>49.469999999999992</v>
      </c>
      <c r="AM25" s="19">
        <f>R3+R11+R22+R39+R63+R92</f>
        <v>52.5</v>
      </c>
      <c r="AN25" s="19">
        <f>W3+W11+W22+W39+W63+W92</f>
        <v>50.39</v>
      </c>
      <c r="AO25" s="19">
        <f>AB3+AB11+AB22+AB39+AB63+AB92</f>
        <v>49.43666666666666</v>
      </c>
      <c r="AP25" s="241">
        <f>AG11+AG22+AG39+AG63+AG92+AG3</f>
        <v>40.885000000000005</v>
      </c>
    </row>
    <row r="26" spans="1:46" s="25" customFormat="1" x14ac:dyDescent="0.25">
      <c r="A26" s="261"/>
      <c r="B26" s="260"/>
      <c r="C26" s="259"/>
      <c r="D26" s="240">
        <f>B23-D23</f>
        <v>0.5</v>
      </c>
      <c r="E26" s="7" t="s">
        <v>58</v>
      </c>
      <c r="F26" s="113"/>
      <c r="G26" s="260"/>
      <c r="H26" s="259"/>
      <c r="I26" s="240"/>
      <c r="J26" s="113"/>
      <c r="K26" s="260"/>
      <c r="L26" s="259"/>
      <c r="M26" s="241">
        <f>K27+K23-M23</f>
        <v>0.32999999999999996</v>
      </c>
      <c r="N26" s="7" t="s">
        <v>58</v>
      </c>
      <c r="O26" s="113"/>
      <c r="P26" s="260"/>
      <c r="Q26" s="259"/>
      <c r="R26" s="241">
        <f>P27</f>
        <v>0.19</v>
      </c>
      <c r="S26" s="7" t="s">
        <v>58</v>
      </c>
      <c r="T26" s="113"/>
      <c r="U26" s="260"/>
      <c r="V26" s="259"/>
      <c r="W26" s="241">
        <f>U27</f>
        <v>0.08</v>
      </c>
      <c r="X26" s="7" t="s">
        <v>58</v>
      </c>
      <c r="Y26" s="113"/>
      <c r="Z26" s="260"/>
      <c r="AA26" s="259"/>
      <c r="AB26" s="241">
        <v>2.57</v>
      </c>
      <c r="AC26" s="7" t="s">
        <v>58</v>
      </c>
      <c r="AD26" s="113"/>
      <c r="AE26" s="260"/>
      <c r="AF26" s="259"/>
      <c r="AG26" s="114">
        <v>0.04</v>
      </c>
      <c r="AH26" s="7" t="s">
        <v>58</v>
      </c>
      <c r="AI26" s="141"/>
      <c r="AJ26" s="19" t="s">
        <v>33</v>
      </c>
      <c r="AK26" s="241">
        <f t="shared" ref="AK26:AO26" ca="1" si="2">SUM(AK5:AK25)</f>
        <v>98.38000000000001</v>
      </c>
      <c r="AL26" s="241">
        <f t="shared" ca="1" si="2"/>
        <v>98.46</v>
      </c>
      <c r="AM26" s="241">
        <f>SUM(AM5:AM25)</f>
        <v>98.35499999999999</v>
      </c>
      <c r="AN26" s="241">
        <f t="shared" si="2"/>
        <v>101.63666666666666</v>
      </c>
      <c r="AO26" s="241">
        <f t="shared" si="2"/>
        <v>97.889999999999986</v>
      </c>
      <c r="AP26" s="241">
        <f>SUM(AP5:AP25)</f>
        <v>97.16</v>
      </c>
    </row>
    <row r="27" spans="1:46" s="25" customFormat="1" x14ac:dyDescent="0.25">
      <c r="A27" s="261"/>
      <c r="B27" s="260"/>
      <c r="C27" s="259"/>
      <c r="D27" s="24"/>
      <c r="E27" s="24"/>
      <c r="F27" s="113"/>
      <c r="G27" s="260"/>
      <c r="H27" s="259"/>
      <c r="I27" s="240"/>
      <c r="J27" s="113"/>
      <c r="K27" s="260">
        <v>0.05</v>
      </c>
      <c r="L27" s="259">
        <v>5.86</v>
      </c>
      <c r="M27" s="24"/>
      <c r="N27" s="24"/>
      <c r="O27" s="113"/>
      <c r="P27" s="241">
        <v>0.19</v>
      </c>
      <c r="Q27" s="240">
        <v>5.88</v>
      </c>
      <c r="R27" s="24"/>
      <c r="S27" s="24"/>
      <c r="T27" s="113"/>
      <c r="U27" s="260">
        <v>0.08</v>
      </c>
      <c r="V27" s="259">
        <v>5.89</v>
      </c>
      <c r="W27" s="26">
        <f>R118-W118</f>
        <v>0.09</v>
      </c>
      <c r="X27" s="62" t="s">
        <v>21</v>
      </c>
      <c r="Y27" s="113"/>
      <c r="Z27" s="260"/>
      <c r="AA27" s="259"/>
      <c r="AB27" s="241">
        <v>0.13</v>
      </c>
      <c r="AC27" s="62" t="s">
        <v>21</v>
      </c>
      <c r="AD27" s="113"/>
      <c r="AE27" s="260">
        <v>0.12</v>
      </c>
      <c r="AF27" s="259">
        <v>5.92</v>
      </c>
      <c r="AG27" s="114"/>
      <c r="AH27" s="114"/>
      <c r="AI27" s="141"/>
      <c r="AJ27" s="17"/>
      <c r="AK27" s="1">
        <f ca="1">D237</f>
        <v>98.380000000000038</v>
      </c>
      <c r="AL27" s="1">
        <f ca="1">M237</f>
        <v>98.45999999999998</v>
      </c>
      <c r="AM27" s="1">
        <f>R237</f>
        <v>98.354999999999961</v>
      </c>
      <c r="AN27" s="1">
        <f>W237</f>
        <v>101.63666666666663</v>
      </c>
      <c r="AO27" s="1">
        <f>AB237</f>
        <v>97.890000000000029</v>
      </c>
      <c r="AP27" s="1">
        <f>AG237</f>
        <v>97.160000000000053</v>
      </c>
    </row>
    <row r="28" spans="1:46" s="25" customFormat="1" x14ac:dyDescent="0.25">
      <c r="A28" s="261"/>
      <c r="B28" s="260"/>
      <c r="C28" s="259"/>
      <c r="D28" s="24"/>
      <c r="E28" s="24"/>
      <c r="F28" s="113"/>
      <c r="G28" s="260"/>
      <c r="H28" s="259"/>
      <c r="I28" s="240"/>
      <c r="J28" s="113"/>
      <c r="K28" s="260"/>
      <c r="L28" s="259"/>
      <c r="M28" s="24"/>
      <c r="N28" s="24"/>
      <c r="O28" s="113"/>
      <c r="P28" s="260">
        <v>0.17</v>
      </c>
      <c r="Q28" s="259">
        <v>5.92</v>
      </c>
      <c r="R28" s="24"/>
      <c r="S28" s="24"/>
      <c r="T28" s="113"/>
      <c r="U28" s="260"/>
      <c r="V28" s="259"/>
      <c r="W28" s="24"/>
      <c r="X28" s="24"/>
      <c r="Y28" s="113"/>
      <c r="Z28" s="260"/>
      <c r="AA28" s="259"/>
      <c r="AB28" s="24"/>
      <c r="AC28" s="24"/>
      <c r="AD28" s="113"/>
      <c r="AE28" s="260"/>
      <c r="AF28" s="259"/>
      <c r="AG28" s="114"/>
      <c r="AH28" s="114"/>
      <c r="AI28" s="141"/>
      <c r="AJ28" s="3"/>
      <c r="AK28" s="1"/>
      <c r="AL28" s="1"/>
    </row>
    <row r="29" spans="1:46" s="25" customFormat="1" x14ac:dyDescent="0.25">
      <c r="A29" s="261"/>
      <c r="B29" s="260"/>
      <c r="C29" s="259"/>
      <c r="D29" s="24"/>
      <c r="E29" s="24"/>
      <c r="F29" s="113"/>
      <c r="G29" s="260"/>
      <c r="H29" s="259"/>
      <c r="I29" s="240"/>
      <c r="J29" s="113"/>
      <c r="K29" s="260"/>
      <c r="L29" s="259"/>
      <c r="M29" s="24"/>
      <c r="N29" s="24"/>
      <c r="O29" s="113"/>
      <c r="P29" s="260"/>
      <c r="Q29" s="259"/>
      <c r="R29" s="24"/>
      <c r="S29" s="24"/>
      <c r="T29" s="113"/>
      <c r="U29" s="241">
        <v>0.02</v>
      </c>
      <c r="V29" s="240">
        <v>5.96</v>
      </c>
      <c r="W29" s="24"/>
      <c r="X29" s="24"/>
      <c r="Y29" s="113"/>
      <c r="Z29" s="260"/>
      <c r="AA29" s="259"/>
      <c r="AB29" s="24"/>
      <c r="AC29" s="24"/>
      <c r="AD29" s="113"/>
      <c r="AE29" s="260"/>
      <c r="AF29" s="259"/>
      <c r="AG29" s="114">
        <v>0.7</v>
      </c>
      <c r="AH29" s="74" t="s">
        <v>362</v>
      </c>
      <c r="AI29" s="141"/>
      <c r="AJ29" s="185" t="s">
        <v>311</v>
      </c>
      <c r="AK29" s="19">
        <f ca="1">D10+D23+D26+D40+D51+D54+D71+D77+D70+D79+D81+D82+D84+D85+D89+D100+D101+D102+D107+D121+D119+D125+D123+D124+D126+D128+D131+D133+D134+D136+D139+D142+D143+D144+D147+D151+D152+D154+D159+D161+D162+D163+D164+D179+D183+D190+D202+D205+D220+D221+D233</f>
        <v>14.217499999999999</v>
      </c>
      <c r="AL29" s="19">
        <f ca="1">M10+M23+M26+M40+M51+M54+M71+M77+M70+M79+M81+M82+M84+M85+M89+M100+M101+M102+M107+M121+M119+M125+M123+M124+M126+M128+M131+M133+M134+M136+M139+M142+M143+M144+M147+M151+M152+M154+M159+M161+M162+M163+M164+M179+M183+M190+M202+M205+M220+M221+M233+M175+M180</f>
        <v>14.50277777777778</v>
      </c>
      <c r="AM29" s="19">
        <f>R10+R23+R26+R40+R51+R54+R71+R77+R70+R79+R81+R82+R84+R85+R89+R100+R101+R102+R107+R121+R119+R125+R124+R126+R128+R131+R133+R134+R137+R139+R142+R143+R144+R147+R151+R152+R154+R159+R158+R162+R163+R164+R179+R183+R202+R205+R220+R221+R233+R175+R180+R105+R140</f>
        <v>12.928333333333331</v>
      </c>
      <c r="AN29" s="19">
        <f>W10+W23+W26+W40+W51+W54+W71+W77+W70+W79+W81+W82+W84+W85+W89+W100+W101+W102+W107+W121+W119+W125+W123+W128+W131+W133+W134+W137+W139+W142+W143+W147+W151+W152+W149+W159+W158+W162+W163+W164+W179+W183+W187+W202+W205+W220+W221+W233+W175+W180+W105+W140+W113</f>
        <v>14.323333333333334</v>
      </c>
      <c r="AO29" s="19">
        <f>AB10+AB23+AB26+AB44+AB51+AB54+AB71+AB77+AB70+AB79+AB81+AB82+AB84+AB85+AB89+AB100+AB101+AB102+AB116+AB121+AB119+AB125+AB123+AB126+AB128+AB131+AB133+AB134+AB137+AB139+AB142+AB143+AB144+AB147+AB151+AB152+AB166+AB159+AB158+AB162+AB163+AB164+AB179+AB183+AB187+AB202+AB205+AB220+AB221+AB233+AB175+AB180+AB105+AB140+AB113+AB30+AB31+AB74</f>
        <v>13.99</v>
      </c>
      <c r="AP29" s="204">
        <f>AG23+AG10+AG26+AG30+AG31+AG44+AG46+AG54+AG70+AG73+AG71+AG74+AG79+AG82+AG85+AG113+AG121+AG116+AG125+AG126+AG134+AG139+AG142+AG147+AG166+AG187+AG13+AG75</f>
        <v>14.203333333333328</v>
      </c>
      <c r="AQ29" s="185">
        <f ca="1">AVERAGE(AK29:AP29)</f>
        <v>13.825046296296298</v>
      </c>
    </row>
    <row r="30" spans="1:46" s="25" customFormat="1" x14ac:dyDescent="0.25">
      <c r="A30" s="261">
        <v>10</v>
      </c>
      <c r="B30" s="260">
        <v>1.46</v>
      </c>
      <c r="C30" s="259">
        <v>6.17</v>
      </c>
      <c r="D30" s="24"/>
      <c r="E30" s="24"/>
      <c r="F30" s="113"/>
      <c r="G30" s="241">
        <v>0.19</v>
      </c>
      <c r="H30" s="240">
        <v>5.86</v>
      </c>
      <c r="I30" s="240"/>
      <c r="J30" s="113"/>
      <c r="K30" s="241">
        <v>0.01</v>
      </c>
      <c r="L30" s="240">
        <v>5.95</v>
      </c>
      <c r="M30" s="24"/>
      <c r="N30" s="24"/>
      <c r="O30" s="113"/>
      <c r="P30" s="241">
        <v>1.48</v>
      </c>
      <c r="Q30" s="240">
        <v>6.14</v>
      </c>
      <c r="R30" s="24"/>
      <c r="S30" s="24"/>
      <c r="T30" s="113"/>
      <c r="U30" s="260">
        <v>2.58</v>
      </c>
      <c r="V30" s="259">
        <v>6.17</v>
      </c>
      <c r="W30" s="26">
        <v>0.22</v>
      </c>
      <c r="X30" s="9" t="s">
        <v>60</v>
      </c>
      <c r="Y30" s="113"/>
      <c r="Z30" s="260">
        <v>8.11</v>
      </c>
      <c r="AA30" s="259">
        <v>6.06</v>
      </c>
      <c r="AB30" s="241">
        <v>1.74</v>
      </c>
      <c r="AC30" s="58" t="s">
        <v>60</v>
      </c>
      <c r="AD30" s="113"/>
      <c r="AE30" s="260"/>
      <c r="AF30" s="259"/>
      <c r="AG30" s="114">
        <f>AE27</f>
        <v>0.12</v>
      </c>
      <c r="AH30" s="58" t="s">
        <v>60</v>
      </c>
      <c r="AI30" s="141"/>
      <c r="AJ30" s="186" t="s">
        <v>312</v>
      </c>
      <c r="AK30" s="19">
        <f ca="1">D16+D23+D32+D33+D40+D41+D48+D51+D53+D70+D72+D81+D82+D86+D89+D121+D117+D123+D124+D131+D136+D139+D147+D149+D159+D162+D163+D176+D184+D202+D203+D221</f>
        <v>8.1347222222222229</v>
      </c>
      <c r="AL30" s="19">
        <f ca="1">M16+M23+M32+M33+M40+M41+M48+M51+M53+M70+M72+M81+M82+M86+M89+M121+M117+M123+M124+M131+M136+M139+M147+M149+M159+M162+M163+M176+M184+M202+M203+M221</f>
        <v>9.0269444444444442</v>
      </c>
      <c r="AM30" s="19">
        <f>R16+R23+R32+R33+R40+R41+R48+R51+R53+R70+R72+R81+R82+R86+R89+R121+R117+R124+R131+R137+R139+R147+R149+R159+R162+R163+R176+R184+R202+R203+R221+R24+R105+R118+R168</f>
        <v>10.121666666666668</v>
      </c>
      <c r="AN30" s="19">
        <f>W16+W23+W32+W33+W40+W41+W48+W51+W53+W70+W72+W81+W82+W86+W89+W121+W117+W123+W131+W144+W139+W147+W159+W162+W163+W176+W184+W202+W203+W221+W24+W105+W118+W168+W113+W187</f>
        <v>8.9516666666666662</v>
      </c>
      <c r="AO30" s="19">
        <f>AB16+AB23+AB32+AB33+AB40+AB41+AB48+AB50+AB53+AB70+AB74+AB81+AB82+AB86+AB89+AB121+AB126+AB123+AB131+AB90+AB139+AB147+AB149+AB159+AB162+AB163+AB176+AB184+AB202+AB203+AB221+AB24+AB105+AB117+AB168+AB113+AB187+AB27+AB30+AB44</f>
        <v>7.4783333333333326</v>
      </c>
      <c r="AP30" s="19"/>
      <c r="AQ30" s="186">
        <f ca="1">AVERAGE(AK30:AP30)</f>
        <v>8.5416666666666679</v>
      </c>
    </row>
    <row r="31" spans="1:46" s="25" customFormat="1" x14ac:dyDescent="0.25">
      <c r="A31" s="261"/>
      <c r="B31" s="260"/>
      <c r="C31" s="259"/>
      <c r="D31" s="24"/>
      <c r="E31" s="24"/>
      <c r="F31" s="113"/>
      <c r="G31" s="260">
        <v>0.6</v>
      </c>
      <c r="H31" s="259">
        <v>6.05</v>
      </c>
      <c r="I31" s="240"/>
      <c r="J31" s="113"/>
      <c r="K31" s="260">
        <v>0.02</v>
      </c>
      <c r="L31" s="259">
        <v>6.01</v>
      </c>
      <c r="M31" s="24"/>
      <c r="N31" s="24"/>
      <c r="O31" s="113"/>
      <c r="P31" s="260">
        <v>0.24</v>
      </c>
      <c r="Q31" s="259">
        <v>6.21</v>
      </c>
      <c r="R31" s="24"/>
      <c r="S31" s="24"/>
      <c r="T31" s="113"/>
      <c r="U31" s="260"/>
      <c r="V31" s="259"/>
      <c r="W31" s="26">
        <v>0.2</v>
      </c>
      <c r="X31" s="249" t="s">
        <v>61</v>
      </c>
      <c r="Y31" s="113"/>
      <c r="Z31" s="260"/>
      <c r="AA31" s="259"/>
      <c r="AB31" s="241">
        <v>1.74</v>
      </c>
      <c r="AC31" s="249" t="s">
        <v>61</v>
      </c>
      <c r="AD31" s="113"/>
      <c r="AE31" s="260">
        <v>1.73</v>
      </c>
      <c r="AF31" s="259">
        <v>6.16</v>
      </c>
      <c r="AG31" s="114">
        <f>(AE31-AG35-AG32)/2</f>
        <v>0.21499999999999997</v>
      </c>
      <c r="AH31" s="249" t="s">
        <v>61</v>
      </c>
      <c r="AI31" s="141"/>
    </row>
    <row r="32" spans="1:46" s="21" customFormat="1" x14ac:dyDescent="0.25">
      <c r="A32" s="261"/>
      <c r="B32" s="260"/>
      <c r="C32" s="259"/>
      <c r="D32" s="241">
        <f>R32</f>
        <v>0.24</v>
      </c>
      <c r="E32" s="10" t="s">
        <v>104</v>
      </c>
      <c r="F32" s="113"/>
      <c r="G32" s="260"/>
      <c r="H32" s="259"/>
      <c r="I32" s="240"/>
      <c r="J32" s="113"/>
      <c r="K32" s="260"/>
      <c r="L32" s="259"/>
      <c r="M32" s="241">
        <f>R32</f>
        <v>0.24</v>
      </c>
      <c r="N32" s="10" t="s">
        <v>104</v>
      </c>
      <c r="O32" s="113"/>
      <c r="P32" s="260"/>
      <c r="Q32" s="259"/>
      <c r="R32" s="241">
        <f>P31</f>
        <v>0.24</v>
      </c>
      <c r="S32" s="10" t="s">
        <v>104</v>
      </c>
      <c r="T32" s="113"/>
      <c r="U32" s="260"/>
      <c r="V32" s="259"/>
      <c r="W32" s="241">
        <f>R32</f>
        <v>0.24</v>
      </c>
      <c r="X32" s="10" t="s">
        <v>104</v>
      </c>
      <c r="Y32" s="113"/>
      <c r="Z32" s="260"/>
      <c r="AA32" s="259"/>
      <c r="AB32" s="241">
        <f>R32+R55</f>
        <v>0.24</v>
      </c>
      <c r="AC32" s="10" t="s">
        <v>104</v>
      </c>
      <c r="AD32" s="113"/>
      <c r="AE32" s="260"/>
      <c r="AF32" s="259"/>
      <c r="AG32" s="241">
        <f>AB32</f>
        <v>0.24</v>
      </c>
      <c r="AH32" s="10" t="s">
        <v>104</v>
      </c>
      <c r="AI32" s="141"/>
    </row>
    <row r="33" spans="1:42" s="25" customFormat="1" x14ac:dyDescent="0.25">
      <c r="A33" s="261"/>
      <c r="B33" s="260"/>
      <c r="C33" s="259"/>
      <c r="D33" s="241">
        <f>R33</f>
        <v>0.43</v>
      </c>
      <c r="E33" s="10" t="s">
        <v>434</v>
      </c>
      <c r="F33" s="113"/>
      <c r="G33" s="260"/>
      <c r="H33" s="259"/>
      <c r="I33" s="240"/>
      <c r="J33" s="113"/>
      <c r="K33" s="260">
        <v>1.3</v>
      </c>
      <c r="L33" s="259">
        <v>6.1</v>
      </c>
      <c r="M33" s="241">
        <v>0.37</v>
      </c>
      <c r="N33" s="10" t="s">
        <v>434</v>
      </c>
      <c r="O33" s="113"/>
      <c r="P33" s="260">
        <v>0.28999999999999998</v>
      </c>
      <c r="Q33" s="259">
        <v>6.29</v>
      </c>
      <c r="R33" s="241">
        <v>0.43</v>
      </c>
      <c r="S33" s="10" t="s">
        <v>125</v>
      </c>
      <c r="T33" s="113"/>
      <c r="U33" s="260">
        <v>5.05</v>
      </c>
      <c r="V33" s="259">
        <v>6.37</v>
      </c>
      <c r="W33" s="241">
        <f>R33</f>
        <v>0.43</v>
      </c>
      <c r="X33" s="10" t="s">
        <v>125</v>
      </c>
      <c r="Y33" s="113"/>
      <c r="Z33" s="260"/>
      <c r="AA33" s="259"/>
      <c r="AB33" s="24"/>
      <c r="AC33" s="24"/>
      <c r="AD33" s="113"/>
      <c r="AE33" s="260"/>
      <c r="AF33" s="259"/>
      <c r="AG33" s="24"/>
      <c r="AH33" s="24"/>
      <c r="AI33" s="141"/>
    </row>
    <row r="34" spans="1:42" s="25" customFormat="1" x14ac:dyDescent="0.25">
      <c r="A34" s="261"/>
      <c r="B34" s="260"/>
      <c r="C34" s="259"/>
      <c r="D34" s="241">
        <v>0.01</v>
      </c>
      <c r="E34" s="7" t="s">
        <v>95</v>
      </c>
      <c r="F34" s="113"/>
      <c r="G34" s="260"/>
      <c r="H34" s="259"/>
      <c r="I34" s="240"/>
      <c r="J34" s="113"/>
      <c r="K34" s="260"/>
      <c r="L34" s="259"/>
      <c r="M34" s="241">
        <f>K30</f>
        <v>0.01</v>
      </c>
      <c r="N34" s="7" t="s">
        <v>95</v>
      </c>
      <c r="O34" s="113"/>
      <c r="P34" s="260"/>
      <c r="Q34" s="259"/>
      <c r="R34" s="241">
        <f>P30</f>
        <v>1.48</v>
      </c>
      <c r="S34" s="7" t="s">
        <v>95</v>
      </c>
      <c r="T34" s="113"/>
      <c r="U34" s="260"/>
      <c r="V34" s="259"/>
      <c r="W34" s="241">
        <f>U30-W32</f>
        <v>2.34</v>
      </c>
      <c r="X34" s="7" t="s">
        <v>95</v>
      </c>
      <c r="Y34" s="113"/>
      <c r="Z34" s="260"/>
      <c r="AA34" s="259"/>
      <c r="AB34" s="241">
        <f>Z30+Z23-AB24-AB30-AB31-AB25-AB26-AB23-AB32-AB35-AB27-AB36</f>
        <v>3.0499999999999994</v>
      </c>
      <c r="AC34" s="7" t="s">
        <v>95</v>
      </c>
      <c r="AD34" s="113"/>
      <c r="AE34" s="260"/>
      <c r="AF34" s="259"/>
      <c r="AG34" s="114">
        <f>AG31</f>
        <v>0.21499999999999997</v>
      </c>
      <c r="AH34" s="7" t="s">
        <v>95</v>
      </c>
      <c r="AI34" s="141"/>
      <c r="AJ34" s="103" t="s">
        <v>174</v>
      </c>
      <c r="AK34" s="222" t="s">
        <v>1</v>
      </c>
      <c r="AL34" s="105" t="s">
        <v>2</v>
      </c>
      <c r="AM34" s="222" t="s">
        <v>4</v>
      </c>
      <c r="AN34" s="105" t="s">
        <v>16</v>
      </c>
      <c r="AO34" s="222" t="s">
        <v>5</v>
      </c>
    </row>
    <row r="35" spans="1:42" s="25" customFormat="1" x14ac:dyDescent="0.25">
      <c r="A35" s="261"/>
      <c r="B35" s="260"/>
      <c r="C35" s="259"/>
      <c r="D35" s="240">
        <v>0.93</v>
      </c>
      <c r="E35" s="6" t="s">
        <v>20</v>
      </c>
      <c r="F35" s="113"/>
      <c r="G35" s="260"/>
      <c r="H35" s="259"/>
      <c r="I35" s="80"/>
      <c r="J35" s="113"/>
      <c r="K35" s="260"/>
      <c r="L35" s="259"/>
      <c r="M35" s="241">
        <f>K33+K31-M32-M33</f>
        <v>0.71000000000000008</v>
      </c>
      <c r="N35" s="6" t="s">
        <v>20</v>
      </c>
      <c r="O35" s="113"/>
      <c r="P35" s="260"/>
      <c r="Q35" s="259"/>
      <c r="R35" s="241">
        <v>0.93</v>
      </c>
      <c r="S35" s="6" t="s">
        <v>20</v>
      </c>
      <c r="T35" s="113"/>
      <c r="U35" s="260"/>
      <c r="V35" s="259"/>
      <c r="W35" s="241">
        <f>AB35</f>
        <v>0.93</v>
      </c>
      <c r="X35" s="6" t="s">
        <v>20</v>
      </c>
      <c r="Y35" s="113"/>
      <c r="Z35" s="260"/>
      <c r="AA35" s="259"/>
      <c r="AB35" s="241">
        <f>R35</f>
        <v>0.93</v>
      </c>
      <c r="AC35" s="6" t="s">
        <v>20</v>
      </c>
      <c r="AD35" s="113"/>
      <c r="AE35" s="260"/>
      <c r="AF35" s="259"/>
      <c r="AG35" s="114">
        <f>AB35+AB57</f>
        <v>1.06</v>
      </c>
      <c r="AH35" s="6" t="s">
        <v>20</v>
      </c>
      <c r="AI35" s="141"/>
      <c r="AJ35" s="104" t="s">
        <v>175</v>
      </c>
      <c r="AK35" s="245"/>
      <c r="AL35" s="245"/>
      <c r="AM35" s="245"/>
      <c r="AN35" s="245"/>
      <c r="AO35" s="16"/>
    </row>
    <row r="36" spans="1:42" s="25" customFormat="1" x14ac:dyDescent="0.25">
      <c r="A36" s="261"/>
      <c r="B36" s="260"/>
      <c r="C36" s="259"/>
      <c r="D36" s="24"/>
      <c r="E36" s="24"/>
      <c r="F36" s="113"/>
      <c r="G36" s="260"/>
      <c r="H36" s="259"/>
      <c r="I36" s="240"/>
      <c r="J36" s="113"/>
      <c r="K36" s="260"/>
      <c r="L36" s="259"/>
      <c r="M36" s="24"/>
      <c r="N36" s="24"/>
      <c r="O36" s="113"/>
      <c r="P36" s="260"/>
      <c r="Q36" s="259"/>
      <c r="R36" s="24"/>
      <c r="S36" s="24"/>
      <c r="T36" s="113"/>
      <c r="U36" s="260"/>
      <c r="V36" s="259"/>
      <c r="W36" s="24"/>
      <c r="X36" s="24"/>
      <c r="Y36" s="113"/>
      <c r="Z36" s="260"/>
      <c r="AA36" s="259"/>
      <c r="AB36" s="26">
        <f>AG14</f>
        <v>0.41</v>
      </c>
      <c r="AC36" s="6" t="s">
        <v>170</v>
      </c>
      <c r="AD36" s="113"/>
      <c r="AE36" s="260"/>
      <c r="AF36" s="259"/>
      <c r="AG36" s="114"/>
      <c r="AH36" s="114"/>
      <c r="AI36" s="141"/>
      <c r="AJ36" s="104" t="s">
        <v>181</v>
      </c>
      <c r="AK36" s="241">
        <f>D205</f>
        <v>1.6099999999999999</v>
      </c>
      <c r="AL36" s="241">
        <f>M205+M175</f>
        <v>1.1000000000000001</v>
      </c>
      <c r="AM36" s="241">
        <f>R175</f>
        <v>1.1000000000000001</v>
      </c>
      <c r="AN36" s="241">
        <f>W149+W175</f>
        <v>1.1000000000000001</v>
      </c>
      <c r="AO36" s="19">
        <f>AB166</f>
        <v>1.1000000000000001</v>
      </c>
    </row>
    <row r="37" spans="1:42" s="25" customFormat="1" x14ac:dyDescent="0.25">
      <c r="A37" s="261"/>
      <c r="B37" s="260"/>
      <c r="C37" s="259"/>
      <c r="D37" s="240"/>
      <c r="E37" s="24"/>
      <c r="F37" s="113"/>
      <c r="G37" s="260"/>
      <c r="H37" s="259"/>
      <c r="I37" s="240"/>
      <c r="J37" s="113"/>
      <c r="K37" s="260"/>
      <c r="L37" s="259"/>
      <c r="M37" s="241"/>
      <c r="N37" s="24"/>
      <c r="O37" s="113"/>
      <c r="P37" s="260"/>
      <c r="Q37" s="259"/>
      <c r="R37" s="241"/>
      <c r="S37" s="8"/>
      <c r="T37" s="113"/>
      <c r="U37" s="260"/>
      <c r="V37" s="259"/>
      <c r="W37" s="241"/>
      <c r="X37" s="8"/>
      <c r="Y37" s="113"/>
      <c r="Z37" s="260"/>
      <c r="AA37" s="259"/>
      <c r="AB37" s="24"/>
      <c r="AC37" s="24"/>
      <c r="AD37" s="113"/>
      <c r="AE37" s="241">
        <v>0.04</v>
      </c>
      <c r="AF37" s="240">
        <v>6.28</v>
      </c>
      <c r="AG37" s="114"/>
      <c r="AH37" s="114"/>
      <c r="AI37" s="141"/>
      <c r="AJ37" s="104" t="s">
        <v>176</v>
      </c>
      <c r="AK37" s="241">
        <f>D153+D226</f>
        <v>0.59000000000000008</v>
      </c>
      <c r="AL37" s="241">
        <f>M153+M226</f>
        <v>0.37</v>
      </c>
      <c r="AM37" s="241">
        <f>R153+R88+R226</f>
        <v>0.37</v>
      </c>
      <c r="AN37" s="19">
        <f>W88+W136</f>
        <v>0.77</v>
      </c>
      <c r="AO37" s="19">
        <f>AB88+AB136</f>
        <v>0.59000000000000008</v>
      </c>
      <c r="AP37" s="21"/>
    </row>
    <row r="38" spans="1:42" s="25" customFormat="1" x14ac:dyDescent="0.25">
      <c r="A38" s="261">
        <v>11</v>
      </c>
      <c r="B38" s="260">
        <v>4.2</v>
      </c>
      <c r="C38" s="259">
        <v>6.4</v>
      </c>
      <c r="D38" s="241">
        <f>B38-D39</f>
        <v>0.5900000000000003</v>
      </c>
      <c r="E38" s="63" t="s">
        <v>435</v>
      </c>
      <c r="F38" s="113"/>
      <c r="G38" s="260">
        <v>5.21</v>
      </c>
      <c r="H38" s="259">
        <v>6.24</v>
      </c>
      <c r="I38" s="240"/>
      <c r="J38" s="113"/>
      <c r="K38" s="241">
        <v>0.1</v>
      </c>
      <c r="L38" s="240">
        <v>6.21</v>
      </c>
      <c r="M38" s="241">
        <f>K38</f>
        <v>0.1</v>
      </c>
      <c r="N38" s="63" t="s">
        <v>435</v>
      </c>
      <c r="O38" s="113"/>
      <c r="P38" s="260">
        <v>4.21</v>
      </c>
      <c r="Q38" s="259">
        <v>6.36</v>
      </c>
      <c r="R38" s="241">
        <v>0.7</v>
      </c>
      <c r="S38" s="63" t="s">
        <v>46</v>
      </c>
      <c r="T38" s="113"/>
      <c r="U38" s="260"/>
      <c r="V38" s="259"/>
      <c r="W38" s="241">
        <f>R38</f>
        <v>0.7</v>
      </c>
      <c r="X38" s="63" t="s">
        <v>46</v>
      </c>
      <c r="Y38" s="113"/>
      <c r="Z38" s="260">
        <v>3.81</v>
      </c>
      <c r="AA38" s="259">
        <v>6.24</v>
      </c>
      <c r="AB38" s="241"/>
      <c r="AC38" s="240"/>
      <c r="AD38" s="113"/>
      <c r="AE38" s="260">
        <v>3.61</v>
      </c>
      <c r="AF38" s="259">
        <v>6.39</v>
      </c>
      <c r="AG38" s="114"/>
      <c r="AH38" s="114"/>
      <c r="AI38" s="141"/>
      <c r="AJ38" s="104" t="s">
        <v>177</v>
      </c>
      <c r="AK38" s="241">
        <f>D210+D230</f>
        <v>0.63</v>
      </c>
      <c r="AL38" s="241">
        <f>M210+M230</f>
        <v>0.71</v>
      </c>
      <c r="AM38" s="241">
        <f>R210</f>
        <v>0.69</v>
      </c>
      <c r="AN38" s="19">
        <f>W146</f>
        <v>0.54999999999999993</v>
      </c>
      <c r="AO38" s="19">
        <f>AB118</f>
        <v>0.37</v>
      </c>
    </row>
    <row r="39" spans="1:42" s="25" customFormat="1" x14ac:dyDescent="0.25">
      <c r="A39" s="261"/>
      <c r="B39" s="260"/>
      <c r="C39" s="259"/>
      <c r="D39" s="240">
        <f>AG39</f>
        <v>3.61</v>
      </c>
      <c r="E39" s="54" t="s">
        <v>34</v>
      </c>
      <c r="F39" s="113"/>
      <c r="G39" s="260"/>
      <c r="H39" s="259"/>
      <c r="I39" s="240"/>
      <c r="J39" s="113"/>
      <c r="K39" s="241">
        <v>3.87</v>
      </c>
      <c r="L39" s="240">
        <v>6.34</v>
      </c>
      <c r="M39" s="241">
        <f>K39</f>
        <v>3.87</v>
      </c>
      <c r="N39" s="54" t="s">
        <v>34</v>
      </c>
      <c r="O39" s="113"/>
      <c r="P39" s="260"/>
      <c r="Q39" s="259"/>
      <c r="R39" s="241">
        <f>P38-R38</f>
        <v>3.51</v>
      </c>
      <c r="S39" s="54" t="s">
        <v>34</v>
      </c>
      <c r="T39" s="113"/>
      <c r="U39" s="260"/>
      <c r="V39" s="259"/>
      <c r="W39" s="241">
        <f>U33-W38-W33-W35+U30-W30-W32+U29-W31</f>
        <v>4.9299999999999988</v>
      </c>
      <c r="X39" s="54" t="s">
        <v>34</v>
      </c>
      <c r="Y39" s="113"/>
      <c r="Z39" s="260"/>
      <c r="AA39" s="259"/>
      <c r="AB39" s="241">
        <f>Z38+Z40-AB47-AB42-AB41</f>
        <v>5.0966666666666667</v>
      </c>
      <c r="AC39" s="54" t="s">
        <v>34</v>
      </c>
      <c r="AD39" s="113"/>
      <c r="AE39" s="260"/>
      <c r="AF39" s="259"/>
      <c r="AG39" s="114">
        <f>AE38</f>
        <v>3.61</v>
      </c>
      <c r="AH39" s="54" t="s">
        <v>34</v>
      </c>
      <c r="AI39" s="141"/>
      <c r="AJ39" s="16" t="s">
        <v>208</v>
      </c>
      <c r="AK39" s="19"/>
      <c r="AL39" s="19"/>
      <c r="AM39" s="19"/>
      <c r="AN39" s="19"/>
      <c r="AO39" s="19"/>
    </row>
    <row r="40" spans="1:42" s="25" customFormat="1" x14ac:dyDescent="0.25">
      <c r="A40" s="261">
        <v>12</v>
      </c>
      <c r="B40" s="260">
        <v>0.46</v>
      </c>
      <c r="C40" s="259">
        <v>6.54</v>
      </c>
      <c r="D40" s="240">
        <f>D41</f>
        <v>0.15333333333333335</v>
      </c>
      <c r="E40" s="10" t="s">
        <v>441</v>
      </c>
      <c r="F40" s="113"/>
      <c r="G40" s="260">
        <v>0.68</v>
      </c>
      <c r="H40" s="259">
        <v>6.36</v>
      </c>
      <c r="I40" s="240"/>
      <c r="J40" s="113"/>
      <c r="K40" s="260">
        <v>0.39</v>
      </c>
      <c r="L40" s="259">
        <v>6.47</v>
      </c>
      <c r="M40" s="241">
        <f>M41</f>
        <v>0.13</v>
      </c>
      <c r="N40" s="10" t="s">
        <v>441</v>
      </c>
      <c r="O40" s="113"/>
      <c r="P40" s="260">
        <v>0.55000000000000004</v>
      </c>
      <c r="Q40" s="259">
        <v>6.5</v>
      </c>
      <c r="R40" s="241">
        <f>R41</f>
        <v>0.18333333333333335</v>
      </c>
      <c r="S40" s="10" t="s">
        <v>323</v>
      </c>
      <c r="T40" s="113"/>
      <c r="U40" s="260">
        <v>0.46</v>
      </c>
      <c r="V40" s="259">
        <v>6.5</v>
      </c>
      <c r="W40" s="241">
        <f>R40</f>
        <v>0.18333333333333335</v>
      </c>
      <c r="X40" s="10" t="s">
        <v>323</v>
      </c>
      <c r="Y40" s="113"/>
      <c r="Z40" s="260">
        <v>2.77</v>
      </c>
      <c r="AA40" s="259">
        <v>6.36</v>
      </c>
      <c r="AB40" s="24"/>
      <c r="AC40" s="24"/>
      <c r="AD40" s="113"/>
      <c r="AE40" s="260">
        <v>1.01</v>
      </c>
      <c r="AF40" s="259">
        <v>6.54</v>
      </c>
      <c r="AG40" s="114"/>
      <c r="AH40" s="114"/>
      <c r="AI40" s="141"/>
      <c r="AJ40" s="104" t="s">
        <v>178</v>
      </c>
      <c r="AK40" s="241">
        <f>D203</f>
        <v>0.26</v>
      </c>
      <c r="AL40" s="241">
        <f>M203</f>
        <v>0.26</v>
      </c>
      <c r="AM40" s="241">
        <f>R168</f>
        <v>0.57999999999999996</v>
      </c>
      <c r="AN40" s="19">
        <f>W144</f>
        <v>0.48</v>
      </c>
      <c r="AO40" s="19">
        <f>AB90</f>
        <v>0.26</v>
      </c>
    </row>
    <row r="41" spans="1:42" s="25" customFormat="1" x14ac:dyDescent="0.25">
      <c r="A41" s="261"/>
      <c r="B41" s="260"/>
      <c r="C41" s="259"/>
      <c r="D41" s="240">
        <f>B40/3</f>
        <v>0.15333333333333335</v>
      </c>
      <c r="E41" s="59" t="s">
        <v>103</v>
      </c>
      <c r="F41" s="113"/>
      <c r="G41" s="260"/>
      <c r="H41" s="259"/>
      <c r="I41" s="240"/>
      <c r="J41" s="113"/>
      <c r="K41" s="260"/>
      <c r="L41" s="259"/>
      <c r="M41" s="241">
        <f>K40/3</f>
        <v>0.13</v>
      </c>
      <c r="N41" s="59" t="s">
        <v>103</v>
      </c>
      <c r="O41" s="113"/>
      <c r="P41" s="260"/>
      <c r="Q41" s="259"/>
      <c r="R41" s="241">
        <f>P40/3</f>
        <v>0.18333333333333335</v>
      </c>
      <c r="S41" s="59" t="s">
        <v>103</v>
      </c>
      <c r="T41" s="113"/>
      <c r="U41" s="260"/>
      <c r="V41" s="259"/>
      <c r="W41" s="241">
        <f>U40/3</f>
        <v>0.15333333333333335</v>
      </c>
      <c r="X41" s="59" t="s">
        <v>103</v>
      </c>
      <c r="Y41" s="113"/>
      <c r="Z41" s="260"/>
      <c r="AA41" s="259"/>
      <c r="AB41" s="26">
        <f>W41</f>
        <v>0.15333333333333335</v>
      </c>
      <c r="AC41" s="59" t="s">
        <v>103</v>
      </c>
      <c r="AD41" s="113"/>
      <c r="AE41" s="260"/>
      <c r="AF41" s="259"/>
      <c r="AG41" s="114">
        <f>AB41</f>
        <v>0.15333333333333335</v>
      </c>
      <c r="AH41" s="59" t="s">
        <v>103</v>
      </c>
      <c r="AI41" s="141"/>
      <c r="AJ41" s="151" t="s">
        <v>193</v>
      </c>
      <c r="AK41" s="98">
        <f>SUM(AK35:AK40)</f>
        <v>3.09</v>
      </c>
      <c r="AL41" s="98">
        <f>SUM(AL35:AL40)</f>
        <v>2.4400000000000004</v>
      </c>
      <c r="AM41" s="98">
        <f>SUM(AM35:AM40)</f>
        <v>2.74</v>
      </c>
      <c r="AN41" s="98">
        <f>SUM(AN35:AN40)</f>
        <v>2.9</v>
      </c>
      <c r="AO41" s="98">
        <f>SUM(AO35:AO40)</f>
        <v>2.3200000000000003</v>
      </c>
    </row>
    <row r="42" spans="1:42" s="25" customFormat="1" x14ac:dyDescent="0.25">
      <c r="A42" s="261"/>
      <c r="B42" s="260"/>
      <c r="C42" s="259"/>
      <c r="D42" s="240">
        <f>D41</f>
        <v>0.15333333333333335</v>
      </c>
      <c r="E42" s="249" t="s">
        <v>64</v>
      </c>
      <c r="F42" s="113"/>
      <c r="G42" s="260"/>
      <c r="H42" s="259"/>
      <c r="I42" s="240"/>
      <c r="J42" s="113"/>
      <c r="K42" s="260"/>
      <c r="L42" s="259"/>
      <c r="M42" s="241">
        <f>M41</f>
        <v>0.13</v>
      </c>
      <c r="N42" s="249" t="s">
        <v>64</v>
      </c>
      <c r="O42" s="113"/>
      <c r="P42" s="260"/>
      <c r="Q42" s="259"/>
      <c r="R42" s="241">
        <f>R41</f>
        <v>0.18333333333333335</v>
      </c>
      <c r="S42" s="249" t="s">
        <v>64</v>
      </c>
      <c r="T42" s="113"/>
      <c r="U42" s="260"/>
      <c r="V42" s="259"/>
      <c r="W42" s="241">
        <f>M42</f>
        <v>0.13</v>
      </c>
      <c r="X42" s="249" t="s">
        <v>64</v>
      </c>
      <c r="Y42" s="113"/>
      <c r="Z42" s="260"/>
      <c r="AA42" s="259"/>
      <c r="AB42" s="241">
        <v>1</v>
      </c>
      <c r="AC42" s="249" t="s">
        <v>64</v>
      </c>
      <c r="AD42" s="113"/>
      <c r="AE42" s="260"/>
      <c r="AF42" s="259"/>
      <c r="AG42" s="114">
        <f>(AE40-AG41-AG46)/2</f>
        <v>0.27833333333333332</v>
      </c>
      <c r="AH42" s="249" t="s">
        <v>64</v>
      </c>
      <c r="AI42" s="141"/>
      <c r="AJ42" s="151"/>
      <c r="AK42" s="97"/>
      <c r="AL42" s="97"/>
      <c r="AM42" s="97"/>
      <c r="AN42" s="97"/>
      <c r="AO42" s="97"/>
      <c r="AP42" s="201"/>
    </row>
    <row r="43" spans="1:42" s="25" customFormat="1" x14ac:dyDescent="0.25">
      <c r="A43" s="261"/>
      <c r="B43" s="260"/>
      <c r="C43" s="259"/>
      <c r="D43" s="24"/>
      <c r="E43" s="24"/>
      <c r="F43" s="113"/>
      <c r="G43" s="260"/>
      <c r="H43" s="259"/>
      <c r="I43" s="240"/>
      <c r="J43" s="113"/>
      <c r="K43" s="260"/>
      <c r="L43" s="259"/>
      <c r="M43" s="24"/>
      <c r="N43" s="24"/>
      <c r="O43" s="113"/>
      <c r="P43" s="260"/>
      <c r="Q43" s="259"/>
      <c r="R43" s="24"/>
      <c r="S43" s="24"/>
      <c r="T43" s="113"/>
      <c r="U43" s="260"/>
      <c r="V43" s="259"/>
      <c r="W43" s="24"/>
      <c r="X43" s="24"/>
      <c r="Y43" s="113"/>
      <c r="Z43" s="260"/>
      <c r="AA43" s="259"/>
      <c r="AB43" s="241"/>
      <c r="AC43" s="8"/>
      <c r="AD43" s="113"/>
      <c r="AE43" s="260"/>
      <c r="AF43" s="259"/>
      <c r="AG43" s="114"/>
      <c r="AH43" s="8"/>
      <c r="AI43" s="141"/>
      <c r="AJ43" s="103" t="s">
        <v>179</v>
      </c>
      <c r="AK43" s="222" t="s">
        <v>1</v>
      </c>
      <c r="AL43" s="105" t="s">
        <v>2</v>
      </c>
      <c r="AM43" s="222" t="s">
        <v>4</v>
      </c>
      <c r="AN43" s="105" t="s">
        <v>16</v>
      </c>
      <c r="AO43" s="199" t="s">
        <v>5</v>
      </c>
      <c r="AP43" s="201"/>
    </row>
    <row r="44" spans="1:42" s="25" customFormat="1" x14ac:dyDescent="0.25">
      <c r="A44" s="261"/>
      <c r="B44" s="260"/>
      <c r="C44" s="259"/>
      <c r="D44" s="24"/>
      <c r="E44" s="24"/>
      <c r="F44" s="113"/>
      <c r="G44" s="260"/>
      <c r="H44" s="259"/>
      <c r="I44" s="240"/>
      <c r="J44" s="113"/>
      <c r="K44" s="260"/>
      <c r="L44" s="259"/>
      <c r="M44" s="241"/>
      <c r="N44" s="24"/>
      <c r="O44" s="113"/>
      <c r="P44" s="260"/>
      <c r="Q44" s="259"/>
      <c r="R44" s="241"/>
      <c r="S44" s="240"/>
      <c r="T44" s="113"/>
      <c r="U44" s="260"/>
      <c r="V44" s="259"/>
      <c r="W44" s="241"/>
      <c r="X44" s="240"/>
      <c r="Y44" s="113"/>
      <c r="Z44" s="260"/>
      <c r="AA44" s="259"/>
      <c r="AB44" s="241">
        <f>Z47</f>
        <v>0.86</v>
      </c>
      <c r="AC44" s="62" t="s">
        <v>101</v>
      </c>
      <c r="AD44" s="113"/>
      <c r="AE44" s="260"/>
      <c r="AF44" s="259"/>
      <c r="AG44" s="26">
        <f>AG42</f>
        <v>0.27833333333333332</v>
      </c>
      <c r="AH44" s="62" t="s">
        <v>101</v>
      </c>
      <c r="AI44" s="141"/>
      <c r="AJ44" s="104" t="s">
        <v>184</v>
      </c>
      <c r="AK44" s="241">
        <f>D32+D55</f>
        <v>0.24</v>
      </c>
      <c r="AL44" s="241">
        <f>M32+M55</f>
        <v>0.24</v>
      </c>
      <c r="AM44" s="241">
        <f>R55+R32</f>
        <v>0.24</v>
      </c>
      <c r="AN44" s="241">
        <f>W55+W32</f>
        <v>0.24</v>
      </c>
      <c r="AO44" s="241">
        <f>AB32+AB55</f>
        <v>0.24</v>
      </c>
      <c r="AP44" s="201"/>
    </row>
    <row r="45" spans="1:42" s="25" customFormat="1" x14ac:dyDescent="0.25">
      <c r="A45" s="261"/>
      <c r="B45" s="260"/>
      <c r="C45" s="259"/>
      <c r="D45" s="240"/>
      <c r="E45" s="24"/>
      <c r="F45" s="113"/>
      <c r="G45" s="260"/>
      <c r="H45" s="259"/>
      <c r="I45" s="240"/>
      <c r="J45" s="113"/>
      <c r="K45" s="260"/>
      <c r="L45" s="259"/>
      <c r="M45" s="241"/>
      <c r="N45" s="24"/>
      <c r="O45" s="113"/>
      <c r="P45" s="260"/>
      <c r="Q45" s="259"/>
      <c r="R45" s="241"/>
      <c r="S45" s="8"/>
      <c r="T45" s="113"/>
      <c r="U45" s="260"/>
      <c r="V45" s="259"/>
      <c r="W45" s="241"/>
      <c r="X45" s="8"/>
      <c r="Y45" s="113"/>
      <c r="Z45" s="260"/>
      <c r="AA45" s="259"/>
      <c r="AB45" s="241"/>
      <c r="AC45" s="8"/>
      <c r="AD45" s="113"/>
      <c r="AE45" s="260"/>
      <c r="AF45" s="259"/>
      <c r="AG45" s="114"/>
      <c r="AH45" s="241"/>
      <c r="AI45" s="141"/>
      <c r="AJ45" s="104" t="s">
        <v>185</v>
      </c>
      <c r="AK45" s="241">
        <f>D70</f>
        <v>0.15</v>
      </c>
      <c r="AL45" s="241">
        <f>M70</f>
        <v>0.15</v>
      </c>
      <c r="AM45" s="241">
        <f>R70</f>
        <v>0.15</v>
      </c>
      <c r="AN45" s="241">
        <f>W70</f>
        <v>0.1575</v>
      </c>
      <c r="AO45" s="241">
        <f>AB70+AB45</f>
        <v>0.15</v>
      </c>
      <c r="AP45" s="201"/>
    </row>
    <row r="46" spans="1:42" s="25" customFormat="1" x14ac:dyDescent="0.25">
      <c r="A46" s="261"/>
      <c r="B46" s="260"/>
      <c r="C46" s="259"/>
      <c r="D46" s="240"/>
      <c r="E46" s="241"/>
      <c r="F46" s="113"/>
      <c r="G46" s="260"/>
      <c r="H46" s="259"/>
      <c r="I46" s="240"/>
      <c r="J46" s="113"/>
      <c r="K46" s="260"/>
      <c r="L46" s="259"/>
      <c r="M46" s="241"/>
      <c r="N46" s="241"/>
      <c r="O46" s="113"/>
      <c r="P46" s="260"/>
      <c r="Q46" s="259"/>
      <c r="R46" s="241"/>
      <c r="S46" s="241"/>
      <c r="T46" s="113"/>
      <c r="U46" s="260"/>
      <c r="V46" s="259"/>
      <c r="W46" s="241"/>
      <c r="X46" s="241"/>
      <c r="Y46" s="113"/>
      <c r="Z46" s="260"/>
      <c r="AA46" s="259"/>
      <c r="AB46" s="241"/>
      <c r="AC46" s="241"/>
      <c r="AD46" s="113"/>
      <c r="AE46" s="260"/>
      <c r="AF46" s="259"/>
      <c r="AG46" s="114">
        <v>0.3</v>
      </c>
      <c r="AH46" s="15" t="s">
        <v>62</v>
      </c>
      <c r="AI46" s="141"/>
      <c r="AJ46" s="104" t="s">
        <v>186</v>
      </c>
      <c r="AK46" s="241">
        <f>D34+D80+D112+D120+D138+D178</f>
        <v>2.0250000000000004</v>
      </c>
      <c r="AL46" s="241">
        <f ca="1">M34+M80+M112+M120+M138+M178</f>
        <v>2.2322222222222221</v>
      </c>
      <c r="AM46" s="241">
        <f>R34+R59+R80+R112</f>
        <v>2.1749999999999998</v>
      </c>
      <c r="AN46" s="241">
        <f>W34+W59+W80+W112</f>
        <v>3.83</v>
      </c>
      <c r="AO46" s="241">
        <f>AB59+AB34+AB112</f>
        <v>4.0399999999999991</v>
      </c>
      <c r="AP46" s="201"/>
    </row>
    <row r="47" spans="1:42" s="25" customFormat="1" x14ac:dyDescent="0.25">
      <c r="A47" s="261">
        <v>13</v>
      </c>
      <c r="B47" s="260">
        <v>0.31</v>
      </c>
      <c r="C47" s="259">
        <v>6.66</v>
      </c>
      <c r="D47" s="24"/>
      <c r="E47" s="24"/>
      <c r="F47" s="113"/>
      <c r="G47" s="260">
        <v>0.4</v>
      </c>
      <c r="H47" s="259">
        <v>6.52</v>
      </c>
      <c r="I47" s="240"/>
      <c r="J47" s="113"/>
      <c r="K47" s="260">
        <v>0.37</v>
      </c>
      <c r="L47" s="259">
        <v>6.58</v>
      </c>
      <c r="M47" s="24"/>
      <c r="N47" s="24"/>
      <c r="O47" s="113"/>
      <c r="P47" s="260">
        <v>0.73</v>
      </c>
      <c r="Q47" s="259">
        <v>6.61</v>
      </c>
      <c r="R47" s="24"/>
      <c r="S47" s="24"/>
      <c r="T47" s="113"/>
      <c r="U47" s="260">
        <v>1.34</v>
      </c>
      <c r="V47" s="259">
        <v>6.62</v>
      </c>
      <c r="W47" s="24"/>
      <c r="X47" s="24"/>
      <c r="Y47" s="113"/>
      <c r="Z47" s="260">
        <v>0.86</v>
      </c>
      <c r="AA47" s="259">
        <v>6.48</v>
      </c>
      <c r="AB47" s="26">
        <v>0.33</v>
      </c>
      <c r="AC47" s="70" t="s">
        <v>22</v>
      </c>
      <c r="AD47" s="113"/>
      <c r="AE47" s="260">
        <v>0.25</v>
      </c>
      <c r="AF47" s="259">
        <v>6.68</v>
      </c>
      <c r="AG47" s="114"/>
      <c r="AH47" s="114"/>
      <c r="AI47" s="141"/>
      <c r="AJ47" s="104" t="s">
        <v>187</v>
      </c>
      <c r="AK47" s="245">
        <f ca="1">D71+D101+D125+D133+D134+D143+D151+D154+D161</f>
        <v>1.2658333333333334</v>
      </c>
      <c r="AL47" s="241">
        <f ca="1">M71+M101+M125+M133+M134+M143+M151+M154+M161</f>
        <v>1.6880555555555554</v>
      </c>
      <c r="AM47" s="241">
        <f>R71+R95+R101+R125+R134</f>
        <v>1.01</v>
      </c>
      <c r="AN47" s="241">
        <f>W71+W95+W101+W125+W134</f>
        <v>1.7875000000000001</v>
      </c>
      <c r="AO47" s="241">
        <f>AB71+AB125+AB134</f>
        <v>1.1399999999999999</v>
      </c>
      <c r="AP47" s="201"/>
    </row>
    <row r="48" spans="1:42" s="25" customFormat="1" x14ac:dyDescent="0.25">
      <c r="A48" s="261"/>
      <c r="B48" s="260"/>
      <c r="C48" s="259"/>
      <c r="D48" s="240">
        <f>D49</f>
        <v>0.155</v>
      </c>
      <c r="E48" s="59" t="s">
        <v>409</v>
      </c>
      <c r="F48" s="113"/>
      <c r="G48" s="260"/>
      <c r="H48" s="259"/>
      <c r="I48" s="240"/>
      <c r="J48" s="113"/>
      <c r="K48" s="260"/>
      <c r="L48" s="259"/>
      <c r="M48" s="241">
        <f>M49</f>
        <v>0.185</v>
      </c>
      <c r="N48" s="59" t="s">
        <v>409</v>
      </c>
      <c r="O48" s="113"/>
      <c r="P48" s="260"/>
      <c r="Q48" s="259"/>
      <c r="R48" s="241">
        <v>0.01</v>
      </c>
      <c r="S48" s="59" t="s">
        <v>51</v>
      </c>
      <c r="T48" s="113"/>
      <c r="U48" s="260"/>
      <c r="V48" s="259"/>
      <c r="W48" s="241">
        <f>R48</f>
        <v>0.01</v>
      </c>
      <c r="X48" s="59" t="s">
        <v>51</v>
      </c>
      <c r="Y48" s="113"/>
      <c r="Z48" s="260"/>
      <c r="AA48" s="259"/>
      <c r="AB48" s="241"/>
      <c r="AC48" s="240"/>
      <c r="AD48" s="113"/>
      <c r="AE48" s="260"/>
      <c r="AF48" s="259"/>
      <c r="AG48" s="114"/>
      <c r="AH48" s="114"/>
      <c r="AI48" s="141"/>
      <c r="AJ48" s="104" t="s">
        <v>188</v>
      </c>
      <c r="AK48" s="241">
        <f>D41+D117</f>
        <v>0.33333333333333337</v>
      </c>
      <c r="AL48" s="241">
        <f ca="1">M41+M117</f>
        <v>0.39222222222222214</v>
      </c>
      <c r="AM48" s="241">
        <f>R117+R41</f>
        <v>0.36333333333333334</v>
      </c>
      <c r="AN48" s="241">
        <f>W117+W41</f>
        <v>0.33333333333333337</v>
      </c>
      <c r="AO48" s="241">
        <f>AB117+AB41</f>
        <v>0.33333333333333337</v>
      </c>
      <c r="AP48" s="201"/>
    </row>
    <row r="49" spans="1:42" s="25" customFormat="1" x14ac:dyDescent="0.25">
      <c r="A49" s="261"/>
      <c r="B49" s="260"/>
      <c r="C49" s="259"/>
      <c r="D49" s="240">
        <f>B47/2</f>
        <v>0.155</v>
      </c>
      <c r="E49" s="249" t="s">
        <v>408</v>
      </c>
      <c r="F49" s="113"/>
      <c r="G49" s="260"/>
      <c r="H49" s="259"/>
      <c r="I49" s="240"/>
      <c r="J49" s="113"/>
      <c r="K49" s="260"/>
      <c r="L49" s="259"/>
      <c r="M49" s="241">
        <f>K47/2</f>
        <v>0.185</v>
      </c>
      <c r="N49" s="249" t="s">
        <v>408</v>
      </c>
      <c r="O49" s="113"/>
      <c r="P49" s="260"/>
      <c r="Q49" s="259"/>
      <c r="R49" s="241">
        <v>0.72</v>
      </c>
      <c r="S49" s="249" t="s">
        <v>50</v>
      </c>
      <c r="T49" s="113"/>
      <c r="U49" s="260"/>
      <c r="V49" s="259"/>
      <c r="W49" s="241">
        <v>1.33</v>
      </c>
      <c r="X49" s="249" t="s">
        <v>50</v>
      </c>
      <c r="Y49" s="113"/>
      <c r="Z49" s="260"/>
      <c r="AA49" s="259"/>
      <c r="AB49" s="24"/>
      <c r="AC49" s="24"/>
      <c r="AD49" s="113"/>
      <c r="AE49" s="260"/>
      <c r="AF49" s="259"/>
      <c r="AG49" s="114"/>
      <c r="AH49" s="114"/>
      <c r="AI49" s="141"/>
      <c r="AJ49" s="104" t="s">
        <v>189</v>
      </c>
      <c r="AK49" s="241">
        <f>D82+D121+D124+D139+D147+D163</f>
        <v>1.4950000000000001</v>
      </c>
      <c r="AL49" s="241">
        <f>M82+M121+M124+M139+M147+M163</f>
        <v>1.4650000000000003</v>
      </c>
      <c r="AM49" s="241">
        <f>R82+R121+R139+R163+R147</f>
        <v>1.125</v>
      </c>
      <c r="AN49" s="241">
        <f>W82+W121+W139+W163+W147</f>
        <v>0.98</v>
      </c>
      <c r="AO49" s="241">
        <f>AB82+AB139+AB147+AB163+AB121</f>
        <v>0.65500000000000003</v>
      </c>
      <c r="AP49" s="201"/>
    </row>
    <row r="50" spans="1:42" s="25" customFormat="1" x14ac:dyDescent="0.25">
      <c r="A50" s="261">
        <v>14</v>
      </c>
      <c r="B50" s="260">
        <v>0.06</v>
      </c>
      <c r="C50" s="259">
        <v>6.73</v>
      </c>
      <c r="D50" s="240"/>
      <c r="E50" s="240"/>
      <c r="F50" s="113"/>
      <c r="G50" s="260">
        <v>0.11</v>
      </c>
      <c r="H50" s="259">
        <v>6.64</v>
      </c>
      <c r="I50" s="240"/>
      <c r="J50" s="113"/>
      <c r="K50" s="241">
        <v>0.03</v>
      </c>
      <c r="L50" s="240">
        <v>6.64</v>
      </c>
      <c r="M50" s="241"/>
      <c r="N50" s="240"/>
      <c r="O50" s="113"/>
      <c r="P50" s="260">
        <v>0.44</v>
      </c>
      <c r="Q50" s="259">
        <v>6.75</v>
      </c>
      <c r="R50" s="241"/>
      <c r="S50" s="8"/>
      <c r="T50" s="113"/>
      <c r="U50" s="260">
        <v>1.26</v>
      </c>
      <c r="V50" s="259">
        <v>6.74</v>
      </c>
      <c r="W50" s="241"/>
      <c r="X50" s="8"/>
      <c r="Y50" s="113"/>
      <c r="Z50" s="241">
        <v>0.03</v>
      </c>
      <c r="AA50" s="240">
        <v>6.58</v>
      </c>
      <c r="AB50" s="241">
        <f>Z50+Z51</f>
        <v>0.15</v>
      </c>
      <c r="AC50" s="68" t="s">
        <v>39</v>
      </c>
      <c r="AD50" s="113"/>
      <c r="AE50" s="260">
        <v>0.04</v>
      </c>
      <c r="AF50" s="259">
        <v>6.79</v>
      </c>
      <c r="AG50" s="114"/>
      <c r="AH50" s="114"/>
      <c r="AI50" s="141"/>
      <c r="AJ50" s="104" t="s">
        <v>190</v>
      </c>
      <c r="AK50" s="245">
        <f>D42+D95+D122+D127+D150+D156+D181+D192+D201+D206+D207</f>
        <v>1.6858333333333333</v>
      </c>
      <c r="AL50" s="245">
        <f ca="1">M42+M95+M122+M127+M150+M156+M181+M192+M201+M206+M207</f>
        <v>1.8436111111111111</v>
      </c>
      <c r="AM50" s="245">
        <f>R73+R94+R96+R122+R127+R161+R191+R42+R137</f>
        <v>1.9083333333333332</v>
      </c>
      <c r="AN50" s="245">
        <f>W73+W94+W96+W122+W127+W161+W191+W42+W137</f>
        <v>1.4424999999999999</v>
      </c>
      <c r="AO50" s="245">
        <f>AB73+AB122+AB42+AB161+AB137</f>
        <v>1.6400000000000001</v>
      </c>
      <c r="AP50" s="201"/>
    </row>
    <row r="51" spans="1:42" s="25" customFormat="1" x14ac:dyDescent="0.25">
      <c r="A51" s="261"/>
      <c r="B51" s="260"/>
      <c r="C51" s="259"/>
      <c r="D51" s="240">
        <v>0.06</v>
      </c>
      <c r="E51" s="59" t="s">
        <v>407</v>
      </c>
      <c r="F51" s="113"/>
      <c r="G51" s="260"/>
      <c r="H51" s="259"/>
      <c r="I51" s="240"/>
      <c r="J51" s="113"/>
      <c r="K51" s="241">
        <v>0.03</v>
      </c>
      <c r="L51" s="240">
        <v>6.71</v>
      </c>
      <c r="M51" s="241">
        <f>K51</f>
        <v>0.03</v>
      </c>
      <c r="N51" s="59" t="s">
        <v>407</v>
      </c>
      <c r="O51" s="113"/>
      <c r="P51" s="260"/>
      <c r="Q51" s="259"/>
      <c r="R51" s="241">
        <f>P50-R50</f>
        <v>0.44</v>
      </c>
      <c r="S51" s="59" t="s">
        <v>505</v>
      </c>
      <c r="T51" s="113"/>
      <c r="U51" s="260"/>
      <c r="V51" s="259"/>
      <c r="W51" s="241">
        <f>U50</f>
        <v>1.26</v>
      </c>
      <c r="X51" s="59" t="s">
        <v>126</v>
      </c>
      <c r="Y51" s="113"/>
      <c r="Z51" s="260">
        <v>0.12</v>
      </c>
      <c r="AA51" s="259">
        <v>6.64</v>
      </c>
      <c r="AB51" s="241"/>
      <c r="AC51" s="240"/>
      <c r="AD51" s="113"/>
      <c r="AE51" s="260"/>
      <c r="AF51" s="259"/>
      <c r="AG51" s="114"/>
      <c r="AH51" s="114"/>
      <c r="AI51" s="141"/>
      <c r="AJ51" s="104" t="s">
        <v>191</v>
      </c>
      <c r="AK51" s="241">
        <f ca="1">D85+D128+D142+D144+D220+D233</f>
        <v>1.2222222222222221</v>
      </c>
      <c r="AL51" s="241">
        <f ca="1">M85+M128+M142+M144+M233+M180</f>
        <v>1.2122222222222221</v>
      </c>
      <c r="AM51" s="241">
        <f>R85+R140+R142+R158+R180</f>
        <v>1.03</v>
      </c>
      <c r="AN51" s="241">
        <f>W85+W140+W142+W158+W180</f>
        <v>0.95</v>
      </c>
      <c r="AO51" s="241">
        <f>AB85+AB142+AB116</f>
        <v>1.075</v>
      </c>
      <c r="AP51" s="201"/>
    </row>
    <row r="52" spans="1:42" s="25" customFormat="1" x14ac:dyDescent="0.25">
      <c r="A52" s="261"/>
      <c r="B52" s="260"/>
      <c r="C52" s="259"/>
      <c r="D52" s="240"/>
      <c r="E52" s="246"/>
      <c r="F52" s="113"/>
      <c r="G52" s="260"/>
      <c r="H52" s="259"/>
      <c r="I52" s="240"/>
      <c r="J52" s="113"/>
      <c r="K52" s="241">
        <v>0.04</v>
      </c>
      <c r="L52" s="240">
        <v>6.72</v>
      </c>
      <c r="M52" s="241"/>
      <c r="N52" s="246"/>
      <c r="O52" s="113"/>
      <c r="P52" s="260"/>
      <c r="Q52" s="259"/>
      <c r="R52" s="241"/>
      <c r="S52" s="240"/>
      <c r="T52" s="113"/>
      <c r="U52" s="260"/>
      <c r="V52" s="259"/>
      <c r="W52" s="241"/>
      <c r="X52" s="240"/>
      <c r="Y52" s="113"/>
      <c r="Z52" s="260"/>
      <c r="AA52" s="259"/>
      <c r="AB52" s="24"/>
      <c r="AC52" s="24"/>
      <c r="AD52" s="113"/>
      <c r="AE52" s="241">
        <v>0.03</v>
      </c>
      <c r="AF52" s="240">
        <v>6.85</v>
      </c>
      <c r="AG52" s="114"/>
      <c r="AH52" s="114"/>
      <c r="AI52" s="141"/>
      <c r="AJ52" s="16" t="s">
        <v>203</v>
      </c>
      <c r="AK52" s="19">
        <f>D53</f>
        <v>0.01</v>
      </c>
      <c r="AL52" s="19">
        <f>M53</f>
        <v>0.01</v>
      </c>
      <c r="AM52" s="19">
        <f>R53</f>
        <v>0.01</v>
      </c>
      <c r="AN52" s="19">
        <f>W53</f>
        <v>0.01</v>
      </c>
      <c r="AO52" s="19">
        <f>AB53</f>
        <v>0.01</v>
      </c>
      <c r="AP52" s="201"/>
    </row>
    <row r="53" spans="1:42" s="25" customFormat="1" x14ac:dyDescent="0.25">
      <c r="A53" s="261">
        <v>15</v>
      </c>
      <c r="B53" s="260">
        <v>0.43</v>
      </c>
      <c r="C53" s="259">
        <v>6.94</v>
      </c>
      <c r="D53" s="241">
        <v>0.01</v>
      </c>
      <c r="E53" s="62" t="s">
        <v>66</v>
      </c>
      <c r="F53" s="113"/>
      <c r="G53" s="260">
        <v>0.79</v>
      </c>
      <c r="H53" s="259">
        <v>6.76</v>
      </c>
      <c r="I53" s="240"/>
      <c r="J53" s="113"/>
      <c r="K53" s="241">
        <v>7.0000000000000007E-2</v>
      </c>
      <c r="L53" s="240">
        <v>6.83</v>
      </c>
      <c r="M53" s="241">
        <v>0.01</v>
      </c>
      <c r="N53" s="62" t="s">
        <v>66</v>
      </c>
      <c r="O53" s="113"/>
      <c r="P53" s="260">
        <v>0.51</v>
      </c>
      <c r="Q53" s="259">
        <v>6.91</v>
      </c>
      <c r="R53" s="241">
        <v>0.01</v>
      </c>
      <c r="S53" s="62" t="s">
        <v>66</v>
      </c>
      <c r="T53" s="113"/>
      <c r="U53" s="260">
        <v>1.38</v>
      </c>
      <c r="V53" s="259">
        <v>6.9</v>
      </c>
      <c r="W53" s="241">
        <v>0.01</v>
      </c>
      <c r="X53" s="62" t="s">
        <v>66</v>
      </c>
      <c r="Y53" s="113"/>
      <c r="Z53" s="260">
        <v>1.49</v>
      </c>
      <c r="AA53" s="259">
        <v>6.77</v>
      </c>
      <c r="AB53" s="241">
        <v>0.01</v>
      </c>
      <c r="AC53" s="62" t="s">
        <v>66</v>
      </c>
      <c r="AD53" s="113"/>
      <c r="AE53" s="260">
        <v>0.16</v>
      </c>
      <c r="AF53" s="259">
        <v>6.9</v>
      </c>
      <c r="AG53" s="114">
        <f>AB53</f>
        <v>0.01</v>
      </c>
      <c r="AH53" s="62" t="s">
        <v>66</v>
      </c>
      <c r="AI53" s="141"/>
      <c r="AJ53" s="16" t="s">
        <v>204</v>
      </c>
      <c r="AK53" s="19">
        <f>D159</f>
        <v>7.0000000000000007E-2</v>
      </c>
      <c r="AL53" s="19">
        <f>M159</f>
        <v>7.0000000000000007E-2</v>
      </c>
      <c r="AM53" s="19">
        <f>R159</f>
        <v>7.0000000000000007E-2</v>
      </c>
      <c r="AN53" s="19">
        <f>W159</f>
        <v>7.0000000000000007E-2</v>
      </c>
      <c r="AO53" s="19">
        <f>AB126</f>
        <v>7.0000000000000007E-2</v>
      </c>
      <c r="AP53" s="201"/>
    </row>
    <row r="54" spans="1:42" s="25" customFormat="1" x14ac:dyDescent="0.25">
      <c r="A54" s="261"/>
      <c r="B54" s="260"/>
      <c r="C54" s="259"/>
      <c r="D54" s="240">
        <f>B53-D53</f>
        <v>0.42</v>
      </c>
      <c r="E54" s="70" t="s">
        <v>63</v>
      </c>
      <c r="F54" s="113"/>
      <c r="G54" s="260"/>
      <c r="H54" s="259"/>
      <c r="I54" s="240"/>
      <c r="J54" s="113"/>
      <c r="K54" s="260">
        <v>0.4</v>
      </c>
      <c r="L54" s="259">
        <v>6.86</v>
      </c>
      <c r="M54" s="241">
        <f>K53+K54-M53</f>
        <v>0.46</v>
      </c>
      <c r="N54" s="70" t="s">
        <v>63</v>
      </c>
      <c r="O54" s="113"/>
      <c r="P54" s="260"/>
      <c r="Q54" s="259"/>
      <c r="R54" s="241">
        <v>0.24</v>
      </c>
      <c r="S54" s="70" t="s">
        <v>63</v>
      </c>
      <c r="T54" s="113"/>
      <c r="U54" s="260"/>
      <c r="V54" s="259"/>
      <c r="W54" s="241">
        <f>R54</f>
        <v>0.24</v>
      </c>
      <c r="X54" s="70" t="s">
        <v>63</v>
      </c>
      <c r="Y54" s="113"/>
      <c r="Z54" s="260"/>
      <c r="AA54" s="259"/>
      <c r="AB54" s="241">
        <v>0.45</v>
      </c>
      <c r="AC54" s="70" t="s">
        <v>63</v>
      </c>
      <c r="AD54" s="113"/>
      <c r="AE54" s="260"/>
      <c r="AF54" s="259"/>
      <c r="AG54" s="114">
        <f>AE53-AG53</f>
        <v>0.15</v>
      </c>
      <c r="AH54" s="70" t="s">
        <v>63</v>
      </c>
      <c r="AI54" s="141"/>
      <c r="AJ54" s="16" t="s">
        <v>198</v>
      </c>
      <c r="AK54" s="19"/>
      <c r="AL54" s="19"/>
      <c r="AM54" s="19"/>
      <c r="AN54" s="19"/>
      <c r="AO54" s="19"/>
      <c r="AP54" s="201"/>
    </row>
    <row r="55" spans="1:42" s="25" customFormat="1" x14ac:dyDescent="0.25">
      <c r="A55" s="261"/>
      <c r="B55" s="260"/>
      <c r="C55" s="259"/>
      <c r="D55" s="240"/>
      <c r="E55" s="18"/>
      <c r="F55" s="113"/>
      <c r="G55" s="260"/>
      <c r="H55" s="259"/>
      <c r="I55" s="240"/>
      <c r="J55" s="113"/>
      <c r="K55" s="260"/>
      <c r="L55" s="259"/>
      <c r="M55" s="241"/>
      <c r="N55" s="18"/>
      <c r="O55" s="113"/>
      <c r="P55" s="260"/>
      <c r="Q55" s="259"/>
      <c r="R55" s="245"/>
      <c r="S55" s="18"/>
      <c r="T55" s="113"/>
      <c r="U55" s="260"/>
      <c r="V55" s="259"/>
      <c r="W55" s="245"/>
      <c r="X55" s="18"/>
      <c r="Y55" s="113"/>
      <c r="Z55" s="260"/>
      <c r="AA55" s="259"/>
      <c r="AB55" s="245"/>
      <c r="AC55" s="18"/>
      <c r="AD55" s="113"/>
      <c r="AE55" s="260"/>
      <c r="AF55" s="259"/>
      <c r="AG55" s="114"/>
      <c r="AH55" s="114"/>
      <c r="AI55" s="141"/>
      <c r="AJ55" s="16" t="s">
        <v>199</v>
      </c>
      <c r="AK55" s="19"/>
      <c r="AL55" s="19"/>
      <c r="AM55" s="19"/>
      <c r="AN55" s="19"/>
      <c r="AO55" s="19"/>
      <c r="AP55" s="201"/>
    </row>
    <row r="56" spans="1:42" s="25" customFormat="1" x14ac:dyDescent="0.25">
      <c r="A56" s="261"/>
      <c r="B56" s="260"/>
      <c r="C56" s="259"/>
      <c r="D56" s="24"/>
      <c r="E56" s="24"/>
      <c r="F56" s="113"/>
      <c r="G56" s="260"/>
      <c r="H56" s="259"/>
      <c r="I56" s="240"/>
      <c r="J56" s="113"/>
      <c r="K56" s="260"/>
      <c r="L56" s="259"/>
      <c r="M56" s="24"/>
      <c r="N56" s="24"/>
      <c r="O56" s="113"/>
      <c r="P56" s="260"/>
      <c r="Q56" s="259"/>
      <c r="R56" s="24"/>
      <c r="S56" s="24"/>
      <c r="T56" s="113"/>
      <c r="U56" s="260"/>
      <c r="V56" s="259"/>
      <c r="W56" s="24"/>
      <c r="X56" s="24"/>
      <c r="Y56" s="113"/>
      <c r="Z56" s="260"/>
      <c r="AA56" s="259"/>
      <c r="AB56" s="24"/>
      <c r="AC56" s="24"/>
      <c r="AD56" s="113"/>
      <c r="AE56" s="260">
        <v>0.94</v>
      </c>
      <c r="AF56" s="259">
        <v>6.98</v>
      </c>
      <c r="AG56" s="114"/>
      <c r="AH56" s="114"/>
      <c r="AI56" s="141"/>
      <c r="AJ56" s="104" t="s">
        <v>192</v>
      </c>
      <c r="AK56" s="245"/>
      <c r="AL56" s="245"/>
      <c r="AM56" s="245"/>
      <c r="AN56" s="245"/>
      <c r="AO56" s="245"/>
      <c r="AP56" s="201"/>
    </row>
    <row r="57" spans="1:42" s="25" customFormat="1" x14ac:dyDescent="0.25">
      <c r="A57" s="261"/>
      <c r="B57" s="260"/>
      <c r="C57" s="259"/>
      <c r="D57" s="240"/>
      <c r="E57" s="240"/>
      <c r="F57" s="113"/>
      <c r="G57" s="260"/>
      <c r="H57" s="259"/>
      <c r="I57" s="240"/>
      <c r="J57" s="113"/>
      <c r="K57" s="260"/>
      <c r="L57" s="259"/>
      <c r="M57" s="241"/>
      <c r="N57" s="240"/>
      <c r="O57" s="113"/>
      <c r="P57" s="260"/>
      <c r="Q57" s="259"/>
      <c r="R57" s="241">
        <v>0.01</v>
      </c>
      <c r="S57" s="6" t="s">
        <v>121</v>
      </c>
      <c r="T57" s="113"/>
      <c r="U57" s="260"/>
      <c r="V57" s="259"/>
      <c r="W57" s="241">
        <f>R57</f>
        <v>0.01</v>
      </c>
      <c r="X57" s="6" t="s">
        <v>121</v>
      </c>
      <c r="Y57" s="113"/>
      <c r="Z57" s="260"/>
      <c r="AA57" s="259"/>
      <c r="AB57" s="241">
        <v>0.13</v>
      </c>
      <c r="AC57" s="6" t="s">
        <v>121</v>
      </c>
      <c r="AD57" s="113"/>
      <c r="AE57" s="260"/>
      <c r="AF57" s="259"/>
      <c r="AG57" s="114"/>
      <c r="AH57" s="114"/>
      <c r="AI57" s="141"/>
      <c r="AJ57" s="16" t="s">
        <v>205</v>
      </c>
      <c r="AK57" s="245">
        <f>D221</f>
        <v>0.56999999999999995</v>
      </c>
      <c r="AL57" s="245">
        <f>M221</f>
        <v>0.44</v>
      </c>
      <c r="AM57" s="16">
        <f>R221</f>
        <v>0.7</v>
      </c>
      <c r="AN57" s="16">
        <f>W113+W187</f>
        <v>0.28999999999999998</v>
      </c>
      <c r="AO57" s="16">
        <f>AB113+AB187</f>
        <v>0.22</v>
      </c>
      <c r="AP57" s="201"/>
    </row>
    <row r="58" spans="1:42" s="25" customFormat="1" x14ac:dyDescent="0.25">
      <c r="A58" s="261"/>
      <c r="B58" s="260"/>
      <c r="C58" s="259"/>
      <c r="D58" s="240"/>
      <c r="E58" s="240"/>
      <c r="F58" s="113"/>
      <c r="G58" s="260"/>
      <c r="H58" s="259"/>
      <c r="I58" s="240"/>
      <c r="J58" s="113"/>
      <c r="K58" s="260"/>
      <c r="L58" s="259"/>
      <c r="M58" s="241"/>
      <c r="N58" s="240"/>
      <c r="O58" s="113"/>
      <c r="P58" s="260"/>
      <c r="Q58" s="259"/>
      <c r="R58" s="241">
        <f>AB36</f>
        <v>0.41</v>
      </c>
      <c r="S58" s="6" t="s">
        <v>171</v>
      </c>
      <c r="T58" s="113"/>
      <c r="U58" s="260"/>
      <c r="V58" s="259"/>
      <c r="W58" s="241">
        <f>R58</f>
        <v>0.41</v>
      </c>
      <c r="X58" s="6" t="s">
        <v>171</v>
      </c>
      <c r="Y58" s="113"/>
      <c r="Z58" s="260"/>
      <c r="AA58" s="259"/>
      <c r="AB58" s="241"/>
      <c r="AC58" s="240"/>
      <c r="AD58" s="113"/>
      <c r="AE58" s="260"/>
      <c r="AF58" s="259"/>
      <c r="AG58" s="114"/>
      <c r="AH58" s="114"/>
      <c r="AI58" s="141"/>
      <c r="AJ58" s="151" t="s">
        <v>193</v>
      </c>
      <c r="AK58" s="98">
        <f ca="1">SUM(AK44:AK57)</f>
        <v>9.0672222222222221</v>
      </c>
      <c r="AL58" s="98">
        <f ca="1">SUM(AL44:AL57)</f>
        <v>9.7433333333333323</v>
      </c>
      <c r="AM58" s="98">
        <f>SUM(AM44:AM57)</f>
        <v>8.7816666666666663</v>
      </c>
      <c r="AN58" s="98">
        <f>SUM(AN44:AN57)</f>
        <v>10.090833333333331</v>
      </c>
      <c r="AO58" s="1">
        <f>SUM(AO44:AO57)</f>
        <v>9.5733333333333324</v>
      </c>
      <c r="AP58" s="200"/>
    </row>
    <row r="59" spans="1:42" s="25" customFormat="1" x14ac:dyDescent="0.25">
      <c r="A59" s="261"/>
      <c r="B59" s="260"/>
      <c r="C59" s="259"/>
      <c r="D59" s="240"/>
      <c r="E59" s="18"/>
      <c r="F59" s="113"/>
      <c r="G59" s="260"/>
      <c r="H59" s="259"/>
      <c r="I59" s="240"/>
      <c r="J59" s="113"/>
      <c r="K59" s="241">
        <v>0.04</v>
      </c>
      <c r="L59" s="240">
        <v>6.94</v>
      </c>
      <c r="M59" s="241"/>
      <c r="N59" s="18"/>
      <c r="O59" s="113"/>
      <c r="P59" s="260"/>
      <c r="Q59" s="259"/>
      <c r="R59" s="241">
        <v>0.01</v>
      </c>
      <c r="S59" s="7" t="s">
        <v>106</v>
      </c>
      <c r="T59" s="113"/>
      <c r="U59" s="260"/>
      <c r="V59" s="259"/>
      <c r="W59" s="241">
        <f>U53-W55-W53-W57-W58-W54</f>
        <v>0.71</v>
      </c>
      <c r="X59" s="7" t="s">
        <v>106</v>
      </c>
      <c r="Y59" s="113"/>
      <c r="Z59" s="260"/>
      <c r="AA59" s="259"/>
      <c r="AB59" s="241">
        <f>Z53-AB57-AB53-AB54</f>
        <v>0.89999999999999991</v>
      </c>
      <c r="AC59" s="7" t="s">
        <v>106</v>
      </c>
      <c r="AD59" s="113"/>
      <c r="AE59" s="260"/>
      <c r="AF59" s="259"/>
      <c r="AG59" s="114">
        <f>AE56</f>
        <v>0.94</v>
      </c>
      <c r="AH59" s="7" t="s">
        <v>106</v>
      </c>
      <c r="AI59" s="141"/>
    </row>
    <row r="60" spans="1:42" s="25" customFormat="1" ht="15.75" thickBot="1" x14ac:dyDescent="0.3">
      <c r="A60" s="261">
        <v>16</v>
      </c>
      <c r="B60" s="260">
        <v>3.92</v>
      </c>
      <c r="C60" s="259">
        <v>7.08</v>
      </c>
      <c r="D60" s="240">
        <f>B60/2</f>
        <v>1.96</v>
      </c>
      <c r="E60" s="6" t="s">
        <v>48</v>
      </c>
      <c r="F60" s="113"/>
      <c r="G60" s="260">
        <v>3.78</v>
      </c>
      <c r="H60" s="259">
        <v>6.97</v>
      </c>
      <c r="I60" s="80"/>
      <c r="J60" s="113"/>
      <c r="K60" s="260">
        <v>3.88</v>
      </c>
      <c r="L60" s="259">
        <v>7.02</v>
      </c>
      <c r="M60" s="241">
        <f>K60/2</f>
        <v>1.94</v>
      </c>
      <c r="N60" s="6" t="s">
        <v>48</v>
      </c>
      <c r="O60" s="113"/>
      <c r="P60" s="260">
        <v>3.16</v>
      </c>
      <c r="Q60" s="259">
        <v>7.04</v>
      </c>
      <c r="R60" s="241">
        <f>M60</f>
        <v>1.94</v>
      </c>
      <c r="S60" s="6" t="s">
        <v>48</v>
      </c>
      <c r="T60" s="113"/>
      <c r="U60" s="260">
        <v>4.9800000000000004</v>
      </c>
      <c r="V60" s="259">
        <v>7.04</v>
      </c>
      <c r="W60" s="241">
        <f>R60</f>
        <v>1.94</v>
      </c>
      <c r="X60" s="6" t="s">
        <v>48</v>
      </c>
      <c r="Y60" s="113"/>
      <c r="Z60" s="260">
        <v>4.1500000000000004</v>
      </c>
      <c r="AA60" s="259">
        <v>6.91</v>
      </c>
      <c r="AB60" s="241">
        <f>W60</f>
        <v>1.94</v>
      </c>
      <c r="AC60" s="6" t="s">
        <v>48</v>
      </c>
      <c r="AD60" s="113"/>
      <c r="AE60" s="260">
        <v>3.87</v>
      </c>
      <c r="AF60" s="259">
        <v>7.06</v>
      </c>
      <c r="AG60" s="114">
        <f>AE60/2</f>
        <v>1.9350000000000001</v>
      </c>
      <c r="AH60" s="6" t="s">
        <v>48</v>
      </c>
      <c r="AI60" s="141"/>
    </row>
    <row r="61" spans="1:42" s="25" customFormat="1" x14ac:dyDescent="0.25">
      <c r="A61" s="261"/>
      <c r="B61" s="260"/>
      <c r="C61" s="259"/>
      <c r="D61" s="240">
        <f>D60</f>
        <v>1.96</v>
      </c>
      <c r="E61" s="6" t="s">
        <v>49</v>
      </c>
      <c r="F61" s="113"/>
      <c r="G61" s="260"/>
      <c r="H61" s="259"/>
      <c r="I61" s="80"/>
      <c r="J61" s="113"/>
      <c r="K61" s="260"/>
      <c r="L61" s="259"/>
      <c r="M61" s="241">
        <f>M60</f>
        <v>1.94</v>
      </c>
      <c r="N61" s="6" t="s">
        <v>49</v>
      </c>
      <c r="O61" s="113"/>
      <c r="P61" s="260"/>
      <c r="Q61" s="259"/>
      <c r="R61" s="241">
        <f>M61</f>
        <v>1.94</v>
      </c>
      <c r="S61" s="6" t="s">
        <v>49</v>
      </c>
      <c r="T61" s="113"/>
      <c r="U61" s="260"/>
      <c r="V61" s="259"/>
      <c r="W61" s="241">
        <f>W60</f>
        <v>1.94</v>
      </c>
      <c r="X61" s="6" t="s">
        <v>49</v>
      </c>
      <c r="Y61" s="113"/>
      <c r="Z61" s="260"/>
      <c r="AA61" s="259"/>
      <c r="AB61" s="241">
        <f>AB60</f>
        <v>1.94</v>
      </c>
      <c r="AC61" s="6" t="s">
        <v>49</v>
      </c>
      <c r="AD61" s="113"/>
      <c r="AE61" s="260"/>
      <c r="AF61" s="259"/>
      <c r="AG61" s="114">
        <v>2.1</v>
      </c>
      <c r="AH61" s="6" t="s">
        <v>49</v>
      </c>
      <c r="AI61" s="141"/>
      <c r="AJ61" s="153" t="s">
        <v>277</v>
      </c>
      <c r="AK61" s="41" t="s">
        <v>1</v>
      </c>
      <c r="AL61" s="38" t="s">
        <v>2</v>
      </c>
      <c r="AM61" s="41" t="s">
        <v>4</v>
      </c>
      <c r="AN61" s="21"/>
      <c r="AO61" s="21"/>
    </row>
    <row r="62" spans="1:42" s="25" customFormat="1" x14ac:dyDescent="0.25">
      <c r="A62" s="261"/>
      <c r="B62" s="260"/>
      <c r="C62" s="259"/>
      <c r="D62" s="240"/>
      <c r="E62" s="24"/>
      <c r="F62" s="113"/>
      <c r="G62" s="260"/>
      <c r="H62" s="259"/>
      <c r="I62" s="240"/>
      <c r="J62" s="113"/>
      <c r="K62" s="260"/>
      <c r="L62" s="259"/>
      <c r="M62" s="241"/>
      <c r="N62" s="24"/>
      <c r="O62" s="113"/>
      <c r="P62" s="260"/>
      <c r="Q62" s="259"/>
      <c r="R62" s="241"/>
      <c r="S62" s="240"/>
      <c r="T62" s="113"/>
      <c r="U62" s="260"/>
      <c r="V62" s="259"/>
      <c r="W62" s="241"/>
      <c r="X62" s="240"/>
      <c r="Y62" s="113"/>
      <c r="Z62" s="260"/>
      <c r="AA62" s="259"/>
      <c r="AB62" s="241"/>
      <c r="AC62" s="240"/>
      <c r="AD62" s="113"/>
      <c r="AE62" s="260"/>
      <c r="AF62" s="259"/>
      <c r="AG62" s="114"/>
      <c r="AH62" s="24"/>
      <c r="AI62" s="141"/>
      <c r="AJ62" s="111" t="s">
        <v>272</v>
      </c>
      <c r="AK62" s="19">
        <f ca="1">D4+D35+D60+D61+D78+D93+D97+D129+D132+D160+D94+D10+D16+D17+D23+D26+D32+D34+D41+D42+D53+D54+D79</f>
        <v>20.010000000000005</v>
      </c>
      <c r="AL62" s="19">
        <f ca="1">M4+M35+M60+M61+M78+M93+M97+M129+M132+M160+M94+M10+M16+M17+M23+M26+M32+M34+M41+M53+M54+M79+M42</f>
        <v>19.662499999999998</v>
      </c>
      <c r="AM62" s="19">
        <f>R4+R35+R60+R61+R78+R93+R97+R129+R132+R160+R94+R10+R16+R17+R23+R26+R32+R34+R41+R53+R54+R79+R42+R57+R24</f>
        <v>21.376666666666672</v>
      </c>
      <c r="AN62" s="19">
        <f ca="1">AVERAGE(AK62:AM62)</f>
        <v>20.349722222222223</v>
      </c>
      <c r="AO62" s="21" t="s">
        <v>297</v>
      </c>
    </row>
    <row r="63" spans="1:42" s="25" customFormat="1" x14ac:dyDescent="0.25">
      <c r="A63" s="261">
        <v>17</v>
      </c>
      <c r="B63" s="260">
        <v>2.66</v>
      </c>
      <c r="C63" s="259">
        <v>7.13</v>
      </c>
      <c r="D63" s="240">
        <f>B63</f>
        <v>2.66</v>
      </c>
      <c r="E63" s="54" t="s">
        <v>34</v>
      </c>
      <c r="F63" s="113"/>
      <c r="G63" s="260"/>
      <c r="H63" s="259"/>
      <c r="I63" s="240"/>
      <c r="J63" s="113"/>
      <c r="K63" s="260">
        <v>2.66</v>
      </c>
      <c r="L63" s="259">
        <v>7.08</v>
      </c>
      <c r="M63" s="241">
        <f>K63-M66</f>
        <v>2.6500000000000004</v>
      </c>
      <c r="N63" s="54" t="s">
        <v>34</v>
      </c>
      <c r="O63" s="113"/>
      <c r="P63" s="260">
        <v>4.07</v>
      </c>
      <c r="Q63" s="259">
        <v>7.12</v>
      </c>
      <c r="R63" s="241">
        <v>0.77</v>
      </c>
      <c r="S63" s="54" t="s">
        <v>34</v>
      </c>
      <c r="T63" s="113"/>
      <c r="U63" s="260">
        <v>3.57</v>
      </c>
      <c r="V63" s="259">
        <v>7.11</v>
      </c>
      <c r="W63" s="241">
        <f>U63-W66+U60-W60-W61</f>
        <v>3.0900000000000012</v>
      </c>
      <c r="X63" s="54" t="s">
        <v>34</v>
      </c>
      <c r="Y63" s="113"/>
      <c r="Z63" s="260">
        <v>3.48</v>
      </c>
      <c r="AA63" s="259">
        <v>6.98</v>
      </c>
      <c r="AB63" s="241">
        <f>Z63+Z60-AB60-AB61</f>
        <v>3.7500000000000013</v>
      </c>
      <c r="AC63" s="54" t="s">
        <v>34</v>
      </c>
      <c r="AD63" s="113"/>
      <c r="AE63" s="260">
        <v>2.1</v>
      </c>
      <c r="AF63" s="259">
        <v>7.1</v>
      </c>
      <c r="AG63" s="114">
        <f>AE60+AE63-AG60-AG61</f>
        <v>1.9350000000000001</v>
      </c>
      <c r="AH63" s="54" t="s">
        <v>34</v>
      </c>
      <c r="AI63" s="141"/>
      <c r="AJ63" s="111" t="s">
        <v>273</v>
      </c>
      <c r="AK63" s="19">
        <f ca="1">D33+D38+D40+D48+D49+D51+D70+D71+D82+D85+D86+D95+D96+D98+D100+D124+D128+D130</f>
        <v>4.6605555555555567</v>
      </c>
      <c r="AL63" s="19">
        <f ca="1">M33+M38+M40+M48+M49+M51+M70+M71+M82+M85+M86+M95+M96+M98+M100+M124+M128+M130</f>
        <v>4.1172222222222228</v>
      </c>
      <c r="AM63" s="19">
        <f>R33+R38+R40+R48+R49+R51+R70+R71+R82+R85+R86+R95+R96+R98+R100+R124+R128+R130+R58+R59+R73+R75+R87</f>
        <v>4.7883333333333331</v>
      </c>
      <c r="AN63" s="19">
        <f ca="1">AVERAGE(AK63:AM63)</f>
        <v>4.5220370370370375</v>
      </c>
      <c r="AO63" s="21" t="s">
        <v>300</v>
      </c>
    </row>
    <row r="64" spans="1:42" s="25" customFormat="1" x14ac:dyDescent="0.25">
      <c r="A64" s="261"/>
      <c r="B64" s="260"/>
      <c r="C64" s="259"/>
      <c r="D64" s="240"/>
      <c r="E64" s="241"/>
      <c r="F64" s="113"/>
      <c r="G64" s="260"/>
      <c r="H64" s="259"/>
      <c r="I64" s="240"/>
      <c r="J64" s="113"/>
      <c r="K64" s="260"/>
      <c r="L64" s="259"/>
      <c r="M64" s="241"/>
      <c r="N64" s="241"/>
      <c r="O64" s="113"/>
      <c r="P64" s="260"/>
      <c r="Q64" s="259"/>
      <c r="R64" s="241"/>
      <c r="S64" s="240"/>
      <c r="T64" s="113"/>
      <c r="U64" s="260"/>
      <c r="V64" s="259"/>
      <c r="W64" s="241"/>
      <c r="X64" s="240"/>
      <c r="Y64" s="113"/>
      <c r="Z64" s="260"/>
      <c r="AA64" s="259"/>
      <c r="AB64" s="241"/>
      <c r="AC64" s="241"/>
      <c r="AD64" s="113"/>
      <c r="AE64" s="260"/>
      <c r="AF64" s="259"/>
      <c r="AG64" s="114"/>
      <c r="AH64" s="241"/>
      <c r="AI64" s="141"/>
      <c r="AJ64" s="111" t="s">
        <v>274</v>
      </c>
      <c r="AK64" s="19">
        <f ca="1">D66+D72+D77+D80+D81+D83+D84+D89+D101+D102+D103+D105+D107+D112+D115+D121+D119+D120+D125+D117+D123+D122+D126+D133+D134+D138+D139+D142+D143+D144+D146+D147+D150+D151+D152+D153+D154+D161+D162+D163+D168+D176+D178+D179+D205+D207</f>
        <v>12.333611111111111</v>
      </c>
      <c r="AL64" s="19">
        <f ca="1">M66+M72+M77+M80+M81+M83+M84+M89+M101+M102+M103+M105+M107+M112+M115+M121+M119+M120+M125+M117+M123+M122+M126+M133+M134+M138+M139+M142+M143+M144+M146+M147+M150+M151+M152+M153+M154+M161+M162+M163+M168+M176+M178+M179+M205+M207+M175</f>
        <v>15.197222222222223</v>
      </c>
      <c r="AM64" s="19">
        <f>R66+R72+R77+R80+R81+R83+R84+R89+R101+R102+R103+R104+R107+R112+R115+R121+R125+R117+R122+R126+R133+R134+R138+R139+R142+R143+R144+R146+R147+R150+R151+R152+R153+R154+R161+R162+R163+R169+R176+R178+R179+R205+R207+R175</f>
        <v>10.02</v>
      </c>
      <c r="AN64" s="19">
        <f ca="1">AVERAGE(AK64:AM64)</f>
        <v>12.670277777777777</v>
      </c>
      <c r="AO64" s="21" t="s">
        <v>301</v>
      </c>
    </row>
    <row r="65" spans="1:41" s="25" customFormat="1" x14ac:dyDescent="0.25">
      <c r="A65" s="261"/>
      <c r="B65" s="260"/>
      <c r="C65" s="259"/>
      <c r="D65" s="240"/>
      <c r="E65" s="241"/>
      <c r="F65" s="113"/>
      <c r="G65" s="260"/>
      <c r="H65" s="259"/>
      <c r="I65" s="240"/>
      <c r="J65" s="113"/>
      <c r="K65" s="260"/>
      <c r="L65" s="259"/>
      <c r="M65" s="241"/>
      <c r="N65" s="241"/>
      <c r="O65" s="113"/>
      <c r="P65" s="260"/>
      <c r="Q65" s="259"/>
      <c r="R65" s="241"/>
      <c r="S65" s="24"/>
      <c r="T65" s="113"/>
      <c r="U65" s="260"/>
      <c r="V65" s="259"/>
      <c r="W65" s="241"/>
      <c r="X65" s="24"/>
      <c r="Y65" s="113"/>
      <c r="Z65" s="260"/>
      <c r="AA65" s="259"/>
      <c r="AB65" s="241"/>
      <c r="AC65" s="241"/>
      <c r="AD65" s="113"/>
      <c r="AE65" s="260"/>
      <c r="AF65" s="259"/>
      <c r="AG65" s="114"/>
      <c r="AH65" s="241"/>
      <c r="AI65" s="141"/>
      <c r="AJ65" s="111" t="s">
        <v>275</v>
      </c>
      <c r="AK65" s="19">
        <f ca="1">D233+D228+D226+D220+D218+D206+D202+D201+D200+D192+D190+D182+D181+D164+D159+D156+D155+D149+D140+D136+D135+D131+D127+D111+D110+D109</f>
        <v>9.5558333333333323</v>
      </c>
      <c r="AL65" s="19">
        <f ca="1">M233+M228+M226+M220+M218+M206+M202+M201+M200+M192+M190+M182+M181+M164+M159+M156+M155+M149+M140+M136+M135+M131+M127+M111+M110+M109+M180</f>
        <v>8.2830555555555563</v>
      </c>
      <c r="AM65" s="19">
        <f>R233+R228+R226+R220+R218+R206+R202+R201+R200+R191+R182+R181+R164+R159+R156+R155+R148+R140+R118+R119+R131+R127+R111+R110+R109+R180+R105</f>
        <v>6.620000000000001</v>
      </c>
      <c r="AN65" s="19">
        <f ca="1">AVERAGE(AK65:AM65)</f>
        <v>8.1529629629629632</v>
      </c>
      <c r="AO65" s="21" t="s">
        <v>298</v>
      </c>
    </row>
    <row r="66" spans="1:41" s="25" customFormat="1" x14ac:dyDescent="0.25">
      <c r="A66" s="261"/>
      <c r="B66" s="260"/>
      <c r="C66" s="259"/>
      <c r="D66" s="241">
        <v>0.01</v>
      </c>
      <c r="E66" s="63" t="s">
        <v>405</v>
      </c>
      <c r="F66" s="113"/>
      <c r="G66" s="260"/>
      <c r="H66" s="259"/>
      <c r="I66" s="240"/>
      <c r="J66" s="113"/>
      <c r="K66" s="260"/>
      <c r="L66" s="259"/>
      <c r="M66" s="241">
        <f>D66</f>
        <v>0.01</v>
      </c>
      <c r="N66" s="63" t="s">
        <v>405</v>
      </c>
      <c r="O66" s="113"/>
      <c r="P66" s="260"/>
      <c r="Q66" s="259"/>
      <c r="R66" s="241">
        <v>1.58</v>
      </c>
      <c r="S66" s="63" t="s">
        <v>222</v>
      </c>
      <c r="T66" s="113"/>
      <c r="U66" s="260"/>
      <c r="V66" s="259"/>
      <c r="W66" s="241">
        <f>R66</f>
        <v>1.58</v>
      </c>
      <c r="X66" s="63" t="s">
        <v>222</v>
      </c>
      <c r="Y66" s="113"/>
      <c r="Z66" s="260"/>
      <c r="AA66" s="259"/>
      <c r="AB66" s="24"/>
      <c r="AC66" s="24"/>
      <c r="AD66" s="113"/>
      <c r="AE66" s="260"/>
      <c r="AF66" s="259"/>
      <c r="AG66" s="114"/>
      <c r="AH66" s="240"/>
      <c r="AI66" s="141"/>
      <c r="AJ66" s="111" t="s">
        <v>276</v>
      </c>
      <c r="AK66" s="19">
        <f>D230+D221+D210+D203+D184+D183+D145</f>
        <v>1.85</v>
      </c>
      <c r="AL66" s="19">
        <f>M230+M221+M210+M203+M184+M183+M145</f>
        <v>1.73</v>
      </c>
      <c r="AM66" s="19">
        <f>R230+R221+R210+R203+R184+R183+R145+R168</f>
        <v>2.36</v>
      </c>
      <c r="AN66" s="19">
        <f>AVERAGE(AK66:AM66)</f>
        <v>1.9799999999999998</v>
      </c>
      <c r="AO66" s="21" t="s">
        <v>299</v>
      </c>
    </row>
    <row r="67" spans="1:41" s="25" customFormat="1" x14ac:dyDescent="0.25">
      <c r="A67" s="261">
        <v>18</v>
      </c>
      <c r="B67" s="260">
        <v>0.08</v>
      </c>
      <c r="C67" s="259">
        <v>7.32</v>
      </c>
      <c r="D67" s="240"/>
      <c r="E67" s="240"/>
      <c r="F67" s="113"/>
      <c r="G67" s="260">
        <v>1.1000000000000001</v>
      </c>
      <c r="H67" s="259">
        <v>7.18</v>
      </c>
      <c r="I67" s="240"/>
      <c r="J67" s="113"/>
      <c r="K67" s="260">
        <v>7.0000000000000007E-2</v>
      </c>
      <c r="L67" s="259">
        <v>7.17</v>
      </c>
      <c r="M67" s="241"/>
      <c r="N67" s="240"/>
      <c r="O67" s="113"/>
      <c r="P67" s="260">
        <v>0.17</v>
      </c>
      <c r="Q67" s="259">
        <v>7.24</v>
      </c>
      <c r="R67" s="241"/>
      <c r="S67" s="24"/>
      <c r="T67" s="113"/>
      <c r="U67" s="260">
        <v>0.14000000000000001</v>
      </c>
      <c r="V67" s="259">
        <v>7.26</v>
      </c>
      <c r="W67" s="241"/>
      <c r="X67" s="24"/>
      <c r="Y67" s="113"/>
      <c r="Z67" s="260">
        <v>0.17</v>
      </c>
      <c r="AA67" s="259">
        <v>7.12</v>
      </c>
      <c r="AB67" s="241"/>
      <c r="AC67" s="240"/>
      <c r="AD67" s="113"/>
      <c r="AE67" s="260">
        <v>0.04</v>
      </c>
      <c r="AF67" s="259">
        <v>7.27</v>
      </c>
      <c r="AG67" s="114"/>
      <c r="AH67" s="114"/>
      <c r="AI67" s="141"/>
      <c r="AJ67" s="111" t="s">
        <v>555</v>
      </c>
      <c r="AK67" s="21"/>
      <c r="AL67" s="21"/>
      <c r="AM67" s="21"/>
      <c r="AN67" s="19">
        <f>R33+R38+R40+R48+R49+R51+R58+R66+R75+R77+R81+R83+R84+R86+R87+R89+R88+R105+R110+R118+R119+R131+R145+R148+R175+R183+R184</f>
        <v>14.013333333333334</v>
      </c>
      <c r="AO67" s="21"/>
    </row>
    <row r="68" spans="1:41" s="25" customFormat="1" x14ac:dyDescent="0.25">
      <c r="A68" s="261"/>
      <c r="B68" s="260"/>
      <c r="C68" s="259"/>
      <c r="D68" s="240"/>
      <c r="E68" s="24"/>
      <c r="F68" s="113"/>
      <c r="G68" s="260"/>
      <c r="H68" s="259"/>
      <c r="I68" s="240"/>
      <c r="J68" s="113"/>
      <c r="K68" s="260"/>
      <c r="L68" s="259"/>
      <c r="M68" s="241"/>
      <c r="N68" s="24"/>
      <c r="O68" s="113"/>
      <c r="P68" s="260"/>
      <c r="Q68" s="259"/>
      <c r="R68" s="241"/>
      <c r="S68" s="240"/>
      <c r="T68" s="113"/>
      <c r="U68" s="260"/>
      <c r="V68" s="259"/>
      <c r="W68" s="241"/>
      <c r="X68" s="240"/>
      <c r="Y68" s="113"/>
      <c r="Z68" s="260"/>
      <c r="AA68" s="259"/>
      <c r="AB68" s="24"/>
      <c r="AC68" s="24"/>
      <c r="AD68" s="113"/>
      <c r="AE68" s="260"/>
      <c r="AF68" s="259"/>
      <c r="AG68" s="114"/>
      <c r="AH68" s="114"/>
      <c r="AI68" s="141"/>
      <c r="AJ68" s="111" t="s">
        <v>556</v>
      </c>
      <c r="AN68" s="26">
        <f>R72+R100+R153+R168+R210+R226</f>
        <v>3.28</v>
      </c>
    </row>
    <row r="69" spans="1:41" s="25" customFormat="1" x14ac:dyDescent="0.25">
      <c r="A69" s="261">
        <v>19</v>
      </c>
      <c r="B69" s="260">
        <v>0.48</v>
      </c>
      <c r="C69" s="259">
        <v>7.36</v>
      </c>
      <c r="D69" s="240"/>
      <c r="E69" s="18"/>
      <c r="F69" s="113"/>
      <c r="G69" s="260"/>
      <c r="H69" s="259"/>
      <c r="I69" s="240"/>
      <c r="J69" s="113"/>
      <c r="K69" s="260"/>
      <c r="L69" s="259"/>
      <c r="M69" s="241"/>
      <c r="N69" s="18"/>
      <c r="O69" s="113"/>
      <c r="P69" s="260">
        <v>0.6</v>
      </c>
      <c r="Q69" s="259">
        <v>7.33</v>
      </c>
      <c r="R69" s="241"/>
      <c r="S69" s="8"/>
      <c r="T69" s="113"/>
      <c r="U69" s="260">
        <v>0.92</v>
      </c>
      <c r="V69" s="259">
        <v>7.33</v>
      </c>
      <c r="W69" s="241"/>
      <c r="X69" s="8"/>
      <c r="Y69" s="113"/>
      <c r="Z69" s="260">
        <v>0.48</v>
      </c>
      <c r="AA69" s="259">
        <v>7.2</v>
      </c>
      <c r="AB69" s="24"/>
      <c r="AC69" s="24"/>
      <c r="AD69" s="113"/>
      <c r="AE69" s="260">
        <v>0.27</v>
      </c>
      <c r="AF69" s="259">
        <v>7.33</v>
      </c>
      <c r="AG69" s="114"/>
      <c r="AH69" s="114"/>
      <c r="AI69" s="141"/>
      <c r="AJ69" s="111" t="s">
        <v>286</v>
      </c>
      <c r="AN69" s="26">
        <f>R109</f>
        <v>0.5</v>
      </c>
    </row>
    <row r="70" spans="1:41" s="25" customFormat="1" x14ac:dyDescent="0.25">
      <c r="A70" s="261"/>
      <c r="B70" s="260"/>
      <c r="C70" s="259"/>
      <c r="D70" s="240">
        <f>R70</f>
        <v>0.15</v>
      </c>
      <c r="E70" s="10" t="s">
        <v>338</v>
      </c>
      <c r="F70" s="113"/>
      <c r="G70" s="260"/>
      <c r="H70" s="259"/>
      <c r="I70" s="240"/>
      <c r="J70" s="113"/>
      <c r="K70" s="260">
        <v>0.77</v>
      </c>
      <c r="L70" s="259">
        <v>7.29</v>
      </c>
      <c r="M70" s="241">
        <f>D70</f>
        <v>0.15</v>
      </c>
      <c r="N70" s="10" t="s">
        <v>338</v>
      </c>
      <c r="O70" s="113"/>
      <c r="P70" s="260"/>
      <c r="Q70" s="259"/>
      <c r="R70" s="241">
        <v>0.15</v>
      </c>
      <c r="S70" s="10" t="s">
        <v>338</v>
      </c>
      <c r="T70" s="113"/>
      <c r="U70" s="260"/>
      <c r="V70" s="259"/>
      <c r="W70" s="241">
        <f>W71</f>
        <v>0.1575</v>
      </c>
      <c r="X70" s="10" t="s">
        <v>338</v>
      </c>
      <c r="Y70" s="113"/>
      <c r="Z70" s="260"/>
      <c r="AA70" s="259"/>
      <c r="AB70" s="241">
        <f>R70</f>
        <v>0.15</v>
      </c>
      <c r="AC70" s="10" t="s">
        <v>338</v>
      </c>
      <c r="AD70" s="113"/>
      <c r="AE70" s="260"/>
      <c r="AF70" s="259"/>
      <c r="AG70" s="114">
        <f>(AE69+AE75)/4</f>
        <v>0.10250000000000001</v>
      </c>
      <c r="AH70" s="10" t="s">
        <v>338</v>
      </c>
      <c r="AI70" s="141"/>
      <c r="AJ70" s="111" t="s">
        <v>547</v>
      </c>
      <c r="AN70" s="26">
        <f>R33+R38+R40+R48+R49+R51+R58+R66+R75+R77+R81+R83+R84+R86+R87+R89+R88+R105+R110+R118+R119+R131+R145+R148+R175+R183+R184+R72+R100+R153+R168+R210+R226+R109+R70+R71+R73+R80+R82+R85+R101+R112+R117+R121+R122+R125+R127+R134+R137+R139+R140+R142+R147+R159+R163+R180+R191+R221</f>
        <v>24.46833333333333</v>
      </c>
    </row>
    <row r="71" spans="1:41" s="25" customFormat="1" ht="15.75" thickBot="1" x14ac:dyDescent="0.3">
      <c r="A71" s="261"/>
      <c r="B71" s="260"/>
      <c r="C71" s="259"/>
      <c r="D71" s="240">
        <f>R71</f>
        <v>0.15</v>
      </c>
      <c r="E71" s="7" t="s">
        <v>75</v>
      </c>
      <c r="F71" s="113"/>
      <c r="G71" s="260"/>
      <c r="H71" s="259"/>
      <c r="I71" s="240"/>
      <c r="J71" s="113"/>
      <c r="K71" s="260"/>
      <c r="L71" s="259"/>
      <c r="M71" s="241">
        <f>D71</f>
        <v>0.15</v>
      </c>
      <c r="N71" s="7" t="s">
        <v>75</v>
      </c>
      <c r="O71" s="113"/>
      <c r="P71" s="260"/>
      <c r="Q71" s="259"/>
      <c r="R71" s="241">
        <v>0.15</v>
      </c>
      <c r="S71" s="7" t="s">
        <v>75</v>
      </c>
      <c r="T71" s="113"/>
      <c r="U71" s="260"/>
      <c r="V71" s="259"/>
      <c r="W71" s="241">
        <f>W72</f>
        <v>0.1575</v>
      </c>
      <c r="X71" s="7" t="s">
        <v>75</v>
      </c>
      <c r="Y71" s="113"/>
      <c r="Z71" s="260"/>
      <c r="AA71" s="259"/>
      <c r="AB71" s="241">
        <f>Z69+Z67+Z75-AB74-AB73-AB70+Z76</f>
        <v>0.79999999999999993</v>
      </c>
      <c r="AC71" s="7" t="s">
        <v>75</v>
      </c>
      <c r="AD71" s="113"/>
      <c r="AE71" s="260"/>
      <c r="AF71" s="259"/>
      <c r="AG71" s="114">
        <f>AG70</f>
        <v>0.10250000000000001</v>
      </c>
      <c r="AH71" s="7" t="s">
        <v>75</v>
      </c>
      <c r="AI71" s="141"/>
    </row>
    <row r="72" spans="1:41" s="25" customFormat="1" x14ac:dyDescent="0.25">
      <c r="A72" s="261"/>
      <c r="B72" s="260"/>
      <c r="C72" s="259"/>
      <c r="D72" s="240">
        <f>B69-D71-D70</f>
        <v>0.17999999999999997</v>
      </c>
      <c r="E72" s="14" t="s">
        <v>420</v>
      </c>
      <c r="F72" s="113"/>
      <c r="G72" s="260"/>
      <c r="H72" s="259"/>
      <c r="I72" s="240"/>
      <c r="J72" s="113"/>
      <c r="K72" s="260"/>
      <c r="L72" s="259"/>
      <c r="M72" s="241">
        <f>K70-M71-M70</f>
        <v>0.47</v>
      </c>
      <c r="N72" s="14" t="s">
        <v>420</v>
      </c>
      <c r="O72" s="113"/>
      <c r="P72" s="260"/>
      <c r="Q72" s="259"/>
      <c r="R72" s="241">
        <v>1.4</v>
      </c>
      <c r="S72" s="14" t="s">
        <v>501</v>
      </c>
      <c r="T72" s="113"/>
      <c r="U72" s="260"/>
      <c r="V72" s="259"/>
      <c r="W72" s="241">
        <f>W73</f>
        <v>0.1575</v>
      </c>
      <c r="X72" s="14" t="s">
        <v>129</v>
      </c>
      <c r="Y72" s="113"/>
      <c r="Z72" s="260"/>
      <c r="AA72" s="259"/>
      <c r="AB72" s="24"/>
      <c r="AC72" s="24"/>
      <c r="AD72" s="113"/>
      <c r="AE72" s="260"/>
      <c r="AF72" s="259"/>
      <c r="AG72" s="24"/>
      <c r="AH72" s="24"/>
      <c r="AI72" s="141"/>
      <c r="AJ72" s="153" t="s">
        <v>278</v>
      </c>
      <c r="AK72" s="184" t="s">
        <v>1</v>
      </c>
      <c r="AL72" s="21"/>
      <c r="AM72" s="21"/>
      <c r="AN72" s="21"/>
      <c r="AO72" s="21"/>
    </row>
    <row r="73" spans="1:41" s="25" customFormat="1" x14ac:dyDescent="0.25">
      <c r="A73" s="261"/>
      <c r="B73" s="260"/>
      <c r="C73" s="259"/>
      <c r="D73" s="24"/>
      <c r="E73" s="24"/>
      <c r="F73" s="113"/>
      <c r="G73" s="260"/>
      <c r="H73" s="259"/>
      <c r="I73" s="240"/>
      <c r="J73" s="113"/>
      <c r="K73" s="260"/>
      <c r="L73" s="259"/>
      <c r="M73" s="24"/>
      <c r="N73" s="24"/>
      <c r="O73" s="113"/>
      <c r="P73" s="260"/>
      <c r="Q73" s="259"/>
      <c r="R73" s="241">
        <v>0.15</v>
      </c>
      <c r="S73" s="249" t="s">
        <v>211</v>
      </c>
      <c r="T73" s="113"/>
      <c r="U73" s="260"/>
      <c r="V73" s="259"/>
      <c r="W73" s="241">
        <f>(U69-W74)/4</f>
        <v>0.1575</v>
      </c>
      <c r="X73" s="249" t="s">
        <v>211</v>
      </c>
      <c r="Y73" s="113"/>
      <c r="Z73" s="260"/>
      <c r="AA73" s="259"/>
      <c r="AB73" s="241">
        <f>R73</f>
        <v>0.15</v>
      </c>
      <c r="AC73" s="249" t="s">
        <v>211</v>
      </c>
      <c r="AD73" s="113"/>
      <c r="AE73" s="260"/>
      <c r="AF73" s="259"/>
      <c r="AG73" s="114">
        <f>AG70</f>
        <v>0.10250000000000001</v>
      </c>
      <c r="AH73" s="249" t="s">
        <v>211</v>
      </c>
      <c r="AI73" s="141"/>
      <c r="AJ73" s="111" t="s">
        <v>279</v>
      </c>
      <c r="AK73" s="19">
        <f ca="1">D4+D35+D60+D61+D78+D93+D97+D129+D132+D160+D94+D10+D16+D17+D23+D26+D32+D34+D41+D42+D53+D54+D79+D33+D38+D40+D48+D49+D51+D66+D70+D71+D72+D77+D80+D81+D82+D83+D84+D85+D86+D89+D100+D101+D109+D110+D111+D112+D121+D125+D117+D122+D127+D131+D134+D139+D142+D145+D147+D153+D159+D163+D183+D184+D210+D221+D226</f>
        <v>31.558333333333337</v>
      </c>
      <c r="AL73" s="21"/>
      <c r="AM73" s="21"/>
      <c r="AN73" s="21"/>
      <c r="AO73" s="21" t="s">
        <v>302</v>
      </c>
    </row>
    <row r="74" spans="1:41" s="25" customFormat="1" x14ac:dyDescent="0.25">
      <c r="A74" s="261"/>
      <c r="B74" s="260"/>
      <c r="C74" s="259"/>
      <c r="D74" s="24"/>
      <c r="E74" s="24"/>
      <c r="F74" s="113"/>
      <c r="G74" s="260"/>
      <c r="H74" s="259"/>
      <c r="I74" s="240"/>
      <c r="J74" s="113"/>
      <c r="K74" s="260"/>
      <c r="L74" s="259"/>
      <c r="M74" s="24"/>
      <c r="N74" s="24"/>
      <c r="O74" s="113"/>
      <c r="P74" s="241">
        <v>0.23</v>
      </c>
      <c r="Q74" s="240">
        <v>7.38</v>
      </c>
      <c r="R74" s="24"/>
      <c r="S74" s="24"/>
      <c r="T74" s="113"/>
      <c r="U74" s="260"/>
      <c r="V74" s="259"/>
      <c r="W74" s="19">
        <f>R105-W105</f>
        <v>0.29000000000000004</v>
      </c>
      <c r="X74" s="68" t="s">
        <v>98</v>
      </c>
      <c r="Y74" s="113"/>
      <c r="Z74" s="260"/>
      <c r="AA74" s="259"/>
      <c r="AB74" s="241">
        <v>0.56999999999999995</v>
      </c>
      <c r="AC74" s="68" t="s">
        <v>98</v>
      </c>
      <c r="AD74" s="113"/>
      <c r="AE74" s="260"/>
      <c r="AF74" s="259"/>
      <c r="AG74" s="114">
        <f>AG70</f>
        <v>0.10250000000000001</v>
      </c>
      <c r="AH74" s="68" t="s">
        <v>98</v>
      </c>
      <c r="AI74" s="141"/>
      <c r="AJ74" s="111" t="s">
        <v>280</v>
      </c>
      <c r="AK74" s="19">
        <f ca="1">D95+D96+D98+D102+D103+D105+D107+D115+D119+D120+D123+D124+D126+D128+D130+D133+D135+D136+D140+D143+D144+D149+D150+D151+D154+D155+D156+D161+D164+D181+D182+D192+D201+D203+D205+D230</f>
        <v>9.6808333333333323</v>
      </c>
      <c r="AL74" s="21"/>
      <c r="AM74" s="21"/>
      <c r="AN74" s="21"/>
      <c r="AO74" s="21" t="s">
        <v>303</v>
      </c>
    </row>
    <row r="75" spans="1:41" s="25" customFormat="1" x14ac:dyDescent="0.25">
      <c r="A75" s="261">
        <v>20</v>
      </c>
      <c r="B75" s="260">
        <v>0.06</v>
      </c>
      <c r="C75" s="259">
        <v>7.48</v>
      </c>
      <c r="D75" s="240"/>
      <c r="E75" s="240"/>
      <c r="F75" s="113"/>
      <c r="G75" s="260">
        <v>0.18</v>
      </c>
      <c r="H75" s="259">
        <v>7.29</v>
      </c>
      <c r="I75" s="240"/>
      <c r="J75" s="113"/>
      <c r="K75" s="260">
        <v>0.15</v>
      </c>
      <c r="L75" s="259">
        <v>7.36</v>
      </c>
      <c r="M75" s="241"/>
      <c r="N75" s="240"/>
      <c r="O75" s="113"/>
      <c r="P75" s="260">
        <v>0.09</v>
      </c>
      <c r="Q75" s="259">
        <v>7.46</v>
      </c>
      <c r="R75" s="241">
        <f>P75</f>
        <v>0.09</v>
      </c>
      <c r="S75" s="70" t="s">
        <v>52</v>
      </c>
      <c r="T75" s="113"/>
      <c r="U75" s="260">
        <v>2.39</v>
      </c>
      <c r="V75" s="259">
        <v>7.51</v>
      </c>
      <c r="W75" s="241">
        <v>0.19</v>
      </c>
      <c r="X75" s="70" t="s">
        <v>52</v>
      </c>
      <c r="Y75" s="113"/>
      <c r="Z75" s="241">
        <v>0.54</v>
      </c>
      <c r="AA75" s="240">
        <v>7.32</v>
      </c>
      <c r="AB75" s="241"/>
      <c r="AC75" s="240"/>
      <c r="AD75" s="113"/>
      <c r="AE75" s="241">
        <v>0.14000000000000001</v>
      </c>
      <c r="AF75" s="240">
        <v>7.4</v>
      </c>
      <c r="AG75" s="114">
        <f>AE75+AE76</f>
        <v>0.2</v>
      </c>
      <c r="AH75" s="74" t="s">
        <v>333</v>
      </c>
      <c r="AI75" s="141"/>
      <c r="AJ75" s="111" t="s">
        <v>281</v>
      </c>
      <c r="AK75" s="19">
        <f ca="1">D220+D207+D206+D202+D190+D179+D178+D176+D168+D162+D152+D146+D138</f>
        <v>4.2008333333333336</v>
      </c>
      <c r="AL75" s="21"/>
      <c r="AM75" s="21"/>
      <c r="AN75" s="21"/>
      <c r="AO75" s="21" t="s">
        <v>304</v>
      </c>
    </row>
    <row r="76" spans="1:41" s="25" customFormat="1" x14ac:dyDescent="0.25">
      <c r="A76" s="261"/>
      <c r="B76" s="260"/>
      <c r="C76" s="259"/>
      <c r="D76" s="240"/>
      <c r="E76" s="240"/>
      <c r="F76" s="113"/>
      <c r="G76" s="260"/>
      <c r="H76" s="259"/>
      <c r="I76" s="240"/>
      <c r="J76" s="113"/>
      <c r="K76" s="260"/>
      <c r="L76" s="259"/>
      <c r="M76" s="241"/>
      <c r="N76" s="240"/>
      <c r="O76" s="113"/>
      <c r="P76" s="260"/>
      <c r="Q76" s="259"/>
      <c r="R76" s="241"/>
      <c r="S76" s="240"/>
      <c r="T76" s="113"/>
      <c r="U76" s="260"/>
      <c r="V76" s="259"/>
      <c r="W76" s="241"/>
      <c r="X76" s="240"/>
      <c r="Y76" s="113"/>
      <c r="Z76" s="241">
        <v>0.48</v>
      </c>
      <c r="AA76" s="240">
        <v>7.33</v>
      </c>
      <c r="AB76" s="241"/>
      <c r="AC76" s="240"/>
      <c r="AD76" s="113"/>
      <c r="AE76" s="241">
        <v>0.06</v>
      </c>
      <c r="AF76" s="240">
        <v>7.5</v>
      </c>
      <c r="AG76" s="114"/>
      <c r="AH76" s="114"/>
      <c r="AI76" s="141"/>
      <c r="AJ76" s="111" t="s">
        <v>282</v>
      </c>
      <c r="AK76" s="19">
        <f>D233+D218+D200</f>
        <v>1.6900000000000002</v>
      </c>
      <c r="AL76" s="21"/>
      <c r="AM76" s="21"/>
      <c r="AN76" s="21"/>
      <c r="AO76" s="21" t="s">
        <v>305</v>
      </c>
    </row>
    <row r="77" spans="1:41" s="25" customFormat="1" x14ac:dyDescent="0.25">
      <c r="A77" s="261">
        <v>21</v>
      </c>
      <c r="B77" s="260">
        <v>0.56999999999999995</v>
      </c>
      <c r="C77" s="259">
        <v>7.56</v>
      </c>
      <c r="D77" s="240">
        <f>B77-D78-D79</f>
        <v>0.28999999999999992</v>
      </c>
      <c r="E77" s="7" t="s">
        <v>422</v>
      </c>
      <c r="F77" s="113"/>
      <c r="G77" s="260">
        <v>0.78</v>
      </c>
      <c r="H77" s="259">
        <v>7.38</v>
      </c>
      <c r="I77" s="240"/>
      <c r="J77" s="113"/>
      <c r="K77" s="260">
        <v>1.57</v>
      </c>
      <c r="L77" s="259">
        <v>7.49</v>
      </c>
      <c r="M77" s="241">
        <f>K77-M78-M79</f>
        <v>1.29</v>
      </c>
      <c r="N77" s="7" t="s">
        <v>422</v>
      </c>
      <c r="O77" s="113"/>
      <c r="P77" s="260">
        <v>1.6</v>
      </c>
      <c r="Q77" s="259">
        <v>7.53</v>
      </c>
      <c r="R77" s="241">
        <v>1.32</v>
      </c>
      <c r="S77" s="7" t="s">
        <v>509</v>
      </c>
      <c r="T77" s="113"/>
      <c r="U77" s="260"/>
      <c r="V77" s="259"/>
      <c r="W77" s="241">
        <f>U75+U78-W75-W78-W79</f>
        <v>2.64</v>
      </c>
      <c r="X77" s="7" t="s">
        <v>266</v>
      </c>
      <c r="Y77" s="113"/>
      <c r="Z77" s="260">
        <v>0.18</v>
      </c>
      <c r="AA77" s="259">
        <v>7.44</v>
      </c>
      <c r="AB77" s="241"/>
      <c r="AC77" s="240"/>
      <c r="AD77" s="113"/>
      <c r="AE77" s="260">
        <v>0.04</v>
      </c>
      <c r="AF77" s="259">
        <v>7.57</v>
      </c>
      <c r="AG77" s="114"/>
      <c r="AH77" s="114"/>
      <c r="AI77" s="141"/>
      <c r="AJ77" s="111" t="s">
        <v>283</v>
      </c>
      <c r="AK77" s="19">
        <f>D228</f>
        <v>1.28</v>
      </c>
      <c r="AL77" s="21"/>
      <c r="AM77" s="21"/>
      <c r="AN77" s="21"/>
      <c r="AO77" s="21" t="s">
        <v>306</v>
      </c>
    </row>
    <row r="78" spans="1:41" s="25" customFormat="1" x14ac:dyDescent="0.25">
      <c r="A78" s="261"/>
      <c r="B78" s="260"/>
      <c r="C78" s="259"/>
      <c r="D78" s="241">
        <f>R78</f>
        <v>0.18</v>
      </c>
      <c r="E78" s="6" t="s">
        <v>38</v>
      </c>
      <c r="F78" s="113"/>
      <c r="G78" s="260"/>
      <c r="H78" s="259"/>
      <c r="I78" s="80"/>
      <c r="J78" s="113"/>
      <c r="K78" s="260"/>
      <c r="L78" s="259"/>
      <c r="M78" s="241">
        <f>R78</f>
        <v>0.18</v>
      </c>
      <c r="N78" s="6" t="s">
        <v>38</v>
      </c>
      <c r="O78" s="113"/>
      <c r="P78" s="260"/>
      <c r="Q78" s="259"/>
      <c r="R78" s="241">
        <f>AB78</f>
        <v>0.18</v>
      </c>
      <c r="S78" s="6" t="s">
        <v>38</v>
      </c>
      <c r="T78" s="113"/>
      <c r="U78" s="260">
        <v>1.01</v>
      </c>
      <c r="V78" s="259">
        <v>7.59</v>
      </c>
      <c r="W78" s="241">
        <f>AB78</f>
        <v>0.18</v>
      </c>
      <c r="X78" s="6" t="s">
        <v>38</v>
      </c>
      <c r="Y78" s="113"/>
      <c r="Z78" s="260"/>
      <c r="AA78" s="259"/>
      <c r="AB78" s="241">
        <f>Z77</f>
        <v>0.18</v>
      </c>
      <c r="AC78" s="6" t="s">
        <v>38</v>
      </c>
      <c r="AD78" s="113"/>
      <c r="AE78" s="260"/>
      <c r="AF78" s="259"/>
      <c r="AG78" s="114"/>
      <c r="AH78" s="114"/>
      <c r="AI78" s="141"/>
      <c r="AJ78" s="111" t="s">
        <v>285</v>
      </c>
      <c r="AK78" s="19">
        <f>D233+D228+D230+D220+D218+D133+D144+D152+D200+D201+D202+D205</f>
        <v>5.085</v>
      </c>
      <c r="AL78" s="21"/>
      <c r="AM78" s="21"/>
      <c r="AN78" s="21"/>
      <c r="AO78" s="21" t="s">
        <v>307</v>
      </c>
    </row>
    <row r="79" spans="1:41" s="25" customFormat="1" x14ac:dyDescent="0.25">
      <c r="A79" s="261"/>
      <c r="B79" s="260"/>
      <c r="C79" s="259"/>
      <c r="D79" s="241">
        <f>R79</f>
        <v>0.1</v>
      </c>
      <c r="E79" s="15" t="s">
        <v>68</v>
      </c>
      <c r="F79" s="113"/>
      <c r="G79" s="260"/>
      <c r="H79" s="259"/>
      <c r="I79" s="240"/>
      <c r="J79" s="113"/>
      <c r="K79" s="260"/>
      <c r="L79" s="259"/>
      <c r="M79" s="241">
        <f>R79</f>
        <v>0.1</v>
      </c>
      <c r="N79" s="15" t="s">
        <v>68</v>
      </c>
      <c r="O79" s="113"/>
      <c r="P79" s="241">
        <v>0.1</v>
      </c>
      <c r="Q79" s="240">
        <v>7.61</v>
      </c>
      <c r="R79" s="241">
        <f>P79</f>
        <v>0.1</v>
      </c>
      <c r="S79" s="15" t="s">
        <v>68</v>
      </c>
      <c r="T79" s="113"/>
      <c r="U79" s="260"/>
      <c r="V79" s="259"/>
      <c r="W79" s="241">
        <f>AB79</f>
        <v>0.39</v>
      </c>
      <c r="X79" s="15" t="s">
        <v>68</v>
      </c>
      <c r="Y79" s="113"/>
      <c r="Z79" s="241">
        <v>0.39</v>
      </c>
      <c r="AA79" s="240">
        <v>7.49</v>
      </c>
      <c r="AB79" s="241">
        <f>Z79</f>
        <v>0.39</v>
      </c>
      <c r="AC79" s="15" t="s">
        <v>68</v>
      </c>
      <c r="AD79" s="113"/>
      <c r="AE79" s="241">
        <v>0.03</v>
      </c>
      <c r="AF79" s="240">
        <v>7.65</v>
      </c>
      <c r="AG79" s="241">
        <f>AE77+AE79</f>
        <v>7.0000000000000007E-2</v>
      </c>
      <c r="AH79" s="74" t="s">
        <v>338</v>
      </c>
      <c r="AI79" s="141"/>
      <c r="AJ79" s="111" t="s">
        <v>284</v>
      </c>
      <c r="AK79" s="19">
        <f ca="1">D95+D96+D98+D102+D103+D105+D107+D115+D119+D120+D123+D124+D126+D128+D130+D138+D135+D136+D149+D150+D151+D154+D155+D156+D161+D164+D181+D182+D203+D204+D207+D206+D179+D176+D168+D162+D146+D140+D143+D178+D192</f>
        <v>11.216666666666665</v>
      </c>
      <c r="AL79" s="21"/>
      <c r="AM79" s="21"/>
      <c r="AN79" s="21"/>
      <c r="AO79" s="21" t="s">
        <v>308</v>
      </c>
    </row>
    <row r="80" spans="1:41" s="25" customFormat="1" x14ac:dyDescent="0.25">
      <c r="A80" s="261">
        <v>22</v>
      </c>
      <c r="B80" s="260">
        <v>2.5299999999999998</v>
      </c>
      <c r="C80" s="259">
        <v>7.73</v>
      </c>
      <c r="D80" s="240">
        <f>B80-D81-D84-D86-D85-D82-D83</f>
        <v>0.45500000000000007</v>
      </c>
      <c r="E80" s="7" t="s">
        <v>354</v>
      </c>
      <c r="F80" s="113"/>
      <c r="G80" s="260">
        <v>3.16</v>
      </c>
      <c r="H80" s="259">
        <v>7.54</v>
      </c>
      <c r="I80" s="240"/>
      <c r="J80" s="113"/>
      <c r="K80" s="260">
        <v>3.63</v>
      </c>
      <c r="L80" s="259">
        <v>7.66</v>
      </c>
      <c r="M80" s="241">
        <f>K80-M81-M84-M86-M85-M82-M83</f>
        <v>1.1549999999999998</v>
      </c>
      <c r="N80" s="7" t="s">
        <v>354</v>
      </c>
      <c r="O80" s="113"/>
      <c r="P80" s="260">
        <v>2.91</v>
      </c>
      <c r="Q80" s="259">
        <v>7.7</v>
      </c>
      <c r="R80" s="241">
        <f>P80+P79+P77-R77-R78-R79-R81-R84-R86-R85-R82-R87-R83</f>
        <v>0.40499999999999969</v>
      </c>
      <c r="S80" s="7" t="s">
        <v>354</v>
      </c>
      <c r="T80" s="113"/>
      <c r="U80" s="260">
        <v>2.4700000000000002</v>
      </c>
      <c r="V80" s="259">
        <v>7.69</v>
      </c>
      <c r="W80" s="241">
        <v>0.5</v>
      </c>
      <c r="X80" s="7" t="s">
        <v>354</v>
      </c>
      <c r="Y80" s="113"/>
      <c r="Z80" s="260">
        <v>0.37</v>
      </c>
      <c r="AA80" s="259">
        <v>7.54</v>
      </c>
      <c r="AB80" s="241"/>
      <c r="AC80" s="240"/>
      <c r="AD80" s="113"/>
      <c r="AE80" s="260">
        <v>0.18</v>
      </c>
      <c r="AF80" s="259">
        <v>7.68</v>
      </c>
      <c r="AG80" s="114"/>
      <c r="AH80" s="240"/>
      <c r="AI80" s="141"/>
      <c r="AJ80" s="111" t="s">
        <v>286</v>
      </c>
      <c r="AK80" s="19">
        <f>D198+D198+D194+D190+D175+D148+D141+D141+D137+D137</f>
        <v>0.55000000000000004</v>
      </c>
      <c r="AL80" s="21"/>
      <c r="AM80" s="21"/>
      <c r="AN80" s="21"/>
      <c r="AO80" s="21"/>
    </row>
    <row r="81" spans="1:41" s="25" customFormat="1" x14ac:dyDescent="0.25">
      <c r="A81" s="261"/>
      <c r="B81" s="260"/>
      <c r="C81" s="259"/>
      <c r="D81" s="241">
        <v>0.3</v>
      </c>
      <c r="E81" s="58" t="s">
        <v>417</v>
      </c>
      <c r="F81" s="113"/>
      <c r="G81" s="260"/>
      <c r="H81" s="259"/>
      <c r="I81" s="240"/>
      <c r="J81" s="113"/>
      <c r="K81" s="260"/>
      <c r="L81" s="259"/>
      <c r="M81" s="241">
        <f>R81</f>
        <v>0.5</v>
      </c>
      <c r="N81" s="58" t="s">
        <v>417</v>
      </c>
      <c r="O81" s="113"/>
      <c r="P81" s="260"/>
      <c r="Q81" s="259"/>
      <c r="R81" s="241">
        <v>0.5</v>
      </c>
      <c r="S81" s="58" t="s">
        <v>519</v>
      </c>
      <c r="T81" s="113"/>
      <c r="U81" s="260"/>
      <c r="V81" s="259"/>
      <c r="W81" s="241">
        <v>0.3</v>
      </c>
      <c r="X81" s="58" t="s">
        <v>130</v>
      </c>
      <c r="Y81" s="113"/>
      <c r="Z81" s="260"/>
      <c r="AA81" s="259"/>
      <c r="AB81" s="241"/>
      <c r="AC81" s="240"/>
      <c r="AD81" s="113"/>
      <c r="AE81" s="260"/>
      <c r="AF81" s="259"/>
      <c r="AG81" s="114"/>
      <c r="AH81" s="240"/>
      <c r="AI81" s="141"/>
      <c r="AJ81" s="111" t="s">
        <v>309</v>
      </c>
      <c r="AK81" s="19">
        <f ca="1">D95+D96+D98+D102+D103+D105+D107+D115+D119+D120+D123+D124+D126+D128+D130+D133+D135+D136+D140+D143+D144+D149+D150+D151+D154+D155+D156+D161+D164+D181+D182+D192+D201+D203+D205+D230+D220+D207+D206+D202+D190+D179+D178+D176+D168+D162+D152+D146+D138+D233+D218+D200+D228</f>
        <v>16.851666666666667</v>
      </c>
      <c r="AL81" s="21"/>
      <c r="AM81" s="21"/>
      <c r="AN81" s="21"/>
      <c r="AO81" s="21" t="s">
        <v>310</v>
      </c>
    </row>
    <row r="82" spans="1:41" s="25" customFormat="1" x14ac:dyDescent="0.25">
      <c r="A82" s="261"/>
      <c r="B82" s="260"/>
      <c r="C82" s="259"/>
      <c r="D82" s="241">
        <f>R82</f>
        <v>0.5</v>
      </c>
      <c r="E82" s="59" t="s">
        <v>74</v>
      </c>
      <c r="F82" s="113"/>
      <c r="G82" s="260"/>
      <c r="H82" s="259"/>
      <c r="I82" s="240"/>
      <c r="J82" s="113"/>
      <c r="K82" s="260"/>
      <c r="L82" s="259"/>
      <c r="M82" s="241">
        <f>D82</f>
        <v>0.5</v>
      </c>
      <c r="N82" s="59" t="s">
        <v>74</v>
      </c>
      <c r="O82" s="113"/>
      <c r="P82" s="260"/>
      <c r="Q82" s="259"/>
      <c r="R82" s="241">
        <v>0.5</v>
      </c>
      <c r="S82" s="59" t="s">
        <v>74</v>
      </c>
      <c r="T82" s="113"/>
      <c r="U82" s="260"/>
      <c r="V82" s="259"/>
      <c r="W82" s="241">
        <f>R82</f>
        <v>0.5</v>
      </c>
      <c r="X82" s="59" t="s">
        <v>74</v>
      </c>
      <c r="Y82" s="113"/>
      <c r="Z82" s="260"/>
      <c r="AA82" s="259"/>
      <c r="AB82" s="241">
        <f>AB85</f>
        <v>0.185</v>
      </c>
      <c r="AC82" s="59" t="s">
        <v>74</v>
      </c>
      <c r="AD82" s="113"/>
      <c r="AE82" s="260"/>
      <c r="AF82" s="259"/>
      <c r="AG82" s="114">
        <f>AE80/2</f>
        <v>0.09</v>
      </c>
      <c r="AH82" s="59" t="s">
        <v>74</v>
      </c>
      <c r="AI82" s="141"/>
    </row>
    <row r="83" spans="1:41" s="25" customFormat="1" x14ac:dyDescent="0.25">
      <c r="A83" s="261"/>
      <c r="B83" s="260"/>
      <c r="C83" s="259"/>
      <c r="D83" s="241">
        <f>R83</f>
        <v>0.5</v>
      </c>
      <c r="E83" s="22" t="s">
        <v>406</v>
      </c>
      <c r="F83" s="113"/>
      <c r="G83" s="260"/>
      <c r="H83" s="259"/>
      <c r="I83" s="240"/>
      <c r="J83" s="113"/>
      <c r="K83" s="260"/>
      <c r="L83" s="259"/>
      <c r="M83" s="241">
        <f>D83</f>
        <v>0.5</v>
      </c>
      <c r="N83" s="22" t="s">
        <v>406</v>
      </c>
      <c r="O83" s="113"/>
      <c r="P83" s="260"/>
      <c r="Q83" s="259"/>
      <c r="R83" s="241">
        <f>R84</f>
        <v>0.5</v>
      </c>
      <c r="S83" s="22" t="s">
        <v>425</v>
      </c>
      <c r="T83" s="113"/>
      <c r="U83" s="260"/>
      <c r="V83" s="259"/>
      <c r="W83" s="241">
        <f>U80-W80-W81-W86-W85-W82-W87-W84</f>
        <v>0.26500000000000029</v>
      </c>
      <c r="X83" s="22" t="s">
        <v>209</v>
      </c>
      <c r="Y83" s="113"/>
      <c r="Z83" s="260"/>
      <c r="AA83" s="259"/>
      <c r="AB83" s="241"/>
      <c r="AC83" s="240"/>
      <c r="AD83" s="113"/>
      <c r="AE83" s="260"/>
      <c r="AF83" s="259"/>
      <c r="AG83" s="114"/>
      <c r="AH83" s="240"/>
      <c r="AI83" s="141"/>
    </row>
    <row r="84" spans="1:41" s="25" customFormat="1" x14ac:dyDescent="0.25">
      <c r="A84" s="261"/>
      <c r="B84" s="260"/>
      <c r="C84" s="259"/>
      <c r="D84" s="241">
        <v>0.3</v>
      </c>
      <c r="E84" s="249" t="s">
        <v>403</v>
      </c>
      <c r="F84" s="113"/>
      <c r="G84" s="260"/>
      <c r="H84" s="259"/>
      <c r="I84" s="240"/>
      <c r="J84" s="113"/>
      <c r="K84" s="260"/>
      <c r="L84" s="259"/>
      <c r="M84" s="241">
        <f>R84</f>
        <v>0.5</v>
      </c>
      <c r="N84" s="249" t="s">
        <v>403</v>
      </c>
      <c r="O84" s="113"/>
      <c r="P84" s="260"/>
      <c r="Q84" s="259"/>
      <c r="R84" s="241">
        <v>0.5</v>
      </c>
      <c r="S84" s="249" t="s">
        <v>426</v>
      </c>
      <c r="T84" s="113"/>
      <c r="U84" s="260"/>
      <c r="V84" s="259"/>
      <c r="W84" s="241">
        <v>0.3</v>
      </c>
      <c r="X84" s="249" t="s">
        <v>131</v>
      </c>
      <c r="Y84" s="113"/>
      <c r="Z84" s="260"/>
      <c r="AA84" s="259"/>
      <c r="AB84" s="24"/>
      <c r="AC84" s="24"/>
      <c r="AD84" s="113"/>
      <c r="AE84" s="260"/>
      <c r="AF84" s="259"/>
      <c r="AG84" s="114"/>
      <c r="AH84" s="24"/>
      <c r="AI84" s="141"/>
    </row>
    <row r="85" spans="1:41" s="25" customFormat="1" x14ac:dyDescent="0.25">
      <c r="A85" s="261"/>
      <c r="B85" s="260"/>
      <c r="C85" s="259"/>
      <c r="D85" s="241">
        <f>R85</f>
        <v>0.4</v>
      </c>
      <c r="E85" s="249" t="s">
        <v>73</v>
      </c>
      <c r="F85" s="113"/>
      <c r="G85" s="260"/>
      <c r="H85" s="259"/>
      <c r="I85" s="240"/>
      <c r="J85" s="113"/>
      <c r="K85" s="260"/>
      <c r="L85" s="259"/>
      <c r="M85" s="241">
        <f>D85</f>
        <v>0.4</v>
      </c>
      <c r="N85" s="249" t="s">
        <v>73</v>
      </c>
      <c r="O85" s="113"/>
      <c r="P85" s="260"/>
      <c r="Q85" s="259"/>
      <c r="R85" s="241">
        <v>0.4</v>
      </c>
      <c r="S85" s="249" t="s">
        <v>73</v>
      </c>
      <c r="T85" s="113"/>
      <c r="U85" s="260"/>
      <c r="V85" s="259"/>
      <c r="W85" s="241">
        <f>R85</f>
        <v>0.4</v>
      </c>
      <c r="X85" s="249" t="s">
        <v>73</v>
      </c>
      <c r="Y85" s="113"/>
      <c r="Z85" s="260"/>
      <c r="AA85" s="259"/>
      <c r="AB85" s="241">
        <f>Z80/2</f>
        <v>0.185</v>
      </c>
      <c r="AC85" s="249" t="s">
        <v>73</v>
      </c>
      <c r="AD85" s="113"/>
      <c r="AE85" s="260"/>
      <c r="AF85" s="259"/>
      <c r="AG85" s="114">
        <f>AG82</f>
        <v>0.09</v>
      </c>
      <c r="AH85" s="249" t="s">
        <v>73</v>
      </c>
      <c r="AI85" s="141"/>
    </row>
    <row r="86" spans="1:41" s="25" customFormat="1" x14ac:dyDescent="0.25">
      <c r="A86" s="261"/>
      <c r="B86" s="260"/>
      <c r="C86" s="259"/>
      <c r="D86" s="241">
        <f>R86</f>
        <v>7.4999999999999997E-2</v>
      </c>
      <c r="E86" s="68" t="s">
        <v>440</v>
      </c>
      <c r="F86" s="113"/>
      <c r="G86" s="260"/>
      <c r="H86" s="259"/>
      <c r="I86" s="240"/>
      <c r="J86" s="113"/>
      <c r="K86" s="260"/>
      <c r="L86" s="259"/>
      <c r="M86" s="241">
        <f>D86</f>
        <v>7.4999999999999997E-2</v>
      </c>
      <c r="N86" s="68" t="s">
        <v>440</v>
      </c>
      <c r="O86" s="113"/>
      <c r="P86" s="260"/>
      <c r="Q86" s="259"/>
      <c r="R86" s="241">
        <v>7.4999999999999997E-2</v>
      </c>
      <c r="S86" s="68" t="s">
        <v>132</v>
      </c>
      <c r="T86" s="113"/>
      <c r="U86" s="260"/>
      <c r="V86" s="259"/>
      <c r="W86" s="241">
        <f>R86</f>
        <v>7.4999999999999997E-2</v>
      </c>
      <c r="X86" s="68" t="s">
        <v>132</v>
      </c>
      <c r="Y86" s="113"/>
      <c r="Z86" s="260"/>
      <c r="AA86" s="259"/>
      <c r="AB86" s="241"/>
      <c r="AC86" s="240"/>
      <c r="AD86" s="113"/>
      <c r="AE86" s="260"/>
      <c r="AF86" s="259"/>
      <c r="AG86" s="114"/>
      <c r="AH86" s="240"/>
      <c r="AI86" s="141"/>
    </row>
    <row r="87" spans="1:41" s="25" customFormat="1" x14ac:dyDescent="0.25">
      <c r="A87" s="261"/>
      <c r="B87" s="260"/>
      <c r="C87" s="259"/>
      <c r="D87" s="240"/>
      <c r="E87" s="24"/>
      <c r="F87" s="113"/>
      <c r="G87" s="260"/>
      <c r="H87" s="259"/>
      <c r="I87" s="240"/>
      <c r="J87" s="113"/>
      <c r="K87" s="260"/>
      <c r="L87" s="259"/>
      <c r="M87" s="24"/>
      <c r="N87" s="24"/>
      <c r="O87" s="113"/>
      <c r="P87" s="260"/>
      <c r="Q87" s="259"/>
      <c r="R87" s="241">
        <v>0.13</v>
      </c>
      <c r="S87" s="6" t="s">
        <v>313</v>
      </c>
      <c r="T87" s="113"/>
      <c r="U87" s="260"/>
      <c r="V87" s="259"/>
      <c r="W87" s="241">
        <f>R87</f>
        <v>0.13</v>
      </c>
      <c r="X87" s="6" t="s">
        <v>313</v>
      </c>
      <c r="Y87" s="113"/>
      <c r="Z87" s="260"/>
      <c r="AA87" s="259"/>
      <c r="AB87" s="241"/>
      <c r="AC87" s="240"/>
      <c r="AD87" s="113"/>
      <c r="AE87" s="260"/>
      <c r="AF87" s="259"/>
      <c r="AG87" s="114"/>
      <c r="AH87" s="240"/>
      <c r="AI87" s="141"/>
    </row>
    <row r="88" spans="1:41" s="25" customFormat="1" x14ac:dyDescent="0.25">
      <c r="A88" s="261"/>
      <c r="B88" s="260"/>
      <c r="C88" s="259"/>
      <c r="D88" s="24"/>
      <c r="E88" s="24"/>
      <c r="F88" s="113"/>
      <c r="G88" s="260"/>
      <c r="H88" s="259"/>
      <c r="I88" s="240"/>
      <c r="J88" s="113"/>
      <c r="K88" s="260"/>
      <c r="L88" s="259"/>
      <c r="M88" s="24"/>
      <c r="N88" s="24"/>
      <c r="O88" s="113"/>
      <c r="P88" s="260"/>
      <c r="Q88" s="259"/>
      <c r="R88" s="241"/>
      <c r="S88" s="8"/>
      <c r="T88" s="113"/>
      <c r="U88" s="260"/>
      <c r="V88" s="259"/>
      <c r="W88" s="241">
        <f>AB88</f>
        <v>0.31</v>
      </c>
      <c r="X88" s="75" t="s">
        <v>44</v>
      </c>
      <c r="Y88" s="113"/>
      <c r="Z88" s="260"/>
      <c r="AA88" s="259"/>
      <c r="AB88" s="241">
        <f>R153</f>
        <v>0.31</v>
      </c>
      <c r="AC88" s="75" t="s">
        <v>44</v>
      </c>
      <c r="AD88" s="113"/>
      <c r="AE88" s="241">
        <v>0.06</v>
      </c>
      <c r="AF88" s="240">
        <v>7.72</v>
      </c>
      <c r="AG88" s="114"/>
      <c r="AH88" s="240"/>
      <c r="AI88" s="141"/>
    </row>
    <row r="89" spans="1:41" s="25" customFormat="1" x14ac:dyDescent="0.25">
      <c r="A89" s="261">
        <v>23</v>
      </c>
      <c r="B89" s="260">
        <v>1.23</v>
      </c>
      <c r="C89" s="259">
        <v>7.84</v>
      </c>
      <c r="D89" s="241">
        <f>B89-D92</f>
        <v>0.20999999999999996</v>
      </c>
      <c r="E89" s="22" t="s">
        <v>417</v>
      </c>
      <c r="F89" s="113"/>
      <c r="G89" s="260">
        <v>1.58</v>
      </c>
      <c r="H89" s="259">
        <v>7.67</v>
      </c>
      <c r="I89" s="240"/>
      <c r="J89" s="113"/>
      <c r="K89" s="260">
        <v>1.18</v>
      </c>
      <c r="L89" s="259">
        <v>7.8</v>
      </c>
      <c r="M89" s="241">
        <f>R89</f>
        <v>0.21</v>
      </c>
      <c r="N89" s="22" t="s">
        <v>417</v>
      </c>
      <c r="O89" s="113"/>
      <c r="P89" s="260">
        <v>1.06</v>
      </c>
      <c r="Q89" s="259">
        <v>7.81</v>
      </c>
      <c r="R89" s="241">
        <v>0.21</v>
      </c>
      <c r="S89" s="22" t="s">
        <v>130</v>
      </c>
      <c r="T89" s="113"/>
      <c r="U89" s="260">
        <v>1.3</v>
      </c>
      <c r="V89" s="259">
        <v>7.82</v>
      </c>
      <c r="W89" s="241">
        <f>R89</f>
        <v>0.21</v>
      </c>
      <c r="X89" s="22" t="s">
        <v>130</v>
      </c>
      <c r="Y89" s="113"/>
      <c r="Z89" s="260">
        <v>1.51</v>
      </c>
      <c r="AA89" s="259">
        <v>7.67</v>
      </c>
      <c r="AB89" s="24"/>
      <c r="AC89" s="24"/>
      <c r="AD89" s="113"/>
      <c r="AE89" s="260">
        <v>1.02</v>
      </c>
      <c r="AF89" s="259">
        <v>7.82</v>
      </c>
      <c r="AG89" s="114"/>
      <c r="AH89" s="114"/>
      <c r="AI89" s="141"/>
    </row>
    <row r="90" spans="1:41" s="25" customFormat="1" x14ac:dyDescent="0.25">
      <c r="A90" s="261"/>
      <c r="B90" s="260"/>
      <c r="C90" s="259"/>
      <c r="D90" s="240"/>
      <c r="E90" s="107"/>
      <c r="F90" s="113"/>
      <c r="G90" s="260"/>
      <c r="H90" s="259"/>
      <c r="I90" s="240"/>
      <c r="J90" s="113"/>
      <c r="K90" s="260"/>
      <c r="L90" s="259"/>
      <c r="M90" s="241"/>
      <c r="N90" s="107"/>
      <c r="O90" s="113"/>
      <c r="P90" s="260"/>
      <c r="Q90" s="259"/>
      <c r="R90" s="24"/>
      <c r="S90" s="24"/>
      <c r="T90" s="113"/>
      <c r="U90" s="260"/>
      <c r="V90" s="259"/>
      <c r="W90" s="24"/>
      <c r="X90" s="24"/>
      <c r="Y90" s="113"/>
      <c r="Z90" s="260"/>
      <c r="AA90" s="259"/>
      <c r="AB90" s="241">
        <f>Z135</f>
        <v>0.26</v>
      </c>
      <c r="AC90" s="75" t="s">
        <v>196</v>
      </c>
      <c r="AD90" s="113"/>
      <c r="AE90" s="260"/>
      <c r="AF90" s="259"/>
      <c r="AG90" s="114"/>
      <c r="AH90" s="114"/>
      <c r="AI90" s="141"/>
    </row>
    <row r="91" spans="1:41" s="25" customFormat="1" x14ac:dyDescent="0.25">
      <c r="A91" s="261"/>
      <c r="B91" s="260"/>
      <c r="C91" s="259"/>
      <c r="D91" s="240"/>
      <c r="E91" s="73"/>
      <c r="F91" s="113"/>
      <c r="G91" s="260"/>
      <c r="H91" s="259"/>
      <c r="I91" s="240"/>
      <c r="J91" s="113"/>
      <c r="K91" s="260"/>
      <c r="L91" s="259"/>
      <c r="M91" s="241"/>
      <c r="N91" s="73"/>
      <c r="O91" s="113"/>
      <c r="P91" s="260"/>
      <c r="Q91" s="259"/>
      <c r="R91" s="241"/>
      <c r="S91" s="240"/>
      <c r="T91" s="113"/>
      <c r="U91" s="260"/>
      <c r="V91" s="259"/>
      <c r="W91" s="241"/>
      <c r="X91" s="240"/>
      <c r="Y91" s="113"/>
      <c r="Z91" s="260"/>
      <c r="AA91" s="259"/>
      <c r="AB91" s="24"/>
      <c r="AC91" s="24"/>
      <c r="AD91" s="113"/>
      <c r="AE91" s="260"/>
      <c r="AF91" s="259"/>
      <c r="AG91" s="114"/>
      <c r="AH91" s="114"/>
      <c r="AI91" s="141"/>
    </row>
    <row r="92" spans="1:41" s="25" customFormat="1" x14ac:dyDescent="0.25">
      <c r="A92" s="261"/>
      <c r="B92" s="260"/>
      <c r="C92" s="259"/>
      <c r="D92" s="240">
        <f>AG92</f>
        <v>1.02</v>
      </c>
      <c r="E92" s="54" t="s">
        <v>34</v>
      </c>
      <c r="F92" s="113"/>
      <c r="G92" s="260"/>
      <c r="H92" s="259"/>
      <c r="I92" s="240"/>
      <c r="J92" s="113"/>
      <c r="K92" s="260"/>
      <c r="L92" s="259"/>
      <c r="M92" s="241">
        <f>K89-M89</f>
        <v>0.97</v>
      </c>
      <c r="N92" s="54" t="s">
        <v>34</v>
      </c>
      <c r="O92" s="113"/>
      <c r="P92" s="260"/>
      <c r="Q92" s="259"/>
      <c r="R92" s="241">
        <f>P89-R89-R88</f>
        <v>0.85000000000000009</v>
      </c>
      <c r="S92" s="54" t="s">
        <v>34</v>
      </c>
      <c r="T92" s="113"/>
      <c r="U92" s="260"/>
      <c r="V92" s="259"/>
      <c r="W92" s="241">
        <f>U89-W89-W88+U93-W93-W97</f>
        <v>1.9400000000000004</v>
      </c>
      <c r="X92" s="54" t="s">
        <v>34</v>
      </c>
      <c r="Y92" s="113"/>
      <c r="Z92" s="260"/>
      <c r="AA92" s="259"/>
      <c r="AB92" s="241">
        <f>Z89-AB88+Z93-AB97-AB93-AB90</f>
        <v>1.2199999999999995</v>
      </c>
      <c r="AC92" s="54" t="s">
        <v>34</v>
      </c>
      <c r="AD92" s="113"/>
      <c r="AE92" s="260"/>
      <c r="AF92" s="259"/>
      <c r="AG92" s="114">
        <f>AE89</f>
        <v>1.02</v>
      </c>
      <c r="AH92" s="54" t="s">
        <v>34</v>
      </c>
      <c r="AI92" s="141"/>
    </row>
    <row r="93" spans="1:41" s="25" customFormat="1" x14ac:dyDescent="0.25">
      <c r="A93" s="261">
        <v>24</v>
      </c>
      <c r="B93" s="260">
        <v>3.71</v>
      </c>
      <c r="C93" s="259">
        <v>7.96</v>
      </c>
      <c r="D93" s="240">
        <f>AG93</f>
        <v>1.4750000000000001</v>
      </c>
      <c r="E93" s="6" t="s">
        <v>23</v>
      </c>
      <c r="F93" s="113"/>
      <c r="G93" s="260">
        <v>0.46</v>
      </c>
      <c r="H93" s="259">
        <v>7.73</v>
      </c>
      <c r="I93" s="80"/>
      <c r="J93" s="113"/>
      <c r="K93" s="260">
        <v>3.82</v>
      </c>
      <c r="L93" s="259">
        <v>7.9</v>
      </c>
      <c r="M93" s="241">
        <f>(K93-M95-M96)/2</f>
        <v>1.5299999999999998</v>
      </c>
      <c r="N93" s="6" t="s">
        <v>23</v>
      </c>
      <c r="O93" s="113"/>
      <c r="P93" s="260">
        <v>2.76</v>
      </c>
      <c r="Q93" s="259">
        <v>7.93</v>
      </c>
      <c r="R93" s="241">
        <f>P93/2</f>
        <v>1.38</v>
      </c>
      <c r="S93" s="6" t="s">
        <v>23</v>
      </c>
      <c r="T93" s="113"/>
      <c r="U93" s="260">
        <v>4.1100000000000003</v>
      </c>
      <c r="V93" s="259">
        <v>7.93</v>
      </c>
      <c r="W93" s="241">
        <f>AG93</f>
        <v>1.4750000000000001</v>
      </c>
      <c r="X93" s="6" t="s">
        <v>23</v>
      </c>
      <c r="Y93" s="113"/>
      <c r="Z93" s="260">
        <v>3.23</v>
      </c>
      <c r="AA93" s="259">
        <v>7.78</v>
      </c>
      <c r="AB93" s="241">
        <f>W93</f>
        <v>1.4750000000000001</v>
      </c>
      <c r="AC93" s="6" t="s">
        <v>23</v>
      </c>
      <c r="AD93" s="113"/>
      <c r="AE93" s="260">
        <v>2.95</v>
      </c>
      <c r="AF93" s="259">
        <v>7.93</v>
      </c>
      <c r="AG93" s="114">
        <f>AE93/2</f>
        <v>1.4750000000000001</v>
      </c>
      <c r="AH93" s="6" t="s">
        <v>23</v>
      </c>
      <c r="AI93" s="141"/>
    </row>
    <row r="94" spans="1:41" s="25" customFormat="1" x14ac:dyDescent="0.25">
      <c r="A94" s="261"/>
      <c r="B94" s="260"/>
      <c r="C94" s="259"/>
      <c r="D94" s="240"/>
      <c r="E94" s="246"/>
      <c r="F94" s="113"/>
      <c r="G94" s="260"/>
      <c r="H94" s="259"/>
      <c r="I94" s="240"/>
      <c r="J94" s="113"/>
      <c r="K94" s="260"/>
      <c r="L94" s="259"/>
      <c r="M94" s="241"/>
      <c r="N94" s="246"/>
      <c r="O94" s="113"/>
      <c r="P94" s="260"/>
      <c r="Q94" s="259"/>
      <c r="R94" s="241"/>
      <c r="S94" s="240"/>
      <c r="T94" s="113"/>
      <c r="U94" s="260"/>
      <c r="V94" s="259"/>
      <c r="W94" s="241"/>
      <c r="X94" s="240"/>
      <c r="Y94" s="113"/>
      <c r="Z94" s="260"/>
      <c r="AA94" s="259"/>
      <c r="AB94" s="241"/>
      <c r="AC94" s="114"/>
      <c r="AD94" s="113"/>
      <c r="AE94" s="260"/>
      <c r="AF94" s="259"/>
      <c r="AG94" s="114"/>
      <c r="AH94" s="114"/>
      <c r="AI94" s="141"/>
    </row>
    <row r="95" spans="1:41" s="25" customFormat="1" x14ac:dyDescent="0.25">
      <c r="A95" s="261"/>
      <c r="B95" s="260"/>
      <c r="C95" s="259"/>
      <c r="D95" s="241">
        <f>B93-D93-D96-D97</f>
        <v>0.34999999999999987</v>
      </c>
      <c r="E95" s="249" t="s">
        <v>146</v>
      </c>
      <c r="F95" s="113"/>
      <c r="G95" s="260"/>
      <c r="H95" s="259"/>
      <c r="I95" s="240"/>
      <c r="J95" s="113"/>
      <c r="K95" s="260"/>
      <c r="L95" s="259"/>
      <c r="M95" s="241">
        <f>D95</f>
        <v>0.34999999999999987</v>
      </c>
      <c r="N95" s="249" t="s">
        <v>146</v>
      </c>
      <c r="O95" s="113"/>
      <c r="P95" s="260"/>
      <c r="Q95" s="259"/>
      <c r="R95" s="241"/>
      <c r="S95" s="8"/>
      <c r="T95" s="113"/>
      <c r="U95" s="260"/>
      <c r="V95" s="259"/>
      <c r="W95" s="241"/>
      <c r="X95" s="8"/>
      <c r="Y95" s="113"/>
      <c r="Z95" s="260"/>
      <c r="AA95" s="259"/>
      <c r="AB95" s="241"/>
      <c r="AC95" s="114"/>
      <c r="AD95" s="113"/>
      <c r="AE95" s="260"/>
      <c r="AF95" s="259"/>
      <c r="AG95" s="114"/>
      <c r="AH95" s="114"/>
      <c r="AI95" s="141"/>
    </row>
    <row r="96" spans="1:41" s="25" customFormat="1" x14ac:dyDescent="0.25">
      <c r="A96" s="261"/>
      <c r="B96" s="260"/>
      <c r="C96" s="259"/>
      <c r="D96" s="241">
        <v>0.41</v>
      </c>
      <c r="E96" s="6" t="s">
        <v>147</v>
      </c>
      <c r="F96" s="113"/>
      <c r="G96" s="260"/>
      <c r="H96" s="259"/>
      <c r="I96" s="80"/>
      <c r="J96" s="113"/>
      <c r="K96" s="260"/>
      <c r="L96" s="259"/>
      <c r="M96" s="241">
        <f>D96</f>
        <v>0.41</v>
      </c>
      <c r="N96" s="6" t="s">
        <v>147</v>
      </c>
      <c r="O96" s="113"/>
      <c r="P96" s="260"/>
      <c r="Q96" s="259"/>
      <c r="R96" s="241"/>
      <c r="S96" s="240"/>
      <c r="T96" s="113"/>
      <c r="U96" s="260"/>
      <c r="V96" s="259"/>
      <c r="W96" s="241"/>
      <c r="X96" s="240"/>
      <c r="Y96" s="113"/>
      <c r="Z96" s="260"/>
      <c r="AA96" s="259"/>
      <c r="AB96" s="241"/>
      <c r="AC96" s="114"/>
      <c r="AD96" s="113"/>
      <c r="AE96" s="260"/>
      <c r="AF96" s="259"/>
      <c r="AG96" s="114"/>
      <c r="AH96" s="114"/>
      <c r="AI96" s="141"/>
    </row>
    <row r="97" spans="1:35" s="25" customFormat="1" x14ac:dyDescent="0.25">
      <c r="A97" s="261"/>
      <c r="B97" s="260"/>
      <c r="C97" s="259"/>
      <c r="D97" s="240">
        <f>AG97</f>
        <v>1.4750000000000001</v>
      </c>
      <c r="E97" s="6" t="s">
        <v>24</v>
      </c>
      <c r="F97" s="113"/>
      <c r="G97" s="260"/>
      <c r="H97" s="259"/>
      <c r="I97" s="80"/>
      <c r="J97" s="113"/>
      <c r="K97" s="260"/>
      <c r="L97" s="259"/>
      <c r="M97" s="241">
        <f>M93</f>
        <v>1.5299999999999998</v>
      </c>
      <c r="N97" s="6" t="s">
        <v>24</v>
      </c>
      <c r="O97" s="113"/>
      <c r="P97" s="260"/>
      <c r="Q97" s="259"/>
      <c r="R97" s="241">
        <f>R93</f>
        <v>1.38</v>
      </c>
      <c r="S97" s="6" t="s">
        <v>24</v>
      </c>
      <c r="T97" s="113"/>
      <c r="U97" s="260"/>
      <c r="V97" s="259"/>
      <c r="W97" s="241">
        <f>W93</f>
        <v>1.4750000000000001</v>
      </c>
      <c r="X97" s="6" t="s">
        <v>24</v>
      </c>
      <c r="Y97" s="113"/>
      <c r="Z97" s="260"/>
      <c r="AA97" s="259"/>
      <c r="AB97" s="241">
        <f>AB93</f>
        <v>1.4750000000000001</v>
      </c>
      <c r="AC97" s="6" t="s">
        <v>24</v>
      </c>
      <c r="AD97" s="113"/>
      <c r="AE97" s="260"/>
      <c r="AF97" s="259"/>
      <c r="AG97" s="114">
        <f>AG93</f>
        <v>1.4750000000000001</v>
      </c>
      <c r="AH97" s="6" t="s">
        <v>24</v>
      </c>
      <c r="AI97" s="141"/>
    </row>
    <row r="98" spans="1:35" s="25" customFormat="1" x14ac:dyDescent="0.25">
      <c r="A98" s="261">
        <v>25</v>
      </c>
      <c r="B98" s="260">
        <v>0.32</v>
      </c>
      <c r="C98" s="259">
        <v>8.06</v>
      </c>
      <c r="D98" s="240">
        <f>B98/2</f>
        <v>0.16</v>
      </c>
      <c r="E98" s="70" t="s">
        <v>54</v>
      </c>
      <c r="F98" s="113"/>
      <c r="G98" s="260">
        <v>0.59</v>
      </c>
      <c r="H98" s="259">
        <v>7.88</v>
      </c>
      <c r="I98" s="240"/>
      <c r="J98" s="113"/>
      <c r="K98" s="260">
        <v>0.37</v>
      </c>
      <c r="L98" s="259">
        <v>8.07</v>
      </c>
      <c r="M98" s="241">
        <f>D98</f>
        <v>0.16</v>
      </c>
      <c r="N98" s="70" t="s">
        <v>54</v>
      </c>
      <c r="O98" s="113"/>
      <c r="P98" s="260">
        <v>0.24</v>
      </c>
      <c r="Q98" s="259">
        <v>8.0299999999999994</v>
      </c>
      <c r="R98" s="241"/>
      <c r="S98" s="8"/>
      <c r="T98" s="113"/>
      <c r="U98" s="260">
        <v>0.26</v>
      </c>
      <c r="V98" s="259">
        <v>8.0299999999999994</v>
      </c>
      <c r="W98" s="241"/>
      <c r="X98" s="8"/>
      <c r="Y98" s="113"/>
      <c r="Z98" s="241">
        <v>0.11</v>
      </c>
      <c r="AA98" s="240">
        <v>7.87</v>
      </c>
      <c r="AB98" s="241"/>
      <c r="AC98" s="240"/>
      <c r="AD98" s="113"/>
      <c r="AE98" s="241">
        <v>0.18</v>
      </c>
      <c r="AF98" s="240">
        <v>8.01</v>
      </c>
      <c r="AG98" s="114"/>
      <c r="AH98" s="114"/>
      <c r="AI98" s="141"/>
    </row>
    <row r="99" spans="1:35" s="25" customFormat="1" x14ac:dyDescent="0.25">
      <c r="A99" s="261"/>
      <c r="B99" s="260"/>
      <c r="C99" s="259"/>
      <c r="D99" s="240"/>
      <c r="E99" s="240"/>
      <c r="F99" s="113"/>
      <c r="G99" s="260"/>
      <c r="H99" s="259"/>
      <c r="I99" s="240"/>
      <c r="J99" s="113"/>
      <c r="K99" s="260"/>
      <c r="L99" s="259"/>
      <c r="M99" s="241"/>
      <c r="N99" s="240"/>
      <c r="O99" s="113"/>
      <c r="P99" s="260"/>
      <c r="Q99" s="259"/>
      <c r="R99" s="241"/>
      <c r="S99" s="240"/>
      <c r="T99" s="113"/>
      <c r="U99" s="260"/>
      <c r="V99" s="259"/>
      <c r="W99" s="241"/>
      <c r="X99" s="240"/>
      <c r="Y99" s="113"/>
      <c r="Z99" s="241"/>
      <c r="AA99" s="240"/>
      <c r="AB99" s="241"/>
      <c r="AC99" s="240"/>
      <c r="AD99" s="113"/>
      <c r="AE99" s="241"/>
      <c r="AF99" s="240"/>
      <c r="AG99" s="114"/>
      <c r="AH99" s="114"/>
      <c r="AI99" s="141"/>
    </row>
    <row r="100" spans="1:35" s="25" customFormat="1" x14ac:dyDescent="0.25">
      <c r="A100" s="261"/>
      <c r="B100" s="260"/>
      <c r="C100" s="259"/>
      <c r="D100" s="240">
        <f>D98</f>
        <v>0.16</v>
      </c>
      <c r="E100" s="15" t="s">
        <v>70</v>
      </c>
      <c r="F100" s="113"/>
      <c r="G100" s="260"/>
      <c r="H100" s="259"/>
      <c r="I100" s="240"/>
      <c r="J100" s="113"/>
      <c r="K100" s="260"/>
      <c r="L100" s="259"/>
      <c r="M100" s="241">
        <f>D100</f>
        <v>0.16</v>
      </c>
      <c r="N100" s="15" t="s">
        <v>70</v>
      </c>
      <c r="O100" s="113"/>
      <c r="P100" s="260"/>
      <c r="Q100" s="259"/>
      <c r="R100" s="241">
        <f>P98</f>
        <v>0.24</v>
      </c>
      <c r="S100" s="15" t="s">
        <v>136</v>
      </c>
      <c r="T100" s="113"/>
      <c r="U100" s="260"/>
      <c r="V100" s="259"/>
      <c r="W100" s="241"/>
      <c r="X100" s="118"/>
      <c r="Y100" s="113"/>
      <c r="Z100" s="241">
        <v>0.24</v>
      </c>
      <c r="AA100" s="240">
        <v>7.9</v>
      </c>
      <c r="AB100" s="241"/>
      <c r="AC100" s="240"/>
      <c r="AD100" s="113"/>
      <c r="AE100" s="241">
        <v>0.13</v>
      </c>
      <c r="AF100" s="240">
        <v>8.07</v>
      </c>
      <c r="AG100" s="114"/>
      <c r="AH100" s="114"/>
      <c r="AI100" s="141"/>
    </row>
    <row r="101" spans="1:35" s="25" customFormat="1" x14ac:dyDescent="0.25">
      <c r="A101" s="261">
        <v>26</v>
      </c>
      <c r="B101" s="260">
        <v>0.13</v>
      </c>
      <c r="C101" s="259">
        <v>8.1300000000000008</v>
      </c>
      <c r="D101" s="240">
        <f>B101-D103-D102</f>
        <v>0.11000000000000001</v>
      </c>
      <c r="E101" s="7" t="s">
        <v>353</v>
      </c>
      <c r="F101" s="113"/>
      <c r="G101" s="260"/>
      <c r="H101" s="259"/>
      <c r="I101" s="240"/>
      <c r="J101" s="113"/>
      <c r="K101" s="260"/>
      <c r="L101" s="259"/>
      <c r="M101" s="241">
        <f>K98-M98-M100-M103-M102</f>
        <v>2.9999999999999985E-2</v>
      </c>
      <c r="N101" s="7" t="s">
        <v>353</v>
      </c>
      <c r="O101" s="113"/>
      <c r="P101" s="260">
        <v>0.24</v>
      </c>
      <c r="Q101" s="259">
        <v>8.1</v>
      </c>
      <c r="R101" s="241">
        <f>P101+P105-R105</f>
        <v>0.2400000000000001</v>
      </c>
      <c r="S101" s="7" t="s">
        <v>353</v>
      </c>
      <c r="T101" s="113"/>
      <c r="U101" s="260">
        <v>0.81</v>
      </c>
      <c r="V101" s="259">
        <v>8.11</v>
      </c>
      <c r="W101" s="241">
        <f>U101+U98</f>
        <v>1.07</v>
      </c>
      <c r="X101" s="7" t="s">
        <v>353</v>
      </c>
      <c r="Y101" s="113"/>
      <c r="Z101" s="260">
        <v>0.36</v>
      </c>
      <c r="AA101" s="259">
        <v>7.98</v>
      </c>
      <c r="AB101" s="241"/>
      <c r="AC101" s="240"/>
      <c r="AD101" s="113"/>
      <c r="AE101" s="260">
        <v>0.1</v>
      </c>
      <c r="AF101" s="259">
        <v>8.1199999999999992</v>
      </c>
      <c r="AG101" s="114"/>
      <c r="AH101" s="114"/>
      <c r="AI101" s="141"/>
    </row>
    <row r="102" spans="1:35" s="25" customFormat="1" x14ac:dyDescent="0.25">
      <c r="A102" s="261"/>
      <c r="B102" s="260"/>
      <c r="C102" s="259"/>
      <c r="D102" s="241">
        <v>0.01</v>
      </c>
      <c r="E102" s="7" t="s">
        <v>78</v>
      </c>
      <c r="F102" s="113"/>
      <c r="G102" s="260"/>
      <c r="H102" s="259"/>
      <c r="I102" s="240"/>
      <c r="J102" s="113"/>
      <c r="K102" s="260"/>
      <c r="L102" s="259"/>
      <c r="M102" s="241">
        <f>D102</f>
        <v>0.01</v>
      </c>
      <c r="N102" s="7" t="s">
        <v>78</v>
      </c>
      <c r="O102" s="113"/>
      <c r="P102" s="260"/>
      <c r="Q102" s="259"/>
      <c r="R102" s="24"/>
      <c r="S102" s="24"/>
      <c r="T102" s="113"/>
      <c r="U102" s="260"/>
      <c r="V102" s="259"/>
      <c r="W102" s="24"/>
      <c r="X102" s="24"/>
      <c r="Y102" s="113"/>
      <c r="Z102" s="260"/>
      <c r="AA102" s="259"/>
      <c r="AB102" s="241"/>
      <c r="AC102" s="240"/>
      <c r="AD102" s="113"/>
      <c r="AE102" s="260"/>
      <c r="AF102" s="259"/>
      <c r="AG102" s="114"/>
      <c r="AH102" s="114"/>
      <c r="AI102" s="141"/>
    </row>
    <row r="103" spans="1:35" s="25" customFormat="1" x14ac:dyDescent="0.25">
      <c r="A103" s="261"/>
      <c r="B103" s="260"/>
      <c r="C103" s="259"/>
      <c r="D103" s="241">
        <v>0.01</v>
      </c>
      <c r="E103" s="249" t="s">
        <v>53</v>
      </c>
      <c r="F103" s="113"/>
      <c r="G103" s="260"/>
      <c r="H103" s="259"/>
      <c r="I103" s="240"/>
      <c r="J103" s="113"/>
      <c r="K103" s="260"/>
      <c r="L103" s="259"/>
      <c r="M103" s="241">
        <f>D103</f>
        <v>0.01</v>
      </c>
      <c r="N103" s="249" t="s">
        <v>53</v>
      </c>
      <c r="O103" s="113"/>
      <c r="P103" s="260"/>
      <c r="Q103" s="259"/>
      <c r="R103" s="241"/>
      <c r="S103" s="240"/>
      <c r="T103" s="113"/>
      <c r="U103" s="260"/>
      <c r="V103" s="259"/>
      <c r="W103" s="241"/>
      <c r="X103" s="240"/>
      <c r="Y103" s="113"/>
      <c r="Z103" s="260"/>
      <c r="AA103" s="259"/>
      <c r="AB103" s="241"/>
      <c r="AC103" s="240"/>
      <c r="AD103" s="113"/>
      <c r="AE103" s="260"/>
      <c r="AF103" s="259"/>
      <c r="AG103" s="114"/>
      <c r="AH103" s="114"/>
      <c r="AI103" s="141"/>
    </row>
    <row r="104" spans="1:35" s="25" customFormat="1" x14ac:dyDescent="0.25">
      <c r="A104" s="261"/>
      <c r="B104" s="260"/>
      <c r="C104" s="259"/>
      <c r="D104" s="24"/>
      <c r="E104" s="24"/>
      <c r="F104" s="113"/>
      <c r="G104" s="260"/>
      <c r="H104" s="259"/>
      <c r="I104" s="240"/>
      <c r="J104" s="113"/>
      <c r="K104" s="260"/>
      <c r="L104" s="259"/>
      <c r="M104" s="24"/>
      <c r="N104" s="24"/>
      <c r="O104" s="113"/>
      <c r="P104" s="260"/>
      <c r="Q104" s="259"/>
      <c r="R104" s="241"/>
      <c r="S104" s="240"/>
      <c r="T104" s="113"/>
      <c r="U104" s="260"/>
      <c r="V104" s="259"/>
      <c r="W104" s="241"/>
      <c r="X104" s="240"/>
      <c r="Y104" s="113"/>
      <c r="Z104" s="260"/>
      <c r="AA104" s="259"/>
      <c r="AB104" s="241"/>
      <c r="AC104" s="240"/>
      <c r="AD104" s="113"/>
      <c r="AE104" s="241">
        <v>0.08</v>
      </c>
      <c r="AF104" s="240">
        <v>8.16</v>
      </c>
      <c r="AG104" s="114"/>
      <c r="AH104" s="114"/>
      <c r="AI104" s="141"/>
    </row>
    <row r="105" spans="1:35" s="25" customFormat="1" x14ac:dyDescent="0.25">
      <c r="A105" s="261">
        <v>27</v>
      </c>
      <c r="B105" s="260">
        <v>1.47</v>
      </c>
      <c r="C105" s="259">
        <v>8.35</v>
      </c>
      <c r="D105" s="241">
        <v>0.01</v>
      </c>
      <c r="E105" s="58" t="s">
        <v>149</v>
      </c>
      <c r="F105" s="113"/>
      <c r="G105" s="260">
        <v>1.65</v>
      </c>
      <c r="H105" s="259">
        <v>8.15</v>
      </c>
      <c r="I105" s="240"/>
      <c r="J105" s="113"/>
      <c r="K105" s="260">
        <v>3.33</v>
      </c>
      <c r="L105" s="259">
        <v>8.27</v>
      </c>
      <c r="M105" s="241">
        <v>0.5</v>
      </c>
      <c r="N105" s="58" t="s">
        <v>149</v>
      </c>
      <c r="O105" s="113"/>
      <c r="P105" s="260">
        <v>0.86</v>
      </c>
      <c r="Q105" s="259">
        <v>8.23</v>
      </c>
      <c r="R105" s="241">
        <f>P105</f>
        <v>0.86</v>
      </c>
      <c r="S105" s="15" t="s">
        <v>325</v>
      </c>
      <c r="T105" s="113"/>
      <c r="U105" s="260">
        <v>0.56999999999999995</v>
      </c>
      <c r="V105" s="259">
        <v>8.2200000000000006</v>
      </c>
      <c r="W105" s="241">
        <f>U105</f>
        <v>0.56999999999999995</v>
      </c>
      <c r="X105" s="15" t="s">
        <v>325</v>
      </c>
      <c r="Y105" s="113"/>
      <c r="Z105" s="260">
        <v>0.37</v>
      </c>
      <c r="AA105" s="259">
        <v>8.06</v>
      </c>
      <c r="AB105" s="241"/>
      <c r="AC105" s="240"/>
      <c r="AD105" s="113"/>
      <c r="AE105" s="241">
        <v>0.13</v>
      </c>
      <c r="AF105" s="240">
        <v>8.24</v>
      </c>
      <c r="AG105" s="114"/>
      <c r="AH105" s="114"/>
      <c r="AI105" s="141"/>
    </row>
    <row r="106" spans="1:35" s="25" customFormat="1" x14ac:dyDescent="0.25">
      <c r="A106" s="261"/>
      <c r="B106" s="260"/>
      <c r="C106" s="259"/>
      <c r="D106" s="240"/>
      <c r="E106" s="240"/>
      <c r="F106" s="113"/>
      <c r="G106" s="260"/>
      <c r="H106" s="259"/>
      <c r="I106" s="240"/>
      <c r="J106" s="113"/>
      <c r="K106" s="260"/>
      <c r="L106" s="259"/>
      <c r="M106" s="241"/>
      <c r="N106" s="240"/>
      <c r="O106" s="113"/>
      <c r="P106" s="260"/>
      <c r="Q106" s="259"/>
      <c r="R106" s="241"/>
      <c r="S106" s="240"/>
      <c r="T106" s="113"/>
      <c r="U106" s="260"/>
      <c r="V106" s="259"/>
      <c r="W106" s="241"/>
      <c r="X106" s="240"/>
      <c r="Y106" s="113"/>
      <c r="Z106" s="260"/>
      <c r="AA106" s="259"/>
      <c r="AB106" s="241"/>
      <c r="AC106" s="240"/>
      <c r="AD106" s="113"/>
      <c r="AE106" s="241">
        <v>0.06</v>
      </c>
      <c r="AF106" s="240">
        <v>8.2899999999999991</v>
      </c>
      <c r="AG106" s="114"/>
      <c r="AH106" s="114"/>
      <c r="AI106" s="141"/>
    </row>
    <row r="107" spans="1:35" s="25" customFormat="1" x14ac:dyDescent="0.25">
      <c r="A107" s="261"/>
      <c r="B107" s="260"/>
      <c r="C107" s="259"/>
      <c r="D107" s="241">
        <v>0.2</v>
      </c>
      <c r="E107" s="7" t="s">
        <v>78</v>
      </c>
      <c r="F107" s="113"/>
      <c r="G107" s="260"/>
      <c r="H107" s="259"/>
      <c r="I107" s="240"/>
      <c r="J107" s="113"/>
      <c r="K107" s="260"/>
      <c r="L107" s="259"/>
      <c r="M107" s="241">
        <f>D107</f>
        <v>0.2</v>
      </c>
      <c r="N107" s="7" t="s">
        <v>78</v>
      </c>
      <c r="O107" s="113"/>
      <c r="P107" s="260">
        <v>2.72</v>
      </c>
      <c r="Q107" s="259">
        <v>8.33</v>
      </c>
      <c r="R107" s="241"/>
      <c r="S107" s="240"/>
      <c r="T107" s="113"/>
      <c r="U107" s="260">
        <v>1.99</v>
      </c>
      <c r="V107" s="259">
        <v>8.32</v>
      </c>
      <c r="W107" s="24"/>
      <c r="X107" s="24"/>
      <c r="Y107" s="113"/>
      <c r="Z107" s="260">
        <v>0.33</v>
      </c>
      <c r="AA107" s="259">
        <v>8.1999999999999993</v>
      </c>
      <c r="AB107" s="24"/>
      <c r="AC107" s="24"/>
      <c r="AD107" s="113"/>
      <c r="AE107" s="241">
        <v>0.04</v>
      </c>
      <c r="AF107" s="240">
        <v>8.32</v>
      </c>
      <c r="AG107" s="114"/>
      <c r="AH107" s="114"/>
      <c r="AI107" s="141"/>
    </row>
    <row r="108" spans="1:35" s="25" customFormat="1" x14ac:dyDescent="0.25">
      <c r="A108" s="261"/>
      <c r="B108" s="260"/>
      <c r="C108" s="259"/>
      <c r="D108" s="240"/>
      <c r="E108" s="240"/>
      <c r="F108" s="113"/>
      <c r="G108" s="260"/>
      <c r="H108" s="259"/>
      <c r="I108" s="240"/>
      <c r="J108" s="113"/>
      <c r="K108" s="260"/>
      <c r="L108" s="259"/>
      <c r="M108" s="241"/>
      <c r="N108" s="240"/>
      <c r="O108" s="113"/>
      <c r="P108" s="260"/>
      <c r="Q108" s="259"/>
      <c r="R108" s="241"/>
      <c r="S108" s="240"/>
      <c r="T108" s="113"/>
      <c r="U108" s="260"/>
      <c r="V108" s="259"/>
      <c r="W108" s="241"/>
      <c r="X108" s="240"/>
      <c r="Y108" s="113"/>
      <c r="Z108" s="260"/>
      <c r="AA108" s="259"/>
      <c r="AB108" s="241"/>
      <c r="AC108" s="240"/>
      <c r="AD108" s="113"/>
      <c r="AE108" s="260">
        <v>0.08</v>
      </c>
      <c r="AF108" s="259">
        <v>8.35</v>
      </c>
      <c r="AG108" s="114"/>
      <c r="AH108" s="114"/>
      <c r="AI108" s="141"/>
    </row>
    <row r="109" spans="1:35" s="25" customFormat="1" x14ac:dyDescent="0.25">
      <c r="A109" s="261"/>
      <c r="B109" s="260"/>
      <c r="C109" s="259"/>
      <c r="D109" s="259">
        <f>B105-D105-D107</f>
        <v>1.26</v>
      </c>
      <c r="E109" s="294" t="s">
        <v>401</v>
      </c>
      <c r="F109" s="113"/>
      <c r="G109" s="260"/>
      <c r="H109" s="259"/>
      <c r="I109" s="240"/>
      <c r="J109" s="113"/>
      <c r="K109" s="260"/>
      <c r="L109" s="259"/>
      <c r="M109" s="260">
        <f>K105-M105-M107</f>
        <v>2.63</v>
      </c>
      <c r="N109" s="294" t="s">
        <v>401</v>
      </c>
      <c r="O109" s="113"/>
      <c r="P109" s="260"/>
      <c r="Q109" s="259"/>
      <c r="R109" s="241">
        <v>0.5</v>
      </c>
      <c r="S109" s="249" t="s">
        <v>41</v>
      </c>
      <c r="T109" s="113"/>
      <c r="U109" s="260"/>
      <c r="V109" s="259"/>
      <c r="W109" s="245"/>
      <c r="X109" s="246"/>
      <c r="Y109" s="113"/>
      <c r="Z109" s="260"/>
      <c r="AA109" s="259"/>
      <c r="AB109" s="24"/>
      <c r="AC109" s="24"/>
      <c r="AD109" s="113"/>
      <c r="AE109" s="260"/>
      <c r="AF109" s="259"/>
      <c r="AG109" s="114"/>
      <c r="AH109" s="114"/>
      <c r="AI109" s="141"/>
    </row>
    <row r="110" spans="1:35" s="25" customFormat="1" x14ac:dyDescent="0.25">
      <c r="A110" s="261"/>
      <c r="B110" s="260"/>
      <c r="C110" s="259"/>
      <c r="D110" s="259"/>
      <c r="E110" s="294"/>
      <c r="F110" s="113"/>
      <c r="G110" s="260"/>
      <c r="H110" s="259"/>
      <c r="I110" s="240"/>
      <c r="J110" s="113"/>
      <c r="K110" s="260"/>
      <c r="L110" s="259"/>
      <c r="M110" s="260"/>
      <c r="N110" s="294"/>
      <c r="O110" s="113"/>
      <c r="P110" s="260"/>
      <c r="Q110" s="259"/>
      <c r="R110" s="241">
        <f>P107-R109</f>
        <v>2.2200000000000002</v>
      </c>
      <c r="S110" s="249" t="s">
        <v>427</v>
      </c>
      <c r="T110" s="113"/>
      <c r="U110" s="260"/>
      <c r="V110" s="259"/>
      <c r="W110" s="241">
        <f>U107+U115-W112-W113</f>
        <v>2.8200000000000003</v>
      </c>
      <c r="X110" s="249" t="s">
        <v>221</v>
      </c>
      <c r="Y110" s="113"/>
      <c r="Z110" s="260"/>
      <c r="AA110" s="259"/>
      <c r="AB110" s="241"/>
      <c r="AC110" s="240"/>
      <c r="AD110" s="113"/>
      <c r="AE110" s="260"/>
      <c r="AF110" s="259"/>
      <c r="AG110" s="114"/>
      <c r="AH110" s="114"/>
      <c r="AI110" s="141"/>
    </row>
    <row r="111" spans="1:35" s="25" customFormat="1" x14ac:dyDescent="0.25">
      <c r="A111" s="261"/>
      <c r="B111" s="260"/>
      <c r="C111" s="259"/>
      <c r="D111" s="240"/>
      <c r="E111" s="240"/>
      <c r="F111" s="113"/>
      <c r="G111" s="260"/>
      <c r="H111" s="259"/>
      <c r="I111" s="240"/>
      <c r="J111" s="113"/>
      <c r="K111" s="260"/>
      <c r="L111" s="259"/>
      <c r="M111" s="241"/>
      <c r="N111" s="240"/>
      <c r="O111" s="113"/>
      <c r="P111" s="260"/>
      <c r="Q111" s="259"/>
      <c r="R111" s="241"/>
      <c r="S111" s="240"/>
      <c r="T111" s="113"/>
      <c r="U111" s="260"/>
      <c r="V111" s="259"/>
      <c r="W111" s="245"/>
      <c r="X111" s="246"/>
      <c r="Y111" s="113"/>
      <c r="Z111" s="260"/>
      <c r="AA111" s="259"/>
      <c r="AB111" s="241"/>
      <c r="AC111" s="240"/>
      <c r="AD111" s="113"/>
      <c r="AE111" s="260"/>
      <c r="AF111" s="259"/>
      <c r="AG111" s="114"/>
      <c r="AH111" s="114"/>
      <c r="AI111" s="141"/>
    </row>
    <row r="112" spans="1:35" s="25" customFormat="1" x14ac:dyDescent="0.25">
      <c r="A112" s="261">
        <v>28</v>
      </c>
      <c r="B112" s="260">
        <v>0.46</v>
      </c>
      <c r="C112" s="259">
        <v>8.4700000000000006</v>
      </c>
      <c r="D112" s="240">
        <f>B112</f>
        <v>0.46</v>
      </c>
      <c r="E112" s="7" t="s">
        <v>107</v>
      </c>
      <c r="F112" s="113"/>
      <c r="G112" s="260">
        <v>0.71</v>
      </c>
      <c r="H112" s="259">
        <v>8.25</v>
      </c>
      <c r="I112" s="240"/>
      <c r="J112" s="113"/>
      <c r="K112" s="260">
        <v>0.19</v>
      </c>
      <c r="L112" s="259">
        <v>8.4</v>
      </c>
      <c r="M112" s="241">
        <f>K112</f>
        <v>0.19</v>
      </c>
      <c r="N112" s="7" t="s">
        <v>107</v>
      </c>
      <c r="O112" s="113"/>
      <c r="P112" s="260">
        <v>0.28000000000000003</v>
      </c>
      <c r="Q112" s="259">
        <v>8.43</v>
      </c>
      <c r="R112" s="241">
        <f>P112</f>
        <v>0.28000000000000003</v>
      </c>
      <c r="S112" s="7" t="s">
        <v>107</v>
      </c>
      <c r="T112" s="113"/>
      <c r="U112" s="260"/>
      <c r="V112" s="259"/>
      <c r="W112" s="241">
        <f>R112</f>
        <v>0.28000000000000003</v>
      </c>
      <c r="X112" s="7" t="s">
        <v>107</v>
      </c>
      <c r="Y112" s="113"/>
      <c r="Z112" s="260">
        <v>0.09</v>
      </c>
      <c r="AA112" s="259">
        <v>8.27</v>
      </c>
      <c r="AB112" s="241">
        <f>Z112</f>
        <v>0.09</v>
      </c>
      <c r="AC112" s="7" t="s">
        <v>107</v>
      </c>
      <c r="AD112" s="113"/>
      <c r="AE112" s="241">
        <v>0.05</v>
      </c>
      <c r="AF112" s="240">
        <v>8.4</v>
      </c>
      <c r="AG112" s="114">
        <f>AE112+AE113</f>
        <v>0.1</v>
      </c>
      <c r="AH112" s="7" t="s">
        <v>107</v>
      </c>
      <c r="AI112" s="141"/>
    </row>
    <row r="113" spans="1:35" s="25" customFormat="1" x14ac:dyDescent="0.25">
      <c r="A113" s="261"/>
      <c r="B113" s="260"/>
      <c r="C113" s="259"/>
      <c r="D113" s="240"/>
      <c r="E113" s="240"/>
      <c r="F113" s="113"/>
      <c r="G113" s="260"/>
      <c r="H113" s="259"/>
      <c r="I113" s="240"/>
      <c r="J113" s="113"/>
      <c r="K113" s="260"/>
      <c r="L113" s="259"/>
      <c r="M113" s="241"/>
      <c r="N113" s="240"/>
      <c r="O113" s="113"/>
      <c r="P113" s="260"/>
      <c r="Q113" s="259"/>
      <c r="R113" s="241"/>
      <c r="S113" s="240"/>
      <c r="T113" s="113"/>
      <c r="U113" s="260"/>
      <c r="V113" s="259"/>
      <c r="W113" s="245"/>
      <c r="X113" s="246"/>
      <c r="Y113" s="113"/>
      <c r="Z113" s="260"/>
      <c r="AA113" s="259"/>
      <c r="AB113" s="245"/>
      <c r="AC113" s="246"/>
      <c r="AD113" s="113"/>
      <c r="AE113" s="260">
        <v>0.05</v>
      </c>
      <c r="AF113" s="259">
        <v>8.4700000000000006</v>
      </c>
      <c r="AG113" s="245"/>
      <c r="AH113" s="246"/>
      <c r="AI113" s="141"/>
    </row>
    <row r="114" spans="1:35" s="25" customFormat="1" x14ac:dyDescent="0.25">
      <c r="A114" s="261"/>
      <c r="B114" s="260"/>
      <c r="C114" s="259"/>
      <c r="D114" s="240"/>
      <c r="E114" s="73"/>
      <c r="F114" s="113"/>
      <c r="G114" s="260"/>
      <c r="H114" s="259"/>
      <c r="I114" s="240"/>
      <c r="J114" s="113"/>
      <c r="K114" s="260"/>
      <c r="L114" s="259"/>
      <c r="M114" s="241"/>
      <c r="N114" s="73"/>
      <c r="O114" s="113"/>
      <c r="P114" s="260"/>
      <c r="Q114" s="259"/>
      <c r="R114" s="241"/>
      <c r="S114" s="240"/>
      <c r="T114" s="113"/>
      <c r="U114" s="260"/>
      <c r="V114" s="259"/>
      <c r="W114" s="241"/>
      <c r="X114" s="240"/>
      <c r="Y114" s="113"/>
      <c r="Z114" s="260"/>
      <c r="AA114" s="259"/>
      <c r="AB114" s="241"/>
      <c r="AC114" s="240"/>
      <c r="AD114" s="113"/>
      <c r="AE114" s="260"/>
      <c r="AF114" s="259"/>
      <c r="AG114" s="114"/>
      <c r="AH114" s="240"/>
      <c r="AI114" s="141"/>
    </row>
    <row r="115" spans="1:35" s="25" customFormat="1" x14ac:dyDescent="0.25">
      <c r="A115" s="261">
        <v>29</v>
      </c>
      <c r="B115" s="260">
        <v>1.19</v>
      </c>
      <c r="C115" s="259">
        <v>8.57</v>
      </c>
      <c r="D115" s="240">
        <f>B115-D121</f>
        <v>1.01</v>
      </c>
      <c r="E115" s="7" t="s">
        <v>149</v>
      </c>
      <c r="F115" s="113"/>
      <c r="G115" s="260">
        <v>1.1399999999999999</v>
      </c>
      <c r="H115" s="259">
        <v>8.3699999999999992</v>
      </c>
      <c r="I115" s="240"/>
      <c r="J115" s="113"/>
      <c r="K115" s="260">
        <v>1.1599999999999999</v>
      </c>
      <c r="L115" s="259">
        <v>8.51</v>
      </c>
      <c r="M115" s="241">
        <f>D115</f>
        <v>1.01</v>
      </c>
      <c r="N115" s="7" t="s">
        <v>149</v>
      </c>
      <c r="O115" s="113"/>
      <c r="P115" s="241">
        <v>0.89</v>
      </c>
      <c r="Q115" s="240">
        <v>8.5299999999999994</v>
      </c>
      <c r="R115" s="241"/>
      <c r="S115" s="240"/>
      <c r="T115" s="113"/>
      <c r="U115" s="241">
        <v>1.1100000000000001</v>
      </c>
      <c r="V115" s="240">
        <v>8.5299999999999994</v>
      </c>
      <c r="W115" s="241"/>
      <c r="X115" s="240"/>
      <c r="Y115" s="113"/>
      <c r="Z115" s="241">
        <v>0.64</v>
      </c>
      <c r="AA115" s="240">
        <v>8.3699999999999992</v>
      </c>
      <c r="AB115" s="241"/>
      <c r="AC115" s="240"/>
      <c r="AD115" s="113"/>
      <c r="AE115" s="241">
        <v>0.7</v>
      </c>
      <c r="AF115" s="240">
        <v>8.52</v>
      </c>
      <c r="AG115" s="114"/>
      <c r="AH115" s="240"/>
      <c r="AI115" s="141"/>
    </row>
    <row r="116" spans="1:35" s="25" customFormat="1" x14ac:dyDescent="0.25">
      <c r="A116" s="261"/>
      <c r="B116" s="260"/>
      <c r="C116" s="259"/>
      <c r="D116" s="24"/>
      <c r="E116" s="24"/>
      <c r="F116" s="113"/>
      <c r="G116" s="260"/>
      <c r="H116" s="259"/>
      <c r="I116" s="240"/>
      <c r="J116" s="113"/>
      <c r="K116" s="260"/>
      <c r="L116" s="259"/>
      <c r="M116" s="24"/>
      <c r="N116" s="24"/>
      <c r="O116" s="113"/>
      <c r="P116" s="260">
        <v>0.4</v>
      </c>
      <c r="Q116" s="259">
        <v>8.6</v>
      </c>
      <c r="R116" s="24"/>
      <c r="S116" s="24"/>
      <c r="T116" s="113"/>
      <c r="U116" s="260">
        <v>0.26</v>
      </c>
      <c r="V116" s="259">
        <v>8.6199999999999992</v>
      </c>
      <c r="W116" s="24"/>
      <c r="X116" s="24"/>
      <c r="Y116" s="113"/>
      <c r="Z116" s="260">
        <v>0.31</v>
      </c>
      <c r="AA116" s="259">
        <v>8.5</v>
      </c>
      <c r="AB116" s="241">
        <f>Z116+Z115-AB121</f>
        <v>0.82</v>
      </c>
      <c r="AC116" s="249" t="s">
        <v>73</v>
      </c>
      <c r="AD116" s="113"/>
      <c r="AE116" s="260">
        <v>0.19</v>
      </c>
      <c r="AF116" s="259">
        <v>8.6300000000000008</v>
      </c>
      <c r="AG116" s="114">
        <f>AG121</f>
        <v>9.5000000000000001E-2</v>
      </c>
      <c r="AH116" s="249" t="s">
        <v>73</v>
      </c>
      <c r="AI116" s="141"/>
    </row>
    <row r="117" spans="1:35" s="25" customFormat="1" x14ac:dyDescent="0.25">
      <c r="A117" s="261"/>
      <c r="B117" s="260"/>
      <c r="C117" s="259"/>
      <c r="D117" s="241">
        <f>AB117</f>
        <v>0.18</v>
      </c>
      <c r="E117" s="59" t="s">
        <v>109</v>
      </c>
      <c r="F117" s="113"/>
      <c r="G117" s="260"/>
      <c r="H117" s="259"/>
      <c r="I117" s="240"/>
      <c r="J117" s="113"/>
      <c r="K117" s="260"/>
      <c r="L117" s="259"/>
      <c r="M117" s="241">
        <f ca="1">M122</f>
        <v>0.26222222222222213</v>
      </c>
      <c r="N117" s="59" t="s">
        <v>109</v>
      </c>
      <c r="O117" s="113"/>
      <c r="P117" s="260"/>
      <c r="Q117" s="259"/>
      <c r="R117" s="241">
        <f>AB117</f>
        <v>0.18</v>
      </c>
      <c r="S117" s="59" t="s">
        <v>109</v>
      </c>
      <c r="T117" s="113"/>
      <c r="U117" s="260"/>
      <c r="V117" s="259"/>
      <c r="W117" s="241">
        <f>R117</f>
        <v>0.18</v>
      </c>
      <c r="X117" s="59" t="s">
        <v>109</v>
      </c>
      <c r="Y117" s="113"/>
      <c r="Z117" s="260"/>
      <c r="AA117" s="259"/>
      <c r="AB117" s="241">
        <f>AB125</f>
        <v>0.18</v>
      </c>
      <c r="AC117" s="59" t="s">
        <v>109</v>
      </c>
      <c r="AD117" s="113"/>
      <c r="AE117" s="260"/>
      <c r="AF117" s="259"/>
      <c r="AG117" s="114">
        <f>AB117</f>
        <v>0.18</v>
      </c>
      <c r="AH117" s="59" t="s">
        <v>109</v>
      </c>
      <c r="AI117" s="141"/>
    </row>
    <row r="118" spans="1:35" s="25" customFormat="1" x14ac:dyDescent="0.25">
      <c r="A118" s="261"/>
      <c r="B118" s="260"/>
      <c r="C118" s="259"/>
      <c r="D118" s="24"/>
      <c r="E118" s="24"/>
      <c r="F118" s="113"/>
      <c r="G118" s="260"/>
      <c r="H118" s="259"/>
      <c r="I118" s="240"/>
      <c r="J118" s="113"/>
      <c r="K118" s="260"/>
      <c r="L118" s="259"/>
      <c r="M118" s="24"/>
      <c r="N118" s="24"/>
      <c r="O118" s="113"/>
      <c r="P118" s="260"/>
      <c r="Q118" s="259"/>
      <c r="R118" s="241">
        <v>0.22</v>
      </c>
      <c r="S118" s="62" t="s">
        <v>531</v>
      </c>
      <c r="T118" s="113"/>
      <c r="U118" s="260"/>
      <c r="V118" s="259"/>
      <c r="W118" s="241">
        <f>W121</f>
        <v>0.13</v>
      </c>
      <c r="X118" s="62" t="s">
        <v>314</v>
      </c>
      <c r="Y118" s="113"/>
      <c r="Z118" s="260"/>
      <c r="AA118" s="259"/>
      <c r="AB118" s="241">
        <f>Z105</f>
        <v>0.37</v>
      </c>
      <c r="AC118" s="75" t="s">
        <v>43</v>
      </c>
      <c r="AD118" s="113"/>
      <c r="AE118" s="260"/>
      <c r="AF118" s="259"/>
      <c r="AI118" s="141"/>
    </row>
    <row r="119" spans="1:35" s="25" customFormat="1" x14ac:dyDescent="0.25">
      <c r="A119" s="261">
        <v>30</v>
      </c>
      <c r="B119" s="260">
        <v>6.22</v>
      </c>
      <c r="C119" s="259">
        <v>8.81</v>
      </c>
      <c r="D119" s="241">
        <v>0.2</v>
      </c>
      <c r="E119" s="7" t="s">
        <v>480</v>
      </c>
      <c r="F119" s="113"/>
      <c r="G119" s="260">
        <v>1.7</v>
      </c>
      <c r="H119" s="259">
        <v>8.5399999999999991</v>
      </c>
      <c r="I119" s="240"/>
      <c r="J119" s="113"/>
      <c r="K119" s="260">
        <v>2.83</v>
      </c>
      <c r="L119" s="259">
        <v>8.67</v>
      </c>
      <c r="M119" s="241">
        <f ca="1">M122</f>
        <v>0.26222222222222213</v>
      </c>
      <c r="N119" s="7" t="s">
        <v>78</v>
      </c>
      <c r="O119" s="113"/>
      <c r="P119" s="260">
        <v>1.18</v>
      </c>
      <c r="Q119" s="259">
        <v>8.6999999999999993</v>
      </c>
      <c r="R119" s="241">
        <f>P119-R122-R125-R127-R117</f>
        <v>0.35500000000000015</v>
      </c>
      <c r="S119" s="249" t="s">
        <v>500</v>
      </c>
      <c r="T119" s="113"/>
      <c r="U119" s="260">
        <v>0.77</v>
      </c>
      <c r="V119" s="259">
        <v>8.6999999999999993</v>
      </c>
      <c r="W119" s="241">
        <v>0.71</v>
      </c>
      <c r="X119" s="249" t="s">
        <v>135</v>
      </c>
      <c r="Y119" s="113"/>
      <c r="Z119" s="260">
        <v>5.36</v>
      </c>
      <c r="AA119" s="259">
        <v>8.61</v>
      </c>
      <c r="AB119" s="241"/>
      <c r="AC119" s="240"/>
      <c r="AD119" s="113"/>
      <c r="AE119" s="260">
        <v>4.8099999999999996</v>
      </c>
      <c r="AF119" s="259">
        <v>8.76</v>
      </c>
      <c r="AI119" s="141"/>
    </row>
    <row r="120" spans="1:35" s="25" customFormat="1" x14ac:dyDescent="0.25">
      <c r="A120" s="261"/>
      <c r="B120" s="260"/>
      <c r="C120" s="259"/>
      <c r="D120" s="241">
        <v>0.03</v>
      </c>
      <c r="E120" s="7" t="s">
        <v>490</v>
      </c>
      <c r="F120" s="113"/>
      <c r="G120" s="260"/>
      <c r="H120" s="259"/>
      <c r="I120" s="240"/>
      <c r="J120" s="113"/>
      <c r="K120" s="260"/>
      <c r="L120" s="259"/>
      <c r="M120" s="241">
        <f ca="1">M122</f>
        <v>0.26222222222222213</v>
      </c>
      <c r="N120" s="7" t="s">
        <v>200</v>
      </c>
      <c r="O120" s="113"/>
      <c r="P120" s="260"/>
      <c r="Q120" s="259"/>
      <c r="R120" s="24"/>
      <c r="S120" s="24"/>
      <c r="T120" s="113"/>
      <c r="U120" s="260"/>
      <c r="V120" s="259"/>
      <c r="W120" s="24"/>
      <c r="X120" s="24"/>
      <c r="Y120" s="113"/>
      <c r="Z120" s="260"/>
      <c r="AA120" s="259"/>
      <c r="AB120" s="24"/>
      <c r="AC120" s="24"/>
      <c r="AD120" s="113"/>
      <c r="AE120" s="260"/>
      <c r="AF120" s="259"/>
      <c r="AG120" s="24"/>
      <c r="AH120" s="24"/>
      <c r="AI120" s="141"/>
    </row>
    <row r="121" spans="1:35" s="25" customFormat="1" x14ac:dyDescent="0.25">
      <c r="A121" s="261"/>
      <c r="B121" s="260"/>
      <c r="C121" s="259"/>
      <c r="D121" s="241">
        <f>R121</f>
        <v>0.18000000000000002</v>
      </c>
      <c r="E121" s="58" t="s">
        <v>110</v>
      </c>
      <c r="F121" s="113"/>
      <c r="G121" s="260"/>
      <c r="H121" s="259"/>
      <c r="I121" s="240"/>
      <c r="J121" s="113"/>
      <c r="K121" s="260"/>
      <c r="L121" s="259"/>
      <c r="M121" s="241">
        <f>K115-M115</f>
        <v>0.14999999999999991</v>
      </c>
      <c r="N121" s="58" t="s">
        <v>110</v>
      </c>
      <c r="O121" s="113"/>
      <c r="P121" s="260"/>
      <c r="Q121" s="259"/>
      <c r="R121" s="241">
        <f>P116-R118</f>
        <v>0.18000000000000002</v>
      </c>
      <c r="S121" s="58" t="s">
        <v>110</v>
      </c>
      <c r="T121" s="113"/>
      <c r="U121" s="260"/>
      <c r="V121" s="259"/>
      <c r="W121" s="241">
        <f>U116/2</f>
        <v>0.13</v>
      </c>
      <c r="X121" s="58" t="s">
        <v>110</v>
      </c>
      <c r="Y121" s="113"/>
      <c r="Z121" s="260"/>
      <c r="AA121" s="259"/>
      <c r="AB121" s="241">
        <f>W121</f>
        <v>0.13</v>
      </c>
      <c r="AC121" s="58" t="s">
        <v>110</v>
      </c>
      <c r="AD121" s="113"/>
      <c r="AE121" s="260"/>
      <c r="AF121" s="259"/>
      <c r="AG121" s="114">
        <f>AE116/2</f>
        <v>9.5000000000000001E-2</v>
      </c>
      <c r="AH121" s="58" t="s">
        <v>110</v>
      </c>
      <c r="AI121" s="141"/>
    </row>
    <row r="122" spans="1:35" s="25" customFormat="1" x14ac:dyDescent="0.25">
      <c r="A122" s="261"/>
      <c r="B122" s="260"/>
      <c r="C122" s="259"/>
      <c r="D122" s="241">
        <f>AB122</f>
        <v>0.18</v>
      </c>
      <c r="E122" s="249" t="s">
        <v>71</v>
      </c>
      <c r="F122" s="113"/>
      <c r="G122" s="260"/>
      <c r="H122" s="259"/>
      <c r="I122" s="240"/>
      <c r="J122" s="113"/>
      <c r="K122" s="260"/>
      <c r="L122" s="259"/>
      <c r="M122" s="241">
        <f ca="1">(K119+K124-M132-M131-M130-M124)/9</f>
        <v>0.26222222222222213</v>
      </c>
      <c r="N122" s="249" t="s">
        <v>71</v>
      </c>
      <c r="O122" s="113"/>
      <c r="P122" s="260"/>
      <c r="Q122" s="259"/>
      <c r="R122" s="241">
        <f>AB122</f>
        <v>0.18</v>
      </c>
      <c r="S122" s="249" t="s">
        <v>71</v>
      </c>
      <c r="T122" s="113"/>
      <c r="U122" s="260"/>
      <c r="V122" s="259"/>
      <c r="W122" s="241">
        <f>R122</f>
        <v>0.18</v>
      </c>
      <c r="X122" s="249" t="s">
        <v>71</v>
      </c>
      <c r="Y122" s="113"/>
      <c r="Z122" s="260"/>
      <c r="AA122" s="259"/>
      <c r="AB122" s="241">
        <v>0.18</v>
      </c>
      <c r="AC122" s="249" t="s">
        <v>71</v>
      </c>
      <c r="AD122" s="113"/>
      <c r="AE122" s="260"/>
      <c r="AF122" s="259"/>
      <c r="AG122" s="114">
        <f>AB122</f>
        <v>0.18</v>
      </c>
      <c r="AH122" s="249" t="s">
        <v>71</v>
      </c>
      <c r="AI122" s="141"/>
    </row>
    <row r="123" spans="1:35" s="25" customFormat="1" x14ac:dyDescent="0.25">
      <c r="A123" s="261"/>
      <c r="B123" s="260"/>
      <c r="C123" s="259"/>
      <c r="D123" s="241">
        <f ca="1">M123</f>
        <v>0.26222222222222213</v>
      </c>
      <c r="E123" s="59" t="s">
        <v>489</v>
      </c>
      <c r="F123" s="113"/>
      <c r="G123" s="260"/>
      <c r="H123" s="259"/>
      <c r="I123" s="240"/>
      <c r="J123" s="113"/>
      <c r="K123" s="260"/>
      <c r="L123" s="259"/>
      <c r="M123" s="241">
        <f ca="1">M122</f>
        <v>0.26222222222222213</v>
      </c>
      <c r="N123" s="59" t="s">
        <v>228</v>
      </c>
      <c r="O123" s="113"/>
      <c r="P123" s="260"/>
      <c r="Q123" s="259"/>
      <c r="R123" s="24"/>
      <c r="S123" s="24"/>
      <c r="T123" s="113"/>
      <c r="U123" s="260"/>
      <c r="V123" s="259"/>
      <c r="W123" s="24"/>
      <c r="X123" s="24"/>
      <c r="Y123" s="113"/>
      <c r="Z123" s="260"/>
      <c r="AA123" s="259"/>
      <c r="AB123" s="24"/>
      <c r="AC123" s="24"/>
      <c r="AD123" s="113"/>
      <c r="AE123" s="260"/>
      <c r="AF123" s="259"/>
      <c r="AG123" s="114"/>
      <c r="AH123" s="24"/>
      <c r="AI123" s="141"/>
    </row>
    <row r="124" spans="1:35" s="25" customFormat="1" x14ac:dyDescent="0.25">
      <c r="A124" s="261"/>
      <c r="B124" s="260"/>
      <c r="C124" s="259"/>
      <c r="D124" s="241">
        <v>0.37</v>
      </c>
      <c r="E124" s="59" t="s">
        <v>81</v>
      </c>
      <c r="F124" s="113"/>
      <c r="G124" s="260"/>
      <c r="H124" s="259"/>
      <c r="I124" s="240"/>
      <c r="J124" s="113"/>
      <c r="K124" s="260">
        <v>5.68</v>
      </c>
      <c r="L124" s="259">
        <v>8.75</v>
      </c>
      <c r="M124" s="241">
        <v>0.37</v>
      </c>
      <c r="N124" s="59" t="s">
        <v>81</v>
      </c>
      <c r="O124" s="113"/>
      <c r="P124" s="260"/>
      <c r="Q124" s="259"/>
      <c r="R124" s="241"/>
      <c r="S124" s="240"/>
      <c r="T124" s="113"/>
      <c r="U124" s="260">
        <v>5.73</v>
      </c>
      <c r="V124" s="259">
        <v>8.7799999999999994</v>
      </c>
      <c r="W124" s="24"/>
      <c r="X124" s="24"/>
      <c r="Y124" s="113"/>
      <c r="Z124" s="260"/>
      <c r="AA124" s="259"/>
      <c r="AB124" s="24"/>
      <c r="AC124" s="24"/>
      <c r="AD124" s="113"/>
      <c r="AE124" s="260"/>
      <c r="AF124" s="259"/>
      <c r="AG124" s="24"/>
      <c r="AH124" s="24"/>
      <c r="AI124" s="141"/>
    </row>
    <row r="125" spans="1:35" s="25" customFormat="1" x14ac:dyDescent="0.25">
      <c r="A125" s="261"/>
      <c r="B125" s="260"/>
      <c r="C125" s="259"/>
      <c r="D125" s="241">
        <f>AB125</f>
        <v>0.18</v>
      </c>
      <c r="E125" s="7" t="s">
        <v>72</v>
      </c>
      <c r="F125" s="113"/>
      <c r="G125" s="260"/>
      <c r="H125" s="259"/>
      <c r="I125" s="240"/>
      <c r="J125" s="113"/>
      <c r="K125" s="260"/>
      <c r="L125" s="259"/>
      <c r="M125" s="241">
        <f ca="1">M122</f>
        <v>0.26222222222222213</v>
      </c>
      <c r="N125" s="7" t="s">
        <v>72</v>
      </c>
      <c r="O125" s="113"/>
      <c r="P125" s="260">
        <v>3.94</v>
      </c>
      <c r="Q125" s="259">
        <v>8.77</v>
      </c>
      <c r="R125" s="241">
        <f>AB125</f>
        <v>0.18</v>
      </c>
      <c r="S125" s="7" t="s">
        <v>72</v>
      </c>
      <c r="T125" s="113"/>
      <c r="U125" s="260"/>
      <c r="V125" s="259"/>
      <c r="W125" s="241">
        <f>R125</f>
        <v>0.18</v>
      </c>
      <c r="X125" s="7" t="s">
        <v>72</v>
      </c>
      <c r="Y125" s="113"/>
      <c r="Z125" s="260"/>
      <c r="AA125" s="259"/>
      <c r="AB125" s="241">
        <f>AB122</f>
        <v>0.18</v>
      </c>
      <c r="AC125" s="7" t="s">
        <v>72</v>
      </c>
      <c r="AD125" s="113"/>
      <c r="AE125" s="260"/>
      <c r="AF125" s="259"/>
      <c r="AG125" s="114">
        <f>AB125</f>
        <v>0.18</v>
      </c>
      <c r="AH125" s="7" t="s">
        <v>72</v>
      </c>
      <c r="AI125" s="141"/>
    </row>
    <row r="126" spans="1:35" s="25" customFormat="1" x14ac:dyDescent="0.25">
      <c r="A126" s="261"/>
      <c r="B126" s="260"/>
      <c r="C126" s="259"/>
      <c r="D126" s="241">
        <f ca="1">M126</f>
        <v>0.26222222222222213</v>
      </c>
      <c r="E126" s="249" t="s">
        <v>79</v>
      </c>
      <c r="F126" s="113"/>
      <c r="G126" s="260"/>
      <c r="H126" s="259"/>
      <c r="I126" s="240"/>
      <c r="J126" s="113"/>
      <c r="K126" s="260"/>
      <c r="L126" s="259"/>
      <c r="M126" s="241">
        <f ca="1">M122</f>
        <v>0.26222222222222213</v>
      </c>
      <c r="N126" s="249" t="s">
        <v>79</v>
      </c>
      <c r="O126" s="113"/>
      <c r="P126" s="260"/>
      <c r="Q126" s="259"/>
      <c r="R126" s="24"/>
      <c r="S126" s="24"/>
      <c r="T126" s="113"/>
      <c r="U126" s="260"/>
      <c r="V126" s="259"/>
      <c r="W126" s="24"/>
      <c r="X126" s="24"/>
      <c r="Y126" s="113"/>
      <c r="Z126" s="260"/>
      <c r="AA126" s="259"/>
      <c r="AB126" s="241">
        <v>7.0000000000000007E-2</v>
      </c>
      <c r="AC126" s="14" t="s">
        <v>113</v>
      </c>
      <c r="AD126" s="113"/>
      <c r="AE126" s="260"/>
      <c r="AF126" s="259"/>
      <c r="AG126" s="114">
        <f>AB126</f>
        <v>7.0000000000000007E-2</v>
      </c>
      <c r="AH126" s="14" t="s">
        <v>113</v>
      </c>
      <c r="AI126" s="141"/>
    </row>
    <row r="127" spans="1:35" s="25" customFormat="1" x14ac:dyDescent="0.25">
      <c r="A127" s="261"/>
      <c r="B127" s="260"/>
      <c r="C127" s="259"/>
      <c r="D127" s="241">
        <f>D122</f>
        <v>0.18</v>
      </c>
      <c r="E127" s="249" t="s">
        <v>352</v>
      </c>
      <c r="F127" s="113"/>
      <c r="G127" s="260"/>
      <c r="H127" s="259"/>
      <c r="I127" s="240"/>
      <c r="J127" s="113"/>
      <c r="K127" s="260"/>
      <c r="L127" s="259"/>
      <c r="M127" s="241">
        <f ca="1">M122</f>
        <v>0.26222222222222213</v>
      </c>
      <c r="N127" s="249" t="s">
        <v>352</v>
      </c>
      <c r="O127" s="113"/>
      <c r="P127" s="260"/>
      <c r="Q127" s="259"/>
      <c r="R127" s="241">
        <v>0.28499999999999998</v>
      </c>
      <c r="S127" s="249" t="s">
        <v>352</v>
      </c>
      <c r="T127" s="113"/>
      <c r="U127" s="260"/>
      <c r="V127" s="259"/>
      <c r="W127" s="241">
        <f>R127</f>
        <v>0.28499999999999998</v>
      </c>
      <c r="X127" s="249" t="s">
        <v>352</v>
      </c>
      <c r="Y127" s="113"/>
      <c r="Z127" s="260"/>
      <c r="AA127" s="259"/>
      <c r="AB127" s="241"/>
      <c r="AC127" s="240"/>
      <c r="AD127" s="113"/>
      <c r="AE127" s="260"/>
      <c r="AF127" s="259"/>
      <c r="AG127" s="114"/>
      <c r="AH127" s="114"/>
      <c r="AI127" s="141"/>
    </row>
    <row r="128" spans="1:35" s="25" customFormat="1" x14ac:dyDescent="0.25">
      <c r="A128" s="261"/>
      <c r="B128" s="260"/>
      <c r="C128" s="259"/>
      <c r="D128" s="241">
        <f ca="1">M128</f>
        <v>0.26222222222222213</v>
      </c>
      <c r="E128" s="249" t="s">
        <v>80</v>
      </c>
      <c r="F128" s="113"/>
      <c r="G128" s="260"/>
      <c r="H128" s="259"/>
      <c r="I128" s="240"/>
      <c r="J128" s="113"/>
      <c r="K128" s="260"/>
      <c r="L128" s="259"/>
      <c r="M128" s="241">
        <f ca="1">M122</f>
        <v>0.26222222222222213</v>
      </c>
      <c r="N128" s="249" t="s">
        <v>80</v>
      </c>
      <c r="O128" s="113"/>
      <c r="P128" s="260"/>
      <c r="Q128" s="259"/>
      <c r="R128" s="241"/>
      <c r="S128" s="240"/>
      <c r="T128" s="113"/>
      <c r="U128" s="260"/>
      <c r="V128" s="259"/>
      <c r="W128" s="24"/>
      <c r="X128" s="24"/>
      <c r="Y128" s="113"/>
      <c r="Z128" s="260"/>
      <c r="AA128" s="259"/>
      <c r="AB128" s="241"/>
      <c r="AC128" s="240"/>
      <c r="AD128" s="113"/>
      <c r="AE128" s="260"/>
      <c r="AF128" s="259"/>
      <c r="AG128" s="114"/>
      <c r="AH128" s="114"/>
      <c r="AI128" s="141"/>
    </row>
    <row r="129" spans="1:35" s="25" customFormat="1" x14ac:dyDescent="0.25">
      <c r="A129" s="261"/>
      <c r="B129" s="260"/>
      <c r="C129" s="259"/>
      <c r="D129" s="24"/>
      <c r="E129" s="24"/>
      <c r="F129" s="113"/>
      <c r="G129" s="260"/>
      <c r="H129" s="259"/>
      <c r="I129" s="240"/>
      <c r="J129" s="113"/>
      <c r="K129" s="260"/>
      <c r="L129" s="259"/>
      <c r="M129" s="24"/>
      <c r="N129" s="24"/>
      <c r="O129" s="113"/>
      <c r="P129" s="260"/>
      <c r="Q129" s="259"/>
      <c r="R129" s="241"/>
      <c r="S129" s="24"/>
      <c r="T129" s="113"/>
      <c r="U129" s="260"/>
      <c r="V129" s="259"/>
      <c r="W129" s="241"/>
      <c r="X129" s="24"/>
      <c r="Y129" s="113"/>
      <c r="Z129" s="260"/>
      <c r="AA129" s="259"/>
      <c r="AB129" s="241"/>
      <c r="AC129" s="240"/>
      <c r="AD129" s="113"/>
      <c r="AE129" s="260"/>
      <c r="AF129" s="259"/>
      <c r="AG129" s="114"/>
      <c r="AH129" s="114"/>
      <c r="AI129" s="141"/>
    </row>
    <row r="130" spans="1:35" s="25" customFormat="1" x14ac:dyDescent="0.25">
      <c r="A130" s="261"/>
      <c r="B130" s="260"/>
      <c r="C130" s="259"/>
      <c r="D130" s="241">
        <v>0.13</v>
      </c>
      <c r="E130" s="6" t="s">
        <v>244</v>
      </c>
      <c r="F130" s="113"/>
      <c r="G130" s="260"/>
      <c r="H130" s="259"/>
      <c r="I130" s="80"/>
      <c r="J130" s="113"/>
      <c r="K130" s="260"/>
      <c r="L130" s="259"/>
      <c r="M130" s="241">
        <f>D130</f>
        <v>0.13</v>
      </c>
      <c r="N130" s="6" t="s">
        <v>244</v>
      </c>
      <c r="O130" s="113"/>
      <c r="P130" s="260"/>
      <c r="Q130" s="259"/>
      <c r="R130" s="241"/>
      <c r="S130" s="118"/>
      <c r="T130" s="113"/>
      <c r="U130" s="260"/>
      <c r="V130" s="259"/>
      <c r="W130" s="241"/>
      <c r="X130" s="118"/>
      <c r="Y130" s="113"/>
      <c r="Z130" s="260"/>
      <c r="AA130" s="259"/>
      <c r="AB130" s="241"/>
      <c r="AC130" s="240"/>
      <c r="AD130" s="113"/>
      <c r="AE130" s="260"/>
      <c r="AF130" s="259"/>
      <c r="AG130" s="114"/>
      <c r="AH130" s="114"/>
      <c r="AI130" s="141"/>
    </row>
    <row r="131" spans="1:35" s="25" customFormat="1" x14ac:dyDescent="0.25">
      <c r="A131" s="261"/>
      <c r="B131" s="260"/>
      <c r="C131" s="259"/>
      <c r="D131" s="241">
        <f>R131</f>
        <v>0.83</v>
      </c>
      <c r="E131" s="62" t="s">
        <v>123</v>
      </c>
      <c r="F131" s="113"/>
      <c r="G131" s="260"/>
      <c r="H131" s="259"/>
      <c r="I131" s="240"/>
      <c r="J131" s="113"/>
      <c r="K131" s="260"/>
      <c r="L131" s="259"/>
      <c r="M131" s="241">
        <v>0.9</v>
      </c>
      <c r="N131" s="62" t="s">
        <v>123</v>
      </c>
      <c r="O131" s="113"/>
      <c r="P131" s="260"/>
      <c r="Q131" s="259"/>
      <c r="R131" s="241">
        <f>W131</f>
        <v>0.83</v>
      </c>
      <c r="S131" s="62" t="s">
        <v>139</v>
      </c>
      <c r="T131" s="113"/>
      <c r="U131" s="260"/>
      <c r="V131" s="259"/>
      <c r="W131" s="241">
        <v>0.83</v>
      </c>
      <c r="X131" s="62" t="s">
        <v>139</v>
      </c>
      <c r="Y131" s="113"/>
      <c r="Z131" s="260"/>
      <c r="AA131" s="259"/>
      <c r="AB131" s="241"/>
      <c r="AC131" s="240"/>
      <c r="AD131" s="113"/>
      <c r="AE131" s="260"/>
      <c r="AF131" s="259"/>
      <c r="AG131" s="114"/>
      <c r="AH131" s="114"/>
      <c r="AI131" s="141"/>
    </row>
    <row r="132" spans="1:35" s="25" customFormat="1" x14ac:dyDescent="0.25">
      <c r="A132" s="261"/>
      <c r="B132" s="260"/>
      <c r="C132" s="259"/>
      <c r="D132" s="240">
        <f ca="1">B119-D122-D125-D127-D117-D119-D120-D123-D126-D128-D124-D130-D131+B133-D133-D134-D136-D135</f>
        <v>3.703333333333334</v>
      </c>
      <c r="E132" s="6" t="s">
        <v>25</v>
      </c>
      <c r="F132" s="113"/>
      <c r="G132" s="260"/>
      <c r="H132" s="259"/>
      <c r="I132" s="80"/>
      <c r="J132" s="113"/>
      <c r="K132" s="260"/>
      <c r="L132" s="259"/>
      <c r="M132" s="241">
        <f ca="1">K119+K124-M119-M120-M117-M122-M123-M124-M125-M126-M127-M128-M130-M131</f>
        <v>4.7499999999999982</v>
      </c>
      <c r="N132" s="6" t="s">
        <v>25</v>
      </c>
      <c r="O132" s="113"/>
      <c r="P132" s="260"/>
      <c r="Q132" s="259"/>
      <c r="R132" s="241">
        <f>P125-R131+P135+P133-R134</f>
        <v>3.8000000000000003</v>
      </c>
      <c r="S132" s="6" t="s">
        <v>25</v>
      </c>
      <c r="T132" s="113"/>
      <c r="U132" s="260"/>
      <c r="V132" s="259"/>
      <c r="W132" s="241">
        <f>U124-W131+U119-W119-W122-W125-W127-W117</f>
        <v>4.1350000000000007</v>
      </c>
      <c r="X132" s="6" t="s">
        <v>25</v>
      </c>
      <c r="Y132" s="113"/>
      <c r="Z132" s="260"/>
      <c r="AA132" s="259"/>
      <c r="AB132" s="241">
        <f>Z119-AB122-AB125-AB117-AB126</f>
        <v>4.7500000000000009</v>
      </c>
      <c r="AC132" s="6" t="s">
        <v>25</v>
      </c>
      <c r="AD132" s="113"/>
      <c r="AE132" s="260"/>
      <c r="AF132" s="259"/>
      <c r="AG132" s="114">
        <f>AE119-AG117-AG122-AG126-AG125</f>
        <v>4.2</v>
      </c>
      <c r="AH132" s="6" t="s">
        <v>25</v>
      </c>
      <c r="AI132" s="141"/>
    </row>
    <row r="133" spans="1:35" s="25" customFormat="1" x14ac:dyDescent="0.25">
      <c r="A133" s="261">
        <v>31</v>
      </c>
      <c r="B133" s="260">
        <v>1.28</v>
      </c>
      <c r="C133" s="259">
        <v>9.01</v>
      </c>
      <c r="D133" s="241">
        <v>0.01</v>
      </c>
      <c r="E133" s="7" t="s">
        <v>150</v>
      </c>
      <c r="F133" s="113"/>
      <c r="G133" s="260">
        <v>1.36</v>
      </c>
      <c r="H133" s="259">
        <v>8.7899999999999991</v>
      </c>
      <c r="I133" s="240"/>
      <c r="J133" s="113"/>
      <c r="K133" s="241">
        <v>0.16</v>
      </c>
      <c r="L133" s="240">
        <v>8.82</v>
      </c>
      <c r="M133" s="241"/>
      <c r="N133" s="8"/>
      <c r="O133" s="113"/>
      <c r="P133" s="260">
        <v>0.44</v>
      </c>
      <c r="Q133" s="259">
        <v>8.9</v>
      </c>
      <c r="R133" s="241"/>
      <c r="S133" s="240"/>
      <c r="T133" s="113"/>
      <c r="U133" s="241">
        <v>0.16</v>
      </c>
      <c r="V133" s="240">
        <v>8.92</v>
      </c>
      <c r="W133" s="241"/>
      <c r="X133" s="240"/>
      <c r="Y133" s="113"/>
      <c r="Z133" s="260">
        <v>0.16</v>
      </c>
      <c r="AA133" s="259">
        <v>8.77</v>
      </c>
      <c r="AB133" s="241"/>
      <c r="AC133" s="240"/>
      <c r="AD133" s="113"/>
      <c r="AE133" s="241">
        <v>0.09</v>
      </c>
      <c r="AF133" s="240">
        <v>8.93</v>
      </c>
      <c r="AG133" s="114"/>
      <c r="AH133" s="114"/>
      <c r="AI133" s="141"/>
    </row>
    <row r="134" spans="1:35" s="25" customFormat="1" x14ac:dyDescent="0.25">
      <c r="A134" s="261"/>
      <c r="B134" s="260"/>
      <c r="C134" s="259"/>
      <c r="D134" s="241">
        <v>0.01</v>
      </c>
      <c r="E134" s="7" t="s">
        <v>72</v>
      </c>
      <c r="F134" s="113"/>
      <c r="G134" s="260"/>
      <c r="H134" s="259"/>
      <c r="I134" s="240"/>
      <c r="J134" s="113"/>
      <c r="K134" s="260">
        <v>2.11</v>
      </c>
      <c r="L134" s="259">
        <v>8.92</v>
      </c>
      <c r="M134" s="241">
        <f>R134</f>
        <v>0.44</v>
      </c>
      <c r="N134" s="7" t="s">
        <v>72</v>
      </c>
      <c r="O134" s="113"/>
      <c r="P134" s="260"/>
      <c r="Q134" s="259"/>
      <c r="R134" s="241">
        <f>P133</f>
        <v>0.44</v>
      </c>
      <c r="S134" s="7" t="s">
        <v>72</v>
      </c>
      <c r="T134" s="113"/>
      <c r="U134" s="241">
        <v>0.22</v>
      </c>
      <c r="V134" s="240">
        <v>8.9600000000000009</v>
      </c>
      <c r="W134" s="241">
        <f>U134+U133</f>
        <v>0.38</v>
      </c>
      <c r="X134" s="7" t="s">
        <v>72</v>
      </c>
      <c r="Y134" s="113"/>
      <c r="Z134" s="260"/>
      <c r="AA134" s="259"/>
      <c r="AB134" s="241">
        <f>Z133</f>
        <v>0.16</v>
      </c>
      <c r="AC134" s="7" t="s">
        <v>72</v>
      </c>
      <c r="AD134" s="113"/>
      <c r="AE134" s="241">
        <v>0.11</v>
      </c>
      <c r="AF134" s="240">
        <v>8.94</v>
      </c>
      <c r="AG134" s="114">
        <f>AE134+AE133</f>
        <v>0.2</v>
      </c>
      <c r="AH134" s="7" t="s">
        <v>72</v>
      </c>
      <c r="AI134" s="141"/>
    </row>
    <row r="135" spans="1:35" s="25" customFormat="1" x14ac:dyDescent="0.25">
      <c r="A135" s="261"/>
      <c r="B135" s="260"/>
      <c r="C135" s="259"/>
      <c r="D135" s="241">
        <v>0.14000000000000001</v>
      </c>
      <c r="E135" s="249" t="s">
        <v>477</v>
      </c>
      <c r="F135" s="113"/>
      <c r="G135" s="260"/>
      <c r="H135" s="259"/>
      <c r="I135" s="240"/>
      <c r="J135" s="113"/>
      <c r="K135" s="260"/>
      <c r="L135" s="259"/>
      <c r="M135" s="241">
        <f>K134+K133-M133-M134-M136</f>
        <v>1.2600000000000002</v>
      </c>
      <c r="N135" s="249" t="s">
        <v>271</v>
      </c>
      <c r="O135" s="113"/>
      <c r="P135" s="260">
        <v>0.69</v>
      </c>
      <c r="Q135" s="259">
        <v>9.01</v>
      </c>
      <c r="R135" s="241"/>
      <c r="S135" s="8"/>
      <c r="T135" s="113"/>
      <c r="U135" s="260">
        <v>0.48</v>
      </c>
      <c r="V135" s="259">
        <v>9.02</v>
      </c>
      <c r="W135" s="241"/>
      <c r="X135" s="8"/>
      <c r="Y135" s="113"/>
      <c r="Z135" s="260">
        <v>0.26</v>
      </c>
      <c r="AA135" s="259">
        <v>8.85</v>
      </c>
      <c r="AB135" s="24"/>
      <c r="AC135" s="24"/>
      <c r="AD135" s="113"/>
      <c r="AE135" s="260">
        <v>0.32</v>
      </c>
      <c r="AF135" s="259">
        <v>8.98</v>
      </c>
      <c r="AG135" s="114"/>
      <c r="AH135" s="114"/>
      <c r="AI135" s="141"/>
    </row>
    <row r="136" spans="1:35" s="25" customFormat="1" x14ac:dyDescent="0.25">
      <c r="A136" s="261"/>
      <c r="B136" s="260"/>
      <c r="C136" s="259"/>
      <c r="D136" s="240">
        <v>0.56999999999999995</v>
      </c>
      <c r="E136" s="15" t="s">
        <v>255</v>
      </c>
      <c r="F136" s="113"/>
      <c r="G136" s="260"/>
      <c r="H136" s="259"/>
      <c r="I136" s="240"/>
      <c r="J136" s="113"/>
      <c r="K136" s="260"/>
      <c r="L136" s="259"/>
      <c r="M136" s="241">
        <v>0.56999999999999995</v>
      </c>
      <c r="N136" s="15" t="s">
        <v>255</v>
      </c>
      <c r="O136" s="113"/>
      <c r="P136" s="260"/>
      <c r="Q136" s="259"/>
      <c r="T136" s="113"/>
      <c r="U136" s="260"/>
      <c r="V136" s="259"/>
      <c r="W136" s="241">
        <f>U166</f>
        <v>0.46</v>
      </c>
      <c r="X136" s="75" t="s">
        <v>45</v>
      </c>
      <c r="Y136" s="113"/>
      <c r="Z136" s="260"/>
      <c r="AA136" s="259"/>
      <c r="AB136" s="241">
        <f>Z167</f>
        <v>0.28000000000000003</v>
      </c>
      <c r="AC136" s="75" t="s">
        <v>45</v>
      </c>
      <c r="AD136" s="113"/>
      <c r="AE136" s="260"/>
      <c r="AF136" s="259"/>
      <c r="AG136" s="114"/>
      <c r="AH136" s="114"/>
      <c r="AI136" s="141"/>
    </row>
    <row r="137" spans="1:35" s="25" customFormat="1" x14ac:dyDescent="0.25">
      <c r="A137" s="261"/>
      <c r="B137" s="260"/>
      <c r="C137" s="259"/>
      <c r="D137" s="24"/>
      <c r="E137" s="24"/>
      <c r="F137" s="113"/>
      <c r="G137" s="260"/>
      <c r="H137" s="259"/>
      <c r="I137" s="240"/>
      <c r="J137" s="113"/>
      <c r="K137" s="260"/>
      <c r="L137" s="259"/>
      <c r="M137" s="24"/>
      <c r="N137" s="24"/>
      <c r="O137" s="113"/>
      <c r="P137" s="260"/>
      <c r="Q137" s="259"/>
      <c r="R137" s="245">
        <f>P135</f>
        <v>0.69</v>
      </c>
      <c r="S137" s="249" t="s">
        <v>342</v>
      </c>
      <c r="T137" s="113"/>
      <c r="U137" s="241">
        <v>0.36</v>
      </c>
      <c r="V137" s="240">
        <v>9.14</v>
      </c>
      <c r="W137" s="241">
        <f>U137</f>
        <v>0.36</v>
      </c>
      <c r="X137" s="249" t="s">
        <v>342</v>
      </c>
      <c r="Y137" s="113"/>
      <c r="Z137" s="241">
        <v>0.05</v>
      </c>
      <c r="AA137" s="240">
        <v>8.91</v>
      </c>
      <c r="AB137" s="241">
        <f>Z137+Z135</f>
        <v>0.31</v>
      </c>
      <c r="AC137" s="249" t="s">
        <v>342</v>
      </c>
      <c r="AD137" s="113"/>
      <c r="AE137" s="260"/>
      <c r="AF137" s="259"/>
      <c r="AG137" s="114">
        <f>AE135</f>
        <v>0.32</v>
      </c>
      <c r="AH137" s="249" t="s">
        <v>342</v>
      </c>
      <c r="AI137" s="141"/>
    </row>
    <row r="138" spans="1:35" s="25" customFormat="1" x14ac:dyDescent="0.25">
      <c r="A138" s="261">
        <v>32</v>
      </c>
      <c r="B138" s="260">
        <v>0.56999999999999995</v>
      </c>
      <c r="C138" s="259">
        <v>9.14</v>
      </c>
      <c r="D138" s="241">
        <v>0.22</v>
      </c>
      <c r="E138" s="7" t="s">
        <v>486</v>
      </c>
      <c r="F138" s="113"/>
      <c r="G138" s="260">
        <v>1.54</v>
      </c>
      <c r="H138" s="259">
        <v>8.9600000000000009</v>
      </c>
      <c r="I138" s="240"/>
      <c r="J138" s="113"/>
      <c r="K138" s="260">
        <v>0.33</v>
      </c>
      <c r="L138" s="259">
        <v>9.08</v>
      </c>
      <c r="M138" s="241">
        <f>M140</f>
        <v>0.155</v>
      </c>
      <c r="N138" s="7" t="s">
        <v>173</v>
      </c>
      <c r="O138" s="113"/>
      <c r="P138" s="260">
        <v>0.25</v>
      </c>
      <c r="Q138" s="259">
        <v>9.1</v>
      </c>
      <c r="R138" s="24"/>
      <c r="S138" s="24"/>
      <c r="T138" s="113"/>
      <c r="U138" s="260">
        <v>0.21</v>
      </c>
      <c r="V138" s="259">
        <v>9.17</v>
      </c>
      <c r="W138" s="24"/>
      <c r="X138" s="24"/>
      <c r="Y138" s="113"/>
      <c r="Z138" s="260">
        <v>0.14000000000000001</v>
      </c>
      <c r="AA138" s="259">
        <v>9.02</v>
      </c>
      <c r="AB138" s="241"/>
      <c r="AC138" s="240"/>
      <c r="AD138" s="113"/>
      <c r="AE138" s="260">
        <v>0.06</v>
      </c>
      <c r="AF138" s="259">
        <v>9.1199999999999992</v>
      </c>
      <c r="AG138" s="114"/>
      <c r="AH138" s="114"/>
      <c r="AI138" s="141"/>
    </row>
    <row r="139" spans="1:35" s="25" customFormat="1" x14ac:dyDescent="0.25">
      <c r="A139" s="261"/>
      <c r="B139" s="260"/>
      <c r="C139" s="259"/>
      <c r="D139" s="241">
        <f>M139</f>
        <v>7.0000000000000007E-2</v>
      </c>
      <c r="E139" s="59" t="s">
        <v>110</v>
      </c>
      <c r="F139" s="113"/>
      <c r="G139" s="260"/>
      <c r="H139" s="259"/>
      <c r="I139" s="240"/>
      <c r="J139" s="113"/>
      <c r="K139" s="260"/>
      <c r="L139" s="259"/>
      <c r="M139" s="241">
        <f>R139</f>
        <v>7.0000000000000007E-2</v>
      </c>
      <c r="N139" s="59" t="s">
        <v>110</v>
      </c>
      <c r="O139" s="113"/>
      <c r="P139" s="260"/>
      <c r="Q139" s="259"/>
      <c r="R139" s="241">
        <f>W139</f>
        <v>7.0000000000000007E-2</v>
      </c>
      <c r="S139" s="59" t="s">
        <v>110</v>
      </c>
      <c r="T139" s="113"/>
      <c r="U139" s="260"/>
      <c r="V139" s="259"/>
      <c r="W139" s="241">
        <v>7.0000000000000007E-2</v>
      </c>
      <c r="X139" s="59" t="s">
        <v>110</v>
      </c>
      <c r="Y139" s="113"/>
      <c r="Z139" s="260"/>
      <c r="AA139" s="259"/>
      <c r="AB139" s="241">
        <f>Z138/2+Z137</f>
        <v>0.12000000000000001</v>
      </c>
      <c r="AC139" s="59" t="s">
        <v>110</v>
      </c>
      <c r="AD139" s="113"/>
      <c r="AE139" s="260"/>
      <c r="AF139" s="259"/>
      <c r="AG139" s="114">
        <f>AE138</f>
        <v>0.06</v>
      </c>
      <c r="AH139" s="59" t="s">
        <v>110</v>
      </c>
      <c r="AI139" s="141"/>
    </row>
    <row r="140" spans="1:35" s="25" customFormat="1" x14ac:dyDescent="0.25">
      <c r="A140" s="261"/>
      <c r="B140" s="260"/>
      <c r="C140" s="259"/>
      <c r="D140" s="240">
        <f>B143+B138-D138-D139-D142</f>
        <v>1.01</v>
      </c>
      <c r="E140" s="249" t="s">
        <v>477</v>
      </c>
      <c r="F140" s="113"/>
      <c r="G140" s="260"/>
      <c r="H140" s="259"/>
      <c r="I140" s="240"/>
      <c r="J140" s="113"/>
      <c r="K140" s="260"/>
      <c r="L140" s="259"/>
      <c r="M140" s="241">
        <f>(K138+K142-M139-M142)/2</f>
        <v>0.155</v>
      </c>
      <c r="N140" s="249" t="s">
        <v>271</v>
      </c>
      <c r="O140" s="113"/>
      <c r="P140" s="260"/>
      <c r="Q140" s="259"/>
      <c r="R140" s="241">
        <f>P138-R139-R142</f>
        <v>0.10999999999999999</v>
      </c>
      <c r="S140" s="77" t="s">
        <v>164</v>
      </c>
      <c r="T140" s="113"/>
      <c r="U140" s="260"/>
      <c r="V140" s="259"/>
      <c r="W140" s="241">
        <v>0.03</v>
      </c>
      <c r="X140" s="77" t="s">
        <v>164</v>
      </c>
      <c r="Y140" s="113"/>
      <c r="Z140" s="260"/>
      <c r="AA140" s="259"/>
      <c r="AB140" s="241"/>
      <c r="AC140" s="240"/>
      <c r="AD140" s="113"/>
      <c r="AE140" s="260"/>
      <c r="AF140" s="259"/>
      <c r="AG140" s="114"/>
      <c r="AH140" s="240"/>
      <c r="AI140" s="141"/>
    </row>
    <row r="141" spans="1:35" s="25" customFormat="1" x14ac:dyDescent="0.25">
      <c r="A141" s="261"/>
      <c r="B141" s="260"/>
      <c r="C141" s="259"/>
      <c r="D141" s="24"/>
      <c r="E141" s="24"/>
      <c r="F141" s="113"/>
      <c r="G141" s="260"/>
      <c r="H141" s="259"/>
      <c r="I141" s="240"/>
      <c r="J141" s="113"/>
      <c r="K141" s="260"/>
      <c r="L141" s="259"/>
      <c r="M141" s="24"/>
      <c r="N141" s="24"/>
      <c r="O141" s="113"/>
      <c r="P141" s="260"/>
      <c r="Q141" s="259"/>
      <c r="R141" s="24"/>
      <c r="S141" s="24"/>
      <c r="T141" s="113"/>
      <c r="U141" s="260"/>
      <c r="V141" s="259"/>
      <c r="W141" s="24"/>
      <c r="X141" s="24"/>
      <c r="Y141" s="113"/>
      <c r="Z141" s="260"/>
      <c r="AA141" s="259"/>
      <c r="AB141" s="24"/>
      <c r="AC141" s="24"/>
      <c r="AD141" s="113"/>
      <c r="AE141" s="260"/>
      <c r="AF141" s="259"/>
      <c r="AG141" s="114"/>
      <c r="AH141" s="24"/>
      <c r="AI141" s="141"/>
    </row>
    <row r="142" spans="1:35" s="25" customFormat="1" x14ac:dyDescent="0.25">
      <c r="A142" s="261"/>
      <c r="B142" s="260"/>
      <c r="C142" s="259"/>
      <c r="D142" s="241">
        <f>AB142</f>
        <v>7.0000000000000007E-2</v>
      </c>
      <c r="E142" s="249" t="s">
        <v>140</v>
      </c>
      <c r="F142" s="113"/>
      <c r="G142" s="260"/>
      <c r="H142" s="259"/>
      <c r="I142" s="240"/>
      <c r="J142" s="113"/>
      <c r="K142" s="241">
        <v>0.12</v>
      </c>
      <c r="L142" s="240">
        <v>9.14</v>
      </c>
      <c r="M142" s="241">
        <f>D142</f>
        <v>7.0000000000000007E-2</v>
      </c>
      <c r="N142" s="249" t="s">
        <v>111</v>
      </c>
      <c r="O142" s="113"/>
      <c r="P142" s="260"/>
      <c r="Q142" s="259"/>
      <c r="R142" s="241">
        <f>AB142</f>
        <v>7.0000000000000007E-2</v>
      </c>
      <c r="S142" s="249" t="s">
        <v>111</v>
      </c>
      <c r="T142" s="113"/>
      <c r="U142" s="260"/>
      <c r="V142" s="259"/>
      <c r="W142" s="241">
        <f>R142</f>
        <v>7.0000000000000007E-2</v>
      </c>
      <c r="X142" s="249" t="s">
        <v>111</v>
      </c>
      <c r="Y142" s="113"/>
      <c r="Z142" s="260"/>
      <c r="AA142" s="259"/>
      <c r="AB142" s="241">
        <v>7.0000000000000007E-2</v>
      </c>
      <c r="AC142" s="249" t="s">
        <v>111</v>
      </c>
      <c r="AD142" s="113"/>
      <c r="AE142" s="260">
        <v>0.12</v>
      </c>
      <c r="AF142" s="259">
        <v>9.17</v>
      </c>
      <c r="AG142" s="114">
        <f>AE142</f>
        <v>0.12</v>
      </c>
      <c r="AH142" s="249" t="s">
        <v>111</v>
      </c>
      <c r="AI142" s="141"/>
    </row>
    <row r="143" spans="1:35" s="25" customFormat="1" x14ac:dyDescent="0.25">
      <c r="A143" s="261">
        <v>33</v>
      </c>
      <c r="B143" s="260">
        <v>0.8</v>
      </c>
      <c r="C143" s="259">
        <v>9.2100000000000009</v>
      </c>
      <c r="D143" s="241">
        <v>0.03</v>
      </c>
      <c r="E143" s="7" t="s">
        <v>155</v>
      </c>
      <c r="F143" s="113"/>
      <c r="G143" s="260"/>
      <c r="H143" s="259"/>
      <c r="I143" s="240"/>
      <c r="J143" s="113"/>
      <c r="K143" s="260">
        <v>0.09</v>
      </c>
      <c r="L143" s="259">
        <v>9.18</v>
      </c>
      <c r="M143" s="241">
        <f>K143/3</f>
        <v>0.03</v>
      </c>
      <c r="N143" s="7" t="s">
        <v>155</v>
      </c>
      <c r="O143" s="113"/>
      <c r="P143" s="260">
        <v>0.1</v>
      </c>
      <c r="Q143" s="259">
        <v>9.2100000000000009</v>
      </c>
      <c r="R143" s="241"/>
      <c r="S143" s="240"/>
      <c r="T143" s="113"/>
      <c r="U143" s="260"/>
      <c r="V143" s="259"/>
      <c r="W143" s="241"/>
      <c r="X143" s="240"/>
      <c r="Y143" s="113"/>
      <c r="Z143" s="260"/>
      <c r="AA143" s="259"/>
      <c r="AB143" s="241"/>
      <c r="AC143" s="240"/>
      <c r="AD143" s="113"/>
      <c r="AE143" s="260"/>
      <c r="AF143" s="259"/>
      <c r="AG143" s="114"/>
      <c r="AH143" s="114"/>
      <c r="AI143" s="141"/>
    </row>
    <row r="144" spans="1:35" s="25" customFormat="1" x14ac:dyDescent="0.25">
      <c r="A144" s="261"/>
      <c r="B144" s="260"/>
      <c r="C144" s="259"/>
      <c r="D144" s="241">
        <v>0.03</v>
      </c>
      <c r="E144" s="77" t="s">
        <v>152</v>
      </c>
      <c r="F144" s="113"/>
      <c r="G144" s="260"/>
      <c r="H144" s="259"/>
      <c r="I144" s="240"/>
      <c r="J144" s="113"/>
      <c r="K144" s="260"/>
      <c r="L144" s="259"/>
      <c r="M144" s="241">
        <f>M143</f>
        <v>0.03</v>
      </c>
      <c r="N144" s="77" t="s">
        <v>231</v>
      </c>
      <c r="O144" s="113"/>
      <c r="P144" s="260"/>
      <c r="Q144" s="259"/>
      <c r="R144" s="24"/>
      <c r="S144" s="24"/>
      <c r="T144" s="113"/>
      <c r="U144" s="260"/>
      <c r="V144" s="259"/>
      <c r="W144" s="241">
        <f>U135</f>
        <v>0.48</v>
      </c>
      <c r="X144" s="75" t="s">
        <v>318</v>
      </c>
      <c r="Y144" s="113"/>
      <c r="Z144" s="260"/>
      <c r="AA144" s="259"/>
      <c r="AB144" s="241"/>
      <c r="AC144" s="240"/>
      <c r="AD144" s="113"/>
      <c r="AE144" s="260"/>
      <c r="AF144" s="259"/>
      <c r="AG144" s="114"/>
      <c r="AH144" s="114"/>
      <c r="AI144" s="141"/>
    </row>
    <row r="145" spans="1:35" s="25" customFormat="1" x14ac:dyDescent="0.25">
      <c r="A145" s="261"/>
      <c r="B145" s="260"/>
      <c r="C145" s="259"/>
      <c r="D145" s="240">
        <f>R145</f>
        <v>0.1</v>
      </c>
      <c r="E145" s="77" t="s">
        <v>412</v>
      </c>
      <c r="F145" s="113"/>
      <c r="G145" s="260"/>
      <c r="H145" s="259"/>
      <c r="I145" s="240"/>
      <c r="J145" s="113"/>
      <c r="K145" s="260"/>
      <c r="L145" s="259"/>
      <c r="M145" s="241">
        <f>M143</f>
        <v>0.03</v>
      </c>
      <c r="N145" s="77" t="s">
        <v>412</v>
      </c>
      <c r="O145" s="113"/>
      <c r="P145" s="260"/>
      <c r="Q145" s="259"/>
      <c r="R145" s="241">
        <f>P143</f>
        <v>0.1</v>
      </c>
      <c r="S145" s="77" t="s">
        <v>261</v>
      </c>
      <c r="T145" s="113"/>
      <c r="U145" s="260"/>
      <c r="V145" s="259"/>
      <c r="W145" s="241">
        <f>R145</f>
        <v>0.1</v>
      </c>
      <c r="X145" s="77" t="s">
        <v>261</v>
      </c>
      <c r="Y145" s="113"/>
      <c r="Z145" s="260"/>
      <c r="AA145" s="259"/>
      <c r="AB145" s="241"/>
      <c r="AC145" s="240"/>
      <c r="AD145" s="113"/>
      <c r="AE145" s="260"/>
      <c r="AF145" s="259"/>
      <c r="AG145" s="114"/>
      <c r="AH145" s="114"/>
      <c r="AI145" s="141"/>
    </row>
    <row r="146" spans="1:35" s="25" customFormat="1" x14ac:dyDescent="0.25">
      <c r="A146" s="261">
        <v>34</v>
      </c>
      <c r="B146" s="260">
        <v>0.44</v>
      </c>
      <c r="C146" s="259">
        <v>9.32</v>
      </c>
      <c r="D146" s="241">
        <f>D149</f>
        <v>0.10250000000000001</v>
      </c>
      <c r="E146" s="7" t="s">
        <v>154</v>
      </c>
      <c r="F146" s="113"/>
      <c r="G146" s="260">
        <v>0.6</v>
      </c>
      <c r="H146" s="259">
        <v>9.09</v>
      </c>
      <c r="I146" s="240"/>
      <c r="J146" s="113"/>
      <c r="K146" s="260">
        <v>0.6</v>
      </c>
      <c r="L146" s="259">
        <v>9.26</v>
      </c>
      <c r="M146" s="241">
        <f>D146</f>
        <v>0.10250000000000001</v>
      </c>
      <c r="N146" s="7" t="s">
        <v>154</v>
      </c>
      <c r="O146" s="113"/>
      <c r="P146" s="260">
        <v>0.47</v>
      </c>
      <c r="Q146" s="259">
        <v>9.25</v>
      </c>
      <c r="R146" s="24"/>
      <c r="S146" s="24"/>
      <c r="T146" s="113"/>
      <c r="U146" s="260">
        <v>0.83</v>
      </c>
      <c r="V146" s="259">
        <v>9.27</v>
      </c>
      <c r="W146" s="241">
        <f>U146-W147-W148</f>
        <v>0.54999999999999993</v>
      </c>
      <c r="X146" s="75" t="s">
        <v>317</v>
      </c>
      <c r="Y146" s="113"/>
      <c r="Z146" s="260">
        <v>0.55000000000000004</v>
      </c>
      <c r="AA146" s="259">
        <v>9.09</v>
      </c>
      <c r="AB146" s="24"/>
      <c r="AC146" s="24"/>
      <c r="AD146" s="113"/>
      <c r="AE146" s="260">
        <v>0.46</v>
      </c>
      <c r="AF146" s="259">
        <v>9.26</v>
      </c>
      <c r="AG146" s="114"/>
      <c r="AH146" s="114"/>
      <c r="AI146" s="141"/>
    </row>
    <row r="147" spans="1:35" s="25" customFormat="1" x14ac:dyDescent="0.25">
      <c r="A147" s="261"/>
      <c r="B147" s="260"/>
      <c r="C147" s="259"/>
      <c r="D147" s="240">
        <f>R147</f>
        <v>0.23499999999999999</v>
      </c>
      <c r="E147" s="22" t="s">
        <v>110</v>
      </c>
      <c r="F147" s="113"/>
      <c r="G147" s="260"/>
      <c r="H147" s="259"/>
      <c r="I147" s="240"/>
      <c r="J147" s="113"/>
      <c r="K147" s="260"/>
      <c r="L147" s="259"/>
      <c r="M147" s="241">
        <f>D147</f>
        <v>0.23499999999999999</v>
      </c>
      <c r="N147" s="22" t="s">
        <v>110</v>
      </c>
      <c r="O147" s="113"/>
      <c r="P147" s="260"/>
      <c r="Q147" s="259"/>
      <c r="R147" s="241">
        <f>P146/2</f>
        <v>0.23499999999999999</v>
      </c>
      <c r="S147" s="22" t="s">
        <v>110</v>
      </c>
      <c r="T147" s="113"/>
      <c r="U147" s="260"/>
      <c r="V147" s="259"/>
      <c r="W147" s="241">
        <v>0.14000000000000001</v>
      </c>
      <c r="X147" s="22" t="s">
        <v>110</v>
      </c>
      <c r="Y147" s="113"/>
      <c r="Z147" s="260"/>
      <c r="AA147" s="259"/>
      <c r="AB147" s="26">
        <f>W147</f>
        <v>0.14000000000000001</v>
      </c>
      <c r="AC147" s="22" t="s">
        <v>110</v>
      </c>
      <c r="AD147" s="113"/>
      <c r="AE147" s="260"/>
      <c r="AF147" s="259"/>
      <c r="AG147" s="114">
        <f>AE146</f>
        <v>0.46</v>
      </c>
      <c r="AH147" s="22" t="s">
        <v>110</v>
      </c>
      <c r="AI147" s="141"/>
    </row>
    <row r="148" spans="1:35" s="21" customFormat="1" x14ac:dyDescent="0.25">
      <c r="A148" s="261"/>
      <c r="B148" s="260"/>
      <c r="C148" s="259"/>
      <c r="D148" s="56"/>
      <c r="E148" s="56"/>
      <c r="F148" s="113"/>
      <c r="G148" s="260"/>
      <c r="H148" s="259"/>
      <c r="I148" s="240"/>
      <c r="J148" s="113"/>
      <c r="K148" s="260"/>
      <c r="L148" s="259"/>
      <c r="M148" s="56"/>
      <c r="N148" s="56"/>
      <c r="O148" s="113"/>
      <c r="P148" s="260"/>
      <c r="Q148" s="259"/>
      <c r="R148" s="241">
        <v>0.24</v>
      </c>
      <c r="S148" s="70" t="s">
        <v>524</v>
      </c>
      <c r="T148" s="113"/>
      <c r="U148" s="260"/>
      <c r="V148" s="259"/>
      <c r="W148" s="241">
        <v>0.14000000000000001</v>
      </c>
      <c r="X148" s="70" t="s">
        <v>226</v>
      </c>
      <c r="Y148" s="113"/>
      <c r="Z148" s="260"/>
      <c r="AA148" s="259"/>
      <c r="AB148" s="19"/>
      <c r="AC148" s="73"/>
      <c r="AD148" s="113"/>
      <c r="AE148" s="260"/>
      <c r="AF148" s="259"/>
      <c r="AG148" s="241"/>
      <c r="AH148" s="73"/>
      <c r="AI148" s="141"/>
    </row>
    <row r="149" spans="1:35" s="25" customFormat="1" x14ac:dyDescent="0.25">
      <c r="A149" s="261"/>
      <c r="B149" s="260"/>
      <c r="C149" s="259"/>
      <c r="D149" s="241">
        <f>(B146-D147)/2</f>
        <v>0.10250000000000001</v>
      </c>
      <c r="E149" s="62" t="s">
        <v>153</v>
      </c>
      <c r="F149" s="113"/>
      <c r="G149" s="260"/>
      <c r="H149" s="259"/>
      <c r="I149" s="240"/>
      <c r="J149" s="113"/>
      <c r="K149" s="260"/>
      <c r="L149" s="259"/>
      <c r="M149" s="241">
        <f>K146-M147-M146</f>
        <v>0.26249999999999996</v>
      </c>
      <c r="N149" s="62" t="s">
        <v>153</v>
      </c>
      <c r="O149" s="113"/>
      <c r="P149" s="260"/>
      <c r="Q149" s="259"/>
      <c r="R149" s="24"/>
      <c r="S149" s="24"/>
      <c r="T149" s="113"/>
      <c r="U149" s="260"/>
      <c r="V149" s="259"/>
      <c r="W149" s="241">
        <v>0.37</v>
      </c>
      <c r="X149" s="75" t="s">
        <v>322</v>
      </c>
      <c r="Y149" s="113"/>
      <c r="Z149" s="260"/>
      <c r="AA149" s="259"/>
      <c r="AB149" s="24"/>
      <c r="AC149" s="24"/>
      <c r="AD149" s="113"/>
      <c r="AE149" s="260"/>
      <c r="AF149" s="259"/>
      <c r="AG149" s="114"/>
      <c r="AH149" s="24"/>
      <c r="AI149" s="141"/>
    </row>
    <row r="150" spans="1:35" s="25" customFormat="1" x14ac:dyDescent="0.25">
      <c r="A150" s="261">
        <v>35</v>
      </c>
      <c r="B150" s="260">
        <v>0.62</v>
      </c>
      <c r="C150" s="259">
        <v>9.43</v>
      </c>
      <c r="D150" s="241">
        <f>M150</f>
        <v>3.2500000000000001E-2</v>
      </c>
      <c r="E150" s="249" t="s">
        <v>248</v>
      </c>
      <c r="F150" s="113"/>
      <c r="G150" s="260">
        <v>1.02</v>
      </c>
      <c r="H150" s="259">
        <v>9.1999999999999993</v>
      </c>
      <c r="I150" s="240"/>
      <c r="J150" s="113"/>
      <c r="K150" s="260">
        <v>0.13</v>
      </c>
      <c r="L150" s="259">
        <v>9.32</v>
      </c>
      <c r="M150" s="241">
        <f>M152</f>
        <v>3.2500000000000001E-2</v>
      </c>
      <c r="N150" s="249" t="s">
        <v>248</v>
      </c>
      <c r="O150" s="113"/>
      <c r="P150" s="260">
        <v>0.31</v>
      </c>
      <c r="Q150" s="259">
        <v>9.4</v>
      </c>
      <c r="R150" s="24"/>
      <c r="S150" s="24"/>
      <c r="T150" s="113"/>
      <c r="U150" s="260">
        <v>0.18</v>
      </c>
      <c r="V150" s="259">
        <v>9.36</v>
      </c>
      <c r="W150" s="241"/>
      <c r="X150" s="240"/>
      <c r="Y150" s="113"/>
      <c r="Z150" s="260">
        <v>7.0000000000000007E-2</v>
      </c>
      <c r="AA150" s="259">
        <v>9.17</v>
      </c>
      <c r="AB150" s="241"/>
      <c r="AC150" s="240"/>
      <c r="AD150" s="113"/>
      <c r="AE150" s="260">
        <v>0.06</v>
      </c>
      <c r="AF150" s="259">
        <v>9.41</v>
      </c>
      <c r="AG150" s="114"/>
      <c r="AH150" s="240"/>
      <c r="AI150" s="141"/>
    </row>
    <row r="151" spans="1:35" s="25" customFormat="1" x14ac:dyDescent="0.25">
      <c r="A151" s="261"/>
      <c r="B151" s="260"/>
      <c r="C151" s="259"/>
      <c r="D151" s="241">
        <f>M151</f>
        <v>3.2500000000000001E-2</v>
      </c>
      <c r="E151" s="7" t="s">
        <v>230</v>
      </c>
      <c r="F151" s="113"/>
      <c r="G151" s="260"/>
      <c r="H151" s="259"/>
      <c r="I151" s="240"/>
      <c r="J151" s="113"/>
      <c r="K151" s="260"/>
      <c r="L151" s="259"/>
      <c r="M151" s="241">
        <f>M152</f>
        <v>3.2500000000000001E-2</v>
      </c>
      <c r="N151" s="7" t="s">
        <v>230</v>
      </c>
      <c r="O151" s="113"/>
      <c r="P151" s="260"/>
      <c r="Q151" s="259"/>
      <c r="R151" s="24"/>
      <c r="S151" s="24"/>
      <c r="T151" s="113"/>
      <c r="U151" s="260"/>
      <c r="V151" s="259"/>
      <c r="W151" s="24"/>
      <c r="X151" s="24"/>
      <c r="Y151" s="113"/>
      <c r="Z151" s="260"/>
      <c r="AA151" s="259"/>
      <c r="AB151" s="241"/>
      <c r="AC151" s="240"/>
      <c r="AD151" s="113"/>
      <c r="AE151" s="260"/>
      <c r="AF151" s="259"/>
      <c r="AG151" s="114"/>
      <c r="AH151" s="240"/>
      <c r="AI151" s="141"/>
    </row>
    <row r="152" spans="1:35" s="25" customFormat="1" x14ac:dyDescent="0.25">
      <c r="A152" s="261"/>
      <c r="B152" s="260"/>
      <c r="C152" s="259"/>
      <c r="D152" s="241">
        <f>B150-D150-D151-D153</f>
        <v>0.24500000000000005</v>
      </c>
      <c r="E152" s="7" t="s">
        <v>458</v>
      </c>
      <c r="F152" s="113"/>
      <c r="G152" s="260"/>
      <c r="H152" s="259"/>
      <c r="I152" s="240"/>
      <c r="J152" s="113"/>
      <c r="K152" s="260"/>
      <c r="L152" s="259"/>
      <c r="M152" s="241">
        <f>K150/4</f>
        <v>3.2500000000000001E-2</v>
      </c>
      <c r="N152" s="7" t="s">
        <v>229</v>
      </c>
      <c r="O152" s="113"/>
      <c r="P152" s="260"/>
      <c r="Q152" s="259"/>
      <c r="R152" s="241"/>
      <c r="S152" s="240"/>
      <c r="T152" s="113"/>
      <c r="U152" s="260"/>
      <c r="V152" s="259"/>
      <c r="W152" s="241"/>
      <c r="X152" s="240"/>
      <c r="Y152" s="113"/>
      <c r="Z152" s="260"/>
      <c r="AA152" s="259"/>
      <c r="AB152" s="241"/>
      <c r="AC152" s="240"/>
      <c r="AD152" s="113"/>
      <c r="AE152" s="260"/>
      <c r="AF152" s="259"/>
      <c r="AG152" s="114"/>
      <c r="AH152" s="240"/>
      <c r="AI152" s="141"/>
    </row>
    <row r="153" spans="1:35" s="25" customFormat="1" x14ac:dyDescent="0.25">
      <c r="A153" s="261"/>
      <c r="B153" s="260"/>
      <c r="C153" s="259"/>
      <c r="D153" s="240">
        <f>R153</f>
        <v>0.31</v>
      </c>
      <c r="E153" s="75" t="s">
        <v>438</v>
      </c>
      <c r="F153" s="113"/>
      <c r="G153" s="260"/>
      <c r="H153" s="259"/>
      <c r="I153" s="240"/>
      <c r="J153" s="113"/>
      <c r="K153" s="260"/>
      <c r="L153" s="259"/>
      <c r="M153" s="241">
        <v>0.31</v>
      </c>
      <c r="N153" s="75" t="s">
        <v>438</v>
      </c>
      <c r="O153" s="113"/>
      <c r="P153" s="260"/>
      <c r="Q153" s="259"/>
      <c r="R153" s="241">
        <f>P150</f>
        <v>0.31</v>
      </c>
      <c r="S153" s="75" t="s">
        <v>142</v>
      </c>
      <c r="T153" s="113"/>
      <c r="U153" s="241">
        <v>0.16</v>
      </c>
      <c r="V153" s="240">
        <v>9.41</v>
      </c>
      <c r="W153" s="24"/>
      <c r="X153" s="24"/>
      <c r="Y153" s="113"/>
      <c r="Z153" s="260"/>
      <c r="AA153" s="259"/>
      <c r="AB153" s="241"/>
      <c r="AC153" s="240"/>
      <c r="AD153" s="113"/>
      <c r="AE153" s="260"/>
      <c r="AF153" s="259"/>
      <c r="AG153" s="114"/>
      <c r="AH153" s="240"/>
      <c r="AI153" s="141"/>
    </row>
    <row r="154" spans="1:35" s="25" customFormat="1" x14ac:dyDescent="0.25">
      <c r="A154" s="261">
        <v>36</v>
      </c>
      <c r="B154" s="260">
        <v>3.19</v>
      </c>
      <c r="C154" s="259">
        <v>9.5399999999999991</v>
      </c>
      <c r="D154" s="241">
        <v>0.32</v>
      </c>
      <c r="E154" s="7" t="s">
        <v>155</v>
      </c>
      <c r="F154" s="113"/>
      <c r="G154" s="260">
        <v>2.09</v>
      </c>
      <c r="H154" s="259">
        <v>9.39</v>
      </c>
      <c r="I154" s="240"/>
      <c r="J154" s="113"/>
      <c r="K154" s="260">
        <v>5.53</v>
      </c>
      <c r="L154" s="259">
        <v>9.4700000000000006</v>
      </c>
      <c r="M154" s="241">
        <f>D154</f>
        <v>0.32</v>
      </c>
      <c r="N154" s="7" t="s">
        <v>155</v>
      </c>
      <c r="O154" s="113"/>
      <c r="P154" s="260">
        <v>2.23</v>
      </c>
      <c r="Q154" s="259">
        <v>9.49</v>
      </c>
      <c r="R154" s="241"/>
      <c r="S154" s="240"/>
      <c r="T154" s="113"/>
      <c r="U154" s="260">
        <v>3.59</v>
      </c>
      <c r="V154" s="259">
        <v>9.5</v>
      </c>
      <c r="W154" s="24"/>
      <c r="X154" s="24"/>
      <c r="Y154" s="113"/>
      <c r="Z154" s="260">
        <v>3.52</v>
      </c>
      <c r="AA154" s="259">
        <v>9.31</v>
      </c>
      <c r="AB154" s="24"/>
      <c r="AC154" s="24"/>
      <c r="AD154" s="113"/>
      <c r="AE154" s="260">
        <v>3.1</v>
      </c>
      <c r="AF154" s="259">
        <v>9.48</v>
      </c>
      <c r="AG154" s="24"/>
      <c r="AH154" s="24"/>
      <c r="AI154" s="141"/>
    </row>
    <row r="155" spans="1:35" s="25" customFormat="1" x14ac:dyDescent="0.25">
      <c r="A155" s="261"/>
      <c r="B155" s="260"/>
      <c r="C155" s="259"/>
      <c r="D155" s="241">
        <v>0.32</v>
      </c>
      <c r="E155" s="249" t="s">
        <v>271</v>
      </c>
      <c r="F155" s="113"/>
      <c r="G155" s="260"/>
      <c r="H155" s="259"/>
      <c r="I155" s="240"/>
      <c r="J155" s="113"/>
      <c r="K155" s="260"/>
      <c r="L155" s="259"/>
      <c r="M155" s="241">
        <f>D155</f>
        <v>0.32</v>
      </c>
      <c r="N155" s="249" t="s">
        <v>271</v>
      </c>
      <c r="O155" s="113"/>
      <c r="P155" s="260"/>
      <c r="Q155" s="259"/>
      <c r="R155" s="241"/>
      <c r="S155" s="240"/>
      <c r="T155" s="113"/>
      <c r="U155" s="260"/>
      <c r="V155" s="259"/>
      <c r="W155" s="241"/>
      <c r="X155" s="240"/>
      <c r="Y155" s="113"/>
      <c r="Z155" s="260"/>
      <c r="AA155" s="259"/>
      <c r="AB155" s="241"/>
      <c r="AC155" s="240"/>
      <c r="AD155" s="113"/>
      <c r="AE155" s="260"/>
      <c r="AF155" s="259"/>
      <c r="AG155" s="114"/>
      <c r="AH155" s="114"/>
      <c r="AI155" s="141"/>
    </row>
    <row r="156" spans="1:35" s="25" customFormat="1" x14ac:dyDescent="0.25">
      <c r="A156" s="261"/>
      <c r="B156" s="260"/>
      <c r="C156" s="259"/>
      <c r="D156" s="241">
        <v>0.01</v>
      </c>
      <c r="E156" s="249" t="s">
        <v>91</v>
      </c>
      <c r="F156" s="113"/>
      <c r="G156" s="260"/>
      <c r="H156" s="259"/>
      <c r="I156" s="240"/>
      <c r="J156" s="113"/>
      <c r="K156" s="260"/>
      <c r="L156" s="259"/>
      <c r="M156" s="241">
        <f>D156</f>
        <v>0.01</v>
      </c>
      <c r="N156" s="249" t="s">
        <v>91</v>
      </c>
      <c r="O156" s="113"/>
      <c r="P156" s="260"/>
      <c r="Q156" s="259"/>
      <c r="R156" s="241"/>
      <c r="S156" s="240"/>
      <c r="T156" s="113"/>
      <c r="U156" s="260"/>
      <c r="V156" s="259"/>
      <c r="W156" s="241"/>
      <c r="X156" s="24"/>
      <c r="Y156" s="113"/>
      <c r="Z156" s="260"/>
      <c r="AA156" s="259"/>
      <c r="AB156" s="241"/>
      <c r="AC156" s="240"/>
      <c r="AD156" s="113"/>
      <c r="AE156" s="260"/>
      <c r="AF156" s="259"/>
      <c r="AG156" s="114"/>
      <c r="AH156" s="114"/>
      <c r="AI156" s="141"/>
    </row>
    <row r="157" spans="1:35" s="25" customFormat="1" x14ac:dyDescent="0.25">
      <c r="A157" s="261"/>
      <c r="B157" s="260"/>
      <c r="C157" s="259"/>
      <c r="D157" s="24"/>
      <c r="E157" s="24"/>
      <c r="F157" s="113"/>
      <c r="G157" s="260"/>
      <c r="H157" s="259"/>
      <c r="I157" s="240"/>
      <c r="J157" s="113"/>
      <c r="K157" s="260"/>
      <c r="L157" s="259"/>
      <c r="M157" s="24"/>
      <c r="N157" s="24"/>
      <c r="O157" s="113"/>
      <c r="P157" s="260"/>
      <c r="Q157" s="259"/>
      <c r="R157" s="241"/>
      <c r="S157" s="240"/>
      <c r="T157" s="113"/>
      <c r="U157" s="260"/>
      <c r="V157" s="259"/>
      <c r="W157" s="241"/>
      <c r="X157" s="240"/>
      <c r="Y157" s="113"/>
      <c r="Z157" s="260"/>
      <c r="AA157" s="259"/>
      <c r="AB157" s="241"/>
      <c r="AC157" s="240"/>
      <c r="AD157" s="113"/>
      <c r="AE157" s="260"/>
      <c r="AF157" s="259"/>
      <c r="AG157" s="114"/>
      <c r="AH157" s="114"/>
      <c r="AI157" s="141"/>
    </row>
    <row r="158" spans="1:35" s="25" customFormat="1" x14ac:dyDescent="0.25">
      <c r="A158" s="261"/>
      <c r="B158" s="260"/>
      <c r="C158" s="259"/>
      <c r="D158" s="24"/>
      <c r="E158" s="24"/>
      <c r="F158" s="113"/>
      <c r="G158" s="260"/>
      <c r="H158" s="259"/>
      <c r="I158" s="240"/>
      <c r="J158" s="113"/>
      <c r="K158" s="260"/>
      <c r="L158" s="259"/>
      <c r="M158" s="24"/>
      <c r="N158" s="24"/>
      <c r="O158" s="113"/>
      <c r="P158" s="260"/>
      <c r="Q158" s="259"/>
      <c r="R158" s="241"/>
      <c r="S158" s="240"/>
      <c r="T158" s="113"/>
      <c r="U158" s="260"/>
      <c r="V158" s="259"/>
      <c r="W158" s="241"/>
      <c r="X158" s="240"/>
      <c r="Y158" s="113"/>
      <c r="Z158" s="260"/>
      <c r="AA158" s="259"/>
      <c r="AB158" s="241"/>
      <c r="AC158" s="240"/>
      <c r="AD158" s="113"/>
      <c r="AE158" s="260"/>
      <c r="AF158" s="259"/>
      <c r="AG158" s="114"/>
      <c r="AH158" s="114"/>
      <c r="AI158" s="141"/>
    </row>
    <row r="159" spans="1:35" s="25" customFormat="1" x14ac:dyDescent="0.25">
      <c r="A159" s="261"/>
      <c r="B159" s="260"/>
      <c r="C159" s="259"/>
      <c r="D159" s="241">
        <v>7.0000000000000007E-2</v>
      </c>
      <c r="E159" s="14" t="s">
        <v>351</v>
      </c>
      <c r="F159" s="113"/>
      <c r="G159" s="260"/>
      <c r="H159" s="259"/>
      <c r="I159" s="240"/>
      <c r="J159" s="113"/>
      <c r="K159" s="260"/>
      <c r="L159" s="259"/>
      <c r="M159" s="241">
        <f>R159</f>
        <v>7.0000000000000007E-2</v>
      </c>
      <c r="N159" s="14" t="s">
        <v>351</v>
      </c>
      <c r="O159" s="113"/>
      <c r="P159" s="260"/>
      <c r="Q159" s="259"/>
      <c r="R159" s="241">
        <v>7.0000000000000007E-2</v>
      </c>
      <c r="S159" s="14" t="s">
        <v>351</v>
      </c>
      <c r="T159" s="113"/>
      <c r="U159" s="260"/>
      <c r="V159" s="259"/>
      <c r="W159" s="241">
        <v>7.0000000000000007E-2</v>
      </c>
      <c r="X159" s="14" t="s">
        <v>351</v>
      </c>
      <c r="Y159" s="113"/>
      <c r="Z159" s="260"/>
      <c r="AA159" s="259"/>
      <c r="AB159" s="241"/>
      <c r="AC159" s="240"/>
      <c r="AD159" s="113"/>
      <c r="AE159" s="260"/>
      <c r="AF159" s="259"/>
      <c r="AG159" s="114"/>
      <c r="AH159" s="114"/>
      <c r="AI159" s="141"/>
    </row>
    <row r="160" spans="1:35" s="25" customFormat="1" x14ac:dyDescent="0.25">
      <c r="A160" s="261"/>
      <c r="B160" s="260"/>
      <c r="C160" s="259"/>
      <c r="D160" s="240">
        <f ca="1">B154-D155-D156-D154-D159+B161-D164-D161-D162-D163</f>
        <v>3.39</v>
      </c>
      <c r="E160" s="6" t="s">
        <v>26</v>
      </c>
      <c r="F160" s="113"/>
      <c r="G160" s="260"/>
      <c r="H160" s="259"/>
      <c r="I160" s="80"/>
      <c r="J160" s="113"/>
      <c r="K160" s="260"/>
      <c r="L160" s="259"/>
      <c r="M160" s="241">
        <f>K154+K150-M152-M150-M151-M153-M155-M156-M154-M159</f>
        <v>4.5325000000000006</v>
      </c>
      <c r="N160" s="6" t="s">
        <v>26</v>
      </c>
      <c r="O160" s="113"/>
      <c r="P160" s="260"/>
      <c r="Q160" s="259"/>
      <c r="R160" s="241">
        <f>P154-R159-R155+P161+P166-R163-R161</f>
        <v>3.0100000000000002</v>
      </c>
      <c r="S160" s="6" t="s">
        <v>26</v>
      </c>
      <c r="T160" s="113"/>
      <c r="U160" s="260"/>
      <c r="V160" s="259"/>
      <c r="W160" s="241">
        <f>U154-W159-W158-W149+U150+U153-W155</f>
        <v>3.49</v>
      </c>
      <c r="X160" s="6" t="s">
        <v>26</v>
      </c>
      <c r="Y160" s="113"/>
      <c r="Z160" s="260"/>
      <c r="AA160" s="259"/>
      <c r="AB160" s="241">
        <f>Z154-AB166</f>
        <v>2.42</v>
      </c>
      <c r="AC160" s="6" t="s">
        <v>26</v>
      </c>
      <c r="AD160" s="113"/>
      <c r="AE160" s="260"/>
      <c r="AF160" s="259"/>
      <c r="AG160" s="114">
        <f>AE154-AG166</f>
        <v>2</v>
      </c>
      <c r="AH160" s="6" t="s">
        <v>26</v>
      </c>
      <c r="AI160" s="141"/>
    </row>
    <row r="161" spans="1:35" s="25" customFormat="1" x14ac:dyDescent="0.25">
      <c r="A161" s="261">
        <v>37</v>
      </c>
      <c r="B161" s="260">
        <v>2.33</v>
      </c>
      <c r="C161" s="259">
        <v>9.6300000000000008</v>
      </c>
      <c r="D161" s="240">
        <f ca="1">D164</f>
        <v>0.42333333333333334</v>
      </c>
      <c r="E161" s="7" t="s">
        <v>155</v>
      </c>
      <c r="F161" s="113"/>
      <c r="G161" s="260">
        <v>0.67</v>
      </c>
      <c r="H161" s="259">
        <v>9.48</v>
      </c>
      <c r="I161" s="240"/>
      <c r="J161" s="113"/>
      <c r="K161" s="260">
        <v>0.83</v>
      </c>
      <c r="L161" s="259">
        <v>9.5299999999999994</v>
      </c>
      <c r="M161" s="250">
        <f ca="1">M164</f>
        <v>0.42333333333333334</v>
      </c>
      <c r="N161" s="7" t="s">
        <v>155</v>
      </c>
      <c r="O161" s="113"/>
      <c r="P161" s="260">
        <v>0.28000000000000003</v>
      </c>
      <c r="Q161" s="259">
        <v>9.6</v>
      </c>
      <c r="R161" s="245"/>
      <c r="S161" s="246"/>
      <c r="T161" s="113"/>
      <c r="U161" s="260">
        <v>0.28999999999999998</v>
      </c>
      <c r="V161" s="259">
        <v>9.67</v>
      </c>
      <c r="W161" s="245"/>
      <c r="X161" s="246"/>
      <c r="Y161" s="113"/>
      <c r="Z161" s="260">
        <v>7.0000000000000007E-2</v>
      </c>
      <c r="AA161" s="259">
        <v>9.4600000000000009</v>
      </c>
      <c r="AB161" s="245"/>
      <c r="AC161" s="246"/>
      <c r="AD161" s="113"/>
      <c r="AE161" s="260">
        <v>0.09</v>
      </c>
      <c r="AF161" s="259">
        <v>9.64</v>
      </c>
      <c r="AG161" s="245"/>
      <c r="AH161" s="246"/>
      <c r="AI161" s="141"/>
    </row>
    <row r="162" spans="1:35" s="25" customFormat="1" x14ac:dyDescent="0.25">
      <c r="A162" s="261"/>
      <c r="B162" s="260"/>
      <c r="C162" s="259"/>
      <c r="D162" s="240">
        <f ca="1">M162</f>
        <v>0.42333333333333334</v>
      </c>
      <c r="E162" s="59" t="s">
        <v>233</v>
      </c>
      <c r="F162" s="113"/>
      <c r="G162" s="260"/>
      <c r="H162" s="259"/>
      <c r="I162" s="240"/>
      <c r="J162" s="113"/>
      <c r="K162" s="260"/>
      <c r="L162" s="259"/>
      <c r="M162" s="250">
        <f ca="1">M164</f>
        <v>0.42333333333333334</v>
      </c>
      <c r="N162" s="59" t="s">
        <v>233</v>
      </c>
      <c r="O162" s="113"/>
      <c r="P162" s="260"/>
      <c r="Q162" s="259"/>
      <c r="R162" s="241"/>
      <c r="S162" s="240"/>
      <c r="T162" s="113"/>
      <c r="U162" s="260"/>
      <c r="V162" s="259"/>
      <c r="W162" s="241"/>
      <c r="X162" s="240"/>
      <c r="Y162" s="113"/>
      <c r="Z162" s="260"/>
      <c r="AA162" s="259"/>
      <c r="AB162" s="241"/>
      <c r="AC162" s="240"/>
      <c r="AD162" s="113"/>
      <c r="AE162" s="260"/>
      <c r="AF162" s="259"/>
      <c r="AG162" s="114"/>
      <c r="AH162" s="114"/>
      <c r="AI162" s="141"/>
    </row>
    <row r="163" spans="1:35" s="25" customFormat="1" x14ac:dyDescent="0.25">
      <c r="A163" s="261"/>
      <c r="B163" s="260"/>
      <c r="C163" s="259"/>
      <c r="D163" s="241">
        <f>R163</f>
        <v>0.14000000000000001</v>
      </c>
      <c r="E163" s="59" t="s">
        <v>336</v>
      </c>
      <c r="F163" s="113"/>
      <c r="G163" s="260"/>
      <c r="H163" s="259"/>
      <c r="I163" s="240"/>
      <c r="J163" s="113"/>
      <c r="K163" s="260"/>
      <c r="L163" s="259"/>
      <c r="M163" s="250">
        <f>D163</f>
        <v>0.14000000000000001</v>
      </c>
      <c r="N163" s="59" t="s">
        <v>336</v>
      </c>
      <c r="O163" s="113"/>
      <c r="P163" s="260"/>
      <c r="Q163" s="259"/>
      <c r="R163" s="241">
        <f>0.14</f>
        <v>0.14000000000000001</v>
      </c>
      <c r="S163" s="59" t="s">
        <v>336</v>
      </c>
      <c r="T163" s="113"/>
      <c r="U163" s="260"/>
      <c r="V163" s="259"/>
      <c r="W163" s="241">
        <f>R163</f>
        <v>0.14000000000000001</v>
      </c>
      <c r="X163" s="59" t="s">
        <v>336</v>
      </c>
      <c r="Y163" s="113"/>
      <c r="Z163" s="260"/>
      <c r="AA163" s="259"/>
      <c r="AB163" s="241">
        <v>0.08</v>
      </c>
      <c r="AC163" s="59" t="s">
        <v>336</v>
      </c>
      <c r="AD163" s="113"/>
      <c r="AE163" s="260"/>
      <c r="AF163" s="259"/>
      <c r="AG163" s="114">
        <v>0.01</v>
      </c>
      <c r="AH163" s="59" t="s">
        <v>336</v>
      </c>
      <c r="AI163" s="141"/>
    </row>
    <row r="164" spans="1:35" s="25" customFormat="1" x14ac:dyDescent="0.25">
      <c r="A164" s="261"/>
      <c r="B164" s="260"/>
      <c r="C164" s="259"/>
      <c r="D164" s="240">
        <f ca="1">M164</f>
        <v>0.42333333333333334</v>
      </c>
      <c r="E164" s="249" t="s">
        <v>84</v>
      </c>
      <c r="F164" s="113"/>
      <c r="G164" s="260"/>
      <c r="H164" s="259"/>
      <c r="I164" s="240"/>
      <c r="J164" s="113"/>
      <c r="K164" s="260"/>
      <c r="L164" s="259"/>
      <c r="M164" s="250">
        <f ca="1">K161+K166-M161-M162-M163+K167-M168</f>
        <v>0.58333333333333326</v>
      </c>
      <c r="N164" s="249" t="s">
        <v>84</v>
      </c>
      <c r="O164" s="113"/>
      <c r="P164" s="260"/>
      <c r="Q164" s="259"/>
      <c r="R164" s="241"/>
      <c r="S164" s="240"/>
      <c r="T164" s="113"/>
      <c r="U164" s="260"/>
      <c r="V164" s="259"/>
      <c r="W164" s="241"/>
      <c r="X164" s="240"/>
      <c r="Y164" s="113"/>
      <c r="Z164" s="260"/>
      <c r="AA164" s="259"/>
      <c r="AB164" s="241"/>
      <c r="AC164" s="240"/>
      <c r="AD164" s="113"/>
      <c r="AE164" s="260"/>
      <c r="AF164" s="259"/>
      <c r="AG164" s="114"/>
      <c r="AH164" s="114"/>
      <c r="AI164" s="141"/>
    </row>
    <row r="165" spans="1:35" s="25" customFormat="1" x14ac:dyDescent="0.25">
      <c r="A165" s="261"/>
      <c r="B165" s="260"/>
      <c r="C165" s="259"/>
      <c r="D165" s="24"/>
      <c r="E165" s="24"/>
      <c r="F165" s="113"/>
      <c r="G165" s="260"/>
      <c r="H165" s="259"/>
      <c r="I165" s="240"/>
      <c r="J165" s="113"/>
      <c r="K165" s="260"/>
      <c r="L165" s="259"/>
      <c r="M165" s="24"/>
      <c r="N165" s="24"/>
      <c r="O165" s="113"/>
      <c r="P165" s="260"/>
      <c r="Q165" s="259"/>
      <c r="R165" s="24"/>
      <c r="S165" s="24"/>
      <c r="T165" s="113"/>
      <c r="U165" s="260"/>
      <c r="V165" s="259"/>
      <c r="W165" s="24"/>
      <c r="X165" s="24"/>
      <c r="Y165" s="113"/>
      <c r="Z165" s="260"/>
      <c r="AA165" s="259"/>
      <c r="AB165" s="241"/>
      <c r="AC165" s="240"/>
      <c r="AD165" s="113"/>
      <c r="AE165" s="260"/>
      <c r="AF165" s="259"/>
      <c r="AG165" s="114"/>
      <c r="AH165" s="114"/>
      <c r="AI165" s="141"/>
    </row>
    <row r="166" spans="1:35" s="25" customFormat="1" x14ac:dyDescent="0.25">
      <c r="A166" s="261"/>
      <c r="B166" s="260"/>
      <c r="C166" s="259"/>
      <c r="D166" s="240"/>
      <c r="E166" s="240"/>
      <c r="F166" s="113"/>
      <c r="G166" s="260"/>
      <c r="H166" s="259"/>
      <c r="I166" s="240"/>
      <c r="J166" s="113"/>
      <c r="K166" s="241">
        <v>0.44</v>
      </c>
      <c r="L166" s="240">
        <v>9.69</v>
      </c>
      <c r="M166" s="241"/>
      <c r="N166" s="240"/>
      <c r="O166" s="113"/>
      <c r="P166" s="241">
        <v>0.71</v>
      </c>
      <c r="Q166" s="240">
        <v>9.73</v>
      </c>
      <c r="R166" s="241"/>
      <c r="S166" s="24"/>
      <c r="T166" s="113"/>
      <c r="U166" s="260">
        <v>0.46</v>
      </c>
      <c r="V166" s="259">
        <v>9.85</v>
      </c>
      <c r="W166" s="241"/>
      <c r="X166" s="24"/>
      <c r="Y166" s="113"/>
      <c r="Z166" s="241">
        <v>0.08</v>
      </c>
      <c r="AA166" s="240">
        <v>9.56</v>
      </c>
      <c r="AB166" s="241">
        <f>R175</f>
        <v>1.1000000000000001</v>
      </c>
      <c r="AC166" s="75" t="s">
        <v>180</v>
      </c>
      <c r="AD166" s="113"/>
      <c r="AE166" s="241">
        <v>0.05</v>
      </c>
      <c r="AF166" s="240">
        <v>9.73</v>
      </c>
      <c r="AG166" s="114">
        <f>AB166</f>
        <v>1.1000000000000001</v>
      </c>
      <c r="AH166" s="75" t="s">
        <v>180</v>
      </c>
      <c r="AI166" s="141"/>
    </row>
    <row r="167" spans="1:35" s="25" customFormat="1" x14ac:dyDescent="0.25">
      <c r="A167" s="261">
        <v>38</v>
      </c>
      <c r="B167" s="260">
        <v>0.63</v>
      </c>
      <c r="C167" s="259">
        <v>9.89</v>
      </c>
      <c r="D167" s="240"/>
      <c r="E167" s="8"/>
      <c r="F167" s="113"/>
      <c r="G167" s="260">
        <v>0.65</v>
      </c>
      <c r="H167" s="259">
        <v>9.6300000000000008</v>
      </c>
      <c r="I167" s="240"/>
      <c r="J167" s="113"/>
      <c r="K167" s="260">
        <v>0.82</v>
      </c>
      <c r="L167" s="259">
        <v>9.83</v>
      </c>
      <c r="M167" s="241"/>
      <c r="N167" s="8"/>
      <c r="O167" s="113"/>
      <c r="P167" s="260">
        <v>0.57999999999999996</v>
      </c>
      <c r="Q167" s="259">
        <v>9.86</v>
      </c>
      <c r="R167" s="241"/>
      <c r="S167" s="8"/>
      <c r="T167" s="113"/>
      <c r="U167" s="260"/>
      <c r="V167" s="259"/>
      <c r="W167" s="24"/>
      <c r="X167" s="24"/>
      <c r="Y167" s="113"/>
      <c r="Z167" s="260">
        <v>0.28000000000000003</v>
      </c>
      <c r="AA167" s="259">
        <v>9.66</v>
      </c>
      <c r="AB167" s="24"/>
      <c r="AC167" s="24"/>
      <c r="AD167" s="113"/>
      <c r="AE167" s="241">
        <v>0.05</v>
      </c>
      <c r="AF167" s="240">
        <v>9.8000000000000007</v>
      </c>
      <c r="AG167" s="114"/>
      <c r="AH167" s="114"/>
      <c r="AI167" s="141"/>
    </row>
    <row r="168" spans="1:35" s="25" customFormat="1" x14ac:dyDescent="0.25">
      <c r="A168" s="261"/>
      <c r="B168" s="260"/>
      <c r="C168" s="259"/>
      <c r="D168" s="240">
        <f>B167</f>
        <v>0.63</v>
      </c>
      <c r="E168" s="7" t="s">
        <v>469</v>
      </c>
      <c r="F168" s="113"/>
      <c r="G168" s="260"/>
      <c r="H168" s="259"/>
      <c r="I168" s="240"/>
      <c r="J168" s="113"/>
      <c r="K168" s="260"/>
      <c r="L168" s="259"/>
      <c r="M168" s="241">
        <f>K171</f>
        <v>0.52</v>
      </c>
      <c r="N168" s="7" t="s">
        <v>154</v>
      </c>
      <c r="O168" s="113"/>
      <c r="P168" s="260"/>
      <c r="Q168" s="259"/>
      <c r="R168" s="241">
        <f>P167</f>
        <v>0.57999999999999996</v>
      </c>
      <c r="S168" s="75" t="s">
        <v>550</v>
      </c>
      <c r="T168" s="113"/>
      <c r="U168" s="260"/>
      <c r="V168" s="259"/>
      <c r="W168" s="241"/>
      <c r="X168" s="16"/>
      <c r="Y168" s="113"/>
      <c r="Z168" s="260"/>
      <c r="AA168" s="259"/>
      <c r="AB168" s="241"/>
      <c r="AC168" s="240"/>
      <c r="AD168" s="113"/>
      <c r="AE168" s="260">
        <v>0.23</v>
      </c>
      <c r="AF168" s="259">
        <v>9.85</v>
      </c>
      <c r="AG168" s="114"/>
      <c r="AH168" s="114"/>
      <c r="AI168" s="141"/>
    </row>
    <row r="169" spans="1:35" s="25" customFormat="1" x14ac:dyDescent="0.25">
      <c r="A169" s="261"/>
      <c r="B169" s="260"/>
      <c r="C169" s="259"/>
      <c r="D169" s="240"/>
      <c r="E169" s="240"/>
      <c r="F169" s="113"/>
      <c r="G169" s="260"/>
      <c r="H169" s="259"/>
      <c r="I169" s="240"/>
      <c r="J169" s="113"/>
      <c r="K169" s="260"/>
      <c r="L169" s="259"/>
      <c r="M169" s="241"/>
      <c r="N169" s="240"/>
      <c r="O169" s="113"/>
      <c r="P169" s="260"/>
      <c r="Q169" s="259"/>
      <c r="R169" s="241"/>
      <c r="S169" s="240"/>
      <c r="T169" s="113"/>
      <c r="U169" s="260"/>
      <c r="V169" s="259"/>
      <c r="W169" s="241"/>
      <c r="X169" s="240"/>
      <c r="Y169" s="113"/>
      <c r="Z169" s="260"/>
      <c r="AA169" s="259"/>
      <c r="AB169" s="241"/>
      <c r="AC169" s="240"/>
      <c r="AD169" s="113"/>
      <c r="AE169" s="260"/>
      <c r="AF169" s="259"/>
      <c r="AG169" s="114"/>
      <c r="AH169" s="114"/>
      <c r="AI169" s="141"/>
    </row>
    <row r="170" spans="1:35" s="25" customFormat="1" x14ac:dyDescent="0.25">
      <c r="A170" s="261"/>
      <c r="B170" s="260"/>
      <c r="C170" s="259"/>
      <c r="D170" s="240"/>
      <c r="E170" s="240"/>
      <c r="F170" s="113"/>
      <c r="G170" s="260"/>
      <c r="H170" s="259"/>
      <c r="I170" s="240"/>
      <c r="J170" s="113"/>
      <c r="K170" s="260"/>
      <c r="L170" s="259"/>
      <c r="M170" s="241"/>
      <c r="N170" s="240"/>
      <c r="O170" s="113"/>
      <c r="P170" s="260"/>
      <c r="Q170" s="259"/>
      <c r="R170" s="241"/>
      <c r="S170" s="240"/>
      <c r="T170" s="113"/>
      <c r="U170" s="260"/>
      <c r="V170" s="259"/>
      <c r="W170" s="241"/>
      <c r="X170" s="240"/>
      <c r="Y170" s="113"/>
      <c r="Z170" s="260"/>
      <c r="AA170" s="259"/>
      <c r="AB170" s="241"/>
      <c r="AC170" s="240"/>
      <c r="AD170" s="113"/>
      <c r="AE170" s="260"/>
      <c r="AF170" s="259"/>
      <c r="AG170" s="114"/>
      <c r="AH170" s="114"/>
      <c r="AI170" s="141"/>
    </row>
    <row r="171" spans="1:35" s="25" customFormat="1" x14ac:dyDescent="0.25">
      <c r="A171" s="261"/>
      <c r="B171" s="260"/>
      <c r="C171" s="259"/>
      <c r="D171" s="240"/>
      <c r="E171" s="240"/>
      <c r="F171" s="113"/>
      <c r="G171" s="260"/>
      <c r="H171" s="259"/>
      <c r="I171" s="240"/>
      <c r="J171" s="113"/>
      <c r="K171" s="260">
        <v>0.52</v>
      </c>
      <c r="L171" s="259">
        <v>9.92</v>
      </c>
      <c r="M171" s="241"/>
      <c r="N171" s="240"/>
      <c r="O171" s="113"/>
      <c r="P171" s="260"/>
      <c r="Q171" s="259"/>
      <c r="R171" s="241"/>
      <c r="S171" s="240"/>
      <c r="T171" s="113"/>
      <c r="U171" s="260"/>
      <c r="V171" s="259"/>
      <c r="W171" s="241"/>
      <c r="X171" s="240"/>
      <c r="Y171" s="113"/>
      <c r="Z171" s="260"/>
      <c r="AA171" s="259"/>
      <c r="AB171" s="241"/>
      <c r="AC171" s="240"/>
      <c r="AD171" s="113"/>
      <c r="AE171" s="260"/>
      <c r="AF171" s="259"/>
      <c r="AG171" s="114"/>
      <c r="AH171" s="114"/>
      <c r="AI171" s="141"/>
    </row>
    <row r="172" spans="1:35" s="25" customFormat="1" x14ac:dyDescent="0.25">
      <c r="A172" s="261"/>
      <c r="B172" s="260"/>
      <c r="C172" s="259"/>
      <c r="D172" s="240"/>
      <c r="E172" s="240"/>
      <c r="F172" s="113"/>
      <c r="G172" s="260"/>
      <c r="H172" s="259"/>
      <c r="I172" s="240"/>
      <c r="J172" s="113"/>
      <c r="K172" s="260"/>
      <c r="L172" s="259"/>
      <c r="M172" s="241"/>
      <c r="N172" s="240"/>
      <c r="O172" s="113"/>
      <c r="P172" s="260"/>
      <c r="Q172" s="259"/>
      <c r="R172" s="241"/>
      <c r="S172" s="240"/>
      <c r="T172" s="113"/>
      <c r="U172" s="260"/>
      <c r="V172" s="259"/>
      <c r="W172" s="241"/>
      <c r="X172" s="240"/>
      <c r="Y172" s="113"/>
      <c r="Z172" s="260"/>
      <c r="AA172" s="259"/>
      <c r="AB172" s="241"/>
      <c r="AC172" s="240"/>
      <c r="AD172" s="113"/>
      <c r="AE172" s="260"/>
      <c r="AF172" s="259"/>
      <c r="AG172" s="114"/>
      <c r="AH172" s="114"/>
      <c r="AI172" s="141"/>
    </row>
    <row r="173" spans="1:35" s="25" customFormat="1" x14ac:dyDescent="0.25">
      <c r="A173" s="261"/>
      <c r="B173" s="260"/>
      <c r="C173" s="259"/>
      <c r="D173" s="240"/>
      <c r="E173" s="240"/>
      <c r="F173" s="113"/>
      <c r="G173" s="260"/>
      <c r="H173" s="259"/>
      <c r="I173" s="240"/>
      <c r="J173" s="113"/>
      <c r="K173" s="260"/>
      <c r="L173" s="259"/>
      <c r="M173" s="24"/>
      <c r="N173" s="24"/>
      <c r="O173" s="113"/>
      <c r="P173" s="260"/>
      <c r="Q173" s="259"/>
      <c r="R173" s="241"/>
      <c r="S173" s="240"/>
      <c r="T173" s="113"/>
      <c r="U173" s="260"/>
      <c r="V173" s="259"/>
      <c r="W173" s="241"/>
      <c r="X173" s="240"/>
      <c r="Y173" s="113"/>
      <c r="Z173" s="260"/>
      <c r="AA173" s="259"/>
      <c r="AB173" s="241"/>
      <c r="AC173" s="240"/>
      <c r="AD173" s="113"/>
      <c r="AE173" s="260"/>
      <c r="AF173" s="259"/>
      <c r="AG173" s="114"/>
      <c r="AH173" s="114"/>
      <c r="AI173" s="141"/>
    </row>
    <row r="174" spans="1:35" s="25" customFormat="1" x14ac:dyDescent="0.25">
      <c r="A174" s="261"/>
      <c r="B174" s="260"/>
      <c r="C174" s="259"/>
      <c r="D174" s="240"/>
      <c r="E174" s="240"/>
      <c r="F174" s="113"/>
      <c r="G174" s="260"/>
      <c r="H174" s="259"/>
      <c r="I174" s="240"/>
      <c r="J174" s="113"/>
      <c r="K174" s="260"/>
      <c r="L174" s="259"/>
      <c r="M174" s="241"/>
      <c r="N174" s="240"/>
      <c r="O174" s="113"/>
      <c r="P174" s="260"/>
      <c r="Q174" s="259"/>
      <c r="R174" s="241"/>
      <c r="S174" s="240"/>
      <c r="T174" s="113"/>
      <c r="U174" s="260"/>
      <c r="V174" s="259"/>
      <c r="W174" s="241"/>
      <c r="X174" s="240"/>
      <c r="Y174" s="113"/>
      <c r="Z174" s="260"/>
      <c r="AA174" s="259"/>
      <c r="AB174" s="241"/>
      <c r="AC174" s="240"/>
      <c r="AD174" s="113"/>
      <c r="AE174" s="260"/>
      <c r="AF174" s="259"/>
      <c r="AG174" s="114"/>
      <c r="AH174" s="114"/>
      <c r="AI174" s="141"/>
    </row>
    <row r="175" spans="1:35" s="25" customFormat="1" ht="14.25" customHeight="1" x14ac:dyDescent="0.25">
      <c r="A175" s="261">
        <v>39</v>
      </c>
      <c r="B175" s="260">
        <v>0.77</v>
      </c>
      <c r="C175" s="259">
        <v>10.1</v>
      </c>
      <c r="D175" s="24"/>
      <c r="E175" s="24"/>
      <c r="F175" s="113"/>
      <c r="G175" s="260">
        <v>1.2</v>
      </c>
      <c r="H175" s="259">
        <v>9.85</v>
      </c>
      <c r="I175" s="240"/>
      <c r="J175" s="113"/>
      <c r="K175" s="260">
        <v>1.76</v>
      </c>
      <c r="L175" s="259">
        <v>10.06</v>
      </c>
      <c r="M175" s="241">
        <f>R175-M205</f>
        <v>0.58000000000000007</v>
      </c>
      <c r="N175" s="75" t="s">
        <v>167</v>
      </c>
      <c r="O175" s="113"/>
      <c r="P175" s="260">
        <v>1.1000000000000001</v>
      </c>
      <c r="Q175" s="259">
        <v>10.050000000000001</v>
      </c>
      <c r="R175" s="241">
        <f>P175</f>
        <v>1.1000000000000001</v>
      </c>
      <c r="S175" s="75" t="s">
        <v>530</v>
      </c>
      <c r="T175" s="113"/>
      <c r="U175" s="260">
        <v>0.73</v>
      </c>
      <c r="V175" s="259">
        <v>10.06</v>
      </c>
      <c r="W175" s="241">
        <f>U175</f>
        <v>0.73</v>
      </c>
      <c r="X175" s="75" t="s">
        <v>363</v>
      </c>
      <c r="Y175" s="113"/>
      <c r="Z175" s="260">
        <v>0.04</v>
      </c>
      <c r="AA175" s="259">
        <v>9.77</v>
      </c>
      <c r="AB175" s="241"/>
      <c r="AC175" s="240"/>
      <c r="AD175" s="113"/>
      <c r="AE175" s="260">
        <v>0.19</v>
      </c>
      <c r="AF175" s="259">
        <v>10.06</v>
      </c>
      <c r="AG175" s="114"/>
      <c r="AH175" s="114"/>
      <c r="AI175" s="141"/>
    </row>
    <row r="176" spans="1:35" s="25" customFormat="1" ht="14.25" customHeight="1" x14ac:dyDescent="0.25">
      <c r="A176" s="261"/>
      <c r="B176" s="260"/>
      <c r="C176" s="259"/>
      <c r="D176" s="240">
        <v>0.77</v>
      </c>
      <c r="E176" s="59" t="s">
        <v>475</v>
      </c>
      <c r="F176" s="113"/>
      <c r="G176" s="260"/>
      <c r="H176" s="259"/>
      <c r="I176" s="240"/>
      <c r="J176" s="113"/>
      <c r="K176" s="260"/>
      <c r="L176" s="259"/>
      <c r="M176" s="241">
        <f>K175-M175</f>
        <v>1.18</v>
      </c>
      <c r="N176" s="59" t="s">
        <v>217</v>
      </c>
      <c r="O176" s="113"/>
      <c r="P176" s="260"/>
      <c r="Q176" s="259"/>
      <c r="R176" s="24"/>
      <c r="S176" s="24"/>
      <c r="T176" s="113"/>
      <c r="U176" s="260"/>
      <c r="V176" s="259"/>
      <c r="W176" s="24"/>
      <c r="X176" s="24"/>
      <c r="Y176" s="113"/>
      <c r="Z176" s="260"/>
      <c r="AA176" s="259"/>
      <c r="AB176" s="241"/>
      <c r="AC176" s="240"/>
      <c r="AD176" s="113"/>
      <c r="AE176" s="260"/>
      <c r="AF176" s="259"/>
      <c r="AG176" s="114"/>
      <c r="AH176" s="114"/>
      <c r="AI176" s="141"/>
    </row>
    <row r="177" spans="1:35" s="25" customFormat="1" x14ac:dyDescent="0.25">
      <c r="A177" s="261"/>
      <c r="B177" s="260"/>
      <c r="C177" s="259"/>
      <c r="D177" s="24"/>
      <c r="E177" s="240"/>
      <c r="F177" s="113"/>
      <c r="G177" s="260"/>
      <c r="H177" s="259"/>
      <c r="I177" s="240"/>
      <c r="J177" s="113"/>
      <c r="K177" s="260"/>
      <c r="L177" s="259"/>
      <c r="M177" s="241"/>
      <c r="N177" s="240"/>
      <c r="O177" s="113"/>
      <c r="P177" s="260"/>
      <c r="Q177" s="259"/>
      <c r="R177" s="241"/>
      <c r="S177" s="240"/>
      <c r="T177" s="113"/>
      <c r="U177" s="260"/>
      <c r="V177" s="259"/>
      <c r="W177" s="241"/>
      <c r="X177" s="240"/>
      <c r="Y177" s="113"/>
      <c r="Z177" s="241">
        <v>0.18</v>
      </c>
      <c r="AA177" s="240">
        <v>9.85</v>
      </c>
      <c r="AB177" s="241"/>
      <c r="AC177" s="240"/>
      <c r="AD177" s="113"/>
      <c r="AE177" s="260"/>
      <c r="AF177" s="259"/>
      <c r="AG177" s="114"/>
      <c r="AH177" s="114"/>
      <c r="AI177" s="141"/>
    </row>
    <row r="178" spans="1:35" s="25" customFormat="1" x14ac:dyDescent="0.25">
      <c r="A178" s="261">
        <v>40</v>
      </c>
      <c r="B178" s="260">
        <v>1.34</v>
      </c>
      <c r="C178" s="259">
        <v>10.210000000000001</v>
      </c>
      <c r="D178" s="240">
        <f>B178-D179-D182-D183-D184-D181</f>
        <v>0.85000000000000009</v>
      </c>
      <c r="E178" s="7" t="s">
        <v>486</v>
      </c>
      <c r="F178" s="113"/>
      <c r="G178" s="260">
        <v>0.85</v>
      </c>
      <c r="H178" s="259">
        <v>9.94</v>
      </c>
      <c r="I178" s="240"/>
      <c r="J178" s="113"/>
      <c r="K178" s="260">
        <v>1.4</v>
      </c>
      <c r="L178" s="259">
        <v>10.17</v>
      </c>
      <c r="M178" s="241">
        <v>0.46</v>
      </c>
      <c r="N178" s="7" t="s">
        <v>173</v>
      </c>
      <c r="O178" s="113"/>
      <c r="P178" s="260">
        <v>1.2</v>
      </c>
      <c r="Q178" s="259">
        <v>10.18</v>
      </c>
      <c r="R178" s="241"/>
      <c r="S178" s="240"/>
      <c r="T178" s="113"/>
      <c r="U178" s="260">
        <v>0.74</v>
      </c>
      <c r="V178" s="259">
        <v>10.210000000000001</v>
      </c>
      <c r="W178" s="241"/>
      <c r="X178" s="240"/>
      <c r="Y178" s="113"/>
      <c r="Z178" s="260">
        <v>0.06</v>
      </c>
      <c r="AA178" s="259">
        <v>9.94</v>
      </c>
      <c r="AB178" s="241"/>
      <c r="AC178" s="240"/>
      <c r="AD178" s="113"/>
      <c r="AE178" s="260">
        <v>0.04</v>
      </c>
      <c r="AF178" s="259">
        <v>10.15</v>
      </c>
      <c r="AG178" s="114"/>
      <c r="AH178" s="114"/>
      <c r="AI178" s="141"/>
    </row>
    <row r="179" spans="1:35" s="25" customFormat="1" x14ac:dyDescent="0.25">
      <c r="A179" s="261"/>
      <c r="B179" s="260"/>
      <c r="C179" s="259"/>
      <c r="D179" s="241">
        <v>0.18</v>
      </c>
      <c r="E179" s="7" t="s">
        <v>229</v>
      </c>
      <c r="F179" s="113"/>
      <c r="G179" s="260"/>
      <c r="H179" s="259"/>
      <c r="I179" s="240"/>
      <c r="J179" s="113"/>
      <c r="K179" s="260"/>
      <c r="L179" s="259"/>
      <c r="M179" s="241">
        <f>K184</f>
        <v>0.18</v>
      </c>
      <c r="N179" s="7" t="s">
        <v>229</v>
      </c>
      <c r="O179" s="113"/>
      <c r="P179" s="260"/>
      <c r="Q179" s="259"/>
      <c r="R179" s="24"/>
      <c r="S179" s="24"/>
      <c r="T179" s="113"/>
      <c r="U179" s="260"/>
      <c r="V179" s="259"/>
      <c r="W179" s="24"/>
      <c r="X179" s="24"/>
      <c r="Y179" s="113"/>
      <c r="Z179" s="260"/>
      <c r="AA179" s="259"/>
      <c r="AB179" s="241"/>
      <c r="AC179" s="240"/>
      <c r="AD179" s="113"/>
      <c r="AE179" s="260"/>
      <c r="AF179" s="259"/>
      <c r="AG179" s="114"/>
      <c r="AH179" s="114"/>
      <c r="AI179" s="141"/>
    </row>
    <row r="180" spans="1:35" s="25" customFormat="1" x14ac:dyDescent="0.25">
      <c r="A180" s="261"/>
      <c r="B180" s="260"/>
      <c r="C180" s="259"/>
      <c r="D180" s="24"/>
      <c r="E180" s="24"/>
      <c r="F180" s="113"/>
      <c r="G180" s="260"/>
      <c r="H180" s="259"/>
      <c r="I180" s="240"/>
      <c r="J180" s="113"/>
      <c r="K180" s="260"/>
      <c r="L180" s="259"/>
      <c r="M180" s="241">
        <f>D233</f>
        <v>0.45</v>
      </c>
      <c r="N180" s="249" t="s">
        <v>164</v>
      </c>
      <c r="O180" s="113"/>
      <c r="P180" s="260"/>
      <c r="Q180" s="259"/>
      <c r="R180" s="241">
        <f>M180</f>
        <v>0.45</v>
      </c>
      <c r="S180" s="249" t="s">
        <v>164</v>
      </c>
      <c r="T180" s="113"/>
      <c r="U180" s="260"/>
      <c r="V180" s="259"/>
      <c r="W180" s="241">
        <f>R180</f>
        <v>0.45</v>
      </c>
      <c r="X180" s="249" t="s">
        <v>164</v>
      </c>
      <c r="Y180" s="113"/>
      <c r="Z180" s="260"/>
      <c r="AA180" s="259"/>
      <c r="AB180" s="241"/>
      <c r="AC180" s="240"/>
      <c r="AD180" s="113"/>
      <c r="AE180" s="260">
        <v>0.24</v>
      </c>
      <c r="AF180" s="259">
        <v>10.24</v>
      </c>
      <c r="AG180" s="114"/>
      <c r="AH180" s="114"/>
      <c r="AI180" s="141"/>
    </row>
    <row r="181" spans="1:35" s="25" customFormat="1" x14ac:dyDescent="0.25">
      <c r="A181" s="261"/>
      <c r="B181" s="260"/>
      <c r="C181" s="259"/>
      <c r="D181" s="241">
        <v>0.01</v>
      </c>
      <c r="E181" s="249" t="s">
        <v>91</v>
      </c>
      <c r="F181" s="113"/>
      <c r="G181" s="260"/>
      <c r="H181" s="259"/>
      <c r="I181" s="240"/>
      <c r="J181" s="113"/>
      <c r="K181" s="260"/>
      <c r="L181" s="259"/>
      <c r="M181" s="241">
        <f>D181</f>
        <v>0.01</v>
      </c>
      <c r="N181" s="249" t="s">
        <v>91</v>
      </c>
      <c r="O181" s="113"/>
      <c r="P181" s="260"/>
      <c r="Q181" s="259"/>
      <c r="R181" s="241"/>
      <c r="S181" s="240"/>
      <c r="T181" s="113"/>
      <c r="U181" s="260"/>
      <c r="V181" s="259"/>
      <c r="W181" s="241"/>
      <c r="X181" s="240"/>
      <c r="Y181" s="113"/>
      <c r="Z181" s="260"/>
      <c r="AA181" s="259"/>
      <c r="AB181" s="241"/>
      <c r="AC181" s="240"/>
      <c r="AD181" s="113"/>
      <c r="AE181" s="260"/>
      <c r="AF181" s="259"/>
      <c r="AG181" s="114"/>
      <c r="AH181" s="114"/>
      <c r="AI181" s="141"/>
    </row>
    <row r="182" spans="1:35" s="25" customFormat="1" x14ac:dyDescent="0.25">
      <c r="A182" s="261"/>
      <c r="B182" s="260"/>
      <c r="C182" s="259"/>
      <c r="D182" s="241">
        <v>0.01</v>
      </c>
      <c r="E182" s="70" t="s">
        <v>249</v>
      </c>
      <c r="F182" s="113"/>
      <c r="G182" s="260"/>
      <c r="H182" s="259"/>
      <c r="I182" s="240"/>
      <c r="J182" s="113"/>
      <c r="K182" s="260"/>
      <c r="L182" s="259"/>
      <c r="M182" s="241">
        <v>0.01</v>
      </c>
      <c r="N182" s="70" t="s">
        <v>249</v>
      </c>
      <c r="O182" s="113"/>
      <c r="P182" s="260"/>
      <c r="Q182" s="259"/>
      <c r="R182" s="24"/>
      <c r="S182" s="24"/>
      <c r="T182" s="113"/>
      <c r="U182" s="260"/>
      <c r="V182" s="259"/>
      <c r="W182" s="24"/>
      <c r="X182" s="24"/>
      <c r="Y182" s="113"/>
      <c r="Z182" s="260"/>
      <c r="AA182" s="259"/>
      <c r="AB182" s="241"/>
      <c r="AC182" s="240"/>
      <c r="AD182" s="113"/>
      <c r="AE182" s="260"/>
      <c r="AF182" s="259"/>
      <c r="AG182" s="114"/>
      <c r="AH182" s="114"/>
      <c r="AI182" s="141"/>
    </row>
    <row r="183" spans="1:35" s="25" customFormat="1" x14ac:dyDescent="0.25">
      <c r="A183" s="261"/>
      <c r="B183" s="260"/>
      <c r="C183" s="259"/>
      <c r="D183" s="241">
        <f>R183</f>
        <v>0.21500000000000002</v>
      </c>
      <c r="E183" s="70" t="s">
        <v>437</v>
      </c>
      <c r="F183" s="113"/>
      <c r="G183" s="260"/>
      <c r="H183" s="259"/>
      <c r="I183" s="240"/>
      <c r="J183" s="113"/>
      <c r="K183" s="260"/>
      <c r="L183" s="259"/>
      <c r="M183" s="241">
        <f>D183</f>
        <v>0.21500000000000002</v>
      </c>
      <c r="N183" s="70" t="s">
        <v>437</v>
      </c>
      <c r="O183" s="113"/>
      <c r="P183" s="260"/>
      <c r="Q183" s="259"/>
      <c r="R183" s="241">
        <f>W183</f>
        <v>0.21500000000000002</v>
      </c>
      <c r="S183" s="70" t="s">
        <v>143</v>
      </c>
      <c r="T183" s="113"/>
      <c r="U183" s="260"/>
      <c r="V183" s="259"/>
      <c r="W183" s="241">
        <f>U178-W184-W180</f>
        <v>0.21500000000000002</v>
      </c>
      <c r="X183" s="70" t="s">
        <v>143</v>
      </c>
      <c r="Y183" s="113"/>
      <c r="Z183" s="260"/>
      <c r="AA183" s="259"/>
      <c r="AB183" s="241"/>
      <c r="AC183" s="240"/>
      <c r="AD183" s="113"/>
      <c r="AE183" s="260"/>
      <c r="AF183" s="259"/>
      <c r="AG183" s="114"/>
      <c r="AH183" s="114"/>
      <c r="AI183" s="141"/>
    </row>
    <row r="184" spans="1:35" s="25" customFormat="1" x14ac:dyDescent="0.25">
      <c r="A184" s="261"/>
      <c r="B184" s="260"/>
      <c r="C184" s="259"/>
      <c r="D184" s="241">
        <f>R184</f>
        <v>7.4999999999999997E-2</v>
      </c>
      <c r="E184" s="81" t="s">
        <v>411</v>
      </c>
      <c r="F184" s="113"/>
      <c r="G184" s="260">
        <v>0.62</v>
      </c>
      <c r="H184" s="259">
        <v>10.050000000000001</v>
      </c>
      <c r="I184" s="240"/>
      <c r="J184" s="113"/>
      <c r="K184" s="260">
        <v>0.18</v>
      </c>
      <c r="L184" s="259">
        <v>10.31</v>
      </c>
      <c r="M184" s="241">
        <f>D184</f>
        <v>7.4999999999999997E-2</v>
      </c>
      <c r="N184" s="81" t="s">
        <v>411</v>
      </c>
      <c r="O184" s="113"/>
      <c r="P184" s="260"/>
      <c r="Q184" s="259"/>
      <c r="R184" s="241">
        <v>7.4999999999999997E-2</v>
      </c>
      <c r="S184" s="81" t="s">
        <v>144</v>
      </c>
      <c r="T184" s="113"/>
      <c r="U184" s="260"/>
      <c r="V184" s="259"/>
      <c r="W184" s="241">
        <f>R184</f>
        <v>7.4999999999999997E-2</v>
      </c>
      <c r="X184" s="81" t="s">
        <v>144</v>
      </c>
      <c r="Y184" s="113"/>
      <c r="Z184" s="260">
        <v>0.22</v>
      </c>
      <c r="AA184" s="259">
        <v>10.050000000000001</v>
      </c>
      <c r="AB184" s="241"/>
      <c r="AC184" s="240"/>
      <c r="AD184" s="113"/>
      <c r="AE184" s="260"/>
      <c r="AF184" s="259"/>
      <c r="AG184" s="114"/>
      <c r="AH184" s="114"/>
      <c r="AI184" s="141"/>
    </row>
    <row r="185" spans="1:35" s="25" customFormat="1" x14ac:dyDescent="0.25">
      <c r="A185" s="261"/>
      <c r="B185" s="260"/>
      <c r="C185" s="259"/>
      <c r="D185" s="24"/>
      <c r="E185" s="24"/>
      <c r="F185" s="113"/>
      <c r="G185" s="260"/>
      <c r="H185" s="259"/>
      <c r="I185" s="240"/>
      <c r="J185" s="113"/>
      <c r="K185" s="260"/>
      <c r="L185" s="259"/>
      <c r="M185" s="24"/>
      <c r="N185" s="24"/>
      <c r="O185" s="113"/>
      <c r="P185" s="260"/>
      <c r="Q185" s="259"/>
      <c r="R185" s="241"/>
      <c r="S185" s="240"/>
      <c r="T185" s="113"/>
      <c r="U185" s="260"/>
      <c r="V185" s="259"/>
      <c r="W185" s="241"/>
      <c r="X185" s="240"/>
      <c r="Y185" s="113"/>
      <c r="Z185" s="260"/>
      <c r="AA185" s="259"/>
      <c r="AB185" s="241"/>
      <c r="AC185" s="240"/>
      <c r="AD185" s="113"/>
      <c r="AE185" s="260"/>
      <c r="AF185" s="259"/>
      <c r="AG185" s="114"/>
      <c r="AH185" s="114"/>
      <c r="AI185" s="141"/>
    </row>
    <row r="186" spans="1:35" s="25" customFormat="1" x14ac:dyDescent="0.25">
      <c r="A186" s="261"/>
      <c r="B186" s="260"/>
      <c r="C186" s="259"/>
      <c r="D186" s="24"/>
      <c r="E186" s="24"/>
      <c r="F186" s="113"/>
      <c r="G186" s="260"/>
      <c r="H186" s="259"/>
      <c r="I186" s="240"/>
      <c r="J186" s="113"/>
      <c r="K186" s="260"/>
      <c r="L186" s="259"/>
      <c r="M186" s="241"/>
      <c r="N186" s="240"/>
      <c r="O186" s="113"/>
      <c r="P186" s="260"/>
      <c r="Q186" s="259"/>
      <c r="R186" s="241"/>
      <c r="S186" s="240"/>
      <c r="T186" s="113"/>
      <c r="U186" s="260"/>
      <c r="V186" s="259"/>
      <c r="W186" s="241"/>
      <c r="X186" s="240"/>
      <c r="Y186" s="113"/>
      <c r="Z186" s="260"/>
      <c r="AA186" s="259"/>
      <c r="AB186" s="241"/>
      <c r="AC186" s="240"/>
      <c r="AD186" s="113"/>
      <c r="AE186" s="260"/>
      <c r="AF186" s="259"/>
      <c r="AG186" s="114"/>
      <c r="AH186" s="114"/>
      <c r="AI186" s="141"/>
    </row>
    <row r="187" spans="1:35" s="25" customFormat="1" x14ac:dyDescent="0.25">
      <c r="A187" s="261"/>
      <c r="B187" s="260"/>
      <c r="C187" s="259"/>
      <c r="D187" s="240"/>
      <c r="E187" s="240"/>
      <c r="F187" s="113"/>
      <c r="G187" s="260"/>
      <c r="H187" s="259"/>
      <c r="I187" s="240"/>
      <c r="J187" s="113"/>
      <c r="K187" s="260"/>
      <c r="L187" s="259"/>
      <c r="M187" s="241"/>
      <c r="N187" s="240"/>
      <c r="O187" s="113"/>
      <c r="P187" s="260"/>
      <c r="Q187" s="259"/>
      <c r="R187" s="241"/>
      <c r="S187" s="24"/>
      <c r="T187" s="113"/>
      <c r="U187" s="260"/>
      <c r="V187" s="259"/>
      <c r="W187" s="241">
        <f>U178-W180-W183-W184+U190+U192</f>
        <v>0.28999999999999998</v>
      </c>
      <c r="X187" s="15" t="s">
        <v>315</v>
      </c>
      <c r="Y187" s="113"/>
      <c r="Z187" s="260"/>
      <c r="AA187" s="259"/>
      <c r="AB187" s="241">
        <f>Z184</f>
        <v>0.22</v>
      </c>
      <c r="AC187" s="15" t="s">
        <v>315</v>
      </c>
      <c r="AD187" s="113"/>
      <c r="AE187" s="241">
        <v>0.01</v>
      </c>
      <c r="AF187" s="240">
        <v>10.33</v>
      </c>
      <c r="AG187" s="114">
        <f>AE180+AE187</f>
        <v>0.25</v>
      </c>
      <c r="AH187" s="15" t="s">
        <v>315</v>
      </c>
      <c r="AI187" s="141"/>
    </row>
    <row r="188" spans="1:35" s="25" customFormat="1" x14ac:dyDescent="0.25">
      <c r="A188" s="261"/>
      <c r="B188" s="260"/>
      <c r="C188" s="259"/>
      <c r="D188" s="240"/>
      <c r="E188" s="240"/>
      <c r="F188" s="113"/>
      <c r="G188" s="260"/>
      <c r="H188" s="259"/>
      <c r="I188" s="240"/>
      <c r="J188" s="113"/>
      <c r="K188" s="260"/>
      <c r="L188" s="259"/>
      <c r="M188" s="241"/>
      <c r="N188" s="240"/>
      <c r="O188" s="113"/>
      <c r="P188" s="260"/>
      <c r="Q188" s="259"/>
      <c r="R188" s="241"/>
      <c r="S188" s="240"/>
      <c r="T188" s="113"/>
      <c r="U188" s="260"/>
      <c r="V188" s="259"/>
      <c r="W188" s="241"/>
      <c r="X188" s="240"/>
      <c r="Y188" s="113"/>
      <c r="Z188" s="260"/>
      <c r="AA188" s="259"/>
      <c r="AB188" s="241"/>
      <c r="AC188" s="240"/>
      <c r="AD188" s="113"/>
      <c r="AE188" s="241">
        <v>0.03</v>
      </c>
      <c r="AF188" s="240">
        <v>10.39</v>
      </c>
      <c r="AG188" s="114"/>
      <c r="AH188" s="114"/>
      <c r="AI188" s="141"/>
    </row>
    <row r="189" spans="1:35" s="25" customFormat="1" x14ac:dyDescent="0.25">
      <c r="A189" s="261"/>
      <c r="B189" s="260"/>
      <c r="C189" s="259"/>
      <c r="D189" s="240"/>
      <c r="E189" s="240"/>
      <c r="F189" s="113"/>
      <c r="G189" s="260"/>
      <c r="H189" s="259"/>
      <c r="I189" s="240"/>
      <c r="J189" s="113"/>
      <c r="K189" s="260"/>
      <c r="L189" s="259"/>
      <c r="M189" s="241"/>
      <c r="N189" s="240"/>
      <c r="O189" s="113"/>
      <c r="P189" s="260"/>
      <c r="Q189" s="259"/>
      <c r="R189" s="241"/>
      <c r="S189" s="240"/>
      <c r="T189" s="113"/>
      <c r="U189" s="260"/>
      <c r="V189" s="259"/>
      <c r="W189" s="241"/>
      <c r="X189" s="240"/>
      <c r="Y189" s="113"/>
      <c r="Z189" s="260"/>
      <c r="AA189" s="259"/>
      <c r="AB189" s="241"/>
      <c r="AC189" s="240"/>
      <c r="AD189" s="113"/>
      <c r="AE189" s="241">
        <v>0.03</v>
      </c>
      <c r="AF189" s="240">
        <v>10.45</v>
      </c>
      <c r="AG189" s="114"/>
      <c r="AH189" s="114"/>
      <c r="AI189" s="141"/>
    </row>
    <row r="190" spans="1:35" s="25" customFormat="1" x14ac:dyDescent="0.25">
      <c r="A190" s="261">
        <v>41</v>
      </c>
      <c r="B190" s="260">
        <v>1.1000000000000001</v>
      </c>
      <c r="C190" s="259">
        <v>10.74</v>
      </c>
      <c r="D190" s="240">
        <f>D192</f>
        <v>0.55000000000000004</v>
      </c>
      <c r="E190" s="249" t="s">
        <v>544</v>
      </c>
      <c r="F190" s="113"/>
      <c r="G190" s="260">
        <v>0.32</v>
      </c>
      <c r="H190" s="259">
        <v>10.220000000000001</v>
      </c>
      <c r="I190" s="240"/>
      <c r="J190" s="113"/>
      <c r="K190" s="260">
        <v>0.1</v>
      </c>
      <c r="L190" s="259">
        <v>10.4</v>
      </c>
      <c r="M190" s="241">
        <f>K192</f>
        <v>0.14000000000000001</v>
      </c>
      <c r="N190" s="249" t="s">
        <v>85</v>
      </c>
      <c r="O190" s="113"/>
      <c r="P190" s="260">
        <v>0.42</v>
      </c>
      <c r="Q190" s="259">
        <v>10.46</v>
      </c>
      <c r="R190" s="24"/>
      <c r="S190" s="24"/>
      <c r="T190" s="113"/>
      <c r="U190" s="260">
        <v>7.0000000000000007E-2</v>
      </c>
      <c r="V190" s="259">
        <v>10.36</v>
      </c>
      <c r="W190" s="24"/>
      <c r="X190" s="24"/>
      <c r="Y190" s="113"/>
      <c r="Z190" s="56"/>
      <c r="AA190" s="49"/>
      <c r="AB190" s="56"/>
      <c r="AC190" s="49"/>
      <c r="AD190" s="113"/>
      <c r="AE190" s="241"/>
      <c r="AF190" s="241"/>
      <c r="AG190" s="114"/>
      <c r="AH190" s="114"/>
      <c r="AI190" s="141"/>
    </row>
    <row r="191" spans="1:35" s="25" customFormat="1" x14ac:dyDescent="0.25">
      <c r="A191" s="261"/>
      <c r="B191" s="260"/>
      <c r="C191" s="259"/>
      <c r="F191" s="113"/>
      <c r="G191" s="260"/>
      <c r="H191" s="259"/>
      <c r="I191" s="240"/>
      <c r="J191" s="113"/>
      <c r="K191" s="260"/>
      <c r="L191" s="259"/>
      <c r="M191" s="19">
        <f>D201</f>
        <v>0.10000000000000002</v>
      </c>
      <c r="N191" s="249" t="s">
        <v>69</v>
      </c>
      <c r="O191" s="113"/>
      <c r="P191" s="260"/>
      <c r="Q191" s="259"/>
      <c r="R191" s="241">
        <f>P190</f>
        <v>0.42</v>
      </c>
      <c r="S191" s="249" t="s">
        <v>69</v>
      </c>
      <c r="T191" s="113"/>
      <c r="U191" s="260"/>
      <c r="V191" s="259"/>
      <c r="W191" s="241">
        <f>U196</f>
        <v>0.33</v>
      </c>
      <c r="X191" s="249" t="s">
        <v>69</v>
      </c>
      <c r="Y191" s="113"/>
      <c r="Z191" s="241"/>
      <c r="AA191" s="240"/>
      <c r="AB191" s="241"/>
      <c r="AC191" s="240"/>
      <c r="AD191" s="113"/>
      <c r="AE191" s="241"/>
      <c r="AF191" s="240"/>
      <c r="AG191" s="114"/>
      <c r="AH191" s="114"/>
      <c r="AI191" s="141"/>
    </row>
    <row r="192" spans="1:35" s="25" customFormat="1" x14ac:dyDescent="0.25">
      <c r="A192" s="261"/>
      <c r="B192" s="260"/>
      <c r="C192" s="259"/>
      <c r="D192" s="240">
        <f>B190/2</f>
        <v>0.55000000000000004</v>
      </c>
      <c r="E192" s="249" t="s">
        <v>498</v>
      </c>
      <c r="F192" s="113"/>
      <c r="G192" s="260"/>
      <c r="H192" s="259"/>
      <c r="I192" s="240"/>
      <c r="J192" s="113"/>
      <c r="K192" s="241">
        <v>0.14000000000000001</v>
      </c>
      <c r="L192" s="240">
        <v>10.41</v>
      </c>
      <c r="M192" s="241">
        <f>K197</f>
        <v>0.65</v>
      </c>
      <c r="N192" s="249" t="s">
        <v>214</v>
      </c>
      <c r="O192" s="113"/>
      <c r="P192" s="260"/>
      <c r="Q192" s="259"/>
      <c r="R192" s="24"/>
      <c r="S192" s="24"/>
      <c r="T192" s="113"/>
      <c r="U192" s="260">
        <v>0.22</v>
      </c>
      <c r="V192" s="259">
        <v>10.43</v>
      </c>
      <c r="W192" s="24"/>
      <c r="X192" s="24"/>
      <c r="Y192" s="113"/>
      <c r="Z192" s="241"/>
      <c r="AA192" s="240"/>
      <c r="AB192" s="241"/>
      <c r="AC192" s="240"/>
      <c r="AD192" s="113"/>
      <c r="AE192" s="241"/>
      <c r="AF192" s="240"/>
      <c r="AG192" s="114"/>
      <c r="AH192" s="114"/>
      <c r="AI192" s="141"/>
    </row>
    <row r="193" spans="1:35" s="25" customFormat="1" x14ac:dyDescent="0.25">
      <c r="A193" s="261"/>
      <c r="B193" s="260"/>
      <c r="C193" s="259"/>
      <c r="D193" s="240"/>
      <c r="E193" s="240"/>
      <c r="F193" s="113"/>
      <c r="G193" s="260"/>
      <c r="H193" s="259"/>
      <c r="I193" s="240"/>
      <c r="J193" s="113"/>
      <c r="K193" s="241">
        <v>7.0000000000000007E-2</v>
      </c>
      <c r="L193" s="240">
        <v>10.5</v>
      </c>
      <c r="M193" s="241"/>
      <c r="N193" s="240"/>
      <c r="O193" s="113"/>
      <c r="P193" s="260"/>
      <c r="Q193" s="259"/>
      <c r="R193" s="241"/>
      <c r="S193" s="240"/>
      <c r="T193" s="113"/>
      <c r="U193" s="260"/>
      <c r="V193" s="259"/>
      <c r="W193" s="241"/>
      <c r="X193" s="240"/>
      <c r="Y193" s="113"/>
      <c r="Z193" s="241"/>
      <c r="AA193" s="240"/>
      <c r="AB193" s="241"/>
      <c r="AC193" s="240"/>
      <c r="AD193" s="113"/>
      <c r="AE193" s="241"/>
      <c r="AF193" s="240"/>
      <c r="AG193" s="114"/>
      <c r="AH193" s="114"/>
      <c r="AI193" s="141"/>
    </row>
    <row r="194" spans="1:35" s="25" customFormat="1" x14ac:dyDescent="0.25">
      <c r="A194" s="261"/>
      <c r="B194" s="260"/>
      <c r="C194" s="259"/>
      <c r="D194" s="240"/>
      <c r="E194" s="240"/>
      <c r="F194" s="113"/>
      <c r="G194" s="260">
        <v>1.05</v>
      </c>
      <c r="H194" s="259">
        <v>10.48</v>
      </c>
      <c r="I194" s="240"/>
      <c r="J194" s="113"/>
      <c r="K194" s="260">
        <v>0.18</v>
      </c>
      <c r="L194" s="259">
        <v>10.57</v>
      </c>
      <c r="M194" s="241"/>
      <c r="N194" s="240"/>
      <c r="O194" s="113"/>
      <c r="P194" s="260"/>
      <c r="Q194" s="259"/>
      <c r="R194" s="241"/>
      <c r="S194" s="240"/>
      <c r="T194" s="113"/>
      <c r="U194" s="260"/>
      <c r="V194" s="259"/>
      <c r="W194" s="241"/>
      <c r="X194" s="240"/>
      <c r="Y194" s="113"/>
      <c r="Z194" s="241"/>
      <c r="AA194" s="240"/>
      <c r="AB194" s="241"/>
      <c r="AC194" s="240"/>
      <c r="AD194" s="113"/>
      <c r="AE194" s="241"/>
      <c r="AF194" s="240"/>
      <c r="AG194" s="114"/>
      <c r="AH194" s="114"/>
      <c r="AI194" s="141"/>
    </row>
    <row r="195" spans="1:35" s="25" customFormat="1" x14ac:dyDescent="0.25">
      <c r="A195" s="261"/>
      <c r="B195" s="260"/>
      <c r="C195" s="259"/>
      <c r="D195" s="240"/>
      <c r="E195" s="240"/>
      <c r="F195" s="113"/>
      <c r="G195" s="260"/>
      <c r="H195" s="259"/>
      <c r="I195" s="240"/>
      <c r="J195" s="113"/>
      <c r="K195" s="260"/>
      <c r="L195" s="259"/>
      <c r="M195" s="241"/>
      <c r="N195" s="240"/>
      <c r="O195" s="113"/>
      <c r="P195" s="260"/>
      <c r="Q195" s="259"/>
      <c r="R195" s="241"/>
      <c r="S195" s="240"/>
      <c r="T195" s="113"/>
      <c r="U195" s="260"/>
      <c r="V195" s="259"/>
      <c r="W195" s="241"/>
      <c r="X195" s="240"/>
      <c r="Y195" s="113"/>
      <c r="Z195" s="241"/>
      <c r="AA195" s="240"/>
      <c r="AB195" s="241"/>
      <c r="AC195" s="240"/>
      <c r="AD195" s="113"/>
      <c r="AE195" s="241"/>
      <c r="AF195" s="240"/>
      <c r="AG195" s="114"/>
      <c r="AH195" s="114"/>
      <c r="AI195" s="141"/>
    </row>
    <row r="196" spans="1:35" s="25" customFormat="1" x14ac:dyDescent="0.25">
      <c r="A196" s="261"/>
      <c r="B196" s="260"/>
      <c r="C196" s="259"/>
      <c r="D196" s="240"/>
      <c r="E196" s="240"/>
      <c r="F196" s="113"/>
      <c r="G196" s="260"/>
      <c r="H196" s="259"/>
      <c r="I196" s="240"/>
      <c r="J196" s="113"/>
      <c r="K196" s="241">
        <v>0.06</v>
      </c>
      <c r="L196" s="240">
        <v>10.61</v>
      </c>
      <c r="M196" s="241"/>
      <c r="N196" s="240"/>
      <c r="O196" s="113"/>
      <c r="P196" s="260">
        <v>1.42</v>
      </c>
      <c r="Q196" s="259">
        <v>10.56</v>
      </c>
      <c r="R196" s="241"/>
      <c r="S196" s="240"/>
      <c r="T196" s="113"/>
      <c r="U196" s="260">
        <v>0.33</v>
      </c>
      <c r="V196" s="259">
        <v>10.58</v>
      </c>
      <c r="W196" s="241"/>
      <c r="X196" s="240"/>
      <c r="Y196" s="113"/>
      <c r="Z196" s="241"/>
      <c r="AA196" s="240"/>
      <c r="AB196" s="241"/>
      <c r="AC196" s="240"/>
      <c r="AD196" s="113"/>
      <c r="AE196" s="241"/>
      <c r="AF196" s="240"/>
      <c r="AG196" s="114"/>
      <c r="AH196" s="114"/>
      <c r="AI196" s="141"/>
    </row>
    <row r="197" spans="1:35" s="25" customFormat="1" x14ac:dyDescent="0.25">
      <c r="A197" s="261"/>
      <c r="B197" s="260"/>
      <c r="C197" s="259"/>
      <c r="D197" s="240"/>
      <c r="E197" s="240"/>
      <c r="F197" s="113"/>
      <c r="G197" s="260"/>
      <c r="H197" s="259"/>
      <c r="I197" s="240"/>
      <c r="J197" s="113"/>
      <c r="K197" s="241">
        <v>0.65</v>
      </c>
      <c r="L197" s="240">
        <v>10.7</v>
      </c>
      <c r="M197" s="241"/>
      <c r="N197" s="240"/>
      <c r="O197" s="113"/>
      <c r="P197" s="260"/>
      <c r="Q197" s="259"/>
      <c r="R197" s="241"/>
      <c r="S197" s="240"/>
      <c r="T197" s="113"/>
      <c r="U197" s="260"/>
      <c r="V197" s="259"/>
      <c r="W197" s="241"/>
      <c r="X197" s="240"/>
      <c r="Y197" s="113"/>
      <c r="Z197" s="241"/>
      <c r="AA197" s="240"/>
      <c r="AB197" s="241"/>
      <c r="AC197" s="240"/>
      <c r="AD197" s="113"/>
      <c r="AE197" s="241"/>
      <c r="AF197" s="240"/>
      <c r="AG197" s="114"/>
      <c r="AH197" s="114"/>
      <c r="AI197" s="141"/>
    </row>
    <row r="198" spans="1:35" s="25" customFormat="1" x14ac:dyDescent="0.25">
      <c r="A198" s="261">
        <v>42</v>
      </c>
      <c r="B198" s="260">
        <v>0.56000000000000005</v>
      </c>
      <c r="C198" s="259">
        <v>10.89</v>
      </c>
      <c r="D198" s="240"/>
      <c r="E198" s="240"/>
      <c r="F198" s="113"/>
      <c r="G198" s="260">
        <v>0.88</v>
      </c>
      <c r="H198" s="259">
        <v>10.64</v>
      </c>
      <c r="I198" s="240"/>
      <c r="J198" s="113"/>
      <c r="K198" s="260">
        <v>0.33</v>
      </c>
      <c r="L198" s="259">
        <v>10.79</v>
      </c>
      <c r="M198" s="241"/>
      <c r="N198" s="240"/>
      <c r="O198" s="113"/>
      <c r="P198" s="260"/>
      <c r="Q198" s="259"/>
      <c r="R198" s="241"/>
      <c r="S198" s="240"/>
      <c r="T198" s="113"/>
      <c r="U198" s="260"/>
      <c r="V198" s="259"/>
      <c r="W198" s="241"/>
      <c r="X198" s="240"/>
      <c r="Y198" s="113"/>
      <c r="Z198" s="241"/>
      <c r="AA198" s="240"/>
      <c r="AB198" s="241"/>
      <c r="AC198" s="240"/>
      <c r="AD198" s="113"/>
      <c r="AE198" s="241"/>
      <c r="AF198" s="240"/>
      <c r="AG198" s="241"/>
      <c r="AH198" s="241"/>
      <c r="AI198" s="141"/>
    </row>
    <row r="199" spans="1:35" s="25" customFormat="1" x14ac:dyDescent="0.25">
      <c r="A199" s="261"/>
      <c r="B199" s="260"/>
      <c r="C199" s="259"/>
      <c r="D199" s="24"/>
      <c r="E199" s="24"/>
      <c r="F199" s="113"/>
      <c r="G199" s="260"/>
      <c r="H199" s="259"/>
      <c r="I199" s="240"/>
      <c r="J199" s="113"/>
      <c r="K199" s="260"/>
      <c r="L199" s="259"/>
      <c r="M199" s="24"/>
      <c r="N199" s="24"/>
      <c r="O199" s="113"/>
      <c r="P199" s="260"/>
      <c r="Q199" s="259"/>
      <c r="R199" s="241"/>
      <c r="S199" s="240"/>
      <c r="T199" s="113"/>
      <c r="U199" s="260"/>
      <c r="V199" s="259"/>
      <c r="W199" s="241"/>
      <c r="X199" s="240"/>
      <c r="Y199" s="113"/>
      <c r="Z199" s="241"/>
      <c r="AA199" s="240"/>
      <c r="AB199" s="241"/>
      <c r="AC199" s="240"/>
      <c r="AD199" s="113"/>
      <c r="AE199" s="241"/>
      <c r="AF199" s="240"/>
      <c r="AG199" s="114"/>
      <c r="AH199" s="114"/>
      <c r="AI199" s="141"/>
    </row>
    <row r="200" spans="1:35" s="25" customFormat="1" x14ac:dyDescent="0.25">
      <c r="A200" s="261"/>
      <c r="B200" s="260"/>
      <c r="C200" s="259"/>
      <c r="D200" s="241">
        <f>D202</f>
        <v>0.10000000000000002</v>
      </c>
      <c r="E200" s="232" t="s">
        <v>450</v>
      </c>
      <c r="F200" s="113"/>
      <c r="G200" s="260"/>
      <c r="H200" s="259"/>
      <c r="I200" s="240"/>
      <c r="J200" s="113"/>
      <c r="K200" s="260"/>
      <c r="L200" s="259"/>
      <c r="M200" s="241">
        <f>M202</f>
        <v>3.666666666666666E-2</v>
      </c>
      <c r="N200" s="249" t="s">
        <v>161</v>
      </c>
      <c r="O200" s="113"/>
      <c r="P200" s="260"/>
      <c r="Q200" s="259"/>
      <c r="R200" s="241"/>
      <c r="S200" s="240"/>
      <c r="T200" s="113"/>
      <c r="U200" s="260">
        <v>0.32</v>
      </c>
      <c r="V200" s="259">
        <v>10.86</v>
      </c>
      <c r="W200" s="241"/>
      <c r="X200" s="240"/>
      <c r="Y200" s="113"/>
      <c r="Z200" s="241"/>
      <c r="AA200" s="240"/>
      <c r="AB200" s="241"/>
      <c r="AC200" s="240"/>
      <c r="AD200" s="113"/>
      <c r="AE200" s="241"/>
      <c r="AF200" s="240"/>
      <c r="AG200" s="114"/>
      <c r="AH200" s="114"/>
      <c r="AI200" s="141"/>
    </row>
    <row r="201" spans="1:35" s="25" customFormat="1" x14ac:dyDescent="0.25">
      <c r="A201" s="261"/>
      <c r="B201" s="260"/>
      <c r="C201" s="259"/>
      <c r="D201" s="241">
        <f>D202</f>
        <v>0.10000000000000002</v>
      </c>
      <c r="E201" s="232" t="s">
        <v>497</v>
      </c>
      <c r="F201" s="113"/>
      <c r="G201" s="260"/>
      <c r="H201" s="259"/>
      <c r="I201" s="240"/>
      <c r="J201" s="113"/>
      <c r="K201" s="260"/>
      <c r="L201" s="259"/>
      <c r="M201" s="241">
        <f>M202</f>
        <v>3.666666666666666E-2</v>
      </c>
      <c r="N201" s="249" t="s">
        <v>250</v>
      </c>
      <c r="O201" s="113"/>
      <c r="P201" s="260"/>
      <c r="Q201" s="259"/>
      <c r="R201" s="241"/>
      <c r="S201" s="240"/>
      <c r="T201" s="113"/>
      <c r="U201" s="260"/>
      <c r="V201" s="259"/>
      <c r="W201" s="241"/>
      <c r="X201" s="240"/>
      <c r="Y201" s="113"/>
      <c r="Z201" s="241"/>
      <c r="AA201" s="240"/>
      <c r="AB201" s="241"/>
      <c r="AC201" s="240"/>
      <c r="AD201" s="113"/>
      <c r="AE201" s="241"/>
      <c r="AF201" s="240"/>
      <c r="AG201" s="114"/>
      <c r="AH201" s="114"/>
      <c r="AI201" s="141"/>
    </row>
    <row r="202" spans="1:35" s="25" customFormat="1" x14ac:dyDescent="0.25">
      <c r="A202" s="261"/>
      <c r="B202" s="260"/>
      <c r="C202" s="259"/>
      <c r="D202" s="241">
        <f>(B198-D203)/3</f>
        <v>0.10000000000000002</v>
      </c>
      <c r="E202" s="15" t="s">
        <v>496</v>
      </c>
      <c r="F202" s="113"/>
      <c r="G202" s="260"/>
      <c r="H202" s="259"/>
      <c r="I202" s="240"/>
      <c r="J202" s="113"/>
      <c r="K202" s="260">
        <v>0.04</v>
      </c>
      <c r="L202" s="259">
        <v>10.91</v>
      </c>
      <c r="M202" s="241">
        <f>(K198+K202-M203)/3</f>
        <v>3.666666666666666E-2</v>
      </c>
      <c r="N202" s="15" t="s">
        <v>236</v>
      </c>
      <c r="O202" s="113"/>
      <c r="P202" s="260"/>
      <c r="Q202" s="259"/>
      <c r="R202" s="241"/>
      <c r="S202" s="240"/>
      <c r="T202" s="113"/>
      <c r="U202" s="260"/>
      <c r="V202" s="259"/>
      <c r="W202" s="241"/>
      <c r="X202" s="240"/>
      <c r="Y202" s="113"/>
      <c r="Z202" s="241"/>
      <c r="AA202" s="240"/>
      <c r="AB202" s="241"/>
      <c r="AC202" s="240"/>
      <c r="AD202" s="113"/>
      <c r="AE202" s="241"/>
      <c r="AF202" s="240"/>
      <c r="AG202" s="114"/>
      <c r="AH202" s="114"/>
      <c r="AI202" s="141"/>
    </row>
    <row r="203" spans="1:35" s="25" customFormat="1" x14ac:dyDescent="0.25">
      <c r="A203" s="261"/>
      <c r="B203" s="260"/>
      <c r="C203" s="259"/>
      <c r="D203" s="240">
        <f>0.26</f>
        <v>0.26</v>
      </c>
      <c r="E203" s="75" t="s">
        <v>195</v>
      </c>
      <c r="F203" s="113"/>
      <c r="G203" s="260"/>
      <c r="H203" s="259"/>
      <c r="I203" s="240"/>
      <c r="J203" s="113"/>
      <c r="K203" s="260"/>
      <c r="L203" s="259"/>
      <c r="M203" s="241">
        <f>D203</f>
        <v>0.26</v>
      </c>
      <c r="N203" s="75" t="s">
        <v>195</v>
      </c>
      <c r="O203" s="113"/>
      <c r="P203" s="260"/>
      <c r="Q203" s="259"/>
      <c r="R203" s="241"/>
      <c r="S203" s="240"/>
      <c r="T203" s="113"/>
      <c r="U203" s="260"/>
      <c r="V203" s="259"/>
      <c r="W203" s="241"/>
      <c r="X203" s="240"/>
      <c r="Y203" s="113"/>
      <c r="Z203" s="241"/>
      <c r="AA203" s="240"/>
      <c r="AB203" s="241"/>
      <c r="AC203" s="240"/>
      <c r="AD203" s="113"/>
      <c r="AE203" s="241"/>
      <c r="AF203" s="240"/>
      <c r="AG203" s="114"/>
      <c r="AH203" s="114"/>
      <c r="AI203" s="141"/>
    </row>
    <row r="204" spans="1:35" s="25" customFormat="1" x14ac:dyDescent="0.25">
      <c r="A204" s="261"/>
      <c r="B204" s="260"/>
      <c r="C204" s="259"/>
      <c r="D204" s="240"/>
      <c r="E204" s="24"/>
      <c r="F204" s="113"/>
      <c r="G204" s="260"/>
      <c r="H204" s="259"/>
      <c r="I204" s="240"/>
      <c r="J204" s="113"/>
      <c r="K204" s="260"/>
      <c r="L204" s="259"/>
      <c r="M204" s="241"/>
      <c r="N204" s="24"/>
      <c r="O204" s="113"/>
      <c r="P204" s="260"/>
      <c r="Q204" s="259"/>
      <c r="R204" s="241"/>
      <c r="S204" s="240"/>
      <c r="T204" s="113"/>
      <c r="U204" s="260"/>
      <c r="V204" s="259"/>
      <c r="W204" s="241"/>
      <c r="X204" s="240"/>
      <c r="Y204" s="113"/>
      <c r="Z204" s="241"/>
      <c r="AA204" s="240"/>
      <c r="AB204" s="241"/>
      <c r="AC204" s="240"/>
      <c r="AD204" s="113"/>
      <c r="AE204" s="241"/>
      <c r="AF204" s="240"/>
      <c r="AG204" s="114"/>
      <c r="AH204" s="114"/>
      <c r="AI204" s="141"/>
    </row>
    <row r="205" spans="1:35" s="25" customFormat="1" x14ac:dyDescent="0.25">
      <c r="A205" s="261">
        <v>43</v>
      </c>
      <c r="B205" s="260">
        <v>1.73</v>
      </c>
      <c r="C205" s="259">
        <v>11.17</v>
      </c>
      <c r="D205" s="240">
        <f>B205-D206-D207</f>
        <v>1.6099999999999999</v>
      </c>
      <c r="E205" s="22" t="s">
        <v>449</v>
      </c>
      <c r="F205" s="113"/>
      <c r="G205" s="260">
        <v>1.37</v>
      </c>
      <c r="H205" s="259">
        <v>10.92</v>
      </c>
      <c r="I205" s="240"/>
      <c r="J205" s="113"/>
      <c r="K205" s="241">
        <v>0.06</v>
      </c>
      <c r="L205" s="240">
        <v>10.98</v>
      </c>
      <c r="M205" s="241">
        <f>K207+K208</f>
        <v>0.52</v>
      </c>
      <c r="N205" s="22" t="s">
        <v>162</v>
      </c>
      <c r="O205" s="113"/>
      <c r="P205" s="260">
        <v>0.49</v>
      </c>
      <c r="Q205" s="259">
        <v>11.13</v>
      </c>
      <c r="R205" s="24"/>
      <c r="S205" s="24"/>
      <c r="T205" s="113"/>
      <c r="U205" s="241"/>
      <c r="V205" s="240"/>
      <c r="W205" s="241"/>
      <c r="X205" s="240"/>
      <c r="Y205" s="113"/>
      <c r="Z205" s="241"/>
      <c r="AA205" s="240"/>
      <c r="AB205" s="241"/>
      <c r="AC205" s="240"/>
      <c r="AD205" s="113"/>
      <c r="AE205" s="241"/>
      <c r="AF205" s="240"/>
      <c r="AG205" s="114"/>
      <c r="AH205" s="114"/>
      <c r="AI205" s="141"/>
    </row>
    <row r="206" spans="1:35" s="25" customFormat="1" x14ac:dyDescent="0.25">
      <c r="A206" s="261"/>
      <c r="B206" s="260"/>
      <c r="C206" s="259"/>
      <c r="D206" s="241">
        <f>M206</f>
        <v>0.06</v>
      </c>
      <c r="E206" s="249" t="s">
        <v>251</v>
      </c>
      <c r="F206" s="113"/>
      <c r="G206" s="260"/>
      <c r="H206" s="259"/>
      <c r="I206" s="240"/>
      <c r="J206" s="113"/>
      <c r="K206" s="241">
        <v>0.04</v>
      </c>
      <c r="L206" s="240">
        <v>11.02</v>
      </c>
      <c r="M206" s="241">
        <f>K205</f>
        <v>0.06</v>
      </c>
      <c r="N206" s="249" t="s">
        <v>251</v>
      </c>
      <c r="O206" s="113"/>
      <c r="P206" s="260"/>
      <c r="Q206" s="259"/>
      <c r="R206" s="241"/>
      <c r="S206" s="240"/>
      <c r="T206" s="113"/>
      <c r="U206" s="241"/>
      <c r="V206" s="240"/>
      <c r="W206" s="241"/>
      <c r="X206" s="240"/>
      <c r="Y206" s="113"/>
      <c r="Z206" s="241"/>
      <c r="AA206" s="240"/>
      <c r="AB206" s="241"/>
      <c r="AC206" s="240"/>
      <c r="AD206" s="113"/>
      <c r="AE206" s="241"/>
      <c r="AF206" s="240"/>
      <c r="AG206" s="114"/>
      <c r="AH206" s="114"/>
      <c r="AI206" s="141"/>
    </row>
    <row r="207" spans="1:35" s="25" customFormat="1" x14ac:dyDescent="0.25">
      <c r="A207" s="261"/>
      <c r="B207" s="260"/>
      <c r="C207" s="259"/>
      <c r="D207" s="241">
        <f>D206</f>
        <v>0.06</v>
      </c>
      <c r="E207" s="249" t="s">
        <v>465</v>
      </c>
      <c r="F207" s="113"/>
      <c r="G207" s="260"/>
      <c r="H207" s="259"/>
      <c r="I207" s="240"/>
      <c r="J207" s="113"/>
      <c r="K207" s="241">
        <v>7.0000000000000007E-2</v>
      </c>
      <c r="L207" s="240">
        <v>11.06</v>
      </c>
      <c r="M207" s="241">
        <f>K206</f>
        <v>0.04</v>
      </c>
      <c r="N207" s="249" t="s">
        <v>252</v>
      </c>
      <c r="O207" s="113"/>
      <c r="P207" s="260"/>
      <c r="Q207" s="259"/>
      <c r="R207" s="241"/>
      <c r="S207" s="240"/>
      <c r="T207" s="113"/>
      <c r="U207" s="19"/>
      <c r="V207" s="8"/>
      <c r="W207" s="19"/>
      <c r="X207" s="240"/>
      <c r="Y207" s="113"/>
      <c r="Z207" s="241"/>
      <c r="AA207" s="240"/>
      <c r="AB207" s="241"/>
      <c r="AC207" s="240"/>
      <c r="AD207" s="113"/>
      <c r="AE207" s="241"/>
      <c r="AF207" s="240"/>
      <c r="AG207" s="114"/>
      <c r="AH207" s="114"/>
      <c r="AI207" s="141"/>
    </row>
    <row r="208" spans="1:35" s="25" customFormat="1" x14ac:dyDescent="0.25">
      <c r="A208" s="261"/>
      <c r="B208" s="260"/>
      <c r="C208" s="259"/>
      <c r="D208" s="24"/>
      <c r="E208" s="24"/>
      <c r="F208" s="113"/>
      <c r="G208" s="260"/>
      <c r="H208" s="259"/>
      <c r="I208" s="240"/>
      <c r="J208" s="113"/>
      <c r="K208" s="260">
        <v>0.45</v>
      </c>
      <c r="L208" s="259">
        <v>11.15</v>
      </c>
      <c r="M208" s="24"/>
      <c r="N208" s="24"/>
      <c r="O208" s="113"/>
      <c r="P208" s="260"/>
      <c r="Q208" s="259"/>
      <c r="R208" s="241"/>
      <c r="S208" s="240"/>
      <c r="T208" s="113"/>
      <c r="U208" s="241"/>
      <c r="V208" s="240"/>
      <c r="W208" s="241"/>
      <c r="X208" s="240"/>
      <c r="Y208" s="113"/>
      <c r="Z208" s="241"/>
      <c r="AA208" s="240"/>
      <c r="AB208" s="241"/>
      <c r="AC208" s="240"/>
      <c r="AD208" s="113"/>
      <c r="AE208" s="241"/>
      <c r="AF208" s="240"/>
      <c r="AG208" s="114"/>
      <c r="AH208" s="114"/>
      <c r="AI208" s="141"/>
    </row>
    <row r="209" spans="1:35" s="25" customFormat="1" x14ac:dyDescent="0.25">
      <c r="A209" s="261"/>
      <c r="B209" s="260"/>
      <c r="C209" s="259"/>
      <c r="D209" s="240"/>
      <c r="E209" s="240"/>
      <c r="F209" s="113"/>
      <c r="G209" s="260"/>
      <c r="H209" s="259"/>
      <c r="I209" s="240"/>
      <c r="J209" s="113"/>
      <c r="K209" s="260"/>
      <c r="L209" s="259"/>
      <c r="M209" s="241"/>
      <c r="N209" s="240"/>
      <c r="O209" s="113"/>
      <c r="P209" s="260"/>
      <c r="Q209" s="259"/>
      <c r="R209" s="241"/>
      <c r="S209" s="240"/>
      <c r="T209" s="113"/>
      <c r="U209" s="241"/>
      <c r="V209" s="240"/>
      <c r="W209" s="241"/>
      <c r="X209" s="240"/>
      <c r="Y209" s="113"/>
      <c r="Z209" s="241"/>
      <c r="AA209" s="240"/>
      <c r="AB209" s="241"/>
      <c r="AC209" s="240"/>
      <c r="AD209" s="113"/>
      <c r="AE209" s="241"/>
      <c r="AF209" s="240"/>
      <c r="AG209" s="114"/>
      <c r="AH209" s="114"/>
      <c r="AI209" s="141"/>
    </row>
    <row r="210" spans="1:35" s="25" customFormat="1" x14ac:dyDescent="0.25">
      <c r="A210" s="261">
        <v>44</v>
      </c>
      <c r="B210" s="260">
        <v>0.62</v>
      </c>
      <c r="C210" s="259">
        <v>11.43</v>
      </c>
      <c r="D210" s="240">
        <f>B210</f>
        <v>0.62</v>
      </c>
      <c r="E210" s="75" t="s">
        <v>35</v>
      </c>
      <c r="F210" s="113"/>
      <c r="G210" s="260">
        <v>0.72</v>
      </c>
      <c r="H210" s="259">
        <v>11.17</v>
      </c>
      <c r="I210" s="240"/>
      <c r="J210" s="113"/>
      <c r="K210" s="260">
        <v>0.12</v>
      </c>
      <c r="L210" s="259">
        <v>11.28</v>
      </c>
      <c r="M210" s="241">
        <f>K210+K214</f>
        <v>0.71</v>
      </c>
      <c r="N210" s="75" t="s">
        <v>35</v>
      </c>
      <c r="O210" s="113"/>
      <c r="P210" s="263">
        <v>0.96</v>
      </c>
      <c r="Q210" s="266">
        <v>11.33</v>
      </c>
      <c r="R210" s="241">
        <f>P205+0.2</f>
        <v>0.69</v>
      </c>
      <c r="S210" s="75" t="s">
        <v>348</v>
      </c>
      <c r="T210" s="113"/>
      <c r="U210" s="241"/>
      <c r="V210" s="240"/>
      <c r="W210" s="241"/>
      <c r="X210" s="16"/>
      <c r="Y210" s="113"/>
      <c r="Z210" s="241"/>
      <c r="AA210" s="240"/>
      <c r="AB210" s="241"/>
      <c r="AC210" s="240"/>
      <c r="AD210" s="113"/>
      <c r="AE210" s="241"/>
      <c r="AF210" s="240"/>
      <c r="AG210" s="114"/>
      <c r="AH210" s="114"/>
      <c r="AI210" s="141"/>
    </row>
    <row r="211" spans="1:35" s="25" customFormat="1" x14ac:dyDescent="0.25">
      <c r="A211" s="261"/>
      <c r="B211" s="260"/>
      <c r="C211" s="259"/>
      <c r="D211" s="240"/>
      <c r="E211" s="240"/>
      <c r="F211" s="113"/>
      <c r="G211" s="260"/>
      <c r="H211" s="259"/>
      <c r="I211" s="240"/>
      <c r="J211" s="113"/>
      <c r="K211" s="260"/>
      <c r="L211" s="259"/>
      <c r="M211" s="241"/>
      <c r="N211" s="240"/>
      <c r="O211" s="113"/>
      <c r="P211" s="264"/>
      <c r="Q211" s="267"/>
      <c r="R211" s="241"/>
      <c r="S211" s="240"/>
      <c r="T211" s="113"/>
      <c r="U211" s="241"/>
      <c r="V211" s="240"/>
      <c r="W211" s="241"/>
      <c r="X211" s="240"/>
      <c r="Y211" s="113"/>
      <c r="Z211" s="241"/>
      <c r="AA211" s="240"/>
      <c r="AB211" s="241"/>
      <c r="AC211" s="240"/>
      <c r="AD211" s="113"/>
      <c r="AE211" s="241"/>
      <c r="AF211" s="240"/>
      <c r="AG211" s="114"/>
      <c r="AH211" s="114"/>
      <c r="AI211" s="141"/>
    </row>
    <row r="212" spans="1:35" s="25" customFormat="1" x14ac:dyDescent="0.25">
      <c r="A212" s="261"/>
      <c r="B212" s="260"/>
      <c r="C212" s="259"/>
      <c r="D212" s="240"/>
      <c r="E212" s="240"/>
      <c r="F212" s="113"/>
      <c r="G212" s="260"/>
      <c r="H212" s="259"/>
      <c r="I212" s="240"/>
      <c r="J212" s="113"/>
      <c r="K212" s="260"/>
      <c r="L212" s="259"/>
      <c r="M212" s="241"/>
      <c r="N212" s="240"/>
      <c r="O212" s="113"/>
      <c r="P212" s="264"/>
      <c r="Q212" s="267"/>
      <c r="R212" s="241"/>
      <c r="S212" s="240"/>
      <c r="T212" s="113"/>
      <c r="U212" s="241"/>
      <c r="V212" s="240"/>
      <c r="W212" s="241"/>
      <c r="X212" s="240"/>
      <c r="Y212" s="113"/>
      <c r="Z212" s="241"/>
      <c r="AA212" s="240"/>
      <c r="AB212" s="241"/>
      <c r="AC212" s="240"/>
      <c r="AD212" s="113"/>
      <c r="AE212" s="241"/>
      <c r="AF212" s="240"/>
      <c r="AG212" s="114"/>
      <c r="AH212" s="114"/>
      <c r="AI212" s="141"/>
    </row>
    <row r="213" spans="1:35" s="25" customFormat="1" x14ac:dyDescent="0.25">
      <c r="A213" s="261"/>
      <c r="B213" s="260"/>
      <c r="C213" s="259"/>
      <c r="D213" s="240"/>
      <c r="E213" s="240"/>
      <c r="F213" s="113"/>
      <c r="G213" s="260"/>
      <c r="H213" s="259"/>
      <c r="I213" s="240"/>
      <c r="J213" s="113"/>
      <c r="K213" s="260"/>
      <c r="L213" s="259"/>
      <c r="M213" s="241"/>
      <c r="N213" s="240"/>
      <c r="O213" s="113"/>
      <c r="P213" s="264"/>
      <c r="Q213" s="267"/>
      <c r="R213" s="241"/>
      <c r="S213" s="240"/>
      <c r="T213" s="113"/>
      <c r="U213" s="241"/>
      <c r="V213" s="240"/>
      <c r="W213" s="241"/>
      <c r="X213" s="240"/>
      <c r="Y213" s="113"/>
      <c r="Z213" s="241"/>
      <c r="AA213" s="240"/>
      <c r="AB213" s="241"/>
      <c r="AC213" s="240"/>
      <c r="AD213" s="113"/>
      <c r="AE213" s="241"/>
      <c r="AF213" s="240"/>
      <c r="AG213" s="114"/>
      <c r="AH213" s="114"/>
      <c r="AI213" s="141"/>
    </row>
    <row r="214" spans="1:35" s="25" customFormat="1" x14ac:dyDescent="0.25">
      <c r="A214" s="261"/>
      <c r="B214" s="260"/>
      <c r="C214" s="259"/>
      <c r="D214" s="240"/>
      <c r="E214" s="240"/>
      <c r="F214" s="113"/>
      <c r="G214" s="260"/>
      <c r="H214" s="259"/>
      <c r="I214" s="240"/>
      <c r="J214" s="113"/>
      <c r="K214" s="260">
        <v>0.59</v>
      </c>
      <c r="L214" s="259">
        <v>11.37</v>
      </c>
      <c r="M214" s="241"/>
      <c r="N214" s="240"/>
      <c r="O214" s="113"/>
      <c r="P214" s="264"/>
      <c r="Q214" s="267"/>
      <c r="R214" s="241"/>
      <c r="S214" s="240"/>
      <c r="T214" s="113"/>
      <c r="U214" s="241"/>
      <c r="V214" s="240"/>
      <c r="W214" s="241"/>
      <c r="X214" s="240"/>
      <c r="Y214" s="113"/>
      <c r="Z214" s="241"/>
      <c r="AA214" s="240"/>
      <c r="AB214" s="241"/>
      <c r="AC214" s="240"/>
      <c r="AD214" s="113"/>
      <c r="AE214" s="241"/>
      <c r="AF214" s="240"/>
      <c r="AG214" s="114"/>
      <c r="AH214" s="114"/>
      <c r="AI214" s="141"/>
    </row>
    <row r="215" spans="1:35" s="25" customFormat="1" x14ac:dyDescent="0.25">
      <c r="A215" s="261"/>
      <c r="B215" s="260"/>
      <c r="C215" s="259"/>
      <c r="D215" s="240"/>
      <c r="E215" s="24"/>
      <c r="F215" s="113"/>
      <c r="G215" s="260"/>
      <c r="H215" s="259"/>
      <c r="I215" s="240"/>
      <c r="J215" s="113"/>
      <c r="K215" s="260"/>
      <c r="L215" s="259"/>
      <c r="M215" s="241"/>
      <c r="N215" s="24"/>
      <c r="O215" s="113"/>
      <c r="P215" s="264"/>
      <c r="Q215" s="267"/>
      <c r="R215" s="241"/>
      <c r="S215" s="240"/>
      <c r="T215" s="113"/>
      <c r="U215" s="241"/>
      <c r="V215" s="240"/>
      <c r="W215" s="241"/>
      <c r="X215" s="240"/>
      <c r="Y215" s="113"/>
      <c r="Z215" s="241"/>
      <c r="AA215" s="240"/>
      <c r="AB215" s="241"/>
      <c r="AC215" s="240"/>
      <c r="AD215" s="113"/>
      <c r="AE215" s="241"/>
      <c r="AF215" s="240"/>
      <c r="AG215" s="114"/>
      <c r="AH215" s="114"/>
      <c r="AI215" s="141"/>
    </row>
    <row r="216" spans="1:35" s="25" customFormat="1" x14ac:dyDescent="0.25">
      <c r="A216" s="261"/>
      <c r="B216" s="260"/>
      <c r="C216" s="259"/>
      <c r="D216" s="240"/>
      <c r="E216" s="240"/>
      <c r="F216" s="113"/>
      <c r="G216" s="260"/>
      <c r="H216" s="259"/>
      <c r="I216" s="240"/>
      <c r="J216" s="113"/>
      <c r="K216" s="260"/>
      <c r="L216" s="259"/>
      <c r="M216" s="241"/>
      <c r="N216" s="240"/>
      <c r="O216" s="113"/>
      <c r="P216" s="264"/>
      <c r="Q216" s="267"/>
      <c r="R216" s="241"/>
      <c r="S216" s="240"/>
      <c r="T216" s="113"/>
      <c r="U216" s="241"/>
      <c r="V216" s="240"/>
      <c r="W216" s="241"/>
      <c r="X216" s="240"/>
      <c r="Y216" s="113"/>
      <c r="Z216" s="241"/>
      <c r="AA216" s="240"/>
      <c r="AB216" s="241"/>
      <c r="AC216" s="240"/>
      <c r="AD216" s="113"/>
      <c r="AE216" s="241"/>
      <c r="AF216" s="240"/>
      <c r="AG216" s="114"/>
      <c r="AH216" s="114"/>
      <c r="AI216" s="141"/>
    </row>
    <row r="217" spans="1:35" s="25" customFormat="1" x14ac:dyDescent="0.25">
      <c r="A217" s="261"/>
      <c r="B217" s="260"/>
      <c r="C217" s="259"/>
      <c r="D217" s="240"/>
      <c r="E217" s="240"/>
      <c r="F217" s="113"/>
      <c r="G217" s="260"/>
      <c r="H217" s="259"/>
      <c r="I217" s="240"/>
      <c r="J217" s="113"/>
      <c r="K217" s="260"/>
      <c r="L217" s="259"/>
      <c r="M217" s="241"/>
      <c r="N217" s="240"/>
      <c r="O217" s="113"/>
      <c r="P217" s="264"/>
      <c r="Q217" s="267"/>
      <c r="R217" s="241"/>
      <c r="S217" s="240"/>
      <c r="T217" s="113"/>
      <c r="U217" s="241"/>
      <c r="V217" s="240"/>
      <c r="W217" s="241"/>
      <c r="X217" s="240"/>
      <c r="Y217" s="113"/>
      <c r="Z217" s="241"/>
      <c r="AA217" s="240"/>
      <c r="AB217" s="241"/>
      <c r="AC217" s="240"/>
      <c r="AD217" s="113"/>
      <c r="AE217" s="241"/>
      <c r="AF217" s="240"/>
      <c r="AG217" s="114"/>
      <c r="AH217" s="114"/>
      <c r="AI217" s="141"/>
    </row>
    <row r="218" spans="1:35" s="25" customFormat="1" x14ac:dyDescent="0.25">
      <c r="A218" s="261">
        <v>45</v>
      </c>
      <c r="B218" s="260">
        <v>1.72</v>
      </c>
      <c r="C218" s="259">
        <v>11.57</v>
      </c>
      <c r="D218" s="240">
        <f>B218-D220-D221</f>
        <v>1.1400000000000001</v>
      </c>
      <c r="E218" s="249" t="s">
        <v>160</v>
      </c>
      <c r="F218" s="113"/>
      <c r="G218" s="260">
        <v>1.29</v>
      </c>
      <c r="H218" s="259">
        <v>11.31</v>
      </c>
      <c r="I218" s="240"/>
      <c r="J218" s="113"/>
      <c r="K218" s="260">
        <v>0.44</v>
      </c>
      <c r="L218" s="259">
        <v>11.48</v>
      </c>
      <c r="M218" s="241"/>
      <c r="N218" s="240"/>
      <c r="O218" s="113"/>
      <c r="P218" s="264"/>
      <c r="Q218" s="267"/>
      <c r="R218" s="241"/>
      <c r="S218" s="240"/>
      <c r="T218" s="113"/>
      <c r="U218" s="241"/>
      <c r="V218" s="240"/>
      <c r="W218" s="241"/>
      <c r="X218" s="240"/>
      <c r="Y218" s="113"/>
      <c r="Z218" s="241"/>
      <c r="AA218" s="240"/>
      <c r="AB218" s="241"/>
      <c r="AC218" s="240"/>
      <c r="AD218" s="113"/>
      <c r="AE218" s="241"/>
      <c r="AF218" s="240"/>
      <c r="AG218" s="114"/>
      <c r="AH218" s="114"/>
      <c r="AI218" s="141"/>
    </row>
    <row r="219" spans="1:35" s="25" customFormat="1" x14ac:dyDescent="0.25">
      <c r="A219" s="261"/>
      <c r="B219" s="260"/>
      <c r="C219" s="259"/>
      <c r="D219" s="24"/>
      <c r="E219" s="24"/>
      <c r="F219" s="113"/>
      <c r="G219" s="260"/>
      <c r="H219" s="259"/>
      <c r="I219" s="240"/>
      <c r="J219" s="113"/>
      <c r="K219" s="260"/>
      <c r="L219" s="259"/>
      <c r="M219" s="24"/>
      <c r="N219" s="24"/>
      <c r="O219" s="113"/>
      <c r="P219" s="264"/>
      <c r="Q219" s="267"/>
      <c r="R219" s="241"/>
      <c r="S219" s="240"/>
      <c r="T219" s="113"/>
      <c r="U219" s="241"/>
      <c r="V219" s="240"/>
      <c r="W219" s="241"/>
      <c r="X219" s="240"/>
      <c r="Y219" s="113"/>
      <c r="Z219" s="241"/>
      <c r="AA219" s="240"/>
      <c r="AB219" s="241"/>
      <c r="AC219" s="240"/>
      <c r="AD219" s="113"/>
      <c r="AE219" s="241"/>
      <c r="AF219" s="240"/>
      <c r="AG219" s="114"/>
      <c r="AH219" s="114"/>
      <c r="AI219" s="141"/>
    </row>
    <row r="220" spans="1:35" s="25" customFormat="1" x14ac:dyDescent="0.25">
      <c r="A220" s="261"/>
      <c r="B220" s="260"/>
      <c r="C220" s="259"/>
      <c r="D220" s="241">
        <v>0.01</v>
      </c>
      <c r="E220" s="249" t="s">
        <v>163</v>
      </c>
      <c r="F220" s="113"/>
      <c r="G220" s="260"/>
      <c r="H220" s="259"/>
      <c r="I220" s="240"/>
      <c r="J220" s="113"/>
      <c r="K220" s="260"/>
      <c r="L220" s="259"/>
      <c r="M220" s="24"/>
      <c r="N220" s="24"/>
      <c r="O220" s="113"/>
      <c r="P220" s="264"/>
      <c r="Q220" s="267"/>
      <c r="R220" s="241"/>
      <c r="S220" s="240"/>
      <c r="T220" s="113"/>
      <c r="U220" s="241"/>
      <c r="V220" s="240"/>
      <c r="W220" s="241"/>
      <c r="X220" s="240"/>
      <c r="Y220" s="113"/>
      <c r="Z220" s="241"/>
      <c r="AA220" s="240"/>
      <c r="AB220" s="241"/>
      <c r="AC220" s="240"/>
      <c r="AD220" s="113"/>
      <c r="AE220" s="241"/>
      <c r="AF220" s="240"/>
      <c r="AG220" s="114"/>
      <c r="AH220" s="114"/>
      <c r="AI220" s="141"/>
    </row>
    <row r="221" spans="1:35" s="25" customFormat="1" x14ac:dyDescent="0.25">
      <c r="A221" s="261"/>
      <c r="B221" s="260"/>
      <c r="C221" s="259"/>
      <c r="D221" s="241">
        <v>0.56999999999999995</v>
      </c>
      <c r="E221" s="15" t="s">
        <v>117</v>
      </c>
      <c r="F221" s="113"/>
      <c r="G221" s="260"/>
      <c r="H221" s="259"/>
      <c r="I221" s="240"/>
      <c r="J221" s="113"/>
      <c r="K221" s="260"/>
      <c r="L221" s="259"/>
      <c r="M221" s="241">
        <f>K218</f>
        <v>0.44</v>
      </c>
      <c r="N221" s="15" t="s">
        <v>117</v>
      </c>
      <c r="O221" s="113"/>
      <c r="P221" s="264"/>
      <c r="Q221" s="267"/>
      <c r="R221" s="241">
        <f>P205+P210-R210-R226</f>
        <v>0.7</v>
      </c>
      <c r="S221" s="15" t="s">
        <v>117</v>
      </c>
      <c r="T221" s="113"/>
      <c r="U221" s="241"/>
      <c r="V221" s="240"/>
      <c r="W221" s="241"/>
      <c r="X221" s="240"/>
      <c r="Y221" s="113"/>
      <c r="Z221" s="241"/>
      <c r="AA221" s="240"/>
      <c r="AB221" s="241"/>
      <c r="AC221" s="240"/>
      <c r="AD221" s="113"/>
      <c r="AE221" s="241"/>
      <c r="AF221" s="240"/>
      <c r="AG221" s="114"/>
      <c r="AH221" s="114"/>
      <c r="AI221" s="141"/>
    </row>
    <row r="222" spans="1:35" s="25" customFormat="1" x14ac:dyDescent="0.25">
      <c r="A222" s="261"/>
      <c r="B222" s="260"/>
      <c r="C222" s="259"/>
      <c r="D222" s="240"/>
      <c r="E222" s="240"/>
      <c r="F222" s="113"/>
      <c r="G222" s="260"/>
      <c r="H222" s="259"/>
      <c r="I222" s="240"/>
      <c r="J222" s="113"/>
      <c r="K222" s="260"/>
      <c r="L222" s="259"/>
      <c r="M222" s="241"/>
      <c r="N222" s="240"/>
      <c r="O222" s="113"/>
      <c r="P222" s="264"/>
      <c r="Q222" s="267"/>
      <c r="R222" s="241"/>
      <c r="S222" s="240"/>
      <c r="T222" s="113"/>
      <c r="U222" s="241"/>
      <c r="V222" s="240"/>
      <c r="W222" s="241"/>
      <c r="X222" s="240"/>
      <c r="Y222" s="113"/>
      <c r="Z222" s="241"/>
      <c r="AA222" s="240"/>
      <c r="AB222" s="241"/>
      <c r="AC222" s="240"/>
      <c r="AD222" s="113"/>
      <c r="AE222" s="241"/>
      <c r="AF222" s="240"/>
      <c r="AG222" s="114"/>
      <c r="AH222" s="114"/>
      <c r="AI222" s="141"/>
    </row>
    <row r="223" spans="1:35" s="25" customFormat="1" x14ac:dyDescent="0.25">
      <c r="A223" s="261"/>
      <c r="B223" s="260"/>
      <c r="C223" s="259"/>
      <c r="D223" s="240"/>
      <c r="E223" s="240"/>
      <c r="F223" s="113"/>
      <c r="G223" s="260"/>
      <c r="H223" s="259"/>
      <c r="I223" s="240"/>
      <c r="J223" s="113"/>
      <c r="K223" s="260"/>
      <c r="L223" s="259"/>
      <c r="M223" s="241"/>
      <c r="N223" s="240"/>
      <c r="O223" s="113"/>
      <c r="P223" s="264"/>
      <c r="Q223" s="267"/>
      <c r="R223" s="241"/>
      <c r="S223" s="240"/>
      <c r="T223" s="113"/>
      <c r="U223" s="241"/>
      <c r="V223" s="240"/>
      <c r="W223" s="241"/>
      <c r="X223" s="240"/>
      <c r="Y223" s="113"/>
      <c r="Z223" s="241"/>
      <c r="AA223" s="240"/>
      <c r="AB223" s="241"/>
      <c r="AC223" s="240"/>
      <c r="AD223" s="113"/>
      <c r="AE223" s="241"/>
      <c r="AF223" s="240"/>
      <c r="AG223" s="114"/>
      <c r="AH223" s="114"/>
      <c r="AI223" s="141"/>
    </row>
    <row r="224" spans="1:35" s="25" customFormat="1" x14ac:dyDescent="0.25">
      <c r="A224" s="261"/>
      <c r="B224" s="260"/>
      <c r="C224" s="259"/>
      <c r="D224" s="240"/>
      <c r="E224" s="240"/>
      <c r="F224" s="113"/>
      <c r="G224" s="260"/>
      <c r="H224" s="259"/>
      <c r="I224" s="240"/>
      <c r="J224" s="113"/>
      <c r="K224" s="260"/>
      <c r="L224" s="259"/>
      <c r="M224" s="241"/>
      <c r="N224" s="240"/>
      <c r="O224" s="113"/>
      <c r="P224" s="264"/>
      <c r="Q224" s="267"/>
      <c r="R224" s="241"/>
      <c r="S224" s="240"/>
      <c r="T224" s="113"/>
      <c r="U224" s="241"/>
      <c r="V224" s="240"/>
      <c r="W224" s="241"/>
      <c r="X224" s="240"/>
      <c r="Y224" s="113"/>
      <c r="Z224" s="241"/>
      <c r="AA224" s="240"/>
      <c r="AB224" s="241"/>
      <c r="AC224" s="240"/>
      <c r="AD224" s="113"/>
      <c r="AE224" s="241"/>
      <c r="AF224" s="240"/>
      <c r="AG224" s="114"/>
      <c r="AH224" s="114"/>
      <c r="AI224" s="141"/>
    </row>
    <row r="225" spans="1:42" s="25" customFormat="1" x14ac:dyDescent="0.25">
      <c r="A225" s="261"/>
      <c r="B225" s="260"/>
      <c r="C225" s="259"/>
      <c r="D225" s="240"/>
      <c r="E225" s="240"/>
      <c r="F225" s="113"/>
      <c r="G225" s="260"/>
      <c r="H225" s="259"/>
      <c r="I225" s="240"/>
      <c r="J225" s="113"/>
      <c r="K225" s="260"/>
      <c r="L225" s="259"/>
      <c r="M225" s="241"/>
      <c r="N225" s="240"/>
      <c r="O225" s="113"/>
      <c r="P225" s="264"/>
      <c r="Q225" s="267"/>
      <c r="R225" s="241"/>
      <c r="S225" s="240"/>
      <c r="T225" s="113"/>
      <c r="U225" s="241"/>
      <c r="V225" s="240"/>
      <c r="W225" s="241"/>
      <c r="X225" s="240"/>
      <c r="Y225" s="113"/>
      <c r="Z225" s="241"/>
      <c r="AA225" s="240"/>
      <c r="AB225" s="241"/>
      <c r="AC225" s="240"/>
      <c r="AD225" s="113"/>
      <c r="AE225" s="241"/>
      <c r="AF225" s="240"/>
      <c r="AG225" s="114"/>
      <c r="AH225" s="114"/>
      <c r="AI225" s="141"/>
    </row>
    <row r="226" spans="1:42" s="25" customFormat="1" x14ac:dyDescent="0.25">
      <c r="A226" s="261">
        <v>46</v>
      </c>
      <c r="B226" s="260">
        <v>1.57</v>
      </c>
      <c r="C226" s="259">
        <v>11.98</v>
      </c>
      <c r="D226" s="241">
        <v>0.28000000000000003</v>
      </c>
      <c r="E226" s="75" t="s">
        <v>36</v>
      </c>
      <c r="F226" s="113"/>
      <c r="G226" s="260">
        <v>1.59</v>
      </c>
      <c r="H226" s="259">
        <v>11.81</v>
      </c>
      <c r="I226" s="240"/>
      <c r="J226" s="113"/>
      <c r="K226" s="241">
        <v>0.02</v>
      </c>
      <c r="L226" s="240">
        <v>11.67</v>
      </c>
      <c r="M226" s="241">
        <f>K226+K227</f>
        <v>0.06</v>
      </c>
      <c r="N226" s="75" t="s">
        <v>36</v>
      </c>
      <c r="O226" s="113"/>
      <c r="P226" s="265"/>
      <c r="Q226" s="268"/>
      <c r="R226" s="241">
        <v>0.06</v>
      </c>
      <c r="S226" s="75" t="s">
        <v>350</v>
      </c>
      <c r="T226" s="113"/>
      <c r="U226" s="241"/>
      <c r="V226" s="240"/>
      <c r="W226" s="241"/>
      <c r="X226" s="240"/>
      <c r="Y226" s="113"/>
      <c r="Z226" s="241"/>
      <c r="AA226" s="240"/>
      <c r="AB226" s="241"/>
      <c r="AC226" s="240"/>
      <c r="AD226" s="113"/>
      <c r="AE226" s="241"/>
      <c r="AF226" s="240"/>
      <c r="AG226" s="114"/>
      <c r="AH226" s="114"/>
      <c r="AI226" s="141"/>
    </row>
    <row r="227" spans="1:42" s="25" customFormat="1" x14ac:dyDescent="0.25">
      <c r="A227" s="261"/>
      <c r="B227" s="260"/>
      <c r="C227" s="259"/>
      <c r="D227" s="240"/>
      <c r="E227" s="240"/>
      <c r="F227" s="113"/>
      <c r="G227" s="260"/>
      <c r="H227" s="259"/>
      <c r="I227" s="240"/>
      <c r="J227" s="113"/>
      <c r="K227" s="241">
        <v>0.04</v>
      </c>
      <c r="L227" s="240">
        <v>11.71</v>
      </c>
      <c r="M227" s="241"/>
      <c r="N227" s="240"/>
      <c r="O227" s="113"/>
      <c r="P227" s="241"/>
      <c r="Q227" s="240"/>
      <c r="R227" s="241"/>
      <c r="S227" s="240"/>
      <c r="T227" s="113"/>
      <c r="U227" s="241"/>
      <c r="V227" s="240"/>
      <c r="W227" s="241"/>
      <c r="X227" s="240"/>
      <c r="Y227" s="113"/>
      <c r="Z227" s="241"/>
      <c r="AA227" s="240"/>
      <c r="AB227" s="241"/>
      <c r="AC227" s="240"/>
      <c r="AD227" s="113"/>
      <c r="AE227" s="241"/>
      <c r="AF227" s="240"/>
      <c r="AG227" s="114"/>
      <c r="AH227" s="114"/>
      <c r="AI227" s="141"/>
    </row>
    <row r="228" spans="1:42" s="25" customFormat="1" x14ac:dyDescent="0.25">
      <c r="A228" s="261"/>
      <c r="B228" s="260"/>
      <c r="C228" s="259"/>
      <c r="D228" s="240">
        <f>B226-D226-D230</f>
        <v>1.28</v>
      </c>
      <c r="E228" s="249" t="s">
        <v>256</v>
      </c>
      <c r="F228" s="113"/>
      <c r="G228" s="260"/>
      <c r="H228" s="259"/>
      <c r="I228" s="240"/>
      <c r="J228" s="113"/>
      <c r="K228" s="241">
        <v>0.01</v>
      </c>
      <c r="L228" s="240">
        <v>11.77</v>
      </c>
      <c r="M228" s="241"/>
      <c r="N228" s="240"/>
      <c r="O228" s="113"/>
      <c r="P228" s="241"/>
      <c r="Q228" s="240"/>
      <c r="R228" s="241"/>
      <c r="S228" s="240"/>
      <c r="T228" s="113"/>
      <c r="U228" s="241"/>
      <c r="V228" s="240"/>
      <c r="W228" s="241"/>
      <c r="X228" s="240"/>
      <c r="Y228" s="113"/>
      <c r="Z228" s="241"/>
      <c r="AA228" s="240"/>
      <c r="AB228" s="241"/>
      <c r="AC228" s="240"/>
      <c r="AD228" s="113"/>
      <c r="AE228" s="241"/>
      <c r="AF228" s="240"/>
      <c r="AG228" s="114"/>
      <c r="AH228" s="114"/>
      <c r="AI228" s="141"/>
    </row>
    <row r="229" spans="1:42" s="25" customFormat="1" x14ac:dyDescent="0.25">
      <c r="A229" s="261"/>
      <c r="B229" s="260"/>
      <c r="C229" s="259"/>
      <c r="D229" s="240"/>
      <c r="E229" s="240"/>
      <c r="F229" s="113"/>
      <c r="G229" s="260"/>
      <c r="H229" s="259"/>
      <c r="I229" s="240"/>
      <c r="J229" s="113"/>
      <c r="K229" s="241"/>
      <c r="L229" s="240"/>
      <c r="M229" s="241"/>
      <c r="N229" s="246"/>
      <c r="O229" s="113"/>
      <c r="P229" s="241"/>
      <c r="Q229" s="240"/>
      <c r="R229" s="241"/>
      <c r="S229" s="240"/>
      <c r="T229" s="113"/>
      <c r="U229" s="241"/>
      <c r="V229" s="240"/>
      <c r="W229" s="241"/>
      <c r="X229" s="240"/>
      <c r="Y229" s="113"/>
      <c r="Z229" s="241"/>
      <c r="AA229" s="240"/>
      <c r="AB229" s="241"/>
      <c r="AC229" s="240"/>
      <c r="AD229" s="113"/>
      <c r="AE229" s="241"/>
      <c r="AF229" s="240"/>
      <c r="AG229" s="114"/>
      <c r="AH229" s="114"/>
      <c r="AI229" s="141"/>
    </row>
    <row r="230" spans="1:42" s="25" customFormat="1" x14ac:dyDescent="0.25">
      <c r="A230" s="261"/>
      <c r="B230" s="260"/>
      <c r="C230" s="259"/>
      <c r="D230" s="241">
        <v>0.01</v>
      </c>
      <c r="E230" s="61" t="s">
        <v>257</v>
      </c>
      <c r="F230" s="113"/>
      <c r="G230" s="260"/>
      <c r="H230" s="259"/>
      <c r="I230" s="240"/>
      <c r="J230" s="113"/>
      <c r="K230" s="241"/>
      <c r="L230" s="240"/>
      <c r="M230" s="241"/>
      <c r="N230" s="146"/>
      <c r="O230" s="113"/>
      <c r="P230" s="241"/>
      <c r="Q230" s="240"/>
      <c r="R230" s="241"/>
      <c r="S230" s="240"/>
      <c r="T230" s="113"/>
      <c r="U230" s="241"/>
      <c r="V230" s="240"/>
      <c r="W230" s="241"/>
      <c r="X230" s="240"/>
      <c r="Y230" s="113"/>
      <c r="Z230" s="241"/>
      <c r="AA230" s="240"/>
      <c r="AB230" s="241"/>
      <c r="AC230" s="240"/>
      <c r="AD230" s="113"/>
      <c r="AE230" s="241"/>
      <c r="AF230" s="240"/>
      <c r="AG230" s="114"/>
      <c r="AH230" s="114"/>
      <c r="AI230" s="141"/>
    </row>
    <row r="231" spans="1:42" s="25" customFormat="1" x14ac:dyDescent="0.25">
      <c r="A231" s="261"/>
      <c r="B231" s="260"/>
      <c r="C231" s="259"/>
      <c r="D231" s="240"/>
      <c r="E231" s="240"/>
      <c r="F231" s="113"/>
      <c r="G231" s="260"/>
      <c r="H231" s="259"/>
      <c r="I231" s="240"/>
      <c r="J231" s="113"/>
      <c r="K231" s="241"/>
      <c r="L231" s="240"/>
      <c r="M231" s="241"/>
      <c r="N231" s="246"/>
      <c r="O231" s="113"/>
      <c r="P231" s="241"/>
      <c r="Q231" s="240"/>
      <c r="R231" s="241"/>
      <c r="S231" s="240"/>
      <c r="T231" s="113"/>
      <c r="U231" s="241"/>
      <c r="V231" s="240"/>
      <c r="W231" s="241"/>
      <c r="X231" s="240"/>
      <c r="Y231" s="113"/>
      <c r="Z231" s="241"/>
      <c r="AA231" s="240"/>
      <c r="AB231" s="241"/>
      <c r="AC231" s="240"/>
      <c r="AD231" s="113"/>
      <c r="AE231" s="241"/>
      <c r="AF231" s="240"/>
      <c r="AG231" s="114"/>
      <c r="AH231" s="114"/>
      <c r="AI231" s="141"/>
    </row>
    <row r="232" spans="1:42" s="25" customFormat="1" x14ac:dyDescent="0.25">
      <c r="A232" s="261"/>
      <c r="B232" s="260"/>
      <c r="C232" s="259"/>
      <c r="D232" s="240"/>
      <c r="E232" s="240"/>
      <c r="F232" s="113"/>
      <c r="G232" s="260"/>
      <c r="H232" s="259"/>
      <c r="I232" s="240"/>
      <c r="J232" s="113"/>
      <c r="K232" s="241"/>
      <c r="L232" s="240"/>
      <c r="M232" s="241"/>
      <c r="N232" s="246"/>
      <c r="O232" s="113"/>
      <c r="P232" s="241"/>
      <c r="Q232" s="240"/>
      <c r="R232" s="241"/>
      <c r="S232" s="240"/>
      <c r="T232" s="113"/>
      <c r="U232" s="241"/>
      <c r="V232" s="240"/>
      <c r="W232" s="241"/>
      <c r="X232" s="240"/>
      <c r="Y232" s="113"/>
      <c r="Z232" s="241"/>
      <c r="AA232" s="240"/>
      <c r="AB232" s="241"/>
      <c r="AC232" s="240"/>
      <c r="AD232" s="113"/>
      <c r="AE232" s="241"/>
      <c r="AF232" s="240"/>
      <c r="AG232" s="114"/>
      <c r="AH232" s="114"/>
      <c r="AI232" s="141"/>
    </row>
    <row r="233" spans="1:42" s="25" customFormat="1" x14ac:dyDescent="0.25">
      <c r="A233" s="242">
        <v>47</v>
      </c>
      <c r="B233" s="241">
        <v>0.45</v>
      </c>
      <c r="C233" s="240">
        <v>12.36</v>
      </c>
      <c r="D233" s="240">
        <f>B233</f>
        <v>0.45</v>
      </c>
      <c r="E233" s="249" t="s">
        <v>259</v>
      </c>
      <c r="F233" s="113"/>
      <c r="G233" s="260">
        <v>1.1200000000000001</v>
      </c>
      <c r="H233" s="259">
        <v>12.33</v>
      </c>
      <c r="I233" s="240"/>
      <c r="J233" s="113"/>
      <c r="K233" s="241"/>
      <c r="L233" s="240"/>
      <c r="M233" s="241"/>
      <c r="N233" s="246"/>
      <c r="O233" s="113"/>
      <c r="P233" s="241"/>
      <c r="Q233" s="240"/>
      <c r="R233" s="241"/>
      <c r="S233" s="240"/>
      <c r="T233" s="113"/>
      <c r="U233" s="241"/>
      <c r="V233" s="240"/>
      <c r="W233" s="241"/>
      <c r="X233" s="240"/>
      <c r="Y233" s="113"/>
      <c r="Z233" s="241"/>
      <c r="AA233" s="240"/>
      <c r="AB233" s="241"/>
      <c r="AC233" s="240"/>
      <c r="AD233" s="113"/>
      <c r="AE233" s="241"/>
      <c r="AF233" s="240"/>
      <c r="AG233" s="114"/>
      <c r="AH233" s="114"/>
      <c r="AI233" s="141"/>
    </row>
    <row r="234" spans="1:42" s="25" customFormat="1" x14ac:dyDescent="0.25">
      <c r="A234" s="242">
        <v>48</v>
      </c>
      <c r="B234" s="241">
        <v>0.37</v>
      </c>
      <c r="C234" s="240">
        <v>12.51</v>
      </c>
      <c r="D234" s="240"/>
      <c r="E234" s="240"/>
      <c r="F234" s="113"/>
      <c r="G234" s="260"/>
      <c r="H234" s="259"/>
      <c r="I234" s="240"/>
      <c r="J234" s="113"/>
      <c r="K234" s="241"/>
      <c r="L234" s="240"/>
      <c r="M234" s="241"/>
      <c r="N234" s="240"/>
      <c r="O234" s="113"/>
      <c r="P234" s="241"/>
      <c r="Q234" s="240"/>
      <c r="R234" s="241"/>
      <c r="S234" s="240"/>
      <c r="T234" s="113"/>
      <c r="U234" s="241"/>
      <c r="V234" s="240"/>
      <c r="W234" s="241"/>
      <c r="X234" s="240"/>
      <c r="Y234" s="113"/>
      <c r="Z234" s="241"/>
      <c r="AA234" s="240"/>
      <c r="AB234" s="241"/>
      <c r="AC234" s="240"/>
      <c r="AD234" s="113"/>
      <c r="AE234" s="241"/>
      <c r="AF234" s="240"/>
      <c r="AG234" s="114"/>
      <c r="AH234" s="114"/>
      <c r="AI234" s="141"/>
      <c r="AJ234" s="29"/>
      <c r="AK234" s="29"/>
      <c r="AL234" s="29"/>
      <c r="AM234" s="29"/>
      <c r="AN234" s="29"/>
      <c r="AO234" s="29"/>
      <c r="AP234" s="29"/>
    </row>
    <row r="235" spans="1:42" s="25" customFormat="1" x14ac:dyDescent="0.25">
      <c r="A235" s="242">
        <v>49</v>
      </c>
      <c r="B235" s="241">
        <v>0.33</v>
      </c>
      <c r="C235" s="240">
        <v>12.8</v>
      </c>
      <c r="D235" s="240"/>
      <c r="E235" s="240"/>
      <c r="F235" s="113"/>
      <c r="G235" s="260"/>
      <c r="H235" s="259"/>
      <c r="I235" s="240"/>
      <c r="J235" s="113"/>
      <c r="K235" s="241"/>
      <c r="L235" s="240"/>
      <c r="M235" s="241"/>
      <c r="N235" s="240"/>
      <c r="O235" s="113"/>
      <c r="P235" s="241"/>
      <c r="Q235" s="240"/>
      <c r="R235" s="241"/>
      <c r="S235" s="240"/>
      <c r="T235" s="113"/>
      <c r="U235" s="241"/>
      <c r="V235" s="240"/>
      <c r="W235" s="241"/>
      <c r="X235" s="240"/>
      <c r="Y235" s="113"/>
      <c r="Z235" s="241"/>
      <c r="AA235" s="240"/>
      <c r="AB235" s="241"/>
      <c r="AC235" s="240"/>
      <c r="AD235" s="113"/>
      <c r="AE235" s="241"/>
      <c r="AF235" s="240"/>
      <c r="AG235" s="114"/>
      <c r="AH235" s="114"/>
      <c r="AI235" s="141"/>
      <c r="AJ235" s="29"/>
      <c r="AK235" s="29"/>
      <c r="AL235" s="29"/>
      <c r="AM235" s="29"/>
      <c r="AN235" s="29"/>
      <c r="AO235" s="29"/>
      <c r="AP235" s="29"/>
    </row>
    <row r="236" spans="1:42" s="25" customFormat="1" x14ac:dyDescent="0.25">
      <c r="A236" s="242">
        <v>50</v>
      </c>
      <c r="B236" s="241">
        <v>0.4</v>
      </c>
      <c r="C236" s="240">
        <v>13.21</v>
      </c>
      <c r="D236" s="240"/>
      <c r="E236" s="240"/>
      <c r="F236" s="113"/>
      <c r="G236" s="241">
        <v>0.54</v>
      </c>
      <c r="H236" s="240">
        <v>12.79</v>
      </c>
      <c r="I236" s="240"/>
      <c r="J236" s="113"/>
      <c r="K236" s="241"/>
      <c r="L236" s="240"/>
      <c r="M236" s="241"/>
      <c r="N236" s="240"/>
      <c r="O236" s="113"/>
      <c r="P236" s="241"/>
      <c r="Q236" s="240"/>
      <c r="R236" s="241"/>
      <c r="S236" s="240"/>
      <c r="T236" s="113"/>
      <c r="U236" s="241"/>
      <c r="V236" s="240"/>
      <c r="W236" s="241"/>
      <c r="X236" s="240"/>
      <c r="Y236" s="113"/>
      <c r="Z236" s="241"/>
      <c r="AA236" s="240"/>
      <c r="AB236" s="241"/>
      <c r="AC236" s="240"/>
      <c r="AD236" s="113"/>
      <c r="AE236" s="241"/>
      <c r="AF236" s="240"/>
      <c r="AG236" s="114"/>
      <c r="AH236" s="114"/>
      <c r="AI236" s="141"/>
      <c r="AJ236" s="29"/>
      <c r="AK236" s="29"/>
      <c r="AL236" s="29"/>
      <c r="AM236" s="29"/>
      <c r="AN236" s="29"/>
      <c r="AO236" s="29"/>
      <c r="AP236" s="29"/>
    </row>
    <row r="237" spans="1:42" s="25" customFormat="1" x14ac:dyDescent="0.25">
      <c r="A237" s="167" t="s">
        <v>224</v>
      </c>
      <c r="B237" s="111">
        <f>SUM(B2:B236)</f>
        <v>99.989999999999966</v>
      </c>
      <c r="C237" s="153"/>
      <c r="D237" s="111">
        <f ca="1">SUM(D2:D236)</f>
        <v>98.380000000000038</v>
      </c>
      <c r="E237" s="153"/>
      <c r="F237" s="113"/>
      <c r="G237" s="111">
        <f>SUM(G2:G236)</f>
        <v>100</v>
      </c>
      <c r="H237" s="153"/>
      <c r="I237" s="153"/>
      <c r="J237" s="113"/>
      <c r="K237" s="111">
        <f>SUM(K3:K236)</f>
        <v>100.01</v>
      </c>
      <c r="L237" s="153"/>
      <c r="M237" s="111">
        <f ca="1">SUM(M2:M236)</f>
        <v>98.45999999999998</v>
      </c>
      <c r="N237" s="153"/>
      <c r="O237" s="113"/>
      <c r="P237" s="111">
        <f>SUM(P2:P236)</f>
        <v>100.00999999999995</v>
      </c>
      <c r="Q237" s="153"/>
      <c r="R237" s="111">
        <f>SUM(R2:R236)</f>
        <v>98.354999999999961</v>
      </c>
      <c r="S237" s="153"/>
      <c r="T237" s="113"/>
      <c r="U237" s="111">
        <f>SUM(U2:U236)</f>
        <v>99.999999999999986</v>
      </c>
      <c r="V237" s="153"/>
      <c r="W237" s="111">
        <f>SUM(W2:W236)</f>
        <v>101.63666666666663</v>
      </c>
      <c r="X237" s="153"/>
      <c r="Y237" s="113"/>
      <c r="Z237" s="111">
        <f>SUM(Z2:Z236)</f>
        <v>99.970000000000041</v>
      </c>
      <c r="AA237" s="153"/>
      <c r="AB237" s="111">
        <f>SUM(AB2:AB236)</f>
        <v>97.890000000000029</v>
      </c>
      <c r="AC237" s="153"/>
      <c r="AD237" s="113"/>
      <c r="AE237" s="111">
        <f>SUM(AE2:AE236)</f>
        <v>99.980000000000047</v>
      </c>
      <c r="AF237" s="153"/>
      <c r="AG237" s="111">
        <f>SUM(AG2:AG236)</f>
        <v>97.160000000000053</v>
      </c>
      <c r="AH237" s="158"/>
      <c r="AI237" s="141"/>
    </row>
    <row r="238" spans="1:42" x14ac:dyDescent="0.25">
      <c r="B238" s="138"/>
      <c r="C238" s="154"/>
      <c r="D238" s="154"/>
      <c r="E238" s="154"/>
      <c r="G238" s="138"/>
      <c r="H238" s="154"/>
      <c r="I238" s="154"/>
      <c r="K238" s="138"/>
      <c r="L238" s="154"/>
      <c r="M238" s="138"/>
      <c r="N238" s="154"/>
      <c r="P238" s="138"/>
      <c r="Q238" s="154"/>
      <c r="R238" s="138"/>
      <c r="S238" s="154"/>
      <c r="U238" s="138"/>
      <c r="V238" s="154"/>
      <c r="W238" s="138"/>
      <c r="X238" s="154"/>
      <c r="Z238" s="138"/>
      <c r="AA238" s="154"/>
      <c r="AB238" s="138"/>
      <c r="AC238" s="154"/>
      <c r="AE238" s="138"/>
      <c r="AF238" s="154"/>
    </row>
    <row r="239" spans="1:42" x14ac:dyDescent="0.25">
      <c r="A239" s="121" t="s">
        <v>399</v>
      </c>
      <c r="B239" s="147"/>
      <c r="C239" s="211"/>
      <c r="D239" s="211"/>
      <c r="E239" s="211"/>
      <c r="G239" s="147"/>
      <c r="H239" s="211"/>
      <c r="I239" s="211"/>
      <c r="P239" s="147"/>
      <c r="Q239" s="211"/>
      <c r="R239" s="147"/>
      <c r="S239" s="211"/>
      <c r="U239" s="138"/>
      <c r="V239" s="154"/>
      <c r="W239" s="138"/>
      <c r="X239" s="154"/>
      <c r="Z239" s="147"/>
      <c r="AA239" s="211"/>
      <c r="AB239" s="147"/>
      <c r="AC239" s="211"/>
    </row>
    <row r="240" spans="1:42" x14ac:dyDescent="0.25">
      <c r="B240" s="147"/>
      <c r="C240" s="211"/>
      <c r="D240" s="211"/>
      <c r="E240" s="211"/>
      <c r="G240" s="147"/>
      <c r="H240" s="211"/>
      <c r="I240" s="211"/>
      <c r="P240" s="147"/>
      <c r="Q240" s="211"/>
      <c r="R240" s="147"/>
      <c r="S240" s="211"/>
      <c r="U240" s="138"/>
      <c r="V240" s="154"/>
      <c r="W240" s="138"/>
      <c r="X240" s="154"/>
      <c r="Z240" s="147"/>
      <c r="AA240" s="211"/>
      <c r="AB240" s="147"/>
      <c r="AC240" s="211"/>
    </row>
    <row r="241" spans="2:29" x14ac:dyDescent="0.25">
      <c r="B241" s="147"/>
      <c r="C241" s="211"/>
      <c r="D241" s="211"/>
      <c r="E241" s="211"/>
      <c r="G241" s="147"/>
      <c r="H241" s="211"/>
      <c r="I241" s="211"/>
      <c r="P241" s="147"/>
      <c r="Q241" s="211"/>
      <c r="R241" s="147"/>
      <c r="S241" s="211"/>
      <c r="U241" s="138"/>
      <c r="V241" s="154"/>
      <c r="W241" s="138"/>
      <c r="X241" s="154"/>
      <c r="Z241" s="147"/>
      <c r="AA241" s="211"/>
      <c r="AB241" s="147"/>
      <c r="AC241" s="211"/>
    </row>
    <row r="242" spans="2:29" x14ac:dyDescent="0.25">
      <c r="B242" s="147"/>
      <c r="C242" s="211"/>
      <c r="D242" s="211"/>
      <c r="E242" s="211"/>
      <c r="G242" s="147"/>
      <c r="H242" s="211"/>
      <c r="I242" s="211"/>
      <c r="P242" s="147"/>
      <c r="Q242" s="211"/>
      <c r="R242" s="147"/>
      <c r="S242" s="211"/>
      <c r="U242" s="138"/>
      <c r="V242" s="154"/>
      <c r="W242" s="138"/>
      <c r="X242" s="154"/>
      <c r="Z242" s="147"/>
      <c r="AA242" s="211"/>
      <c r="AB242" s="147"/>
      <c r="AC242" s="211"/>
    </row>
    <row r="243" spans="2:29" x14ac:dyDescent="0.25">
      <c r="B243" s="147"/>
      <c r="C243" s="211"/>
      <c r="D243" s="211"/>
      <c r="E243" s="211"/>
      <c r="G243" s="147"/>
      <c r="H243" s="211"/>
      <c r="I243" s="211"/>
      <c r="P243" s="147"/>
      <c r="Q243" s="211"/>
      <c r="R243" s="147"/>
      <c r="S243" s="211"/>
      <c r="U243" s="138"/>
      <c r="V243" s="154"/>
      <c r="W243" s="138"/>
      <c r="X243" s="154"/>
      <c r="Z243" s="147"/>
      <c r="AA243" s="211"/>
      <c r="AB243" s="147"/>
      <c r="AC243" s="211"/>
    </row>
    <row r="244" spans="2:29" x14ac:dyDescent="0.25">
      <c r="B244" s="147"/>
      <c r="C244" s="211"/>
      <c r="D244" s="211"/>
      <c r="E244" s="211"/>
      <c r="G244" s="147"/>
      <c r="H244" s="211"/>
      <c r="I244" s="211"/>
      <c r="P244" s="147"/>
      <c r="Q244" s="211"/>
      <c r="R244" s="147"/>
      <c r="S244" s="211"/>
      <c r="U244" s="138"/>
      <c r="V244" s="154"/>
      <c r="W244" s="138"/>
      <c r="X244" s="154"/>
      <c r="Z244" s="147"/>
      <c r="AA244" s="211"/>
      <c r="AB244" s="147"/>
      <c r="AC244" s="211"/>
    </row>
  </sheetData>
  <mergeCells count="640">
    <mergeCell ref="N109:N110"/>
    <mergeCell ref="M109:M110"/>
    <mergeCell ref="E109:E110"/>
    <mergeCell ref="D109:D110"/>
    <mergeCell ref="P210:P226"/>
    <mergeCell ref="Q210:Q226"/>
    <mergeCell ref="C1:E1"/>
    <mergeCell ref="K1:N1"/>
    <mergeCell ref="P1:S1"/>
    <mergeCell ref="L27:L29"/>
    <mergeCell ref="K27:K29"/>
    <mergeCell ref="Q47:Q49"/>
    <mergeCell ref="P47:P49"/>
    <mergeCell ref="H98:H104"/>
    <mergeCell ref="H93:H97"/>
    <mergeCell ref="G93:G97"/>
    <mergeCell ref="H15:H19"/>
    <mergeCell ref="G40:G46"/>
    <mergeCell ref="G98:G104"/>
    <mergeCell ref="K8:K10"/>
    <mergeCell ref="P28:P29"/>
    <mergeCell ref="K17:K19"/>
    <mergeCell ref="L17:L19"/>
    <mergeCell ref="K23:K26"/>
    <mergeCell ref="U1:X1"/>
    <mergeCell ref="Z1:AC1"/>
    <mergeCell ref="AE1:AH1"/>
    <mergeCell ref="A1:B1"/>
    <mergeCell ref="V47:V49"/>
    <mergeCell ref="U47:U49"/>
    <mergeCell ref="G20:G22"/>
    <mergeCell ref="G38:G39"/>
    <mergeCell ref="H38:H39"/>
    <mergeCell ref="P40:P46"/>
    <mergeCell ref="Q40:Q46"/>
    <mergeCell ref="K40:K46"/>
    <mergeCell ref="U8:U10"/>
    <mergeCell ref="P20:P21"/>
    <mergeCell ref="Q20:Q21"/>
    <mergeCell ref="V18:V19"/>
    <mergeCell ref="U18:U19"/>
    <mergeCell ref="V23:V26"/>
    <mergeCell ref="U23:U26"/>
    <mergeCell ref="H40:H46"/>
    <mergeCell ref="AA47:AA49"/>
    <mergeCell ref="Q31:Q32"/>
    <mergeCell ref="K31:K32"/>
    <mergeCell ref="L31:L32"/>
    <mergeCell ref="V116:V118"/>
    <mergeCell ref="U116:U118"/>
    <mergeCell ref="Q77:Q78"/>
    <mergeCell ref="Q69:Q73"/>
    <mergeCell ref="P69:P73"/>
    <mergeCell ref="V75:V77"/>
    <mergeCell ref="U75:U77"/>
    <mergeCell ref="K112:K114"/>
    <mergeCell ref="V80:V88"/>
    <mergeCell ref="U80:U88"/>
    <mergeCell ref="Q116:Q118"/>
    <mergeCell ref="P116:P118"/>
    <mergeCell ref="Q101:Q104"/>
    <mergeCell ref="Q98:Q100"/>
    <mergeCell ref="U105:U106"/>
    <mergeCell ref="V105:V106"/>
    <mergeCell ref="V107:V114"/>
    <mergeCell ref="P107:P111"/>
    <mergeCell ref="Q107:Q111"/>
    <mergeCell ref="Q105:Q106"/>
    <mergeCell ref="L93:L97"/>
    <mergeCell ref="K93:K97"/>
    <mergeCell ref="L89:L92"/>
    <mergeCell ref="K89:K92"/>
    <mergeCell ref="Z77:Z78"/>
    <mergeCell ref="V93:V97"/>
    <mergeCell ref="Z69:Z74"/>
    <mergeCell ref="AA60:AA62"/>
    <mergeCell ref="U53:U59"/>
    <mergeCell ref="AE138:AE141"/>
    <mergeCell ref="AF154:AF160"/>
    <mergeCell ref="AA63:AA66"/>
    <mergeCell ref="Z63:Z66"/>
    <mergeCell ref="Z67:Z68"/>
    <mergeCell ref="AA67:AA68"/>
    <mergeCell ref="AA80:AA88"/>
    <mergeCell ref="AF108:AF111"/>
    <mergeCell ref="Z89:Z92"/>
    <mergeCell ref="AA89:AA92"/>
    <mergeCell ref="Z93:Z97"/>
    <mergeCell ref="AA93:AA97"/>
    <mergeCell ref="Z116:Z118"/>
    <mergeCell ref="AA116:AA118"/>
    <mergeCell ref="Z101:Z104"/>
    <mergeCell ref="AF146:AF149"/>
    <mergeCell ref="AF67:AF68"/>
    <mergeCell ref="AF89:AF92"/>
    <mergeCell ref="AF93:AF97"/>
    <mergeCell ref="K63:K66"/>
    <mergeCell ref="V78:V79"/>
    <mergeCell ref="U78:U79"/>
    <mergeCell ref="AA146:AA149"/>
    <mergeCell ref="Z154:Z160"/>
    <mergeCell ref="Q50:Q52"/>
    <mergeCell ref="P50:P52"/>
    <mergeCell ref="Q60:Q62"/>
    <mergeCell ref="V60:V62"/>
    <mergeCell ref="U60:U62"/>
    <mergeCell ref="Q67:Q68"/>
    <mergeCell ref="P67:P68"/>
    <mergeCell ref="V63:V66"/>
    <mergeCell ref="U63:U66"/>
    <mergeCell ref="V67:V68"/>
    <mergeCell ref="U67:U68"/>
    <mergeCell ref="U50:U52"/>
    <mergeCell ref="V53:V59"/>
    <mergeCell ref="V50:V52"/>
    <mergeCell ref="P101:P104"/>
    <mergeCell ref="Z53:Z59"/>
    <mergeCell ref="P98:P100"/>
    <mergeCell ref="U93:U97"/>
    <mergeCell ref="U89:U92"/>
    <mergeCell ref="H8:H10"/>
    <mergeCell ref="P31:P32"/>
    <mergeCell ref="G6:G7"/>
    <mergeCell ref="H6:H7"/>
    <mergeCell ref="V33:V39"/>
    <mergeCell ref="U33:U39"/>
    <mergeCell ref="P33:P37"/>
    <mergeCell ref="Q33:Q37"/>
    <mergeCell ref="P38:P39"/>
    <mergeCell ref="Q38:Q39"/>
    <mergeCell ref="Q3:Q4"/>
    <mergeCell ref="P8:P10"/>
    <mergeCell ref="Q8:Q10"/>
    <mergeCell ref="K13:K14"/>
    <mergeCell ref="L13:L14"/>
    <mergeCell ref="Q93:Q97"/>
    <mergeCell ref="P93:P97"/>
    <mergeCell ref="Q28:Q29"/>
    <mergeCell ref="Q89:Q92"/>
    <mergeCell ref="K80:K88"/>
    <mergeCell ref="L80:L88"/>
    <mergeCell ref="L8:L10"/>
    <mergeCell ref="Q53:Q59"/>
    <mergeCell ref="Q75:Q76"/>
    <mergeCell ref="P89:P92"/>
    <mergeCell ref="Q63:Q66"/>
    <mergeCell ref="Q80:Q88"/>
    <mergeCell ref="L23:L26"/>
    <mergeCell ref="L33:L37"/>
    <mergeCell ref="K33:K37"/>
    <mergeCell ref="K75:K76"/>
    <mergeCell ref="K77:K79"/>
    <mergeCell ref="L77:L79"/>
    <mergeCell ref="P63:P66"/>
    <mergeCell ref="H80:H88"/>
    <mergeCell ref="G53:G59"/>
    <mergeCell ref="H53:H59"/>
    <mergeCell ref="K67:K69"/>
    <mergeCell ref="L70:L74"/>
    <mergeCell ref="K70:K74"/>
    <mergeCell ref="P60:P62"/>
    <mergeCell ref="K20:K21"/>
    <mergeCell ref="L20:L21"/>
    <mergeCell ref="L47:L49"/>
    <mergeCell ref="L67:L69"/>
    <mergeCell ref="P53:P59"/>
    <mergeCell ref="P80:P88"/>
    <mergeCell ref="P77:P78"/>
    <mergeCell ref="H31:H37"/>
    <mergeCell ref="H23:H29"/>
    <mergeCell ref="L75:L76"/>
    <mergeCell ref="L40:L46"/>
    <mergeCell ref="K47:K49"/>
    <mergeCell ref="L54:L58"/>
    <mergeCell ref="K54:K58"/>
    <mergeCell ref="L60:L62"/>
    <mergeCell ref="K60:K62"/>
    <mergeCell ref="L63:L66"/>
    <mergeCell ref="AA3:AA5"/>
    <mergeCell ref="P17:P19"/>
    <mergeCell ref="Q17:Q19"/>
    <mergeCell ref="P23:P26"/>
    <mergeCell ref="Q23:Q26"/>
    <mergeCell ref="V98:V100"/>
    <mergeCell ref="U98:U100"/>
    <mergeCell ref="Z20:Z22"/>
    <mergeCell ref="AA20:AA22"/>
    <mergeCell ref="Z3:Z5"/>
    <mergeCell ref="Z8:Z10"/>
    <mergeCell ref="AA69:AA74"/>
    <mergeCell ref="Z38:Z39"/>
    <mergeCell ref="AA40:AA46"/>
    <mergeCell ref="Z40:Z46"/>
    <mergeCell ref="V40:V46"/>
    <mergeCell ref="U40:U46"/>
    <mergeCell ref="P75:P76"/>
    <mergeCell ref="V3:V5"/>
    <mergeCell ref="U3:U5"/>
    <mergeCell ref="V8:V10"/>
    <mergeCell ref="AA30:AA37"/>
    <mergeCell ref="AA51:AA52"/>
    <mergeCell ref="V89:V92"/>
    <mergeCell ref="V192:V195"/>
    <mergeCell ref="V190:V191"/>
    <mergeCell ref="V166:V174"/>
    <mergeCell ref="K167:K170"/>
    <mergeCell ref="K171:K174"/>
    <mergeCell ref="L171:L174"/>
    <mergeCell ref="Q175:Q177"/>
    <mergeCell ref="P175:P177"/>
    <mergeCell ref="P167:P174"/>
    <mergeCell ref="Q167:Q174"/>
    <mergeCell ref="P190:P195"/>
    <mergeCell ref="Q190:Q195"/>
    <mergeCell ref="U178:U189"/>
    <mergeCell ref="V178:V189"/>
    <mergeCell ref="L175:L177"/>
    <mergeCell ref="K175:K177"/>
    <mergeCell ref="U190:U191"/>
    <mergeCell ref="U175:U177"/>
    <mergeCell ref="U166:U174"/>
    <mergeCell ref="U192:U195"/>
    <mergeCell ref="V175:V177"/>
    <mergeCell ref="L190:L191"/>
    <mergeCell ref="K178:K183"/>
    <mergeCell ref="P178:P189"/>
    <mergeCell ref="K198:K201"/>
    <mergeCell ref="L198:L201"/>
    <mergeCell ref="L208:L209"/>
    <mergeCell ref="K208:K209"/>
    <mergeCell ref="K190:K191"/>
    <mergeCell ref="H198:H204"/>
    <mergeCell ref="G198:G204"/>
    <mergeCell ref="G178:G183"/>
    <mergeCell ref="H178:H183"/>
    <mergeCell ref="L202:L204"/>
    <mergeCell ref="H175:H177"/>
    <mergeCell ref="G175:G177"/>
    <mergeCell ref="H194:H197"/>
    <mergeCell ref="H190:H193"/>
    <mergeCell ref="G190:G193"/>
    <mergeCell ref="G194:G197"/>
    <mergeCell ref="G184:G189"/>
    <mergeCell ref="B178:B189"/>
    <mergeCell ref="C178:C189"/>
    <mergeCell ref="B175:B177"/>
    <mergeCell ref="C175:C177"/>
    <mergeCell ref="H184:H189"/>
    <mergeCell ref="B3:B4"/>
    <mergeCell ref="H20:H22"/>
    <mergeCell ref="V69:V74"/>
    <mergeCell ref="U69:U74"/>
    <mergeCell ref="C3:C4"/>
    <mergeCell ref="B12:B14"/>
    <mergeCell ref="Z15:Z19"/>
    <mergeCell ref="AA15:AA19"/>
    <mergeCell ref="Z23:Z29"/>
    <mergeCell ref="AA23:AA29"/>
    <mergeCell ref="Z30:Z37"/>
    <mergeCell ref="C30:C37"/>
    <mergeCell ref="B30:B37"/>
    <mergeCell ref="B23:B29"/>
    <mergeCell ref="C23:C29"/>
    <mergeCell ref="B6:B7"/>
    <mergeCell ref="C6:C7"/>
    <mergeCell ref="B8:B10"/>
    <mergeCell ref="P3:P4"/>
    <mergeCell ref="C8:C10"/>
    <mergeCell ref="B20:B22"/>
    <mergeCell ref="B15:B19"/>
    <mergeCell ref="C15:C19"/>
    <mergeCell ref="AA8:AA10"/>
    <mergeCell ref="C12:C14"/>
    <mergeCell ref="B38:B39"/>
    <mergeCell ref="C38:C39"/>
    <mergeCell ref="B69:B74"/>
    <mergeCell ref="B98:B100"/>
    <mergeCell ref="B101:B104"/>
    <mergeCell ref="C98:C100"/>
    <mergeCell ref="C101:C104"/>
    <mergeCell ref="C69:C74"/>
    <mergeCell ref="B53:B59"/>
    <mergeCell ref="B47:B49"/>
    <mergeCell ref="C47:C49"/>
    <mergeCell ref="B89:B92"/>
    <mergeCell ref="C93:C97"/>
    <mergeCell ref="B93:B97"/>
    <mergeCell ref="C89:C92"/>
    <mergeCell ref="B67:B68"/>
    <mergeCell ref="C67:C68"/>
    <mergeCell ref="C50:C52"/>
    <mergeCell ref="C53:C59"/>
    <mergeCell ref="B50:B52"/>
    <mergeCell ref="B75:B76"/>
    <mergeCell ref="C75:C76"/>
    <mergeCell ref="B77:B79"/>
    <mergeCell ref="C20:C22"/>
    <mergeCell ref="B138:B142"/>
    <mergeCell ref="B80:B88"/>
    <mergeCell ref="C80:C88"/>
    <mergeCell ref="B105:B111"/>
    <mergeCell ref="C105:C111"/>
    <mergeCell ref="B115:B118"/>
    <mergeCell ref="B112:B114"/>
    <mergeCell ref="C112:C114"/>
    <mergeCell ref="C115:C118"/>
    <mergeCell ref="B119:B132"/>
    <mergeCell ref="C119:C132"/>
    <mergeCell ref="C77:C79"/>
    <mergeCell ref="C60:C62"/>
    <mergeCell ref="B133:B137"/>
    <mergeCell ref="C63:C66"/>
    <mergeCell ref="B63:B66"/>
    <mergeCell ref="C133:C137"/>
    <mergeCell ref="C138:C142"/>
    <mergeCell ref="C40:C46"/>
    <mergeCell ref="B40:B46"/>
    <mergeCell ref="B60:B62"/>
    <mergeCell ref="B143:B145"/>
    <mergeCell ref="C143:C145"/>
    <mergeCell ref="B226:B232"/>
    <mergeCell ref="B218:B225"/>
    <mergeCell ref="C218:C225"/>
    <mergeCell ref="C226:C232"/>
    <mergeCell ref="B198:B204"/>
    <mergeCell ref="B190:B197"/>
    <mergeCell ref="C190:C197"/>
    <mergeCell ref="C198:C204"/>
    <mergeCell ref="B210:B217"/>
    <mergeCell ref="B205:B209"/>
    <mergeCell ref="C205:C209"/>
    <mergeCell ref="C210:C217"/>
    <mergeCell ref="C154:C160"/>
    <mergeCell ref="B154:B160"/>
    <mergeCell ref="C167:C174"/>
    <mergeCell ref="B150:B153"/>
    <mergeCell ref="C150:C153"/>
    <mergeCell ref="C146:C149"/>
    <mergeCell ref="B167:B174"/>
    <mergeCell ref="B146:B149"/>
    <mergeCell ref="B161:B166"/>
    <mergeCell ref="C161:C166"/>
    <mergeCell ref="K98:K104"/>
    <mergeCell ref="Q154:Q160"/>
    <mergeCell ref="Q135:Q137"/>
    <mergeCell ref="L98:L104"/>
    <mergeCell ref="G105:G111"/>
    <mergeCell ref="H105:H111"/>
    <mergeCell ref="P135:P137"/>
    <mergeCell ref="G115:G118"/>
    <mergeCell ref="H115:H118"/>
    <mergeCell ref="K115:K118"/>
    <mergeCell ref="L112:L114"/>
    <mergeCell ref="P119:P124"/>
    <mergeCell ref="Q119:Q124"/>
    <mergeCell ref="Q125:Q132"/>
    <mergeCell ref="P125:P132"/>
    <mergeCell ref="Q112:Q114"/>
    <mergeCell ref="P112:P114"/>
    <mergeCell ref="P133:P134"/>
    <mergeCell ref="Q133:Q134"/>
    <mergeCell ref="P154:P160"/>
    <mergeCell ref="K146:K149"/>
    <mergeCell ref="K154:K160"/>
    <mergeCell ref="L154:L160"/>
    <mergeCell ref="K124:K132"/>
    <mergeCell ref="K119:K123"/>
    <mergeCell ref="K105:K111"/>
    <mergeCell ref="L105:L111"/>
    <mergeCell ref="P105:P106"/>
    <mergeCell ref="G112:G114"/>
    <mergeCell ref="H112:H114"/>
    <mergeCell ref="H138:H145"/>
    <mergeCell ref="U107:U114"/>
    <mergeCell ref="L115:L118"/>
    <mergeCell ref="G119:G132"/>
    <mergeCell ref="H119:H132"/>
    <mergeCell ref="G133:G137"/>
    <mergeCell ref="H133:H137"/>
    <mergeCell ref="U119:U123"/>
    <mergeCell ref="U124:U132"/>
    <mergeCell ref="L124:L132"/>
    <mergeCell ref="L138:L141"/>
    <mergeCell ref="K138:K141"/>
    <mergeCell ref="P138:P142"/>
    <mergeCell ref="Q138:Q142"/>
    <mergeCell ref="K134:K137"/>
    <mergeCell ref="K143:K145"/>
    <mergeCell ref="L134:L137"/>
    <mergeCell ref="L143:L145"/>
    <mergeCell ref="G167:G174"/>
    <mergeCell ref="H167:H174"/>
    <mergeCell ref="H161:H166"/>
    <mergeCell ref="G150:G153"/>
    <mergeCell ref="H150:H153"/>
    <mergeCell ref="G138:G145"/>
    <mergeCell ref="H146:H149"/>
    <mergeCell ref="G146:G149"/>
    <mergeCell ref="H154:H160"/>
    <mergeCell ref="G154:G160"/>
    <mergeCell ref="G161:G166"/>
    <mergeCell ref="P205:P209"/>
    <mergeCell ref="Q205:Q209"/>
    <mergeCell ref="P196:P204"/>
    <mergeCell ref="Q196:Q204"/>
    <mergeCell ref="L178:L183"/>
    <mergeCell ref="G233:G235"/>
    <mergeCell ref="H233:H235"/>
    <mergeCell ref="G226:G232"/>
    <mergeCell ref="H226:H232"/>
    <mergeCell ref="G218:G225"/>
    <mergeCell ref="H218:H225"/>
    <mergeCell ref="G210:G217"/>
    <mergeCell ref="H210:H217"/>
    <mergeCell ref="G205:G209"/>
    <mergeCell ref="H205:H209"/>
    <mergeCell ref="L218:L225"/>
    <mergeCell ref="K218:K225"/>
    <mergeCell ref="K210:K213"/>
    <mergeCell ref="L210:L213"/>
    <mergeCell ref="K214:K217"/>
    <mergeCell ref="L214:L217"/>
    <mergeCell ref="K194:K195"/>
    <mergeCell ref="L194:L195"/>
    <mergeCell ref="K202:K204"/>
    <mergeCell ref="Z60:Z62"/>
    <mergeCell ref="AE175:AE177"/>
    <mergeCell ref="AF175:AF177"/>
    <mergeCell ref="AA38:AA39"/>
    <mergeCell ref="Z80:Z88"/>
    <mergeCell ref="AA107:AA111"/>
    <mergeCell ref="Z107:Z111"/>
    <mergeCell ref="Z105:Z106"/>
    <mergeCell ref="AA105:AA106"/>
    <mergeCell ref="AE108:AE111"/>
    <mergeCell ref="AF113:AF114"/>
    <mergeCell ref="AE113:AE114"/>
    <mergeCell ref="AF116:AF118"/>
    <mergeCell ref="AE116:AE118"/>
    <mergeCell ref="AE150:AE153"/>
    <mergeCell ref="AF150:AF153"/>
    <mergeCell ref="AE142:AE145"/>
    <mergeCell ref="AF142:AF145"/>
    <mergeCell ref="AE135:AE137"/>
    <mergeCell ref="AF135:AF137"/>
    <mergeCell ref="AE56:AE59"/>
    <mergeCell ref="AE63:AE66"/>
    <mergeCell ref="AA53:AA59"/>
    <mergeCell ref="AA77:AA78"/>
    <mergeCell ref="AA101:AA104"/>
    <mergeCell ref="V200:V204"/>
    <mergeCell ref="V196:V199"/>
    <mergeCell ref="U196:U199"/>
    <mergeCell ref="U200:U204"/>
    <mergeCell ref="AE6:AE7"/>
    <mergeCell ref="AF6:AF7"/>
    <mergeCell ref="AE27:AE30"/>
    <mergeCell ref="AF27:AF30"/>
    <mergeCell ref="AF23:AF26"/>
    <mergeCell ref="AE23:AE26"/>
    <mergeCell ref="AE53:AE55"/>
    <mergeCell ref="AF53:AF55"/>
    <mergeCell ref="AF47:AF49"/>
    <mergeCell ref="AE47:AE49"/>
    <mergeCell ref="AE12:AE13"/>
    <mergeCell ref="AF12:AF13"/>
    <mergeCell ref="AE18:AE19"/>
    <mergeCell ref="AE14:AE17"/>
    <mergeCell ref="AF9:AF10"/>
    <mergeCell ref="AE9:AE10"/>
    <mergeCell ref="AE31:AE36"/>
    <mergeCell ref="AF31:AF36"/>
    <mergeCell ref="AF63:AF66"/>
    <mergeCell ref="Q178:Q189"/>
    <mergeCell ref="K184:K189"/>
    <mergeCell ref="L184:L189"/>
    <mergeCell ref="Z133:Z134"/>
    <mergeCell ref="AA133:AA134"/>
    <mergeCell ref="K150:K153"/>
    <mergeCell ref="L150:L153"/>
    <mergeCell ref="L167:L170"/>
    <mergeCell ref="AA150:AA153"/>
    <mergeCell ref="Z150:Z153"/>
    <mergeCell ref="Z175:Z176"/>
    <mergeCell ref="AA175:AA176"/>
    <mergeCell ref="Z178:Z183"/>
    <mergeCell ref="Z167:Z174"/>
    <mergeCell ref="V161:V165"/>
    <mergeCell ref="U161:U165"/>
    <mergeCell ref="L161:L165"/>
    <mergeCell ref="K161:K165"/>
    <mergeCell ref="P161:P165"/>
    <mergeCell ref="V154:V160"/>
    <mergeCell ref="U154:U160"/>
    <mergeCell ref="V150:V152"/>
    <mergeCell ref="U150:U152"/>
    <mergeCell ref="Z146:Z149"/>
    <mergeCell ref="Q161:Q165"/>
    <mergeCell ref="U101:U104"/>
    <mergeCell ref="AF38:AF39"/>
    <mergeCell ref="AE38:AE39"/>
    <mergeCell ref="AF40:AF46"/>
    <mergeCell ref="AE40:AE46"/>
    <mergeCell ref="V27:V28"/>
    <mergeCell ref="U27:U28"/>
    <mergeCell ref="V30:V32"/>
    <mergeCell ref="Z119:Z132"/>
    <mergeCell ref="U30:U32"/>
    <mergeCell ref="V101:V104"/>
    <mergeCell ref="V119:V123"/>
    <mergeCell ref="Z47:Z49"/>
    <mergeCell ref="Z51:Z52"/>
    <mergeCell ref="AE60:AE62"/>
    <mergeCell ref="AE67:AE68"/>
    <mergeCell ref="AE89:AE92"/>
    <mergeCell ref="AE93:AE97"/>
    <mergeCell ref="AE80:AE87"/>
    <mergeCell ref="AE77:AE78"/>
    <mergeCell ref="Z112:Z114"/>
    <mergeCell ref="AA112:AA114"/>
    <mergeCell ref="Q150:Q153"/>
    <mergeCell ref="AF14:AF17"/>
    <mergeCell ref="AF18:AF19"/>
    <mergeCell ref="AF50:AF51"/>
    <mergeCell ref="AE50:AE51"/>
    <mergeCell ref="AF69:AF74"/>
    <mergeCell ref="AE69:AE74"/>
    <mergeCell ref="AF101:AF103"/>
    <mergeCell ref="AE101:AE103"/>
    <mergeCell ref="AF60:AF62"/>
    <mergeCell ref="AF56:AF59"/>
    <mergeCell ref="AF80:AF87"/>
    <mergeCell ref="AF77:AF78"/>
    <mergeCell ref="V135:V136"/>
    <mergeCell ref="U135:U136"/>
    <mergeCell ref="U138:U145"/>
    <mergeCell ref="AA119:AA132"/>
    <mergeCell ref="V138:V145"/>
    <mergeCell ref="L146:L149"/>
    <mergeCell ref="L119:L123"/>
    <mergeCell ref="V124:V132"/>
    <mergeCell ref="P150:P153"/>
    <mergeCell ref="V146:V149"/>
    <mergeCell ref="U146:U149"/>
    <mergeCell ref="P143:P145"/>
    <mergeCell ref="P146:P149"/>
    <mergeCell ref="Q146:Q149"/>
    <mergeCell ref="Q143:Q145"/>
    <mergeCell ref="Z184:Z189"/>
    <mergeCell ref="AA184:AA189"/>
    <mergeCell ref="AA178:AA183"/>
    <mergeCell ref="AE178:AE179"/>
    <mergeCell ref="AF178:AF179"/>
    <mergeCell ref="AE180:AE186"/>
    <mergeCell ref="AF180:AF186"/>
    <mergeCell ref="AA167:AA174"/>
    <mergeCell ref="AF119:AF132"/>
    <mergeCell ref="AE168:AE174"/>
    <mergeCell ref="AF168:AF174"/>
    <mergeCell ref="AA154:AA160"/>
    <mergeCell ref="AE119:AE132"/>
    <mergeCell ref="AA161:AA165"/>
    <mergeCell ref="AA135:AA136"/>
    <mergeCell ref="Z135:Z136"/>
    <mergeCell ref="AA138:AA145"/>
    <mergeCell ref="Z138:Z145"/>
    <mergeCell ref="AE154:AE160"/>
    <mergeCell ref="AF161:AF165"/>
    <mergeCell ref="AE161:AE165"/>
    <mergeCell ref="AE146:AE149"/>
    <mergeCell ref="AF138:AF141"/>
    <mergeCell ref="Z161:Z165"/>
    <mergeCell ref="A3:A4"/>
    <mergeCell ref="A6:A7"/>
    <mergeCell ref="A8:A10"/>
    <mergeCell ref="A12:A14"/>
    <mergeCell ref="A15:A19"/>
    <mergeCell ref="A20:A22"/>
    <mergeCell ref="A23:A29"/>
    <mergeCell ref="A30:A37"/>
    <mergeCell ref="A38:A39"/>
    <mergeCell ref="A40:A46"/>
    <mergeCell ref="A47:A49"/>
    <mergeCell ref="A50:A52"/>
    <mergeCell ref="A53:A59"/>
    <mergeCell ref="A60:A62"/>
    <mergeCell ref="A63:A66"/>
    <mergeCell ref="A67:A68"/>
    <mergeCell ref="A69:A74"/>
    <mergeCell ref="A75:A76"/>
    <mergeCell ref="A77:A79"/>
    <mergeCell ref="A80:A88"/>
    <mergeCell ref="A89:A92"/>
    <mergeCell ref="A93:A97"/>
    <mergeCell ref="A98:A100"/>
    <mergeCell ref="A101:A104"/>
    <mergeCell ref="A105:A111"/>
    <mergeCell ref="A112:A114"/>
    <mergeCell ref="A115:A118"/>
    <mergeCell ref="A175:A177"/>
    <mergeCell ref="A178:A189"/>
    <mergeCell ref="A190:A197"/>
    <mergeCell ref="A198:A204"/>
    <mergeCell ref="A205:A209"/>
    <mergeCell ref="A210:A217"/>
    <mergeCell ref="A218:A225"/>
    <mergeCell ref="A226:A232"/>
    <mergeCell ref="A119:A132"/>
    <mergeCell ref="A133:A137"/>
    <mergeCell ref="A138:A142"/>
    <mergeCell ref="A143:A145"/>
    <mergeCell ref="A146:A149"/>
    <mergeCell ref="A150:A153"/>
    <mergeCell ref="A154:A160"/>
    <mergeCell ref="A161:A166"/>
    <mergeCell ref="A167:A174"/>
    <mergeCell ref="G1:I1"/>
    <mergeCell ref="G47:G49"/>
    <mergeCell ref="H47:H49"/>
    <mergeCell ref="G60:G66"/>
    <mergeCell ref="H60:H66"/>
    <mergeCell ref="H67:H74"/>
    <mergeCell ref="G67:G74"/>
    <mergeCell ref="H89:H92"/>
    <mergeCell ref="G89:G92"/>
    <mergeCell ref="G80:G88"/>
    <mergeCell ref="G31:G37"/>
    <mergeCell ref="G23:G29"/>
    <mergeCell ref="G50:G52"/>
    <mergeCell ref="H50:H52"/>
    <mergeCell ref="H77:H79"/>
    <mergeCell ref="G77:G79"/>
    <mergeCell ref="G75:G76"/>
    <mergeCell ref="H75:H76"/>
    <mergeCell ref="G3:G4"/>
    <mergeCell ref="H3:H4"/>
    <mergeCell ref="G12:G14"/>
    <mergeCell ref="G8:G10"/>
    <mergeCell ref="H12:H14"/>
    <mergeCell ref="G15:G19"/>
  </mergeCells>
  <pageMargins left="0.7" right="0.7" top="0.75" bottom="0.75" header="0.3" footer="0.3"/>
  <pageSetup paperSize="8" scale="37" fitToHeight="0" orientation="portrait" r:id="rId1"/>
  <ignoredErrors>
    <ignoredError sqref="AO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Areas</vt:lpstr>
      <vt:lpstr>WCL CTRL</vt:lpstr>
      <vt:lpstr>WCL Treated</vt:lpstr>
      <vt:lpstr>Membrane CTRL</vt:lpstr>
      <vt:lpstr>Membrane Treated</vt:lpstr>
      <vt:lpstr>EV CTRL</vt:lpstr>
      <vt:lpstr>EV Treated</vt:lpstr>
      <vt:lpstr>Cytoplasm CTRL</vt:lpstr>
      <vt:lpstr>Cytoplasm Treated</vt:lpstr>
      <vt:lpstr>'Cytoplasm CTRL'!Print_Area</vt:lpstr>
      <vt:lpstr>'Cytoplasm Treated'!Print_Area</vt:lpstr>
      <vt:lpstr>'EV CTRL'!Print_Area</vt:lpstr>
      <vt:lpstr>'EV Treated'!Print_Area</vt:lpstr>
      <vt:lpstr>'Membrane CTRL'!Print_Area</vt:lpstr>
      <vt:lpstr>'Membrane Treated'!Print_Area</vt:lpstr>
      <vt:lpstr>'WCL CTRL'!Print_Area</vt:lpstr>
      <vt:lpstr>'WCL Treated'!Print_Area</vt:lpstr>
    </vt:vector>
  </TitlesOfParts>
  <Company>UCD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Kavanagh</dc:creator>
  <cp:lastModifiedBy>Emma Kavanagh</cp:lastModifiedBy>
  <cp:lastPrinted>2018-11-06T14:17:29Z</cp:lastPrinted>
  <dcterms:created xsi:type="dcterms:W3CDTF">2018-02-19T12:55:03Z</dcterms:created>
  <dcterms:modified xsi:type="dcterms:W3CDTF">2018-12-03T14:56:49Z</dcterms:modified>
</cp:coreProperties>
</file>