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roult\Desktop\Article\Article 6 Hugo Groult_structure fonction HEP IONP\Final Manuscript\Round 2\Round 3\Round 4\Janvier 2020\Figures\"/>
    </mc:Choice>
  </mc:AlternateContent>
  <bookViews>
    <workbookView xWindow="0" yWindow="0" windowWidth="28800" windowHeight="12300"/>
  </bookViews>
  <sheets>
    <sheet name="Calcul of density" sheetId="1" r:id="rId1"/>
    <sheet name="Theoric height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2" i="2"/>
  <c r="B55" i="2" l="1"/>
  <c r="B54" i="2"/>
  <c r="B53" i="2"/>
  <c r="B52" i="2"/>
  <c r="B51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5" i="2"/>
  <c r="A25" i="2"/>
  <c r="B24" i="2"/>
  <c r="A24" i="2"/>
  <c r="B23" i="2"/>
  <c r="A23" i="2"/>
  <c r="B22" i="2"/>
  <c r="A22" i="2"/>
  <c r="B21" i="2"/>
  <c r="A21" i="2"/>
  <c r="L10" i="2"/>
  <c r="L6" i="2"/>
  <c r="M6" i="2" s="1"/>
  <c r="H6" i="2"/>
  <c r="I6" i="2" s="1"/>
  <c r="G6" i="2"/>
  <c r="E6" i="2"/>
  <c r="K6" i="2" s="1"/>
  <c r="L5" i="2"/>
  <c r="M5" i="2" s="1"/>
  <c r="H5" i="2"/>
  <c r="I5" i="2" s="1"/>
  <c r="G5" i="2"/>
  <c r="E5" i="2"/>
  <c r="K5" i="2" s="1"/>
  <c r="L4" i="2"/>
  <c r="M4" i="2" s="1"/>
  <c r="H4" i="2"/>
  <c r="I4" i="2" s="1"/>
  <c r="G4" i="2"/>
  <c r="E4" i="2"/>
  <c r="K4" i="2" s="1"/>
  <c r="L3" i="2"/>
  <c r="M3" i="2" s="1"/>
  <c r="H3" i="2"/>
  <c r="I3" i="2" s="1"/>
  <c r="G3" i="2"/>
  <c r="E3" i="2"/>
  <c r="K3" i="2" s="1"/>
  <c r="L2" i="2"/>
  <c r="M2" i="2" s="1"/>
  <c r="H2" i="2"/>
  <c r="I2" i="2" s="1"/>
  <c r="G2" i="2"/>
  <c r="E2" i="2"/>
  <c r="K2" i="2" s="1"/>
  <c r="N6" i="1"/>
  <c r="L6" i="1"/>
  <c r="E6" i="1"/>
  <c r="D6" i="1"/>
  <c r="F6" i="1" s="1"/>
  <c r="G6" i="1" s="1"/>
  <c r="N5" i="1"/>
  <c r="L5" i="1"/>
  <c r="E5" i="1"/>
  <c r="D5" i="1"/>
  <c r="F5" i="1" s="1"/>
  <c r="G5" i="1" s="1"/>
  <c r="N4" i="1"/>
  <c r="L4" i="1"/>
  <c r="E4" i="1"/>
  <c r="D4" i="1"/>
  <c r="F4" i="1" s="1"/>
  <c r="G4" i="1" s="1"/>
  <c r="N3" i="1"/>
  <c r="L3" i="1"/>
  <c r="E3" i="1"/>
  <c r="D3" i="1"/>
  <c r="F3" i="1" s="1"/>
  <c r="G3" i="1" s="1"/>
  <c r="N2" i="1"/>
  <c r="L2" i="1"/>
  <c r="E2" i="1"/>
  <c r="D2" i="1"/>
  <c r="F2" i="1" s="1"/>
  <c r="G2" i="1" s="1"/>
  <c r="I2" i="1" l="1"/>
  <c r="H2" i="1"/>
  <c r="M2" i="1" s="1"/>
  <c r="I3" i="1"/>
  <c r="H3" i="1"/>
  <c r="M3" i="1" s="1"/>
  <c r="I5" i="1"/>
  <c r="H5" i="1"/>
  <c r="M5" i="1" s="1"/>
  <c r="O5" i="1" s="1"/>
  <c r="P5" i="1" s="1"/>
  <c r="I6" i="1"/>
  <c r="H6" i="1"/>
  <c r="M6" i="1" s="1"/>
  <c r="H4" i="1"/>
  <c r="M4" i="1" s="1"/>
  <c r="O4" i="1" s="1"/>
  <c r="P4" i="1" s="1"/>
  <c r="I4" i="1"/>
  <c r="O6" i="1" l="1"/>
  <c r="P6" i="1" s="1"/>
  <c r="O2" i="1"/>
  <c r="P2" i="1" s="1"/>
  <c r="O3" i="1"/>
  <c r="P3" i="1" s="1"/>
</calcChain>
</file>

<file path=xl/sharedStrings.xml><?xml version="1.0" encoding="utf-8"?>
<sst xmlns="http://schemas.openxmlformats.org/spreadsheetml/2006/main" count="47" uniqueCount="45">
  <si>
    <t>Time</t>
  </si>
  <si>
    <t>Mw (KDa)</t>
  </si>
  <si>
    <t>Core Size (nm)</t>
  </si>
  <si>
    <t>Volume (nm3)</t>
  </si>
  <si>
    <t>Surface (nm2)</t>
  </si>
  <si>
    <t>Volume (cm3)</t>
  </si>
  <si>
    <t>Magnetite weight (sphere) mg</t>
  </si>
  <si>
    <t>Fe weight (sphere) mg</t>
  </si>
  <si>
    <t>Hydrodynamic Size (nm)</t>
  </si>
  <si>
    <t>[HEP] mg/mL</t>
  </si>
  <si>
    <t>[Fe] mg/mL</t>
  </si>
  <si>
    <t>Ratio</t>
  </si>
  <si>
    <t>Nbr NP /ml</t>
  </si>
  <si>
    <t>Nbr Hep /ml</t>
  </si>
  <si>
    <t>Nr heparin/NP</t>
  </si>
  <si>
    <t>Nr heparin/nm2</t>
  </si>
  <si>
    <t>Magnetite</t>
  </si>
  <si>
    <t>1 cm3 pèse  5170 mg</t>
  </si>
  <si>
    <t>Maghemite</t>
  </si>
  <si>
    <t>1 cm3 pèse  4480 mg</t>
  </si>
  <si>
    <t>O weight (sphere) mg</t>
  </si>
  <si>
    <t>HEP-ESIONPs</t>
  </si>
  <si>
    <t>HEP0-ESIONP</t>
  </si>
  <si>
    <t>HEP4-ESIONP</t>
  </si>
  <si>
    <t>HEP8-ESIONP</t>
  </si>
  <si>
    <t>HEP12-ESIONP</t>
  </si>
  <si>
    <t>HEP24-ESIONP</t>
  </si>
  <si>
    <t>DP</t>
  </si>
  <si>
    <t>Height (nm)</t>
  </si>
  <si>
    <t>Lit, height (nm)</t>
  </si>
  <si>
    <t>Lit, HD (nm)</t>
  </si>
  <si>
    <t>Max Height (nm)</t>
  </si>
  <si>
    <t>Rc</t>
  </si>
  <si>
    <t>Height c</t>
  </si>
  <si>
    <t>Density</t>
  </si>
  <si>
    <t>DP = 0,5 nm</t>
  </si>
  <si>
    <t>Nu *</t>
  </si>
  <si>
    <t xml:space="preserve">Max HD (nm) </t>
  </si>
  <si>
    <t>Size</t>
  </si>
  <si>
    <r>
      <t>Plot to find the DP</t>
    </r>
    <r>
      <rPr>
        <b/>
        <vertAlign val="superscript"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relationship</t>
    </r>
  </si>
  <si>
    <t>Size of free HO according to their DP, provided by S. Khan and coworkers</t>
  </si>
  <si>
    <t>Extrapolation of the equation obtained in the [10-45] DP range</t>
  </si>
  <si>
    <t>Theoric SDPB H</t>
  </si>
  <si>
    <t xml:space="preserve">Theoric SDPB </t>
  </si>
  <si>
    <t>Scale with the expected n= 1/5 according to  MWC-WZ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</si>
</sst>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0" fillId="0" borderId="0" xfId="0" applyFill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/>
    <xf numFmtId="0" fontId="0" fillId="0" borderId="2" xfId="0" applyFill="1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317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290141374985224"/>
                  <c:y val="0.322779426726660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'Theoric heights'!$A$21:$A$25</c:f>
              <c:numCache>
                <c:formatCode>0.00</c:formatCode>
                <c:ptCount val="5"/>
                <c:pt idx="0">
                  <c:v>1.0791812460476249</c:v>
                </c:pt>
                <c:pt idx="1">
                  <c:v>1.255272505103306</c:v>
                </c:pt>
                <c:pt idx="2">
                  <c:v>1.3802112417116059</c:v>
                </c:pt>
                <c:pt idx="3">
                  <c:v>1.4771212547196624</c:v>
                </c:pt>
                <c:pt idx="4">
                  <c:v>1.5563025007672873</c:v>
                </c:pt>
              </c:numCache>
            </c:numRef>
          </c:xVal>
          <c:yVal>
            <c:numRef>
              <c:f>'Theoric heights'!$B$21:$B$25</c:f>
              <c:numCache>
                <c:formatCode>0.00</c:formatCode>
                <c:ptCount val="5"/>
                <c:pt idx="0">
                  <c:v>0.77815125038364363</c:v>
                </c:pt>
                <c:pt idx="1">
                  <c:v>0.86923171973097624</c:v>
                </c:pt>
                <c:pt idx="2">
                  <c:v>0.97312785359969867</c:v>
                </c:pt>
                <c:pt idx="3">
                  <c:v>1.0128372247051722</c:v>
                </c:pt>
                <c:pt idx="4">
                  <c:v>1.0899051114393981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10-4313-B38B-96EC78FB2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861440"/>
        <c:axId val="871865600"/>
      </c:scatterChart>
      <c:valAx>
        <c:axId val="87186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Log (DP)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71865600"/>
        <c:crosses val="autoZero"/>
        <c:crossBetween val="midCat"/>
      </c:valAx>
      <c:valAx>
        <c:axId val="87186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Log (Size of heparin)</a:t>
                </a:r>
              </a:p>
            </c:rich>
          </c:tx>
          <c:layout>
            <c:manualLayout>
              <c:xMode val="edge"/>
              <c:yMode val="edge"/>
              <c:x val="2.9206856758075697E-3"/>
              <c:y val="0.11305974645242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.00" sourceLinked="1"/>
        <c:majorTickMark val="in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71861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317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290141374985224"/>
                  <c:y val="0.322779426726660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'Theoric heights'!$J$2:$J$6</c:f>
              <c:numCache>
                <c:formatCode>0.0</c:formatCode>
                <c:ptCount val="5"/>
                <c:pt idx="0">
                  <c:v>5.575579364340733</c:v>
                </c:pt>
                <c:pt idx="1">
                  <c:v>4.3745945759009857</c:v>
                </c:pt>
                <c:pt idx="2">
                  <c:v>3.9749465929729086</c:v>
                </c:pt>
                <c:pt idx="3">
                  <c:v>3.4658742445945774</c:v>
                </c:pt>
                <c:pt idx="4">
                  <c:v>2.6976321139610584</c:v>
                </c:pt>
              </c:numCache>
            </c:numRef>
          </c:xVal>
          <c:yVal>
            <c:numRef>
              <c:f>'Theoric heights'!$K$2:$K$6</c:f>
              <c:numCache>
                <c:formatCode>0.0</c:formatCode>
                <c:ptCount val="5"/>
                <c:pt idx="0">
                  <c:v>1.2658065081191603</c:v>
                </c:pt>
                <c:pt idx="1">
                  <c:v>0.95762145207542038</c:v>
                </c:pt>
                <c:pt idx="2">
                  <c:v>0.92425548730804663</c:v>
                </c:pt>
                <c:pt idx="3">
                  <c:v>0.85401282819828861</c:v>
                </c:pt>
                <c:pt idx="4">
                  <c:v>0.84233783769449178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91-AE28-541DAE99E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861440"/>
        <c:axId val="871865600"/>
      </c:scatterChart>
      <c:valAx>
        <c:axId val="87186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Log [(DP</a:t>
                </a:r>
                <a:r>
                  <a:rPr lang="en-US" sz="1200" b="1" baseline="30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3</a:t>
                </a: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R</a:t>
                </a:r>
                <a:r>
                  <a:rPr lang="en-US" sz="1200" b="1" baseline="-25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NP</a:t>
                </a:r>
                <a:r>
                  <a:rPr lang="en-US" sz="1200" b="1" baseline="30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2/5</a:t>
                </a:r>
                <a:r>
                  <a:rPr lang="en-US" sz="1200" b="1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fr-FR" sz="1200" b="1" i="0" u="none" strike="noStrike" baseline="0">
                    <a:effectLst/>
                  </a:rPr>
                  <a:t>σ)</a:t>
                </a:r>
                <a:r>
                  <a:rPr lang="en-US" sz="1200" b="1" i="0" u="none" strike="noStrike" baseline="0">
                    <a:solidFill>
                      <a:sysClr val="windowText" lastClr="000000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]</a:t>
                </a:r>
                <a:endParaRPr lang="en-US" sz="1200" b="1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71865600"/>
        <c:crosses val="autoZero"/>
        <c:crossBetween val="midCat"/>
      </c:valAx>
      <c:valAx>
        <c:axId val="87186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Log (h)</a:t>
                </a:r>
              </a:p>
            </c:rich>
          </c:tx>
          <c:layout>
            <c:manualLayout>
              <c:xMode val="edge"/>
              <c:yMode val="edge"/>
              <c:x val="2.9206856758075697E-3"/>
              <c:y val="0.11305974645242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71861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12</xdr:row>
      <xdr:rowOff>57150</xdr:rowOff>
    </xdr:from>
    <xdr:to>
      <xdr:col>6</xdr:col>
      <xdr:colOff>428625</xdr:colOff>
      <xdr:row>27</xdr:row>
      <xdr:rowOff>38100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771525</xdr:colOff>
      <xdr:row>12</xdr:row>
      <xdr:rowOff>76200</xdr:rowOff>
    </xdr:from>
    <xdr:to>
      <xdr:col>11</xdr:col>
      <xdr:colOff>866775</xdr:colOff>
      <xdr:row>27</xdr:row>
      <xdr:rowOff>57150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F30" sqref="F30"/>
    </sheetView>
  </sheetViews>
  <sheetFormatPr baseColWidth="10" defaultRowHeight="15" x14ac:dyDescent="0.25"/>
  <cols>
    <col min="1" max="1" width="13.140625" customWidth="1"/>
    <col min="3" max="3" width="16.42578125" customWidth="1"/>
    <col min="4" max="4" width="18.7109375" customWidth="1"/>
    <col min="5" max="5" width="17.140625" customWidth="1"/>
    <col min="6" max="6" width="15" customWidth="1"/>
    <col min="7" max="7" width="30.5703125" customWidth="1"/>
    <col min="8" max="8" width="21.140625" customWidth="1"/>
    <col min="9" max="9" width="22.7109375" customWidth="1"/>
    <col min="10" max="10" width="15" customWidth="1"/>
    <col min="13" max="14" width="12" bestFit="1" customWidth="1"/>
    <col min="15" max="15" width="16.42578125" customWidth="1"/>
    <col min="16" max="16" width="19.28515625" customWidth="1"/>
  </cols>
  <sheetData>
    <row r="1" spans="1:16" x14ac:dyDescent="0.25">
      <c r="A1" s="8" t="s">
        <v>21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20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0" t="s">
        <v>14</v>
      </c>
      <c r="P1" s="10" t="s">
        <v>15</v>
      </c>
    </row>
    <row r="2" spans="1:16" x14ac:dyDescent="0.25">
      <c r="A2" s="1" t="s">
        <v>22</v>
      </c>
      <c r="B2" s="11">
        <v>12.7258970389446</v>
      </c>
      <c r="C2" s="11">
        <v>6.5501282051282042</v>
      </c>
      <c r="D2" s="2">
        <f>4/3*3.14159265359*(C2/2)^3</f>
        <v>147.14585193157393</v>
      </c>
      <c r="E2" s="2">
        <f>4*3.14159265359*(C2/2)^2</f>
        <v>134.78745513686678</v>
      </c>
      <c r="F2" s="2">
        <f>D2/1E+21</f>
        <v>1.4714585193157394E-19</v>
      </c>
      <c r="G2" s="2">
        <f>F2*4480</f>
        <v>6.5921341665345127E-16</v>
      </c>
      <c r="H2" s="2">
        <f>G2*3*55.845/231.533</f>
        <v>4.7700034016332852E-16</v>
      </c>
      <c r="I2" s="2">
        <f>G2*4*16/231.533</f>
        <v>1.8221877082671102E-16</v>
      </c>
      <c r="J2" s="7">
        <v>12.55</v>
      </c>
      <c r="K2" s="3">
        <v>0.91414001379969634</v>
      </c>
      <c r="L2" s="3">
        <f>J2/K2</f>
        <v>13.72875031236727</v>
      </c>
      <c r="M2" s="2">
        <f>K2/H2</f>
        <v>1916434720962018.3</v>
      </c>
      <c r="N2" s="2">
        <f>(J2*6.02E+23)/(B2*1000000)</f>
        <v>5.9367917066116454E+17</v>
      </c>
      <c r="O2" s="11">
        <f>N2/M2</f>
        <v>309.78314271155949</v>
      </c>
      <c r="P2" s="3">
        <f>O2/E2</f>
        <v>2.2983084174784474</v>
      </c>
    </row>
    <row r="3" spans="1:16" x14ac:dyDescent="0.25">
      <c r="A3" s="1" t="s">
        <v>23</v>
      </c>
      <c r="B3" s="11">
        <v>7.0285472162738598</v>
      </c>
      <c r="C3" s="11">
        <v>4.2714083333333317</v>
      </c>
      <c r="D3" s="2">
        <f t="shared" ref="D3:D6" si="0">4/3*3.14159265359*(C3/2)^3</f>
        <v>40.804860187770295</v>
      </c>
      <c r="E3" s="2">
        <f t="shared" ref="E3:E6" si="1">4*3.14159265359*(C3/2)^2</f>
        <v>57.318135383128173</v>
      </c>
      <c r="F3" s="2">
        <f>D3/1E+21</f>
        <v>4.0804860187770296E-20</v>
      </c>
      <c r="G3" s="2">
        <f t="shared" ref="G3:G6" si="2">F3*4480</f>
        <v>1.8280577364121093E-16</v>
      </c>
      <c r="H3" s="2">
        <f t="shared" ref="H3:H6" si="3">G3*3*55.845/231.533</f>
        <v>1.3227645859113073E-16</v>
      </c>
      <c r="I3" s="2">
        <f t="shared" ref="I3:I6" si="4">G3*4*16/231.533</f>
        <v>5.0530894140522088E-17</v>
      </c>
      <c r="J3" s="11">
        <v>10.25</v>
      </c>
      <c r="K3" s="3">
        <v>1.0032192125794774</v>
      </c>
      <c r="L3" s="3">
        <f t="shared" ref="L3:L6" si="5">J3/K3</f>
        <v>10.217108954328335</v>
      </c>
      <c r="M3" s="2">
        <f>K3/H3</f>
        <v>7584261200100985</v>
      </c>
      <c r="N3" s="2">
        <f>(J3*6.02E+23)/(B3*1000000)</f>
        <v>8.7791969095873152E+17</v>
      </c>
      <c r="O3" s="11">
        <f t="shared" ref="O3:O5" si="6">N3/M3</f>
        <v>115.75546619452426</v>
      </c>
      <c r="P3" s="3">
        <f>O3/E3</f>
        <v>2.0195260264624268</v>
      </c>
    </row>
    <row r="4" spans="1:16" x14ac:dyDescent="0.25">
      <c r="A4" s="1" t="s">
        <v>24</v>
      </c>
      <c r="B4" s="11">
        <v>5.53250243732868</v>
      </c>
      <c r="C4" s="11">
        <v>3.9409205921938129</v>
      </c>
      <c r="D4" s="2">
        <f t="shared" si="0"/>
        <v>32.047316880860507</v>
      </c>
      <c r="E4" s="2">
        <f t="shared" si="1"/>
        <v>48.791620330041553</v>
      </c>
      <c r="F4" s="2">
        <f>D4/1E+21</f>
        <v>3.2047316880860506E-20</v>
      </c>
      <c r="G4" s="2">
        <f t="shared" si="2"/>
        <v>1.4357197962625506E-16</v>
      </c>
      <c r="H4" s="2">
        <f t="shared" si="3"/>
        <v>1.0388727138975715E-16</v>
      </c>
      <c r="I4" s="2">
        <f t="shared" si="4"/>
        <v>3.9685948422386115E-17</v>
      </c>
      <c r="J4" s="11">
        <v>9.5500000000000007</v>
      </c>
      <c r="K4" s="3">
        <v>1.1416032719307578</v>
      </c>
      <c r="L4" s="3">
        <f t="shared" si="5"/>
        <v>8.3654280211096328</v>
      </c>
      <c r="M4" s="2">
        <f>K4/H4</f>
        <v>1.0988865687383096E+16</v>
      </c>
      <c r="N4" s="2">
        <f>(J4*6.02E+23)/(B4*1000000)</f>
        <v>1.0391500166741729E+18</v>
      </c>
      <c r="O4" s="11">
        <f t="shared" si="6"/>
        <v>94.563901883638138</v>
      </c>
      <c r="P4" s="3">
        <f>O4/E4</f>
        <v>1.9381176776663445</v>
      </c>
    </row>
    <row r="5" spans="1:16" x14ac:dyDescent="0.25">
      <c r="A5" s="1" t="s">
        <v>25</v>
      </c>
      <c r="B5" s="11">
        <v>4.4625176123469403</v>
      </c>
      <c r="C5" s="11">
        <v>3.3756513761467852</v>
      </c>
      <c r="D5" s="2">
        <f t="shared" si="0"/>
        <v>20.140552799377065</v>
      </c>
      <c r="E5" s="2">
        <f t="shared" si="1"/>
        <v>35.798518072740606</v>
      </c>
      <c r="F5" s="2">
        <f>D5/1E+21</f>
        <v>2.0140552799377064E-20</v>
      </c>
      <c r="G5" s="2">
        <f t="shared" si="2"/>
        <v>9.0229676541209246E-17</v>
      </c>
      <c r="H5" s="2">
        <f t="shared" si="3"/>
        <v>6.5289305884394413E-17</v>
      </c>
      <c r="I5" s="2">
        <f t="shared" si="4"/>
        <v>2.4941150067754453E-17</v>
      </c>
      <c r="J5" s="11">
        <v>7.16</v>
      </c>
      <c r="K5" s="3">
        <v>1.1300393697850812</v>
      </c>
      <c r="L5" s="3">
        <f t="shared" si="5"/>
        <v>6.336062434144873</v>
      </c>
      <c r="M5" s="2">
        <f>K5/H5</f>
        <v>1.730818477050444E+16</v>
      </c>
      <c r="N5" s="2">
        <f>(J5*6.02E+23)/(B5*1000000)</f>
        <v>9.658942270780425E+17</v>
      </c>
      <c r="O5" s="11">
        <f t="shared" si="6"/>
        <v>55.805634148536534</v>
      </c>
      <c r="P5" s="3">
        <f>O5/E5</f>
        <v>1.5588811256137076</v>
      </c>
    </row>
    <row r="6" spans="1:16" x14ac:dyDescent="0.25">
      <c r="A6" s="1" t="s">
        <v>26</v>
      </c>
      <c r="B6" s="7">
        <v>3.75107832353727</v>
      </c>
      <c r="C6" s="11">
        <v>2.2286962524654839</v>
      </c>
      <c r="D6" s="2">
        <f t="shared" si="0"/>
        <v>5.7963055454856427</v>
      </c>
      <c r="E6" s="2">
        <f t="shared" si="1"/>
        <v>15.604563984186296</v>
      </c>
      <c r="F6" s="2">
        <f>D6/1E+21</f>
        <v>5.7963055454856424E-21</v>
      </c>
      <c r="G6" s="2">
        <f t="shared" si="2"/>
        <v>2.5967448843775677E-17</v>
      </c>
      <c r="H6" s="2">
        <f t="shared" si="3"/>
        <v>1.8789790405868529E-17</v>
      </c>
      <c r="I6" s="2">
        <f t="shared" si="4"/>
        <v>7.1778827467429841E-18</v>
      </c>
      <c r="J6" s="11">
        <v>6.21</v>
      </c>
      <c r="K6" s="3">
        <v>1.1688170697351308</v>
      </c>
      <c r="L6" s="3">
        <f t="shared" si="5"/>
        <v>5.3130640891540599</v>
      </c>
      <c r="M6" s="2">
        <f>K6/H6</f>
        <v>6.2204901943455392E+16</v>
      </c>
      <c r="N6" s="2">
        <f>(J6*6.02E+23)/(B6*1000000)</f>
        <v>9.9662541742787891E+17</v>
      </c>
      <c r="O6" s="11">
        <f>N6/M6</f>
        <v>16.021654022279741</v>
      </c>
      <c r="P6" s="3">
        <f>O6/E6</f>
        <v>1.0267287210662295</v>
      </c>
    </row>
    <row r="7" spans="1:16" x14ac:dyDescent="0.25">
      <c r="J7" s="6"/>
    </row>
    <row r="8" spans="1:16" x14ac:dyDescent="0.25">
      <c r="E8" t="s">
        <v>16</v>
      </c>
      <c r="F8" t="s">
        <v>17</v>
      </c>
    </row>
    <row r="9" spans="1:16" x14ac:dyDescent="0.25">
      <c r="E9" t="s">
        <v>18</v>
      </c>
      <c r="F9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workbookViewId="0">
      <selection activeCell="D2" sqref="D2:D6"/>
    </sheetView>
  </sheetViews>
  <sheetFormatPr baseColWidth="10" defaultRowHeight="15" x14ac:dyDescent="0.25"/>
  <cols>
    <col min="3" max="3" width="15.5703125" customWidth="1"/>
    <col min="4" max="4" width="24.85546875" customWidth="1"/>
    <col min="5" max="5" width="18.42578125" customWidth="1"/>
    <col min="6" max="6" width="19" customWidth="1"/>
    <col min="7" max="7" width="17.7109375" customWidth="1"/>
    <col min="8" max="8" width="24.140625" customWidth="1"/>
    <col min="9" max="11" width="22.85546875" customWidth="1"/>
    <col min="12" max="12" width="16.140625" customWidth="1"/>
    <col min="13" max="13" width="15.42578125" customWidth="1"/>
  </cols>
  <sheetData>
    <row r="1" spans="1:14" s="20" customFormat="1" x14ac:dyDescent="0.25">
      <c r="A1" s="8" t="s">
        <v>0</v>
      </c>
      <c r="B1" s="8" t="s">
        <v>27</v>
      </c>
      <c r="C1" s="9" t="s">
        <v>2</v>
      </c>
      <c r="D1" s="9" t="s">
        <v>8</v>
      </c>
      <c r="E1" s="9" t="s">
        <v>28</v>
      </c>
      <c r="F1" s="9" t="s">
        <v>29</v>
      </c>
      <c r="G1" s="9" t="s">
        <v>30</v>
      </c>
      <c r="H1" s="9" t="s">
        <v>31</v>
      </c>
      <c r="I1" s="9" t="s">
        <v>37</v>
      </c>
      <c r="J1" s="9" t="s">
        <v>43</v>
      </c>
      <c r="K1" s="9" t="s">
        <v>42</v>
      </c>
      <c r="L1" s="9" t="s">
        <v>32</v>
      </c>
      <c r="M1" s="9" t="s">
        <v>33</v>
      </c>
      <c r="N1" s="24" t="s">
        <v>34</v>
      </c>
    </row>
    <row r="2" spans="1:14" x14ac:dyDescent="0.25">
      <c r="A2" s="12">
        <v>0</v>
      </c>
      <c r="B2" s="11">
        <v>42.419656796481945</v>
      </c>
      <c r="C2" s="11">
        <v>6.5501282051282042</v>
      </c>
      <c r="D2" s="29">
        <v>43.434000000000005</v>
      </c>
      <c r="E2" s="11">
        <f>(D2-C2)/2</f>
        <v>18.441935897435901</v>
      </c>
      <c r="F2" s="11">
        <v>13.311711373999975</v>
      </c>
      <c r="G2" s="11">
        <f>C2+2*F2</f>
        <v>33.173550953128156</v>
      </c>
      <c r="H2" s="11">
        <f>0.5*B2</f>
        <v>21.209828398240973</v>
      </c>
      <c r="I2" s="11">
        <f>C2+2*H2</f>
        <v>48.969785001610148</v>
      </c>
      <c r="J2" s="11">
        <f>LOG(B2^3*(C2/2)^2/5*N2)</f>
        <v>5.575579364340733</v>
      </c>
      <c r="K2" s="11">
        <f>LOG(E2:E6)</f>
        <v>1.2658065081191603</v>
      </c>
      <c r="L2" s="11">
        <f>((C2/2)*0.5*N2^(1/2))/$L$10</f>
        <v>12.568711067085591</v>
      </c>
      <c r="M2" s="11">
        <f>L2-(C2/2)</f>
        <v>9.2936469645214892</v>
      </c>
      <c r="N2" s="11">
        <v>2.2983084174784474</v>
      </c>
    </row>
    <row r="3" spans="1:14" x14ac:dyDescent="0.25">
      <c r="A3" s="12">
        <v>4</v>
      </c>
      <c r="B3" s="11">
        <v>23.428490720912865</v>
      </c>
      <c r="C3" s="11">
        <v>4.2714083333333317</v>
      </c>
      <c r="D3" s="29">
        <v>22.411999999999999</v>
      </c>
      <c r="E3" s="11">
        <f>(D3-C3)/2</f>
        <v>9.0702958333333328</v>
      </c>
      <c r="F3" s="11">
        <v>9.0704487620188665</v>
      </c>
      <c r="G3" s="11">
        <f>C3+2*F3</f>
        <v>22.412305857371067</v>
      </c>
      <c r="H3" s="11">
        <f>0.5*B3</f>
        <v>11.714245360456433</v>
      </c>
      <c r="I3" s="11">
        <f>C3+2*H3</f>
        <v>27.699899054246195</v>
      </c>
      <c r="J3" s="11">
        <f t="shared" ref="J3:J6" si="0">LOG(B3^3*(C3/2)^2/5*N3)</f>
        <v>4.3745945759009857</v>
      </c>
      <c r="K3" s="11">
        <f t="shared" ref="K3:K6" si="1">LOG(E3:E7)</f>
        <v>0.95762145207542038</v>
      </c>
      <c r="L3" s="11">
        <f>((C3/2)*0.5*N3^(1/2))/$L$10</f>
        <v>7.6830313661087937</v>
      </c>
      <c r="M3" s="11">
        <f>L3-(C3/2)</f>
        <v>5.5473271994421278</v>
      </c>
      <c r="N3" s="11">
        <v>2.0195260264624268</v>
      </c>
    </row>
    <row r="4" spans="1:14" x14ac:dyDescent="0.25">
      <c r="A4" s="12">
        <v>8</v>
      </c>
      <c r="B4" s="11">
        <v>18.441674791095604</v>
      </c>
      <c r="C4" s="21">
        <v>3.9409205921938129</v>
      </c>
      <c r="D4" s="29">
        <v>20.740000000000002</v>
      </c>
      <c r="E4" s="11">
        <f>(D4-C4)/2</f>
        <v>8.3995397039030948</v>
      </c>
      <c r="F4" s="11">
        <v>7.7707008848279822</v>
      </c>
      <c r="G4" s="11">
        <f>C4+2*F4</f>
        <v>19.482322361849779</v>
      </c>
      <c r="H4" s="11">
        <f>0.5*B4</f>
        <v>9.220837395547802</v>
      </c>
      <c r="I4" s="11">
        <f>C4+2*H4</f>
        <v>22.382595383289416</v>
      </c>
      <c r="J4" s="11">
        <f t="shared" si="0"/>
        <v>3.9749465929729086</v>
      </c>
      <c r="K4" s="11">
        <f t="shared" si="1"/>
        <v>0.92425548730804663</v>
      </c>
      <c r="L4" s="11">
        <f>((C4/2)*0.5*N4^(1/2))/$L$10</f>
        <v>6.9442371503068836</v>
      </c>
      <c r="M4" s="11">
        <f>L4-(C4/2)</f>
        <v>4.9737768542099774</v>
      </c>
      <c r="N4" s="11">
        <v>1.9381176776663445</v>
      </c>
    </row>
    <row r="5" spans="1:14" x14ac:dyDescent="0.25">
      <c r="A5" s="12">
        <v>12</v>
      </c>
      <c r="B5" s="11">
        <v>14.875058707823136</v>
      </c>
      <c r="C5" s="11">
        <v>3.3756513761467852</v>
      </c>
      <c r="D5" s="29">
        <v>17.665999999999997</v>
      </c>
      <c r="E5" s="11">
        <f>(D5-C5)/2</f>
        <v>7.1451743119266062</v>
      </c>
      <c r="F5" s="11">
        <v>6.7630532118019469</v>
      </c>
      <c r="G5" s="11">
        <f>C5+2*F5</f>
        <v>16.90175779975068</v>
      </c>
      <c r="H5" s="11">
        <f>0.5*B5</f>
        <v>7.4375293539115681</v>
      </c>
      <c r="I5" s="11">
        <f>C5+2*H5</f>
        <v>18.250710083969921</v>
      </c>
      <c r="J5" s="11">
        <f t="shared" si="0"/>
        <v>3.4658742445945774</v>
      </c>
      <c r="K5" s="11">
        <f t="shared" si="1"/>
        <v>0.85401282819828861</v>
      </c>
      <c r="L5" s="11">
        <f>((C5/2)*0.5*N5^(1/2))/$L$10</f>
        <v>5.3345879032113412</v>
      </c>
      <c r="M5" s="11">
        <f>L5-(C5/2)</f>
        <v>3.6467622151379486</v>
      </c>
      <c r="N5" s="11">
        <v>1.5588811256137076</v>
      </c>
    </row>
    <row r="6" spans="1:14" x14ac:dyDescent="0.25">
      <c r="A6" s="12">
        <v>24</v>
      </c>
      <c r="B6" s="7">
        <v>12.503594411790909</v>
      </c>
      <c r="C6" s="11">
        <v>2.2286962524654839</v>
      </c>
      <c r="D6" s="29">
        <v>16.14</v>
      </c>
      <c r="E6" s="11">
        <f>(D6-C6)/2</f>
        <v>6.9556518737672581</v>
      </c>
      <c r="F6" s="11">
        <v>6.0451062425841782</v>
      </c>
      <c r="G6" s="11">
        <f>C6+2*F6</f>
        <v>14.318908737633841</v>
      </c>
      <c r="H6" s="11">
        <f>0.5*B6</f>
        <v>6.2517972058954543</v>
      </c>
      <c r="I6" s="11">
        <f>C6+2*H6</f>
        <v>14.732290664256393</v>
      </c>
      <c r="J6" s="11">
        <f t="shared" si="0"/>
        <v>2.6976321139610584</v>
      </c>
      <c r="K6" s="11">
        <f t="shared" si="1"/>
        <v>0.84233783769449178</v>
      </c>
      <c r="L6" s="11">
        <f>((C6/2)*0.5*N6^(1/2))/$L$10</f>
        <v>2.8583507916641504</v>
      </c>
      <c r="M6" s="11">
        <f>L6-(C6/2)</f>
        <v>1.7440026654314085</v>
      </c>
      <c r="N6" s="11">
        <v>1.0267287210662295</v>
      </c>
    </row>
    <row r="7" spans="1:14" x14ac:dyDescent="0.25">
      <c r="B7" s="4" t="s">
        <v>35</v>
      </c>
      <c r="D7" s="13"/>
      <c r="F7" s="14"/>
      <c r="G7" s="14"/>
      <c r="H7" s="28"/>
      <c r="I7" s="28"/>
      <c r="J7" s="14"/>
      <c r="K7" s="14"/>
      <c r="L7" s="14"/>
      <c r="M7" s="14"/>
    </row>
    <row r="8" spans="1:14" x14ac:dyDescent="0.25">
      <c r="B8" s="15"/>
      <c r="D8" s="19"/>
      <c r="E8" s="16"/>
      <c r="F8" s="14"/>
      <c r="G8" s="14"/>
      <c r="I8" s="4"/>
      <c r="J8" s="4"/>
      <c r="K8" s="4"/>
      <c r="L8" s="4"/>
      <c r="M8" s="4"/>
    </row>
    <row r="9" spans="1:14" x14ac:dyDescent="0.25">
      <c r="B9" s="15"/>
      <c r="D9" s="13"/>
      <c r="E9" s="15"/>
      <c r="F9" s="14"/>
      <c r="G9" s="14"/>
      <c r="H9" s="4"/>
      <c r="I9" s="4"/>
      <c r="J9" s="4"/>
      <c r="K9" s="4"/>
      <c r="L9" s="22" t="s">
        <v>36</v>
      </c>
      <c r="M9" s="4"/>
    </row>
    <row r="10" spans="1:14" x14ac:dyDescent="0.25">
      <c r="A10" s="25" t="s">
        <v>40</v>
      </c>
      <c r="B10" s="26"/>
      <c r="C10" s="25"/>
      <c r="D10" s="13"/>
      <c r="F10" s="14"/>
      <c r="G10" s="14"/>
      <c r="H10" s="14"/>
      <c r="I10" s="14"/>
      <c r="J10" s="14"/>
      <c r="K10" s="14"/>
      <c r="L10" s="23">
        <f>0.7/(2*3.14^(1/2))</f>
        <v>0.1975164267940851</v>
      </c>
      <c r="M10" s="14"/>
    </row>
    <row r="11" spans="1:14" x14ac:dyDescent="0.25">
      <c r="A11" t="s">
        <v>27</v>
      </c>
      <c r="B11" t="s">
        <v>38</v>
      </c>
      <c r="D11" s="13"/>
      <c r="F11" s="14"/>
      <c r="G11" s="14"/>
      <c r="H11" s="14"/>
      <c r="I11" s="14"/>
      <c r="J11" s="14"/>
      <c r="K11" s="14"/>
      <c r="L11" s="14"/>
      <c r="M11" s="14"/>
    </row>
    <row r="12" spans="1:14" x14ac:dyDescent="0.25">
      <c r="A12">
        <v>6</v>
      </c>
      <c r="B12">
        <v>3</v>
      </c>
      <c r="C12" s="15"/>
      <c r="D12" s="13"/>
      <c r="E12" s="15"/>
      <c r="F12" s="15"/>
      <c r="G12" s="15"/>
      <c r="H12" s="15"/>
      <c r="I12" s="15"/>
      <c r="J12" s="15"/>
      <c r="K12" s="15"/>
      <c r="L12" s="15"/>
      <c r="M12" s="15"/>
    </row>
    <row r="13" spans="1:14" x14ac:dyDescent="0.25">
      <c r="A13">
        <v>12</v>
      </c>
      <c r="B13">
        <v>6</v>
      </c>
      <c r="C13" s="17"/>
      <c r="D13" s="13"/>
      <c r="E13" s="17"/>
      <c r="F13" s="17"/>
      <c r="G13" s="17"/>
      <c r="H13" s="17"/>
      <c r="I13" s="17"/>
      <c r="J13" s="17"/>
      <c r="K13" s="17"/>
      <c r="L13" s="17"/>
      <c r="M13" s="17"/>
    </row>
    <row r="14" spans="1:14" x14ac:dyDescent="0.25">
      <c r="A14">
        <v>18</v>
      </c>
      <c r="B14">
        <v>7.4</v>
      </c>
      <c r="C14" s="17"/>
      <c r="D14" s="13"/>
      <c r="E14" s="17"/>
      <c r="F14" s="17"/>
      <c r="G14" s="17"/>
      <c r="H14" s="17"/>
      <c r="I14" s="17"/>
      <c r="J14" s="17"/>
      <c r="K14" s="17"/>
      <c r="L14" s="17"/>
      <c r="M14" s="17"/>
    </row>
    <row r="15" spans="1:14" x14ac:dyDescent="0.25">
      <c r="A15">
        <v>24</v>
      </c>
      <c r="B15">
        <v>9.4</v>
      </c>
      <c r="C15" s="17"/>
      <c r="D15" s="13"/>
      <c r="E15" s="17"/>
      <c r="F15" s="17"/>
      <c r="G15" s="17"/>
      <c r="H15" s="17"/>
      <c r="I15" s="17"/>
      <c r="J15" s="17"/>
      <c r="K15" s="17"/>
      <c r="L15" s="17"/>
      <c r="M15" s="17"/>
    </row>
    <row r="16" spans="1:14" x14ac:dyDescent="0.25">
      <c r="A16">
        <v>30</v>
      </c>
      <c r="B16">
        <v>10.3</v>
      </c>
      <c r="C16" s="18"/>
      <c r="D16" s="13"/>
      <c r="E16" s="17"/>
      <c r="F16" s="17"/>
      <c r="G16" s="17"/>
      <c r="H16" s="17"/>
      <c r="I16" s="17"/>
      <c r="J16" s="17"/>
      <c r="K16" s="17"/>
      <c r="L16" s="17"/>
      <c r="M16" s="17"/>
    </row>
    <row r="17" spans="1:13" x14ac:dyDescent="0.25">
      <c r="A17">
        <v>36</v>
      </c>
      <c r="B17">
        <v>12.3</v>
      </c>
      <c r="C17" s="18"/>
      <c r="D17" s="13"/>
      <c r="E17" s="17"/>
      <c r="F17" s="17"/>
      <c r="G17" s="17"/>
      <c r="H17" s="17"/>
      <c r="I17" s="17"/>
      <c r="J17" s="17"/>
      <c r="K17" s="17"/>
      <c r="L17" s="17"/>
      <c r="M17" s="17"/>
    </row>
    <row r="18" spans="1:13" x14ac:dyDescent="0.25">
      <c r="C18" s="18"/>
      <c r="D18" s="13"/>
    </row>
    <row r="19" spans="1:13" x14ac:dyDescent="0.25">
      <c r="C19" s="18"/>
      <c r="D19" s="13"/>
    </row>
    <row r="20" spans="1:13" ht="17.25" x14ac:dyDescent="0.25">
      <c r="A20" s="27" t="s">
        <v>39</v>
      </c>
      <c r="B20" s="5"/>
      <c r="C20" s="18"/>
      <c r="D20" s="13"/>
    </row>
    <row r="21" spans="1:13" x14ac:dyDescent="0.25">
      <c r="A21" s="5">
        <f t="shared" ref="A21:B25" si="2">LOG(A13)</f>
        <v>1.0791812460476249</v>
      </c>
      <c r="B21" s="5">
        <f t="shared" si="2"/>
        <v>0.77815125038364363</v>
      </c>
      <c r="D21" s="13"/>
    </row>
    <row r="22" spans="1:13" x14ac:dyDescent="0.25">
      <c r="A22" s="5">
        <f t="shared" si="2"/>
        <v>1.255272505103306</v>
      </c>
      <c r="B22" s="5">
        <f t="shared" si="2"/>
        <v>0.86923171973097624</v>
      </c>
      <c r="D22" s="13"/>
    </row>
    <row r="23" spans="1:13" x14ac:dyDescent="0.25">
      <c r="A23" s="5">
        <f t="shared" si="2"/>
        <v>1.3802112417116059</v>
      </c>
      <c r="B23" s="5">
        <f t="shared" si="2"/>
        <v>0.97312785359969867</v>
      </c>
      <c r="D23" s="13"/>
    </row>
    <row r="24" spans="1:13" x14ac:dyDescent="0.25">
      <c r="A24" s="5">
        <f t="shared" si="2"/>
        <v>1.4771212547196624</v>
      </c>
      <c r="B24" s="5">
        <f t="shared" si="2"/>
        <v>1.0128372247051722</v>
      </c>
    </row>
    <row r="25" spans="1:13" x14ac:dyDescent="0.25">
      <c r="A25" s="5">
        <f t="shared" si="2"/>
        <v>1.5563025007672873</v>
      </c>
      <c r="B25" s="5">
        <f t="shared" si="2"/>
        <v>1.0899051114393981</v>
      </c>
    </row>
    <row r="29" spans="1:13" x14ac:dyDescent="0.25">
      <c r="J29" s="25" t="s">
        <v>44</v>
      </c>
    </row>
    <row r="30" spans="1:13" x14ac:dyDescent="0.25">
      <c r="A30" s="25" t="s">
        <v>41</v>
      </c>
      <c r="B30" s="25"/>
      <c r="C30" s="25"/>
      <c r="D30" s="25"/>
    </row>
    <row r="32" spans="1:13" x14ac:dyDescent="0.25">
      <c r="A32">
        <v>10</v>
      </c>
      <c r="B32" s="5">
        <f>10^(0.0725)*A32^(0.6462)</f>
        <v>5.2323887111242788</v>
      </c>
    </row>
    <row r="33" spans="1:4" x14ac:dyDescent="0.25">
      <c r="A33">
        <v>12</v>
      </c>
      <c r="B33" s="5">
        <f t="shared" ref="B33:B49" si="3">10^(0.0725)*A33^(0.6462)</f>
        <v>5.8866324642164782</v>
      </c>
    </row>
    <row r="34" spans="1:4" x14ac:dyDescent="0.25">
      <c r="A34">
        <v>14</v>
      </c>
      <c r="B34" s="5">
        <f t="shared" si="3"/>
        <v>6.5032123703287184</v>
      </c>
    </row>
    <row r="35" spans="1:4" x14ac:dyDescent="0.25">
      <c r="A35">
        <v>16</v>
      </c>
      <c r="B35" s="5">
        <f t="shared" si="3"/>
        <v>7.0892833152815733</v>
      </c>
    </row>
    <row r="36" spans="1:4" x14ac:dyDescent="0.25">
      <c r="A36">
        <v>18</v>
      </c>
      <c r="B36" s="5">
        <f t="shared" si="3"/>
        <v>7.6499235107567545</v>
      </c>
    </row>
    <row r="37" spans="1:4" x14ac:dyDescent="0.25">
      <c r="A37">
        <v>20</v>
      </c>
      <c r="B37" s="5">
        <f t="shared" si="3"/>
        <v>8.1889002923634138</v>
      </c>
    </row>
    <row r="38" spans="1:4" x14ac:dyDescent="0.25">
      <c r="A38">
        <v>22</v>
      </c>
      <c r="B38" s="5">
        <f t="shared" si="3"/>
        <v>8.7091051957023513</v>
      </c>
    </row>
    <row r="39" spans="1:4" x14ac:dyDescent="0.25">
      <c r="A39">
        <v>24</v>
      </c>
      <c r="B39" s="5">
        <f t="shared" si="3"/>
        <v>9.2128182687903788</v>
      </c>
    </row>
    <row r="40" spans="1:4" x14ac:dyDescent="0.25">
      <c r="A40">
        <v>26</v>
      </c>
      <c r="B40" s="5">
        <f t="shared" si="3"/>
        <v>9.7018772926792565</v>
      </c>
    </row>
    <row r="41" spans="1:4" x14ac:dyDescent="0.25">
      <c r="A41">
        <v>28</v>
      </c>
      <c r="B41" s="5">
        <f t="shared" si="3"/>
        <v>10.17779079896447</v>
      </c>
      <c r="D41" s="4"/>
    </row>
    <row r="42" spans="1:4" x14ac:dyDescent="0.25">
      <c r="A42">
        <v>30</v>
      </c>
      <c r="B42" s="5">
        <f t="shared" si="3"/>
        <v>10.641816225931448</v>
      </c>
      <c r="D42" s="4"/>
    </row>
    <row r="43" spans="1:4" x14ac:dyDescent="0.25">
      <c r="A43">
        <v>32</v>
      </c>
      <c r="B43" s="5">
        <f t="shared" si="3"/>
        <v>11.095015569032999</v>
      </c>
      <c r="D43" s="4"/>
    </row>
    <row r="44" spans="1:4" x14ac:dyDescent="0.25">
      <c r="A44">
        <v>34</v>
      </c>
      <c r="B44" s="5">
        <f t="shared" si="3"/>
        <v>11.538296004429483</v>
      </c>
      <c r="D44" s="4"/>
    </row>
    <row r="45" spans="1:4" x14ac:dyDescent="0.25">
      <c r="A45">
        <v>36</v>
      </c>
      <c r="B45" s="5">
        <f t="shared" si="3"/>
        <v>11.972440185991724</v>
      </c>
      <c r="D45" s="4"/>
    </row>
    <row r="46" spans="1:4" x14ac:dyDescent="0.25">
      <c r="A46">
        <v>38</v>
      </c>
      <c r="B46" s="5">
        <f t="shared" si="3"/>
        <v>12.39812926690252</v>
      </c>
      <c r="D46" s="4"/>
    </row>
    <row r="47" spans="1:4" x14ac:dyDescent="0.25">
      <c r="A47">
        <v>40</v>
      </c>
      <c r="B47" s="5">
        <f t="shared" si="3"/>
        <v>12.815960682680418</v>
      </c>
      <c r="D47" s="4"/>
    </row>
    <row r="48" spans="1:4" x14ac:dyDescent="0.25">
      <c r="A48">
        <v>42</v>
      </c>
      <c r="B48" s="5">
        <f t="shared" si="3"/>
        <v>13.226462089123359</v>
      </c>
      <c r="D48" s="4"/>
    </row>
    <row r="49" spans="1:4" x14ac:dyDescent="0.25">
      <c r="A49">
        <v>44</v>
      </c>
      <c r="B49" s="5">
        <f t="shared" si="3"/>
        <v>13.630102429447886</v>
      </c>
      <c r="D49" s="4"/>
    </row>
    <row r="50" spans="1:4" x14ac:dyDescent="0.25">
      <c r="B50" s="5"/>
      <c r="D50" s="4"/>
    </row>
    <row r="51" spans="1:4" x14ac:dyDescent="0.25">
      <c r="A51" s="4">
        <v>42.419656796481945</v>
      </c>
      <c r="B51" s="4">
        <f t="shared" ref="B51:B55" si="4">10^(0.0725)*A51^(0.6462)</f>
        <v>13.311711373999975</v>
      </c>
      <c r="D51" s="4"/>
    </row>
    <row r="52" spans="1:4" x14ac:dyDescent="0.25">
      <c r="A52" s="4">
        <v>23.428490720912865</v>
      </c>
      <c r="B52" s="4">
        <f t="shared" si="4"/>
        <v>9.0704487620188665</v>
      </c>
      <c r="D52" s="4"/>
    </row>
    <row r="53" spans="1:4" x14ac:dyDescent="0.25">
      <c r="A53" s="4">
        <v>18.441674791095604</v>
      </c>
      <c r="B53" s="4">
        <f t="shared" si="4"/>
        <v>7.7707008848279822</v>
      </c>
      <c r="D53" s="4"/>
    </row>
    <row r="54" spans="1:4" x14ac:dyDescent="0.25">
      <c r="A54" s="4">
        <v>14.875058707823136</v>
      </c>
      <c r="B54" s="4">
        <f t="shared" si="4"/>
        <v>6.7630532118019469</v>
      </c>
      <c r="D54" s="4"/>
    </row>
    <row r="55" spans="1:4" x14ac:dyDescent="0.25">
      <c r="A55" s="4">
        <v>12.503594411790909</v>
      </c>
      <c r="B55" s="4">
        <f t="shared" si="4"/>
        <v>6.0451062425841782</v>
      </c>
      <c r="D55" s="4"/>
    </row>
    <row r="56" spans="1:4" x14ac:dyDescent="0.25">
      <c r="D56" s="4"/>
    </row>
    <row r="57" spans="1:4" x14ac:dyDescent="0.25">
      <c r="D57" s="4"/>
    </row>
    <row r="58" spans="1:4" x14ac:dyDescent="0.25">
      <c r="D58" s="4"/>
    </row>
    <row r="59" spans="1:4" x14ac:dyDescent="0.25">
      <c r="D59" s="4"/>
    </row>
    <row r="60" spans="1:4" x14ac:dyDescent="0.25">
      <c r="D60" s="4"/>
    </row>
    <row r="61" spans="1:4" x14ac:dyDescent="0.25">
      <c r="D61" s="4"/>
    </row>
    <row r="62" spans="1:4" x14ac:dyDescent="0.25">
      <c r="D62" s="4"/>
    </row>
    <row r="63" spans="1:4" x14ac:dyDescent="0.25">
      <c r="D63" s="4"/>
    </row>
    <row r="64" spans="1:4" x14ac:dyDescent="0.25">
      <c r="D64" s="4"/>
    </row>
    <row r="65" spans="4:4" x14ac:dyDescent="0.25">
      <c r="D65" s="4"/>
    </row>
    <row r="66" spans="4:4" x14ac:dyDescent="0.25">
      <c r="D66" s="4"/>
    </row>
    <row r="67" spans="4:4" x14ac:dyDescent="0.25">
      <c r="D67" s="4"/>
    </row>
    <row r="68" spans="4:4" x14ac:dyDescent="0.25">
      <c r="D68" s="4"/>
    </row>
    <row r="69" spans="4:4" x14ac:dyDescent="0.25">
      <c r="D69" s="4"/>
    </row>
    <row r="70" spans="4:4" x14ac:dyDescent="0.25">
      <c r="D70" s="4"/>
    </row>
    <row r="71" spans="4:4" x14ac:dyDescent="0.25">
      <c r="D71" s="4"/>
    </row>
    <row r="72" spans="4:4" x14ac:dyDescent="0.25">
      <c r="D72" s="4"/>
    </row>
    <row r="73" spans="4:4" x14ac:dyDescent="0.25">
      <c r="D73" s="4"/>
    </row>
    <row r="74" spans="4:4" x14ac:dyDescent="0.25">
      <c r="D74" s="4"/>
    </row>
    <row r="75" spans="4:4" x14ac:dyDescent="0.25">
      <c r="D75" s="4"/>
    </row>
    <row r="76" spans="4:4" x14ac:dyDescent="0.25">
      <c r="D76" s="4"/>
    </row>
    <row r="77" spans="4:4" x14ac:dyDescent="0.25">
      <c r="D77" s="4"/>
    </row>
    <row r="78" spans="4:4" x14ac:dyDescent="0.25">
      <c r="D78" s="4"/>
    </row>
    <row r="79" spans="4:4" x14ac:dyDescent="0.25">
      <c r="D79" s="4"/>
    </row>
    <row r="80" spans="4:4" x14ac:dyDescent="0.25">
      <c r="D80" s="4"/>
    </row>
    <row r="81" spans="4:4" x14ac:dyDescent="0.25">
      <c r="D81" s="4"/>
    </row>
    <row r="107" spans="7:7" x14ac:dyDescent="0.25">
      <c r="G107" s="5"/>
    </row>
  </sheetData>
  <mergeCells count="1">
    <mergeCell ref="H7:I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of density</vt:lpstr>
      <vt:lpstr>Theoric heights</vt:lpstr>
    </vt:vector>
  </TitlesOfParts>
  <Company>ULR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hgroult</dc:creator>
  <cp:lastModifiedBy>hgroult</cp:lastModifiedBy>
  <dcterms:created xsi:type="dcterms:W3CDTF">2019-10-13T17:39:41Z</dcterms:created>
  <dcterms:modified xsi:type="dcterms:W3CDTF">2020-02-05T19:03:48Z</dcterms:modified>
</cp:coreProperties>
</file>