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pol/Desktop/Carbide_calculations/Rebuttal/"/>
    </mc:Choice>
  </mc:AlternateContent>
  <xr:revisionPtr revIDLastSave="0" documentId="13_ncr:1_{A18C5BA7-1C26-5E43-8B9E-5D9A193EF5B3}" xr6:coauthVersionLast="45" xr6:coauthVersionMax="45" xr10:uidLastSave="{00000000-0000-0000-0000-000000000000}"/>
  <bookViews>
    <workbookView xWindow="-38400" yWindow="-4300" windowWidth="38400" windowHeight="21600" activeTab="6" xr2:uid="{0E98825B-122E-406C-B256-A77D7D79428F}"/>
  </bookViews>
  <sheets>
    <sheet name="CaC2 polymorphs" sheetId="9" r:id="rId1"/>
    <sheet name="CaC2 Clusters" sheetId="1" r:id="rId2"/>
    <sheet name="CaC2 Solvation" sheetId="6" r:id="rId3"/>
    <sheet name="Ca2+ and HCC-Ca-OH" sheetId="7" r:id="rId4"/>
    <sheet name="Solvent to acetylide H-transfer" sheetId="8" r:id="rId5"/>
    <sheet name="Acidity in DMSO" sheetId="10" r:id="rId6"/>
    <sheet name="SMD at different levels" sheetId="11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0" i="7" l="1"/>
  <c r="D24" i="6" l="1"/>
  <c r="D23" i="6"/>
  <c r="E3" i="1"/>
  <c r="E2" i="1"/>
  <c r="D20" i="6" l="1"/>
  <c r="K20" i="6" s="1"/>
  <c r="L20" i="6" s="1"/>
  <c r="D19" i="6"/>
  <c r="K19" i="6" s="1"/>
  <c r="L19" i="6" s="1"/>
  <c r="D18" i="6"/>
  <c r="K18" i="6" s="1"/>
  <c r="L18" i="6" s="1"/>
  <c r="D17" i="6"/>
  <c r="K17" i="6" s="1"/>
  <c r="L17" i="6" s="1"/>
  <c r="D16" i="6"/>
  <c r="K16" i="6" s="1"/>
  <c r="L16" i="6" s="1"/>
  <c r="D15" i="6"/>
  <c r="K15" i="6" s="1"/>
  <c r="D14" i="6"/>
  <c r="K14" i="6" s="1"/>
  <c r="L14" i="6" s="1"/>
  <c r="D13" i="6"/>
  <c r="K13" i="6" s="1"/>
  <c r="L13" i="6" s="1"/>
  <c r="D12" i="6"/>
  <c r="K12" i="6" s="1"/>
  <c r="L12" i="6" s="1"/>
  <c r="D11" i="6"/>
  <c r="K11" i="6" s="1"/>
  <c r="L11" i="6" s="1"/>
  <c r="D10" i="6"/>
  <c r="K10" i="6" s="1"/>
  <c r="L10" i="6" s="1"/>
  <c r="D9" i="6"/>
  <c r="K9" i="6" s="1"/>
  <c r="I3" i="10"/>
  <c r="F4" i="10"/>
  <c r="I4" i="10" s="1"/>
  <c r="I5" i="10"/>
  <c r="G5" i="10" s="1"/>
  <c r="I6" i="10"/>
  <c r="G6" i="10" s="1"/>
  <c r="I7" i="10"/>
  <c r="G7" i="10" s="1"/>
  <c r="I8" i="10"/>
  <c r="G8" i="10" s="1"/>
  <c r="H8" i="10" s="1"/>
  <c r="I9" i="10"/>
  <c r="C17" i="10" s="1"/>
  <c r="I10" i="10"/>
  <c r="I11" i="10"/>
  <c r="I12" i="10"/>
  <c r="I13" i="10"/>
  <c r="I14" i="10"/>
  <c r="C19" i="10" s="1"/>
  <c r="J17" i="10"/>
  <c r="J21" i="10"/>
  <c r="C22" i="10"/>
  <c r="D22" i="10"/>
  <c r="E22" i="10" s="1"/>
  <c r="C24" i="10"/>
  <c r="J25" i="10"/>
  <c r="J27" i="10"/>
  <c r="J29" i="10"/>
  <c r="B31" i="10"/>
  <c r="B32" i="10"/>
  <c r="C29" i="10" s="1"/>
  <c r="B35" i="10"/>
  <c r="B36" i="10"/>
  <c r="E40" i="10"/>
  <c r="I14" i="6" l="1"/>
  <c r="L15" i="6"/>
  <c r="I15" i="6" s="1"/>
  <c r="L9" i="6"/>
  <c r="I9" i="6" s="1"/>
  <c r="I13" i="6"/>
  <c r="I16" i="6"/>
  <c r="J16" i="6" s="1"/>
  <c r="I17" i="6"/>
  <c r="I18" i="6"/>
  <c r="I10" i="6"/>
  <c r="I19" i="6"/>
  <c r="I12" i="6"/>
  <c r="I20" i="6"/>
  <c r="H5" i="10"/>
  <c r="I37" i="10" s="1"/>
  <c r="C23" i="10"/>
  <c r="D29" i="10"/>
  <c r="D18" i="10"/>
  <c r="E18" i="10" s="1"/>
  <c r="C18" i="10"/>
  <c r="D24" i="10"/>
  <c r="E24" i="10" s="1"/>
  <c r="H7" i="10"/>
  <c r="H6" i="10"/>
  <c r="H23" i="10"/>
  <c r="G23" i="10"/>
  <c r="H21" i="10"/>
  <c r="K21" i="10" s="1"/>
  <c r="H27" i="10"/>
  <c r="K27" i="10" s="1"/>
  <c r="D23" i="10"/>
  <c r="E23" i="10" s="1"/>
  <c r="G21" i="10"/>
  <c r="D19" i="10"/>
  <c r="E19" i="10" s="1"/>
  <c r="G27" i="10"/>
  <c r="D17" i="10"/>
  <c r="E17" i="10" s="1"/>
  <c r="I35" i="10" l="1"/>
  <c r="J20" i="6"/>
  <c r="H17" i="10"/>
  <c r="K17" i="10" s="1"/>
  <c r="H29" i="10"/>
  <c r="K29" i="10" s="1"/>
  <c r="K30" i="10" s="1"/>
  <c r="G29" i="10"/>
  <c r="J19" i="6"/>
  <c r="G17" i="10"/>
  <c r="E21" i="10"/>
  <c r="H25" i="10"/>
  <c r="K25" i="10" s="1"/>
  <c r="D20" i="10"/>
  <c r="E20" i="10" s="1"/>
  <c r="I11" i="6"/>
  <c r="J11" i="6" s="1"/>
  <c r="H19" i="10"/>
  <c r="C20" i="10"/>
  <c r="J15" i="6"/>
  <c r="G25" i="10"/>
  <c r="D25" i="10"/>
  <c r="E25" i="10" s="1"/>
  <c r="E26" i="10" s="1"/>
  <c r="J18" i="6"/>
  <c r="G19" i="10"/>
  <c r="J17" i="6"/>
  <c r="C25" i="10"/>
  <c r="C32" i="6"/>
  <c r="F6" i="6"/>
  <c r="F20" i="6"/>
  <c r="F4" i="6"/>
  <c r="F5" i="6"/>
  <c r="F3" i="6"/>
  <c r="F9" i="6"/>
  <c r="F10" i="6"/>
  <c r="F11" i="6"/>
  <c r="F12" i="6"/>
  <c r="F13" i="6"/>
  <c r="F14" i="6"/>
  <c r="F15" i="6"/>
  <c r="F16" i="6"/>
  <c r="F17" i="6"/>
  <c r="F18" i="6"/>
  <c r="F19" i="6"/>
  <c r="D8" i="1"/>
  <c r="D9" i="1"/>
  <c r="D10" i="1"/>
  <c r="D11" i="1"/>
  <c r="D12" i="1"/>
  <c r="D13" i="1"/>
  <c r="D14" i="1"/>
  <c r="D15" i="1"/>
  <c r="D16" i="1"/>
  <c r="D17" i="1"/>
  <c r="D18" i="1"/>
  <c r="D7" i="1"/>
  <c r="C3" i="1"/>
  <c r="C4" i="1"/>
  <c r="C2" i="1"/>
  <c r="E23" i="6"/>
  <c r="J12" i="6" l="1"/>
  <c r="J9" i="6"/>
  <c r="J13" i="6"/>
  <c r="J10" i="6"/>
  <c r="J14" i="6"/>
  <c r="G20" i="6"/>
  <c r="G9" i="6"/>
  <c r="G15" i="6"/>
  <c r="G11" i="6"/>
  <c r="G19" i="6"/>
  <c r="G10" i="6"/>
  <c r="G14" i="6"/>
  <c r="G16" i="6"/>
  <c r="G17" i="6"/>
  <c r="G12" i="6"/>
  <c r="G18" i="6"/>
  <c r="G13" i="6"/>
  <c r="E8" i="9"/>
  <c r="D8" i="9"/>
  <c r="E10" i="9"/>
  <c r="C14" i="9" s="1"/>
  <c r="D10" i="9"/>
  <c r="E9" i="9"/>
  <c r="C13" i="9" s="1"/>
  <c r="D9" i="9"/>
  <c r="B13" i="9" s="1"/>
  <c r="L22" i="6" l="1"/>
  <c r="B14" i="9"/>
  <c r="H11" i="6"/>
  <c r="H18" i="6"/>
  <c r="H12" i="6"/>
  <c r="H10" i="6"/>
  <c r="H15" i="6"/>
  <c r="H17" i="6"/>
  <c r="H14" i="6"/>
  <c r="H9" i="6"/>
  <c r="H13" i="6"/>
  <c r="H16" i="6"/>
  <c r="H19" i="6"/>
  <c r="H20" i="6"/>
  <c r="F2" i="1"/>
  <c r="F4" i="1"/>
  <c r="C37" i="6" l="1"/>
  <c r="C38" i="6"/>
  <c r="C34" i="6"/>
  <c r="C35" i="6"/>
  <c r="C23" i="6"/>
  <c r="E24" i="6" l="1"/>
  <c r="E25" i="6"/>
  <c r="C25" i="6"/>
  <c r="C24" i="6"/>
  <c r="C39" i="7" l="1"/>
  <c r="C29" i="6" l="1"/>
  <c r="B29" i="6" s="1"/>
  <c r="D4" i="8"/>
  <c r="F4" i="8" s="1"/>
  <c r="D5" i="8"/>
  <c r="F5" i="8" s="1"/>
  <c r="D6" i="8"/>
  <c r="F6" i="8" s="1"/>
  <c r="D7" i="8"/>
  <c r="F7" i="8" s="1"/>
  <c r="D8" i="8"/>
  <c r="F8" i="8" s="1"/>
  <c r="D9" i="8"/>
  <c r="F9" i="8" s="1"/>
  <c r="D14" i="8"/>
  <c r="F14" i="8" s="1"/>
  <c r="D15" i="8"/>
  <c r="F15" i="8" s="1"/>
  <c r="D43" i="8" s="1"/>
  <c r="C43" i="8" s="1"/>
  <c r="D16" i="8"/>
  <c r="F16" i="8" s="1"/>
  <c r="D17" i="8"/>
  <c r="F17" i="8" s="1"/>
  <c r="D18" i="8"/>
  <c r="F18" i="8" s="1"/>
  <c r="D27" i="8"/>
  <c r="F27" i="8" s="1"/>
  <c r="D28" i="8"/>
  <c r="F28" i="8" s="1"/>
  <c r="D49" i="8" s="1"/>
  <c r="C49" i="8" s="1"/>
  <c r="D29" i="8"/>
  <c r="F29" i="8" s="1"/>
  <c r="D30" i="8"/>
  <c r="F30" i="8" s="1"/>
  <c r="D31" i="8"/>
  <c r="F31" i="8" s="1"/>
  <c r="D3" i="8"/>
  <c r="F3" i="8" s="1"/>
  <c r="B38" i="7"/>
  <c r="D53" i="8" l="1"/>
  <c r="C53" i="8" s="1"/>
  <c r="D50" i="8"/>
  <c r="C50" i="8" s="1"/>
  <c r="D47" i="8"/>
  <c r="C47" i="8" s="1"/>
  <c r="D46" i="8"/>
  <c r="C46" i="8" s="1"/>
  <c r="D40" i="8"/>
  <c r="C40" i="8" s="1"/>
  <c r="D41" i="8"/>
  <c r="C41" i="8" s="1"/>
  <c r="D52" i="8"/>
  <c r="C52" i="8" s="1"/>
  <c r="D44" i="8"/>
  <c r="C44" i="8" s="1"/>
  <c r="D39" i="8"/>
  <c r="C39" i="8" s="1"/>
  <c r="D37" i="8"/>
  <c r="C37" i="8" s="1"/>
  <c r="D36" i="8"/>
  <c r="C36" i="8" s="1"/>
  <c r="D35" i="8"/>
  <c r="C35" i="8" s="1"/>
  <c r="D24" i="7" l="1"/>
  <c r="E23" i="7"/>
  <c r="C33" i="7" l="1"/>
  <c r="C30" i="7"/>
  <c r="C32" i="7"/>
  <c r="C31" i="7"/>
  <c r="L32" i="7"/>
  <c r="L31" i="7"/>
  <c r="L30" i="7"/>
  <c r="E32" i="7" l="1"/>
  <c r="F32" i="7"/>
  <c r="E31" i="7"/>
  <c r="F31" i="7"/>
  <c r="E30" i="7"/>
  <c r="F30" i="7"/>
  <c r="E33" i="7"/>
  <c r="F33" i="7"/>
  <c r="K32" i="7"/>
  <c r="K31" i="7"/>
  <c r="K30" i="7"/>
  <c r="C40" i="6" l="1"/>
  <c r="B18" i="7"/>
  <c r="C18" i="7" s="1"/>
  <c r="C34" i="7" s="1"/>
  <c r="B19" i="7"/>
  <c r="C19" i="7" s="1"/>
  <c r="C37" i="7"/>
  <c r="B14" i="7"/>
  <c r="C14" i="7" s="1"/>
  <c r="K33" i="7" s="1"/>
  <c r="E34" i="7" l="1"/>
  <c r="F34" i="7"/>
  <c r="D34" i="7"/>
  <c r="D30" i="7"/>
  <c r="D32" i="7"/>
  <c r="D33" i="7"/>
  <c r="D31" i="7"/>
  <c r="D32" i="6" l="1"/>
  <c r="D35" i="6" l="1"/>
  <c r="D38" i="6"/>
  <c r="D37" i="6" l="1"/>
  <c r="C41" i="6"/>
  <c r="D41" i="6" s="1"/>
  <c r="D34" i="6"/>
  <c r="D40" i="6"/>
  <c r="D3" i="1" l="1"/>
  <c r="F3" i="1"/>
  <c r="D4" i="1"/>
  <c r="D2" i="1"/>
  <c r="E12" i="1" l="1"/>
  <c r="F12" i="1" s="1"/>
  <c r="E18" i="1"/>
  <c r="F18" i="1" s="1"/>
  <c r="E13" i="1"/>
  <c r="F13" i="1" s="1"/>
  <c r="E8" i="1"/>
  <c r="F8" i="1" s="1"/>
  <c r="E7" i="1"/>
  <c r="F7" i="1" s="1"/>
  <c r="E14" i="1"/>
  <c r="F14" i="1" s="1"/>
  <c r="E9" i="1"/>
  <c r="F9" i="1" s="1"/>
  <c r="E15" i="1"/>
  <c r="F15" i="1" s="1"/>
  <c r="E10" i="1"/>
  <c r="F10" i="1" s="1"/>
  <c r="E16" i="1"/>
  <c r="F16" i="1" s="1"/>
  <c r="E11" i="1"/>
  <c r="F11" i="1" s="1"/>
  <c r="E17" i="1"/>
  <c r="F17" i="1" s="1"/>
</calcChain>
</file>

<file path=xl/sharedStrings.xml><?xml version="1.0" encoding="utf-8"?>
<sst xmlns="http://schemas.openxmlformats.org/spreadsheetml/2006/main" count="385" uniqueCount="288">
  <si>
    <t>Z</t>
  </si>
  <si>
    <t>OH-sym</t>
  </si>
  <si>
    <t>OH-iso1</t>
  </si>
  <si>
    <t>H-CC-Ca-OH</t>
  </si>
  <si>
    <t>H2O</t>
  </si>
  <si>
    <t>CaC2-iso1</t>
  </si>
  <si>
    <t>CaC2-sym</t>
  </si>
  <si>
    <t>DMSO</t>
  </si>
  <si>
    <t>Species</t>
  </si>
  <si>
    <t>E_vacuo (M06-2X/6-31+G**)</t>
  </si>
  <si>
    <t>E_SMD  (M06-2X/6-31+G**)</t>
  </si>
  <si>
    <t>Relative G</t>
  </si>
  <si>
    <t>Boltzmann weight</t>
  </si>
  <si>
    <t>G_vacuo (300 K), Hartree</t>
  </si>
  <si>
    <t>G_vacuo (300 K, PBE0/pob-TZVP), kJ/mol</t>
  </si>
  <si>
    <t>∆Gsolv</t>
  </si>
  <si>
    <t>∆Gsolv, Hartree</t>
  </si>
  <si>
    <t>REACTIONS</t>
  </si>
  <si>
    <t>∆Gsub, Hartree</t>
  </si>
  <si>
    <t>∆Grxn, Hartree</t>
  </si>
  <si>
    <t>∆Grxn, kcal/mol</t>
  </si>
  <si>
    <t>CaC2(s) ⟶ CaC2 (g)</t>
  </si>
  <si>
    <t>CaC2 (g) ⟶ HCC-Ca-OH (g)</t>
  </si>
  <si>
    <t>CaC2 (g) ⟶ (DMSO)4CaC2 (g)</t>
  </si>
  <si>
    <t>HCC-Ca-OH (g) ⟶ (DMSO)4HCC-Ca-OH (g)</t>
  </si>
  <si>
    <t>(DMSO)4CaC2 (g) ⟶ (DMSO)4CaC2 (sol.)</t>
  </si>
  <si>
    <t>(DMSO)4HCC-Ca-OH (g) ⟶ (DMSO)4HCC-Ca-OH (sol.)</t>
  </si>
  <si>
    <t>CaC2 (s) ⟶ (DMSO)4CaC2 (sol.)</t>
  </si>
  <si>
    <t>CaC2 (s) ⟶ (DMSO)4HCC-Ca-OH (sol.)</t>
  </si>
  <si>
    <t>∆Gprot (300K)</t>
  </si>
  <si>
    <t>G(CaC2), Hartree</t>
  </si>
  <si>
    <t>is ∆G = RTln(24.465)</t>
  </si>
  <si>
    <t>1 mol ideal gas to 1mol/l</t>
  </si>
  <si>
    <t>is ∆G = RTln(14.023)</t>
  </si>
  <si>
    <t>concentration of DMSO in pure DMSO</t>
  </si>
  <si>
    <t>Model</t>
  </si>
  <si>
    <t>Ca2+</t>
  </si>
  <si>
    <t>HCC-Ca-OH</t>
  </si>
  <si>
    <t>SMD</t>
  </si>
  <si>
    <t>M06-2X/6-31+G**</t>
  </si>
  <si>
    <t>PBE0/ma-def2-TZVP</t>
  </si>
  <si>
    <t>E (tot.) in vacuum</t>
  </si>
  <si>
    <t>E (tot.) in DMSO (SMD)</t>
  </si>
  <si>
    <t>E (tot.) in DMSO (C-PCM)</t>
  </si>
  <si>
    <t>E (tot.) in DMSO (COSMO)</t>
  </si>
  <si>
    <t>C-PCM</t>
  </si>
  <si>
    <t>COSMO</t>
  </si>
  <si>
    <t>Born</t>
  </si>
  <si>
    <t>J/mol</t>
  </si>
  <si>
    <t>kcal/mol</t>
  </si>
  <si>
    <t>in DMSO</t>
  </si>
  <si>
    <t>in water</t>
  </si>
  <si>
    <t>CN=6</t>
  </si>
  <si>
    <t>Ionic radii: 10.1107/S0567739476001551</t>
  </si>
  <si>
    <t>Water</t>
  </si>
  <si>
    <t>∆Gsol in water:</t>
  </si>
  <si>
    <t>∆Gsol in DMSO:</t>
  </si>
  <si>
    <t>DOI: 10.1039/FT9918702995</t>
  </si>
  <si>
    <t>[kcal/mol]</t>
  </si>
  <si>
    <t>CN=7**</t>
  </si>
  <si>
    <t>**see 10.1021/acs.jpcb.5b09579</t>
  </si>
  <si>
    <t>Cluster-continuum</t>
  </si>
  <si>
    <t>PBE0-D3(BJ)/def2-TZVP-gCP</t>
  </si>
  <si>
    <t>G (tot) in vacuum</t>
  </si>
  <si>
    <t>∆Gsolv (Born*)</t>
  </si>
  <si>
    <t>Cluster-contiunnm</t>
  </si>
  <si>
    <t>Ca2+(H2O)7</t>
  </si>
  <si>
    <t>Ca2+, kcal/mol</t>
  </si>
  <si>
    <t xml:space="preserve">Molecules </t>
  </si>
  <si>
    <t>CaC2-iso2</t>
  </si>
  <si>
    <t>CaC2-iso3</t>
  </si>
  <si>
    <t>CaC2-iso4</t>
  </si>
  <si>
    <t>CaC2-iso5</t>
  </si>
  <si>
    <t>OH-iso2</t>
  </si>
  <si>
    <t>OH-iso3</t>
  </si>
  <si>
    <t>OH-iso4</t>
  </si>
  <si>
    <t>OH-iso5</t>
  </si>
  <si>
    <t>TS1-intra</t>
  </si>
  <si>
    <t>TS2-intra</t>
  </si>
  <si>
    <t>TS3-intra</t>
  </si>
  <si>
    <t>TS1-inter</t>
  </si>
  <si>
    <t>TS2-inter</t>
  </si>
  <si>
    <t>B97-3c</t>
  </si>
  <si>
    <t>TS1-intra-CCH</t>
  </si>
  <si>
    <t>TS2-intra-CCH</t>
  </si>
  <si>
    <t>[kJ/mol]</t>
  </si>
  <si>
    <t>DOI: 10.1007/978-1-4684-2955-8_1</t>
  </si>
  <si>
    <t>Exp. 1 (kJ/mol)</t>
  </si>
  <si>
    <t>Exp. 2 (kJ/mol)</t>
  </si>
  <si>
    <t>Deviation 1, kcal/mol</t>
  </si>
  <si>
    <t>Deviation 2, kcal/mol</t>
  </si>
  <si>
    <t>∆Gsolv in DMSO</t>
  </si>
  <si>
    <t>G (tot) in DMSO</t>
  </si>
  <si>
    <t>Reaction</t>
  </si>
  <si>
    <t>P1-intra</t>
  </si>
  <si>
    <t>P2-intra</t>
  </si>
  <si>
    <t>P3-intra</t>
  </si>
  <si>
    <t>P1-inter</t>
  </si>
  <si>
    <t>P2-inter</t>
  </si>
  <si>
    <t>P1-intra-CCH</t>
  </si>
  <si>
    <t>P2-intra-CCH</t>
  </si>
  <si>
    <t>∆Grxn, kca/mol</t>
  </si>
  <si>
    <t>R-intra</t>
  </si>
  <si>
    <t>R-inter</t>
  </si>
  <si>
    <t>R-Intra-CCH</t>
  </si>
  <si>
    <t>R-intra ⟶ TS1-intra</t>
  </si>
  <si>
    <t>R-intra ⟶ TS2-intra</t>
  </si>
  <si>
    <t>R-intra ⟶ TS3-intra</t>
  </si>
  <si>
    <t>R-intra ⟶ P1-intra</t>
  </si>
  <si>
    <t>R-intra ⟶ P2-intra</t>
  </si>
  <si>
    <t>R-intra ⟶ P3-intra</t>
  </si>
  <si>
    <t>R-inter ⟶ TS1-inter</t>
  </si>
  <si>
    <t>R-inter ⟶ TS2-inter</t>
  </si>
  <si>
    <t>R-inter ⟶ P1-inter</t>
  </si>
  <si>
    <t>R-inter ⟶ P2-inter</t>
  </si>
  <si>
    <t>R-intra-CCH ⟶ TS1-intra-CCH</t>
  </si>
  <si>
    <t>R-intra-CCH ⟶ TS2-intra-CCH</t>
  </si>
  <si>
    <t>R-intra-CCH ⟶ P1-intra-CCH</t>
  </si>
  <si>
    <t>R-intra-CCH ⟶ P2-intra-CCH</t>
  </si>
  <si>
    <t>Figure N.</t>
  </si>
  <si>
    <t>Molecule-solvent complexes</t>
  </si>
  <si>
    <t>Exp. 3 (kJ/mol)</t>
  </si>
  <si>
    <t>DOI: 10.1143/JPSJ.61.4247 (and references therein)</t>
  </si>
  <si>
    <t>Deviation 3, kcal/mol</t>
  </si>
  <si>
    <t>CaC2 polymorphs</t>
  </si>
  <si>
    <t>G(CaC2), crystalline, 300K, PBE0/pob-TZVP, kJ/mol</t>
  </si>
  <si>
    <t>∆Gsub (300K, PBE0/pob-TZVP), kcal/mol</t>
  </si>
  <si>
    <t>CaC2-I (139)</t>
  </si>
  <si>
    <t>CaC2-II (15)</t>
  </si>
  <si>
    <t>CaC2-III (12)</t>
  </si>
  <si>
    <t>Name*</t>
  </si>
  <si>
    <t>G_vacuo(300 K, PBE0/pob-TZVP), kJ/mol</t>
  </si>
  <si>
    <t>CaC2_mol1_z1</t>
  </si>
  <si>
    <t>CaC2_mol2_z2</t>
  </si>
  <si>
    <t>CaC2_mol3_z2</t>
  </si>
  <si>
    <t>CaC2_mol4_z2</t>
  </si>
  <si>
    <t>CaC2_mol5_z3</t>
  </si>
  <si>
    <t>CaC2_mol6_z4</t>
  </si>
  <si>
    <t>CaC2_mol7_z4</t>
  </si>
  <si>
    <t>CaC2_mol8_z5</t>
  </si>
  <si>
    <t>CaC2_mol9_z6</t>
  </si>
  <si>
    <t>CaC2_mol10_z6</t>
  </si>
  <si>
    <t>CaC2_mol11_z6</t>
  </si>
  <si>
    <t>CaC2_mol12_z8</t>
  </si>
  <si>
    <t>Space group</t>
  </si>
  <si>
    <t>G_cryst (300 K, PBE0/pob-TZVP), kJ/mol</t>
  </si>
  <si>
    <t>ΔG_clust, kJ/mol</t>
  </si>
  <si>
    <t>ΔG_clust/Z, kJ/mol</t>
  </si>
  <si>
    <t>CaC2-I</t>
  </si>
  <si>
    <t>CaC2-II</t>
  </si>
  <si>
    <t>CaC2-III</t>
  </si>
  <si>
    <t>E_el/Nfu**, Hartree</t>
  </si>
  <si>
    <t>**Nfu - number of formula units</t>
  </si>
  <si>
    <t>G/Nfu** (300K)</t>
  </si>
  <si>
    <t>ΔE_el, kJ/mol</t>
  </si>
  <si>
    <t>ΔG (300 K), kJ/mol</t>
  </si>
  <si>
    <t>E_el (PBE0d3/pob-TZVP-gCP ), Hartree</t>
  </si>
  <si>
    <t>G (300 K, PBE0d3/pob-TZVP-gCP ), Hartree</t>
  </si>
  <si>
    <t>*CaC2_cif.zip</t>
  </si>
  <si>
    <t>CaC2-I -&gt; CaC2-II</t>
  </si>
  <si>
    <t>CaC2-I -&gt; CaC2-III</t>
  </si>
  <si>
    <t>b,  Å</t>
  </si>
  <si>
    <t>c,  Å</t>
  </si>
  <si>
    <t>β, ˚</t>
  </si>
  <si>
    <t>CaC2-I (supercell x16)</t>
  </si>
  <si>
    <t>CaC2-II (supercell x8)</t>
  </si>
  <si>
    <t xml:space="preserve"> CaC2-III (supercell x8)</t>
  </si>
  <si>
    <r>
      <t xml:space="preserve">a, </t>
    </r>
    <r>
      <rPr>
        <b/>
        <sz val="11"/>
        <color theme="1"/>
        <rFont val="Calibri"/>
        <family val="2"/>
      </rPr>
      <t>Å</t>
    </r>
  </si>
  <si>
    <r>
      <rPr>
        <i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4/</t>
    </r>
    <r>
      <rPr>
        <i/>
        <sz val="11"/>
        <color theme="1"/>
        <rFont val="Calibri"/>
        <family val="2"/>
        <scheme val="minor"/>
      </rPr>
      <t>mmm</t>
    </r>
    <r>
      <rPr>
        <sz val="11"/>
        <color theme="1"/>
        <rFont val="Calibri"/>
        <family val="2"/>
        <scheme val="minor"/>
      </rPr>
      <t xml:space="preserve"> (139)</t>
    </r>
  </si>
  <si>
    <r>
      <rPr>
        <i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2/</t>
    </r>
    <r>
      <rPr>
        <i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(15)</t>
    </r>
  </si>
  <si>
    <r>
      <rPr>
        <i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2/</t>
    </r>
    <r>
      <rPr>
        <i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(12)</t>
    </r>
  </si>
  <si>
    <t>G_vacuo(300 K, PBE0/pob-TZVP), Hartree</t>
  </si>
  <si>
    <t>G_cryst/Nfu (300 K, PBE0/pob-TZVP)</t>
  </si>
  <si>
    <t>CaC2</t>
  </si>
  <si>
    <t>Relative G (vacuo)</t>
  </si>
  <si>
    <t>Boltzmann weight (vacuo)</t>
  </si>
  <si>
    <t>Relative G (solv)</t>
  </si>
  <si>
    <t>Boltzmann weight (solv)</t>
  </si>
  <si>
    <t>CaC2-I (I4/mmm)</t>
  </si>
  <si>
    <t>Gamma</t>
  </si>
  <si>
    <t>M</t>
  </si>
  <si>
    <t>X</t>
  </si>
  <si>
    <t>P</t>
  </si>
  <si>
    <t>N</t>
  </si>
  <si>
    <t>CaC2-II (C2/c)</t>
  </si>
  <si>
    <t>Y</t>
  </si>
  <si>
    <t>A</t>
  </si>
  <si>
    <t>V</t>
  </si>
  <si>
    <t>L</t>
  </si>
  <si>
    <t>CaC2-III (C2/m)</t>
  </si>
  <si>
    <t>Vibrational frequencies</t>
  </si>
  <si>
    <t>10.1021/jp065403l</t>
  </si>
  <si>
    <t>10.1021/la7038976</t>
  </si>
  <si>
    <t>Calculated, MP2/6-311++G**//B3LYP/6-31+G* (PCM)</t>
  </si>
  <si>
    <t>10.1134/S0012500814070040</t>
  </si>
  <si>
    <t>DOI:</t>
  </si>
  <si>
    <t>∆G_solv(H+)</t>
  </si>
  <si>
    <t>pKa (HCCH) in DMSO</t>
  </si>
  <si>
    <t>10.1021/jo01304a032</t>
  </si>
  <si>
    <t>10.1021/jp508968z</t>
  </si>
  <si>
    <t>HOH</t>
  </si>
  <si>
    <t>Gibbs energy of the proton gas</t>
  </si>
  <si>
    <t>10.1021/ja00283a028</t>
  </si>
  <si>
    <t>PhCCH</t>
  </si>
  <si>
    <t>pKa (EXP) in DMSO</t>
  </si>
  <si>
    <t>pH (DMSO)</t>
  </si>
  <si>
    <t>Hartree</t>
  </si>
  <si>
    <t xml:space="preserve">NOTE </t>
  </si>
  <si>
    <t>G_gas(H+)+∆G_solv(H+) in DMSO</t>
  </si>
  <si>
    <t>∆G of autoprotolysis</t>
  </si>
  <si>
    <t>Direct modeling of the autoptotolysis of DMSO</t>
  </si>
  <si>
    <t xml:space="preserve">*for HCCH, calculated reference value is used </t>
  </si>
  <si>
    <t>RMSD:</t>
  </si>
  <si>
    <t>pKa(DMSO) - pKa(HOH)</t>
  </si>
  <si>
    <t>DMSO + HO- ⟶ DMSO- + HOH</t>
  </si>
  <si>
    <t>pKa of HCC- in DMSO:</t>
  </si>
  <si>
    <t>∆G of HCC- ⟶ -CC- + H+</t>
  </si>
  <si>
    <t>pKa(PhCCH) - pKa(HOH)</t>
  </si>
  <si>
    <t>PhCCH + HO- ⟶ PhCC- + HOH</t>
  </si>
  <si>
    <t>pKa(PhCCH) - pKa(DMSO)</t>
  </si>
  <si>
    <t>PhCCH + DMSO- ⟶ PhCC- + DMSO</t>
  </si>
  <si>
    <t>HOH ⟶ HO- + H+</t>
  </si>
  <si>
    <t>pKa(HOH) - pKa(HCC-)</t>
  </si>
  <si>
    <t>HOH + C2- ⟶ OH- + HCC-</t>
  </si>
  <si>
    <t>PhCCH ⟶ PhCC- + H+</t>
  </si>
  <si>
    <t>HCCH ⟶ HCC- + H+</t>
  </si>
  <si>
    <t>Based on the data</t>
  </si>
  <si>
    <t>pKa(HOH) - pKa(HCCH)</t>
  </si>
  <si>
    <t>HOH + HCC- ⟶ OH- + HCCH</t>
  </si>
  <si>
    <t>pKa(HCC-) - pKa(DMSO)</t>
  </si>
  <si>
    <t>HCC- + DMSO- ⟶ C2- + DMSO</t>
  </si>
  <si>
    <t>pKa(HCCH) - pKa(DMSO)</t>
  </si>
  <si>
    <t>HCCH + DMSO- ⟶ HCC- + DMSO</t>
  </si>
  <si>
    <t>Based on Fawcett's data</t>
  </si>
  <si>
    <t>Deviation</t>
  </si>
  <si>
    <t>EXP* rel pKa</t>
  </si>
  <si>
    <t>Relative pKa</t>
  </si>
  <si>
    <t>Relative ∆G</t>
  </si>
  <si>
    <t>pKa in DMSO</t>
  </si>
  <si>
    <t>∆Grxn in DMSO</t>
  </si>
  <si>
    <t>Cinfv</t>
  </si>
  <si>
    <t>-OH</t>
  </si>
  <si>
    <t>C2v</t>
  </si>
  <si>
    <t>PhCC-</t>
  </si>
  <si>
    <t>Dinfh</t>
  </si>
  <si>
    <t>HCCH</t>
  </si>
  <si>
    <t>HCC-</t>
  </si>
  <si>
    <t>C1</t>
  </si>
  <si>
    <t>DMSO+ 2</t>
  </si>
  <si>
    <t>DMSO+ 1</t>
  </si>
  <si>
    <t>DMSO- 2</t>
  </si>
  <si>
    <t>DMSO- 1</t>
  </si>
  <si>
    <t>Symmetry number</t>
  </si>
  <si>
    <t>point group</t>
  </si>
  <si>
    <t>G_full</t>
  </si>
  <si>
    <t>G_vacuo (PBE0/ma-def2-TZVP)</t>
  </si>
  <si>
    <t>E_vacuo (PBE0/ma-def2-TZVP)</t>
  </si>
  <si>
    <t>PBE0/ma-def2-TZVP OPT NUMFREQ</t>
  </si>
  <si>
    <t>by Truhlar et al.</t>
  </si>
  <si>
    <t>*According to the Born equation</t>
  </si>
  <si>
    <t>E (tot.) in water (SMD)</t>
  </si>
  <si>
    <t>E (tot.) in water (C-PCM)</t>
  </si>
  <si>
    <t>E (tot.) in water (COSMO)</t>
  </si>
  <si>
    <t>G_full (vacuo+solv), Hartree</t>
  </si>
  <si>
    <t>G_full (vacuo+solv), kJ/mol</t>
  </si>
  <si>
    <t>Imaginary mode, cm-1</t>
  </si>
  <si>
    <t>DMSO ⟶ DMSO(dep)- + H+</t>
  </si>
  <si>
    <t>CaC2 ensemble average, kcal/mol:</t>
  </si>
  <si>
    <t>HO-Ca-CCH ensemble average, kcal/mol:</t>
  </si>
  <si>
    <t>Protonation of C2−</t>
  </si>
  <si>
    <t>Protonation of −CCH</t>
  </si>
  <si>
    <t>-CC-</t>
  </si>
  <si>
    <t>BP86/TZVP</t>
  </si>
  <si>
    <t>*see the supporting ZIP archive</t>
  </si>
  <si>
    <t>Molecule</t>
  </si>
  <si>
    <t>M05-2X, vac</t>
  </si>
  <si>
    <t>M05-2X, SMD</t>
  </si>
  <si>
    <t>M06-2X, vac</t>
  </si>
  <si>
    <t>M06-2X, SMD</t>
  </si>
  <si>
    <t>PBE0, vac</t>
  </si>
  <si>
    <t>PBE0, SMD</t>
  </si>
  <si>
    <t>CaC2*4DMSO</t>
  </si>
  <si>
    <t>HOCaCCH*4DMSO</t>
  </si>
  <si>
    <t>SMD ∆Gsolv</t>
  </si>
  <si>
    <t>M05-2X</t>
  </si>
  <si>
    <t>M06-2X</t>
  </si>
  <si>
    <t>PBE0</t>
  </si>
  <si>
    <t>Basis set: 6-31+G**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</si>
</sst>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0000000"/>
    <numFmt numFmtId="166" formatCode="0.0"/>
    <numFmt numFmtId="167" formatCode="0.0000"/>
    <numFmt numFmtId="168" formatCode="0.000000"/>
    <numFmt numFmtId="169" formatCode="0.0000000"/>
  </numFmts>
  <fonts count="2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rgb="FF0061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2"/>
      <color rgb="FF9C0006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C00000"/>
      <name val="Calibri"/>
      <family val="2"/>
      <charset val="204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5" fillId="3" borderId="0" applyNumberFormat="0" applyBorder="0" applyAlignment="0" applyProtection="0"/>
    <xf numFmtId="0" fontId="21" fillId="4" borderId="0" applyNumberFormat="0" applyBorder="0" applyAlignment="0" applyProtection="0"/>
    <xf numFmtId="0" fontId="3" fillId="0" borderId="0"/>
    <xf numFmtId="0" fontId="22" fillId="0" borderId="0" applyNumberFormat="0" applyFill="0" applyBorder="0" applyAlignment="0" applyProtection="0"/>
  </cellStyleXfs>
  <cellXfs count="131">
    <xf numFmtId="0" fontId="0" fillId="0" borderId="0" xfId="0"/>
    <xf numFmtId="0" fontId="8" fillId="0" borderId="0" xfId="0" applyFont="1"/>
    <xf numFmtId="0" fontId="0" fillId="0" borderId="0" xfId="0" applyAlignment="1">
      <alignment horizontal="center" vertical="center"/>
    </xf>
    <xf numFmtId="165" fontId="0" fillId="0" borderId="0" xfId="0" applyNumberFormat="1"/>
    <xf numFmtId="0" fontId="0" fillId="0" borderId="0" xfId="0" applyFill="1" applyBorder="1"/>
    <xf numFmtId="0" fontId="7" fillId="0" borderId="0" xfId="0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0" fillId="0" borderId="0" xfId="0" applyNumberFormat="1" applyFill="1" applyBorder="1"/>
    <xf numFmtId="0" fontId="8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Border="1"/>
    <xf numFmtId="0" fontId="9" fillId="0" borderId="0" xfId="0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5" fontId="0" fillId="0" borderId="0" xfId="0" applyNumberFormat="1" applyBorder="1"/>
    <xf numFmtId="0" fontId="12" fillId="0" borderId="0" xfId="0" applyFont="1" applyFill="1" applyBorder="1" applyAlignment="1">
      <alignment horizontal="center" vertical="center"/>
    </xf>
    <xf numFmtId="165" fontId="0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12" fillId="0" borderId="0" xfId="0" applyFont="1" applyAlignment="1">
      <alignment horizontal="right"/>
    </xf>
    <xf numFmtId="166" fontId="0" fillId="0" borderId="0" xfId="0" applyNumberFormat="1"/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1" fontId="0" fillId="0" borderId="0" xfId="0" applyNumberFormat="1"/>
    <xf numFmtId="0" fontId="12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0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9" fillId="0" borderId="0" xfId="0" applyFont="1" applyBorder="1"/>
    <xf numFmtId="0" fontId="1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65" fontId="0" fillId="0" borderId="0" xfId="0" applyNumberFormat="1" applyFont="1" applyBorder="1" applyAlignment="1">
      <alignment horizontal="center"/>
    </xf>
    <xf numFmtId="165" fontId="0" fillId="0" borderId="0" xfId="0" applyNumberFormat="1" applyFon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5" fontId="0" fillId="2" borderId="0" xfId="0" applyNumberFormat="1" applyFont="1" applyFill="1" applyAlignment="1">
      <alignment horizontal="center"/>
    </xf>
    <xf numFmtId="164" fontId="0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64" fontId="17" fillId="0" borderId="0" xfId="1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0" fontId="18" fillId="0" borderId="0" xfId="0" applyFont="1"/>
    <xf numFmtId="0" fontId="19" fillId="0" borderId="0" xfId="0" applyFont="1" applyAlignment="1">
      <alignment horizontal="center" vertical="center"/>
    </xf>
    <xf numFmtId="167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center"/>
    </xf>
    <xf numFmtId="0" fontId="0" fillId="0" borderId="0" xfId="0" applyFont="1"/>
    <xf numFmtId="167" fontId="12" fillId="0" borderId="0" xfId="0" applyNumberFormat="1" applyFont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69" fontId="4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2" fontId="0" fillId="0" borderId="0" xfId="0" applyNumberFormat="1" applyAlignment="1">
      <alignment horizontal="center" vertical="center"/>
    </xf>
    <xf numFmtId="11" fontId="7" fillId="0" borderId="0" xfId="0" applyNumberFormat="1" applyFont="1" applyAlignment="1">
      <alignment horizontal="center" vertical="center"/>
    </xf>
    <xf numFmtId="0" fontId="3" fillId="0" borderId="0" xfId="3"/>
    <xf numFmtId="0" fontId="3" fillId="0" borderId="0" xfId="3" applyAlignment="1">
      <alignment horizontal="left"/>
    </xf>
    <xf numFmtId="49" fontId="3" fillId="0" borderId="0" xfId="3" applyNumberFormat="1"/>
    <xf numFmtId="0" fontId="3" fillId="5" borderId="0" xfId="3" applyFill="1"/>
    <xf numFmtId="0" fontId="23" fillId="0" borderId="0" xfId="4" applyFont="1"/>
    <xf numFmtId="0" fontId="24" fillId="0" borderId="0" xfId="3" applyFont="1"/>
    <xf numFmtId="166" fontId="3" fillId="0" borderId="0" xfId="3" applyNumberFormat="1"/>
    <xf numFmtId="1" fontId="3" fillId="0" borderId="0" xfId="3" applyNumberFormat="1"/>
    <xf numFmtId="0" fontId="8" fillId="0" borderId="0" xfId="3" applyFont="1"/>
    <xf numFmtId="166" fontId="8" fillId="0" borderId="0" xfId="3" applyNumberFormat="1" applyFont="1"/>
    <xf numFmtId="0" fontId="24" fillId="0" borderId="0" xfId="3" applyFont="1" applyAlignment="1">
      <alignment horizontal="left"/>
    </xf>
    <xf numFmtId="166" fontId="3" fillId="0" borderId="0" xfId="3" applyNumberFormat="1" applyAlignment="1">
      <alignment horizontal="left"/>
    </xf>
    <xf numFmtId="0" fontId="25" fillId="0" borderId="0" xfId="3" applyFont="1"/>
    <xf numFmtId="1" fontId="3" fillId="0" borderId="0" xfId="3" applyNumberFormat="1" applyAlignment="1">
      <alignment horizontal="left"/>
    </xf>
    <xf numFmtId="166" fontId="3" fillId="2" borderId="0" xfId="3" applyNumberFormat="1" applyFill="1"/>
    <xf numFmtId="49" fontId="24" fillId="0" borderId="0" xfId="3" applyNumberFormat="1" applyFont="1"/>
    <xf numFmtId="49" fontId="24" fillId="2" borderId="0" xfId="3" applyNumberFormat="1" applyFont="1" applyFill="1"/>
    <xf numFmtId="1" fontId="25" fillId="0" borderId="0" xfId="3" applyNumberFormat="1" applyFont="1" applyAlignment="1">
      <alignment horizontal="right"/>
    </xf>
    <xf numFmtId="1" fontId="15" fillId="0" borderId="0" xfId="1" applyNumberFormat="1" applyFill="1"/>
    <xf numFmtId="166" fontId="15" fillId="0" borderId="0" xfId="1" applyNumberFormat="1" applyFill="1"/>
    <xf numFmtId="49" fontId="26" fillId="0" borderId="0" xfId="3" applyNumberFormat="1" applyFont="1"/>
    <xf numFmtId="0" fontId="26" fillId="0" borderId="0" xfId="3" applyFont="1"/>
    <xf numFmtId="49" fontId="3" fillId="0" borderId="0" xfId="3" applyNumberFormat="1" applyAlignment="1">
      <alignment horizontal="left"/>
    </xf>
    <xf numFmtId="1" fontId="21" fillId="0" borderId="0" xfId="2" applyNumberFormat="1" applyFill="1"/>
    <xf numFmtId="166" fontId="21" fillId="0" borderId="0" xfId="2" applyNumberFormat="1" applyFill="1"/>
    <xf numFmtId="0" fontId="3" fillId="5" borderId="0" xfId="3" applyFill="1" applyAlignment="1">
      <alignment horizontal="left"/>
    </xf>
    <xf numFmtId="49" fontId="3" fillId="5" borderId="0" xfId="3" applyNumberFormat="1" applyFill="1"/>
    <xf numFmtId="165" fontId="3" fillId="0" borderId="0" xfId="3" applyNumberFormat="1"/>
    <xf numFmtId="0" fontId="3" fillId="2" borderId="0" xfId="3" applyFill="1"/>
    <xf numFmtId="0" fontId="27" fillId="5" borderId="0" xfId="3" applyFont="1" applyFill="1"/>
    <xf numFmtId="0" fontId="21" fillId="5" borderId="0" xfId="2" applyFill="1"/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6" fillId="0" borderId="0" xfId="3" applyFont="1" applyAlignment="1">
      <alignment horizontal="center"/>
    </xf>
    <xf numFmtId="166" fontId="16" fillId="0" borderId="0" xfId="3" applyNumberFormat="1" applyFont="1" applyAlignment="1">
      <alignment horizontal="center"/>
    </xf>
    <xf numFmtId="0" fontId="16" fillId="0" borderId="0" xfId="3" applyFont="1" applyAlignment="1">
      <alignment horizontal="left"/>
    </xf>
    <xf numFmtId="165" fontId="0" fillId="2" borderId="0" xfId="0" applyNumberFormat="1" applyFont="1" applyFill="1" applyAlignment="1">
      <alignment horizontal="center" vertical="center"/>
    </xf>
    <xf numFmtId="0" fontId="0" fillId="2" borderId="0" xfId="0" applyFill="1"/>
    <xf numFmtId="165" fontId="0" fillId="0" borderId="0" xfId="0" applyNumberFormat="1" applyBorder="1" applyAlignment="1">
      <alignment horizontal="center"/>
    </xf>
    <xf numFmtId="0" fontId="0" fillId="0" borderId="0" xfId="0" applyFill="1" applyAlignment="1">
      <alignment horizontal="center"/>
    </xf>
    <xf numFmtId="165" fontId="0" fillId="0" borderId="0" xfId="0" applyNumberFormat="1" applyFill="1" applyAlignment="1">
      <alignment horizontal="center" vertical="center"/>
    </xf>
    <xf numFmtId="166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166" fontId="0" fillId="0" borderId="0" xfId="0" applyNumberFormat="1" applyBorder="1"/>
    <xf numFmtId="0" fontId="12" fillId="0" borderId="0" xfId="0" applyFont="1" applyAlignment="1">
      <alignment horizontal="left"/>
    </xf>
    <xf numFmtId="0" fontId="28" fillId="0" borderId="0" xfId="0" applyFont="1"/>
    <xf numFmtId="166" fontId="0" fillId="0" borderId="0" xfId="0" applyNumberFormat="1" applyAlignment="1">
      <alignment horizontal="center"/>
    </xf>
    <xf numFmtId="0" fontId="2" fillId="0" borderId="0" xfId="3" applyFont="1"/>
    <xf numFmtId="165" fontId="0" fillId="0" borderId="0" xfId="0" applyNumberFormat="1" applyFill="1" applyBorder="1" applyAlignment="1">
      <alignment horizontal="center"/>
    </xf>
    <xf numFmtId="49" fontId="1" fillId="0" borderId="0" xfId="3" applyNumberFormat="1" applyFont="1"/>
    <xf numFmtId="0" fontId="1" fillId="0" borderId="0" xfId="3" applyFont="1"/>
  </cellXfs>
  <cellStyles count="5">
    <cellStyle name="Bad" xfId="2" builtinId="27"/>
    <cellStyle name="Good" xfId="1" builtinId="26"/>
    <cellStyle name="Normal" xfId="0" builtinId="0"/>
    <cellStyle name="Гиперссылка 2" xfId="4" xr:uid="{0CA718DE-E573-2147-80EE-774D84518BC7}"/>
    <cellStyle name="Обычный 2" xfId="3" xr:uid="{B319B5D6-872A-9642-914A-8B23349D05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204693</xdr:colOff>
      <xdr:row>0</xdr:row>
      <xdr:rowOff>0</xdr:rowOff>
    </xdr:from>
    <xdr:to>
      <xdr:col>6</xdr:col>
      <xdr:colOff>1766047</xdr:colOff>
      <xdr:row>5</xdr:row>
      <xdr:rowOff>107203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id="{B025A0E8-3E69-4292-9212-726C111FB2CD}"/>
            </a:ext>
          </a:extLst>
        </xdr:cNvPr>
        <xdr:cNvGrpSpPr/>
      </xdr:nvGrpSpPr>
      <xdr:grpSpPr>
        <a:xfrm>
          <a:off x="13319560" y="0"/>
          <a:ext cx="1561354" cy="1123203"/>
          <a:chOff x="11687203" y="186766"/>
          <a:chExt cx="1750785" cy="1190755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4770C43E-4EB0-4CE5-8898-D7C3099FA1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34482" t="39366" r="40015" b="29626"/>
          <a:stretch/>
        </xdr:blipFill>
        <xdr:spPr>
          <a:xfrm>
            <a:off x="11687203" y="203307"/>
            <a:ext cx="1750785" cy="1174214"/>
          </a:xfrm>
          <a:prstGeom prst="rect">
            <a:avLst/>
          </a:prstGeom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D997FC07-A0D3-4F77-990D-150BA3E07D95}"/>
              </a:ext>
            </a:extLst>
          </xdr:cNvPr>
          <xdr:cNvSpPr txBox="1"/>
        </xdr:nvSpPr>
        <xdr:spPr>
          <a:xfrm>
            <a:off x="11960412" y="186766"/>
            <a:ext cx="27565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/>
              <a:t>1</a:t>
            </a:r>
            <a:endParaRPr lang="ru-RU" sz="1400" b="1"/>
          </a:p>
        </xdr:txBody>
      </xdr:sp>
    </xdr:grpSp>
    <xdr:clientData/>
  </xdr:twoCellAnchor>
  <xdr:twoCellAnchor>
    <xdr:from>
      <xdr:col>7</xdr:col>
      <xdr:colOff>226717</xdr:colOff>
      <xdr:row>1</xdr:row>
      <xdr:rowOff>7470</xdr:rowOff>
    </xdr:from>
    <xdr:to>
      <xdr:col>7</xdr:col>
      <xdr:colOff>1890059</xdr:colOff>
      <xdr:row>8</xdr:row>
      <xdr:rowOff>67234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id="{140410EA-C276-411E-871D-5B1E67CFE571}"/>
            </a:ext>
          </a:extLst>
        </xdr:cNvPr>
        <xdr:cNvGrpSpPr/>
      </xdr:nvGrpSpPr>
      <xdr:grpSpPr>
        <a:xfrm>
          <a:off x="15424384" y="210670"/>
          <a:ext cx="1663342" cy="1482164"/>
          <a:chOff x="11738892" y="1860177"/>
          <a:chExt cx="1843867" cy="1501862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791A8ED-F33F-4BB1-AF47-F13A724B155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5457" t="30375" r="34054" b="24558"/>
          <a:stretch/>
        </xdr:blipFill>
        <xdr:spPr>
          <a:xfrm>
            <a:off x="11738892" y="1862845"/>
            <a:ext cx="1843867" cy="1499194"/>
          </a:xfrm>
          <a:prstGeom prst="rect">
            <a:avLst/>
          </a:prstGeom>
        </xdr:spPr>
      </xdr:pic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D9963DC-75A7-42A0-97E6-3EF5BEC997EF}"/>
              </a:ext>
            </a:extLst>
          </xdr:cNvPr>
          <xdr:cNvSpPr txBox="1"/>
        </xdr:nvSpPr>
        <xdr:spPr>
          <a:xfrm>
            <a:off x="11908117" y="1860177"/>
            <a:ext cx="27565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/>
              <a:t>2</a:t>
            </a:r>
            <a:endParaRPr lang="ru-RU" sz="1400" b="1"/>
          </a:p>
        </xdr:txBody>
      </xdr:sp>
    </xdr:grpSp>
    <xdr:clientData/>
  </xdr:twoCellAnchor>
  <xdr:twoCellAnchor>
    <xdr:from>
      <xdr:col>8</xdr:col>
      <xdr:colOff>82176</xdr:colOff>
      <xdr:row>9</xdr:row>
      <xdr:rowOff>7470</xdr:rowOff>
    </xdr:from>
    <xdr:to>
      <xdr:col>8</xdr:col>
      <xdr:colOff>2018736</xdr:colOff>
      <xdr:row>14</xdr:row>
      <xdr:rowOff>184489</xdr:rowOff>
    </xdr:to>
    <xdr:grpSp>
      <xdr:nvGrpSpPr>
        <xdr:cNvPr id="25" name="Группа 24">
          <a:extLst>
            <a:ext uri="{FF2B5EF4-FFF2-40B4-BE49-F238E27FC236}">
              <a16:creationId xmlns:a16="http://schemas.microsoft.com/office/drawing/2014/main" id="{09BCE1F7-3859-43BD-93AB-38EB769C0EC6}"/>
            </a:ext>
          </a:extLst>
        </xdr:cNvPr>
        <xdr:cNvGrpSpPr/>
      </xdr:nvGrpSpPr>
      <xdr:grpSpPr>
        <a:xfrm>
          <a:off x="17506576" y="1836270"/>
          <a:ext cx="1936560" cy="1193019"/>
          <a:chOff x="11547581" y="3580825"/>
          <a:chExt cx="2207450" cy="1340017"/>
        </a:xfrm>
      </xdr:grpSpPr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EB5BA929-E22A-4309-98F5-7999AA07A1B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31775" t="33203" r="31154" b="23863"/>
          <a:stretch/>
        </xdr:blipFill>
        <xdr:spPr>
          <a:xfrm>
            <a:off x="11547581" y="3580825"/>
            <a:ext cx="2207450" cy="1340017"/>
          </a:xfrm>
          <a:prstGeom prst="rect">
            <a:avLst/>
          </a:prstGeom>
        </xdr:spPr>
      </xdr:pic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DD632F5E-0F3A-4266-ADF5-84C3BEFA679E}"/>
              </a:ext>
            </a:extLst>
          </xdr:cNvPr>
          <xdr:cNvSpPr txBox="1"/>
        </xdr:nvSpPr>
        <xdr:spPr>
          <a:xfrm>
            <a:off x="11624235" y="4504765"/>
            <a:ext cx="27565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/>
              <a:t>3</a:t>
            </a:r>
            <a:endParaRPr lang="ru-RU" sz="1400" b="1"/>
          </a:p>
        </xdr:txBody>
      </xdr:sp>
    </xdr:grpSp>
    <xdr:clientData/>
  </xdr:twoCellAnchor>
  <xdr:twoCellAnchor>
    <xdr:from>
      <xdr:col>7</xdr:col>
      <xdr:colOff>410885</xdr:colOff>
      <xdr:row>15</xdr:row>
      <xdr:rowOff>179295</xdr:rowOff>
    </xdr:from>
    <xdr:to>
      <xdr:col>7</xdr:col>
      <xdr:colOff>1770531</xdr:colOff>
      <xdr:row>22</xdr:row>
      <xdr:rowOff>67235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id="{9E611503-505F-41A7-95B4-B0DF2C1AFA52}"/>
            </a:ext>
          </a:extLst>
        </xdr:cNvPr>
        <xdr:cNvGrpSpPr/>
      </xdr:nvGrpSpPr>
      <xdr:grpSpPr>
        <a:xfrm>
          <a:off x="15608552" y="3227295"/>
          <a:ext cx="1359646" cy="1284940"/>
          <a:chOff x="12468412" y="2517263"/>
          <a:chExt cx="1566875" cy="1451408"/>
        </a:xfrm>
      </xdr:grpSpPr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7F718BD6-D542-4539-975A-8B534E6F39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32390" t="22674" r="31810" b="16713"/>
          <a:stretch/>
        </xdr:blipFill>
        <xdr:spPr>
          <a:xfrm>
            <a:off x="12483678" y="2517263"/>
            <a:ext cx="1551609" cy="1451408"/>
          </a:xfrm>
          <a:prstGeom prst="rect">
            <a:avLst/>
          </a:prstGeom>
        </xdr:spPr>
      </xdr:pic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86A6C43D-E2DA-4F36-AC31-28689D4C0A28}"/>
              </a:ext>
            </a:extLst>
          </xdr:cNvPr>
          <xdr:cNvSpPr txBox="1"/>
        </xdr:nvSpPr>
        <xdr:spPr>
          <a:xfrm>
            <a:off x="12468412" y="3257177"/>
            <a:ext cx="27565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/>
              <a:t>4</a:t>
            </a:r>
            <a:endParaRPr lang="ru-RU" sz="1400" b="1"/>
          </a:p>
        </xdr:txBody>
      </xdr:sp>
    </xdr:grpSp>
    <xdr:clientData/>
  </xdr:twoCellAnchor>
  <xdr:twoCellAnchor>
    <xdr:from>
      <xdr:col>8</xdr:col>
      <xdr:colOff>127000</xdr:colOff>
      <xdr:row>0</xdr:row>
      <xdr:rowOff>149412</xdr:rowOff>
    </xdr:from>
    <xdr:to>
      <xdr:col>8</xdr:col>
      <xdr:colOff>1710765</xdr:colOff>
      <xdr:row>8</xdr:row>
      <xdr:rowOff>74706</xdr:rowOff>
    </xdr:to>
    <xdr:grpSp>
      <xdr:nvGrpSpPr>
        <xdr:cNvPr id="29" name="Группа 28">
          <a:extLst>
            <a:ext uri="{FF2B5EF4-FFF2-40B4-BE49-F238E27FC236}">
              <a16:creationId xmlns:a16="http://schemas.microsoft.com/office/drawing/2014/main" id="{74257632-098D-481C-9676-0BD3F6ECFA68}"/>
            </a:ext>
          </a:extLst>
        </xdr:cNvPr>
        <xdr:cNvGrpSpPr/>
      </xdr:nvGrpSpPr>
      <xdr:grpSpPr>
        <a:xfrm>
          <a:off x="17551400" y="149412"/>
          <a:ext cx="1583765" cy="1550894"/>
          <a:chOff x="9868646" y="1479177"/>
          <a:chExt cx="1531471" cy="1392584"/>
        </a:xfrm>
      </xdr:grpSpPr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FD8300E7-6C55-45DC-8C5A-1D53C428398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34826" t="30427" r="33275" b="17450"/>
          <a:stretch/>
        </xdr:blipFill>
        <xdr:spPr>
          <a:xfrm>
            <a:off x="9868646" y="1479177"/>
            <a:ext cx="1531471" cy="1392584"/>
          </a:xfrm>
          <a:prstGeom prst="rect">
            <a:avLst/>
          </a:prstGeom>
        </xdr:spPr>
      </xdr:pic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A2DE0074-1DD1-4FDB-8BF3-5FB5A5320CFB}"/>
              </a:ext>
            </a:extLst>
          </xdr:cNvPr>
          <xdr:cNvSpPr txBox="1"/>
        </xdr:nvSpPr>
        <xdr:spPr>
          <a:xfrm>
            <a:off x="9943353" y="2547471"/>
            <a:ext cx="27565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/>
              <a:t>5</a:t>
            </a:r>
            <a:endParaRPr lang="ru-RU" sz="1400" b="1"/>
          </a:p>
        </xdr:txBody>
      </xdr:sp>
    </xdr:grpSp>
    <xdr:clientData/>
  </xdr:twoCellAnchor>
  <xdr:twoCellAnchor>
    <xdr:from>
      <xdr:col>10</xdr:col>
      <xdr:colOff>231590</xdr:colOff>
      <xdr:row>8</xdr:row>
      <xdr:rowOff>156884</xdr:rowOff>
    </xdr:from>
    <xdr:to>
      <xdr:col>10</xdr:col>
      <xdr:colOff>2614710</xdr:colOff>
      <xdr:row>16</xdr:row>
      <xdr:rowOff>22410</xdr:rowOff>
    </xdr:to>
    <xdr:grpSp>
      <xdr:nvGrpSpPr>
        <xdr:cNvPr id="35" name="Группа 34">
          <a:extLst>
            <a:ext uri="{FF2B5EF4-FFF2-40B4-BE49-F238E27FC236}">
              <a16:creationId xmlns:a16="http://schemas.microsoft.com/office/drawing/2014/main" id="{01382961-75C6-4985-84D5-0E624E7DF261}"/>
            </a:ext>
          </a:extLst>
        </xdr:cNvPr>
        <xdr:cNvGrpSpPr/>
      </xdr:nvGrpSpPr>
      <xdr:grpSpPr>
        <a:xfrm>
          <a:off x="22981523" y="1782484"/>
          <a:ext cx="2383120" cy="1491126"/>
          <a:chOff x="14634883" y="1318876"/>
          <a:chExt cx="2196352" cy="1334240"/>
        </a:xfrm>
      </xdr:grpSpPr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259451E0-67F2-4B8C-97FE-7DA5E5FECA7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834" t="28511" r="26506" b="20641"/>
          <a:stretch/>
        </xdr:blipFill>
        <xdr:spPr>
          <a:xfrm flipV="1">
            <a:off x="14634883" y="1318876"/>
            <a:ext cx="2196352" cy="1334240"/>
          </a:xfrm>
          <a:prstGeom prst="rect">
            <a:avLst/>
          </a:prstGeom>
        </xdr:spPr>
      </xdr:pic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FB472882-4CE7-407C-968C-BEAEA93606B4}"/>
              </a:ext>
            </a:extLst>
          </xdr:cNvPr>
          <xdr:cNvSpPr txBox="1"/>
        </xdr:nvSpPr>
        <xdr:spPr>
          <a:xfrm>
            <a:off x="14776824" y="1322294"/>
            <a:ext cx="27565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400" b="1"/>
              <a:t>7</a:t>
            </a:r>
          </a:p>
        </xdr:txBody>
      </xdr:sp>
    </xdr:grpSp>
    <xdr:clientData/>
  </xdr:twoCellAnchor>
  <xdr:twoCellAnchor>
    <xdr:from>
      <xdr:col>10</xdr:col>
      <xdr:colOff>119529</xdr:colOff>
      <xdr:row>0</xdr:row>
      <xdr:rowOff>112062</xdr:rowOff>
    </xdr:from>
    <xdr:to>
      <xdr:col>10</xdr:col>
      <xdr:colOff>2788246</xdr:colOff>
      <xdr:row>7</xdr:row>
      <xdr:rowOff>7476</xdr:rowOff>
    </xdr:to>
    <xdr:grpSp>
      <xdr:nvGrpSpPr>
        <xdr:cNvPr id="38" name="Группа 37">
          <a:extLst>
            <a:ext uri="{FF2B5EF4-FFF2-40B4-BE49-F238E27FC236}">
              <a16:creationId xmlns:a16="http://schemas.microsoft.com/office/drawing/2014/main" id="{EB481F3C-421A-4BDD-8C9C-5D9595B23A62}"/>
            </a:ext>
          </a:extLst>
        </xdr:cNvPr>
        <xdr:cNvGrpSpPr/>
      </xdr:nvGrpSpPr>
      <xdr:grpSpPr>
        <a:xfrm>
          <a:off x="22869462" y="112062"/>
          <a:ext cx="2668717" cy="1317814"/>
          <a:chOff x="9846234" y="2965821"/>
          <a:chExt cx="2668716" cy="1255061"/>
        </a:xfrm>
      </xdr:grpSpPr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6CBE9F54-0656-4457-833C-B5666B142DD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30510" t="37305" r="29306" b="28828"/>
          <a:stretch/>
        </xdr:blipFill>
        <xdr:spPr>
          <a:xfrm>
            <a:off x="9846234" y="2965821"/>
            <a:ext cx="2668716" cy="1255061"/>
          </a:xfrm>
          <a:prstGeom prst="rect">
            <a:avLst/>
          </a:prstGeom>
        </xdr:spPr>
      </xdr:pic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2E8FED1B-CCEF-48C4-B591-E36E9A709C91}"/>
              </a:ext>
            </a:extLst>
          </xdr:cNvPr>
          <xdr:cNvSpPr txBox="1"/>
        </xdr:nvSpPr>
        <xdr:spPr>
          <a:xfrm>
            <a:off x="10047941" y="2965824"/>
            <a:ext cx="27565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400" b="1"/>
              <a:t>8</a:t>
            </a:r>
          </a:p>
        </xdr:txBody>
      </xdr:sp>
    </xdr:grpSp>
    <xdr:clientData/>
  </xdr:twoCellAnchor>
  <xdr:twoCellAnchor>
    <xdr:from>
      <xdr:col>11</xdr:col>
      <xdr:colOff>246526</xdr:colOff>
      <xdr:row>0</xdr:row>
      <xdr:rowOff>67236</xdr:rowOff>
    </xdr:from>
    <xdr:to>
      <xdr:col>11</xdr:col>
      <xdr:colOff>2345764</xdr:colOff>
      <xdr:row>9</xdr:row>
      <xdr:rowOff>0</xdr:rowOff>
    </xdr:to>
    <xdr:grpSp>
      <xdr:nvGrpSpPr>
        <xdr:cNvPr id="41" name="Группа 40">
          <a:extLst>
            <a:ext uri="{FF2B5EF4-FFF2-40B4-BE49-F238E27FC236}">
              <a16:creationId xmlns:a16="http://schemas.microsoft.com/office/drawing/2014/main" id="{81BCD754-F222-48E7-991F-E122793255FF}"/>
            </a:ext>
          </a:extLst>
        </xdr:cNvPr>
        <xdr:cNvGrpSpPr/>
      </xdr:nvGrpSpPr>
      <xdr:grpSpPr>
        <a:xfrm>
          <a:off x="26061393" y="67236"/>
          <a:ext cx="2099238" cy="1761564"/>
          <a:chOff x="13454528" y="2973295"/>
          <a:chExt cx="1964765" cy="1638848"/>
        </a:xfrm>
      </xdr:grpSpPr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D48DBE8D-722E-4F2D-97BB-E36F275D33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29319" t="22754" r="28117" b="13393"/>
          <a:stretch/>
        </xdr:blipFill>
        <xdr:spPr>
          <a:xfrm>
            <a:off x="13454528" y="2973295"/>
            <a:ext cx="1964765" cy="1638848"/>
          </a:xfrm>
          <a:prstGeom prst="rect">
            <a:avLst/>
          </a:prstGeom>
        </xdr:spPr>
      </xdr:pic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586795A0-1F89-48F6-999B-B2B556F02DB1}"/>
              </a:ext>
            </a:extLst>
          </xdr:cNvPr>
          <xdr:cNvSpPr txBox="1"/>
        </xdr:nvSpPr>
        <xdr:spPr>
          <a:xfrm>
            <a:off x="13536706" y="3189941"/>
            <a:ext cx="27565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400" b="1"/>
              <a:t>9</a:t>
            </a:r>
          </a:p>
        </xdr:txBody>
      </xdr:sp>
    </xdr:grpSp>
    <xdr:clientData/>
  </xdr:twoCellAnchor>
  <xdr:twoCellAnchor>
    <xdr:from>
      <xdr:col>9</xdr:col>
      <xdr:colOff>104587</xdr:colOff>
      <xdr:row>0</xdr:row>
      <xdr:rowOff>171823</xdr:rowOff>
    </xdr:from>
    <xdr:to>
      <xdr:col>9</xdr:col>
      <xdr:colOff>3018117</xdr:colOff>
      <xdr:row>7</xdr:row>
      <xdr:rowOff>67233</xdr:rowOff>
    </xdr:to>
    <xdr:grpSp>
      <xdr:nvGrpSpPr>
        <xdr:cNvPr id="44" name="Группа 43">
          <a:extLst>
            <a:ext uri="{FF2B5EF4-FFF2-40B4-BE49-F238E27FC236}">
              <a16:creationId xmlns:a16="http://schemas.microsoft.com/office/drawing/2014/main" id="{C16AF3A4-8123-44F2-AA25-73C32C5BD03A}"/>
            </a:ext>
          </a:extLst>
        </xdr:cNvPr>
        <xdr:cNvGrpSpPr/>
      </xdr:nvGrpSpPr>
      <xdr:grpSpPr>
        <a:xfrm>
          <a:off x="19552520" y="171823"/>
          <a:ext cx="2913530" cy="1317810"/>
          <a:chOff x="12056718" y="1396999"/>
          <a:chExt cx="2854575" cy="1389529"/>
        </a:xfrm>
      </xdr:grpSpPr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id="{618F6DDC-66D4-42A1-8C78-A52262765C8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32440" t="36242" r="28953" b="30347"/>
          <a:stretch/>
        </xdr:blipFill>
        <xdr:spPr>
          <a:xfrm>
            <a:off x="12056718" y="1396999"/>
            <a:ext cx="2854575" cy="1389529"/>
          </a:xfrm>
          <a:prstGeom prst="rect">
            <a:avLst/>
          </a:prstGeom>
        </xdr:spPr>
      </xdr:pic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A69674BE-830D-4555-9FC2-8E3E8E20EBF8}"/>
              </a:ext>
            </a:extLst>
          </xdr:cNvPr>
          <xdr:cNvSpPr txBox="1"/>
        </xdr:nvSpPr>
        <xdr:spPr>
          <a:xfrm>
            <a:off x="12154647" y="1449294"/>
            <a:ext cx="27565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400" b="1"/>
              <a:t>6</a:t>
            </a:r>
          </a:p>
        </xdr:txBody>
      </xdr:sp>
    </xdr:grpSp>
    <xdr:clientData/>
  </xdr:twoCellAnchor>
  <xdr:twoCellAnchor>
    <xdr:from>
      <xdr:col>11</xdr:col>
      <xdr:colOff>179295</xdr:colOff>
      <xdr:row>10</xdr:row>
      <xdr:rowOff>19315</xdr:rowOff>
    </xdr:from>
    <xdr:to>
      <xdr:col>11</xdr:col>
      <xdr:colOff>2338293</xdr:colOff>
      <xdr:row>19</xdr:row>
      <xdr:rowOff>54798</xdr:rowOff>
    </xdr:to>
    <xdr:grpSp>
      <xdr:nvGrpSpPr>
        <xdr:cNvPr id="47" name="Группа 46">
          <a:extLst>
            <a:ext uri="{FF2B5EF4-FFF2-40B4-BE49-F238E27FC236}">
              <a16:creationId xmlns:a16="http://schemas.microsoft.com/office/drawing/2014/main" id="{5F2DB6DC-B37C-4E89-900F-5A0ADA0D81FD}"/>
            </a:ext>
          </a:extLst>
        </xdr:cNvPr>
        <xdr:cNvGrpSpPr/>
      </xdr:nvGrpSpPr>
      <xdr:grpSpPr>
        <a:xfrm>
          <a:off x="25994162" y="2051315"/>
          <a:ext cx="2158998" cy="1855816"/>
          <a:chOff x="12886766" y="5241256"/>
          <a:chExt cx="2158998" cy="1776130"/>
        </a:xfrm>
      </xdr:grpSpPr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90271E4A-A33D-4A40-BBD1-AE4A68CC9A3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28996" t="22533" r="28324" b="13137"/>
          <a:stretch/>
        </xdr:blipFill>
        <xdr:spPr>
          <a:xfrm>
            <a:off x="12924117" y="5241256"/>
            <a:ext cx="2121647" cy="1776130"/>
          </a:xfrm>
          <a:prstGeom prst="rect">
            <a:avLst/>
          </a:prstGeom>
        </xdr:spPr>
      </xdr:pic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AD33AF72-74DF-4F47-9A70-00705D126B96}"/>
              </a:ext>
            </a:extLst>
          </xdr:cNvPr>
          <xdr:cNvSpPr txBox="1"/>
        </xdr:nvSpPr>
        <xdr:spPr>
          <a:xfrm>
            <a:off x="12886766" y="5274235"/>
            <a:ext cx="366639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400" b="1"/>
              <a:t>10</a:t>
            </a:r>
          </a:p>
        </xdr:txBody>
      </xdr:sp>
    </xdr:grpSp>
    <xdr:clientData/>
  </xdr:twoCellAnchor>
  <xdr:twoCellAnchor>
    <xdr:from>
      <xdr:col>11</xdr:col>
      <xdr:colOff>398657</xdr:colOff>
      <xdr:row>21</xdr:row>
      <xdr:rowOff>80138</xdr:rowOff>
    </xdr:from>
    <xdr:to>
      <xdr:col>11</xdr:col>
      <xdr:colOff>2124362</xdr:colOff>
      <xdr:row>43</xdr:row>
      <xdr:rowOff>131239</xdr:rowOff>
    </xdr:to>
    <xdr:grpSp>
      <xdr:nvGrpSpPr>
        <xdr:cNvPr id="50" name="Группа 49">
          <a:extLst>
            <a:ext uri="{FF2B5EF4-FFF2-40B4-BE49-F238E27FC236}">
              <a16:creationId xmlns:a16="http://schemas.microsoft.com/office/drawing/2014/main" id="{490247A9-7309-4EE1-A6BA-765BBB86A027}"/>
            </a:ext>
          </a:extLst>
        </xdr:cNvPr>
        <xdr:cNvGrpSpPr/>
      </xdr:nvGrpSpPr>
      <xdr:grpSpPr>
        <a:xfrm>
          <a:off x="26213524" y="4321938"/>
          <a:ext cx="1725705" cy="4352168"/>
          <a:chOff x="24264470" y="821764"/>
          <a:chExt cx="1725705" cy="4176903"/>
        </a:xfrm>
      </xdr:grpSpPr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A3A264E0-3B21-4568-A054-08DA66FF190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l="29375" t="40454" r="28055" b="31436"/>
          <a:stretch/>
        </xdr:blipFill>
        <xdr:spPr>
          <a:xfrm rot="5400000">
            <a:off x="23065020" y="2073511"/>
            <a:ext cx="4154488" cy="1695823"/>
          </a:xfrm>
          <a:prstGeom prst="rect">
            <a:avLst/>
          </a:prstGeom>
        </xdr:spPr>
      </xdr:pic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085A6259-3501-4E7D-826E-E7CCDC3C638C}"/>
              </a:ext>
            </a:extLst>
          </xdr:cNvPr>
          <xdr:cNvSpPr txBox="1"/>
        </xdr:nvSpPr>
        <xdr:spPr>
          <a:xfrm>
            <a:off x="24264470" y="821764"/>
            <a:ext cx="366639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400" b="1"/>
              <a:t>11</a:t>
            </a:r>
          </a:p>
        </xdr:txBody>
      </xdr:sp>
    </xdr:grpSp>
    <xdr:clientData/>
  </xdr:twoCellAnchor>
  <xdr:twoCellAnchor>
    <xdr:from>
      <xdr:col>12</xdr:col>
      <xdr:colOff>150093</xdr:colOff>
      <xdr:row>0</xdr:row>
      <xdr:rowOff>184726</xdr:rowOff>
    </xdr:from>
    <xdr:to>
      <xdr:col>12</xdr:col>
      <xdr:colOff>4179455</xdr:colOff>
      <xdr:row>13</xdr:row>
      <xdr:rowOff>161637</xdr:rowOff>
    </xdr:to>
    <xdr:grpSp>
      <xdr:nvGrpSpPr>
        <xdr:cNvPr id="53" name="Группа 52">
          <a:extLst>
            <a:ext uri="{FF2B5EF4-FFF2-40B4-BE49-F238E27FC236}">
              <a16:creationId xmlns:a16="http://schemas.microsoft.com/office/drawing/2014/main" id="{9AB253B3-5770-444D-BED4-235540923C33}"/>
            </a:ext>
          </a:extLst>
        </xdr:cNvPr>
        <xdr:cNvGrpSpPr/>
      </xdr:nvGrpSpPr>
      <xdr:grpSpPr>
        <a:xfrm>
          <a:off x="28606560" y="184726"/>
          <a:ext cx="4029362" cy="2618511"/>
          <a:chOff x="23795183" y="184726"/>
          <a:chExt cx="4114449" cy="2505365"/>
        </a:xfrm>
      </xdr:grpSpPr>
      <xdr:pic>
        <xdr:nvPicPr>
          <xdr:cNvPr id="51" name="Рисунок 50">
            <a:extLst>
              <a:ext uri="{FF2B5EF4-FFF2-40B4-BE49-F238E27FC236}">
                <a16:creationId xmlns:a16="http://schemas.microsoft.com/office/drawing/2014/main" id="{1D1BC358-7DAC-434D-9AF5-673042BBEBA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l="27904" t="29561" r="27034" b="20978"/>
          <a:stretch/>
        </xdr:blipFill>
        <xdr:spPr>
          <a:xfrm>
            <a:off x="23795183" y="184726"/>
            <a:ext cx="4114449" cy="2505365"/>
          </a:xfrm>
          <a:prstGeom prst="rect">
            <a:avLst/>
          </a:prstGeom>
        </xdr:spPr>
      </xdr:pic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B97E25A1-FEC8-4833-9D20-813E835E51EA}"/>
              </a:ext>
            </a:extLst>
          </xdr:cNvPr>
          <xdr:cNvSpPr txBox="1"/>
        </xdr:nvSpPr>
        <xdr:spPr>
          <a:xfrm>
            <a:off x="23864456" y="288636"/>
            <a:ext cx="366639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400" b="1"/>
              <a:t>12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10</xdr:col>
      <xdr:colOff>601133</xdr:colOff>
      <xdr:row>11</xdr:row>
      <xdr:rowOff>46566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0FD28DE-6BE5-4543-AC01-592B6316B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0" y="194733"/>
          <a:ext cx="2260600" cy="19939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13</xdr:col>
      <xdr:colOff>474133</xdr:colOff>
      <xdr:row>12</xdr:row>
      <xdr:rowOff>4233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B7A6FF5-83F6-DF48-B743-6EB11FBB5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6600" y="194733"/>
          <a:ext cx="2133600" cy="21463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16</xdr:col>
      <xdr:colOff>296333</xdr:colOff>
      <xdr:row>11</xdr:row>
      <xdr:rowOff>110066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BE991B9-0FBF-EC47-AF2C-0E7FDEAE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5800" y="194733"/>
          <a:ext cx="1955800" cy="2057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19</xdr:col>
      <xdr:colOff>245533</xdr:colOff>
      <xdr:row>11</xdr:row>
      <xdr:rowOff>186266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DBF6DE9-ADA6-B24F-B76E-9606E1B6E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0" y="194733"/>
          <a:ext cx="1905000" cy="21336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22</xdr:col>
      <xdr:colOff>296333</xdr:colOff>
      <xdr:row>11</xdr:row>
      <xdr:rowOff>135466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66ACECB-3E57-D246-9F16-5333C671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4200" y="194733"/>
          <a:ext cx="1955800" cy="208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25</xdr:col>
      <xdr:colOff>423333</xdr:colOff>
      <xdr:row>10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432BCF8-FBF6-384E-B569-D36CCF6D6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23400" y="194733"/>
          <a:ext cx="2082800" cy="17526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</xdr:row>
      <xdr:rowOff>0</xdr:rowOff>
    </xdr:from>
    <xdr:to>
      <xdr:col>28</xdr:col>
      <xdr:colOff>588433</xdr:colOff>
      <xdr:row>10</xdr:row>
      <xdr:rowOff>38100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21C22EF-775E-C144-8679-659FE3C6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2600" y="194733"/>
          <a:ext cx="2247900" cy="17907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10</xdr:col>
      <xdr:colOff>309033</xdr:colOff>
      <xdr:row>23</xdr:row>
      <xdr:rowOff>160866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8A664A5-97A0-344B-984B-8695D6C69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0" y="2531533"/>
          <a:ext cx="1968500" cy="210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13</xdr:col>
      <xdr:colOff>639233</xdr:colOff>
      <xdr:row>24</xdr:row>
      <xdr:rowOff>55033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330CF8B-ED16-B140-8821-5ED870220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6600" y="2531533"/>
          <a:ext cx="2298700" cy="21971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15</xdr:col>
      <xdr:colOff>719667</xdr:colOff>
      <xdr:row>24</xdr:row>
      <xdr:rowOff>131233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2F7A2FC-400A-2E47-A1A3-E8868819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5800" y="2531533"/>
          <a:ext cx="1549400" cy="22733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</xdr:row>
      <xdr:rowOff>0</xdr:rowOff>
    </xdr:from>
    <xdr:to>
      <xdr:col>18</xdr:col>
      <xdr:colOff>321734</xdr:colOff>
      <xdr:row>23</xdr:row>
      <xdr:rowOff>8466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DED5517-DA38-9647-83BF-92A4E7843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5267" y="2531533"/>
          <a:ext cx="1981200" cy="19558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</xdr:row>
      <xdr:rowOff>0</xdr:rowOff>
    </xdr:from>
    <xdr:to>
      <xdr:col>21</xdr:col>
      <xdr:colOff>283634</xdr:colOff>
      <xdr:row>22</xdr:row>
      <xdr:rowOff>165100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BB4AF1E-3380-6248-A4BC-3639A51B2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4467" y="2531533"/>
          <a:ext cx="1943100" cy="19177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10</xdr:col>
      <xdr:colOff>461433</xdr:colOff>
      <xdr:row>37</xdr:row>
      <xdr:rowOff>4234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3237C497-5A11-E840-AEA8-D73799BE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0" y="5063067"/>
          <a:ext cx="2120900" cy="21463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13</xdr:col>
      <xdr:colOff>283633</xdr:colOff>
      <xdr:row>36</xdr:row>
      <xdr:rowOff>97367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6F37931-3371-6242-9FB6-F9B53EBCE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6600" y="5063067"/>
          <a:ext cx="1943100" cy="20447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19</xdr:col>
      <xdr:colOff>182033</xdr:colOff>
      <xdr:row>35</xdr:row>
      <xdr:rowOff>50800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70CC8A08-034E-6841-A792-0947D69F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0" y="5063067"/>
          <a:ext cx="1841500" cy="1803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26</xdr:row>
      <xdr:rowOff>0</xdr:rowOff>
    </xdr:from>
    <xdr:to>
      <xdr:col>22</xdr:col>
      <xdr:colOff>296333</xdr:colOff>
      <xdr:row>35</xdr:row>
      <xdr:rowOff>101600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23F4232-FA94-BC41-B66A-C2D993152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4200" y="5063067"/>
          <a:ext cx="1955800" cy="18542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16</xdr:col>
      <xdr:colOff>486833</xdr:colOff>
      <xdr:row>37</xdr:row>
      <xdr:rowOff>131234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882FC564-B35C-074B-A2F7-F2EE72A7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5800" y="5063067"/>
          <a:ext cx="2146300" cy="227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BB12E-DCEA-40EA-A048-65A625043179}">
  <dimension ref="A1:N54"/>
  <sheetViews>
    <sheetView workbookViewId="0">
      <selection activeCell="D20" sqref="D20"/>
    </sheetView>
  </sheetViews>
  <sheetFormatPr baseColWidth="10" defaultColWidth="8.83203125" defaultRowHeight="15" x14ac:dyDescent="0.2"/>
  <cols>
    <col min="1" max="1" width="19.33203125" customWidth="1"/>
    <col min="2" max="2" width="34.33203125" customWidth="1"/>
    <col min="3" max="3" width="38.83203125" customWidth="1"/>
    <col min="4" max="4" width="21.1640625" customWidth="1"/>
    <col min="5" max="5" width="17" customWidth="1"/>
    <col min="6" max="6" width="9.33203125" bestFit="1" customWidth="1"/>
    <col min="7" max="7" width="8.5" customWidth="1"/>
    <col min="8" max="8" width="17.1640625" customWidth="1"/>
    <col min="9" max="14" width="10.33203125" bestFit="1" customWidth="1"/>
  </cols>
  <sheetData>
    <row r="1" spans="1:14" x14ac:dyDescent="0.2">
      <c r="J1" s="16" t="s">
        <v>190</v>
      </c>
    </row>
    <row r="2" spans="1:14" x14ac:dyDescent="0.2">
      <c r="A2" s="29" t="s">
        <v>158</v>
      </c>
      <c r="B2" s="29" t="s">
        <v>144</v>
      </c>
      <c r="C2" s="29" t="s">
        <v>167</v>
      </c>
      <c r="D2" s="29" t="s">
        <v>161</v>
      </c>
      <c r="E2" s="29" t="s">
        <v>162</v>
      </c>
      <c r="F2" s="66" t="s">
        <v>163</v>
      </c>
      <c r="G2" s="2"/>
      <c r="H2" s="43" t="s">
        <v>178</v>
      </c>
      <c r="I2" s="2"/>
      <c r="J2" s="2"/>
      <c r="K2" s="2"/>
      <c r="L2" s="2"/>
      <c r="M2" s="2"/>
    </row>
    <row r="3" spans="1:14" x14ac:dyDescent="0.2">
      <c r="A3" s="44" t="s">
        <v>148</v>
      </c>
      <c r="B3" s="44" t="s">
        <v>168</v>
      </c>
      <c r="C3" s="67">
        <v>3.7950822099999999</v>
      </c>
      <c r="D3" s="67">
        <v>3.7950822099999999</v>
      </c>
      <c r="E3" s="67">
        <v>6.3392668600000004</v>
      </c>
      <c r="F3" s="68">
        <v>90</v>
      </c>
      <c r="G3" s="2"/>
      <c r="H3" s="2"/>
      <c r="I3" s="43" t="s">
        <v>179</v>
      </c>
      <c r="J3" s="43" t="s">
        <v>180</v>
      </c>
      <c r="K3" s="43" t="s">
        <v>181</v>
      </c>
      <c r="L3" s="43" t="s">
        <v>182</v>
      </c>
      <c r="M3" s="43" t="s">
        <v>183</v>
      </c>
    </row>
    <row r="4" spans="1:14" x14ac:dyDescent="0.2">
      <c r="A4" s="44" t="s">
        <v>149</v>
      </c>
      <c r="B4" s="44" t="s">
        <v>169</v>
      </c>
      <c r="C4" s="67">
        <v>6.6216123299999996</v>
      </c>
      <c r="D4" s="67">
        <v>4.0345871999999998</v>
      </c>
      <c r="E4" s="67">
        <v>7.04050888</v>
      </c>
      <c r="F4" s="69">
        <v>103.518777</v>
      </c>
      <c r="G4" s="2"/>
      <c r="H4" s="2">
        <v>1</v>
      </c>
      <c r="I4" s="77">
        <v>0</v>
      </c>
      <c r="J4" s="77">
        <v>157.70650000000001</v>
      </c>
      <c r="K4" s="77">
        <v>55.308399999999999</v>
      </c>
      <c r="L4" s="77">
        <v>157.70650000000001</v>
      </c>
      <c r="M4" s="77">
        <v>170.75280000000001</v>
      </c>
    </row>
    <row r="5" spans="1:14" x14ac:dyDescent="0.2">
      <c r="A5" s="44" t="s">
        <v>150</v>
      </c>
      <c r="B5" s="44" t="s">
        <v>170</v>
      </c>
      <c r="C5" s="67">
        <v>7.1428995100000003</v>
      </c>
      <c r="D5" s="67">
        <v>3.7505914300000001</v>
      </c>
      <c r="E5" s="67">
        <v>7.2380349199999996</v>
      </c>
      <c r="F5" s="69">
        <v>107.174311</v>
      </c>
      <c r="G5" s="2"/>
      <c r="H5" s="2">
        <v>2</v>
      </c>
      <c r="I5" s="77">
        <v>0</v>
      </c>
      <c r="J5" s="77">
        <v>157.70650000000001</v>
      </c>
      <c r="K5" s="77">
        <v>155.6677</v>
      </c>
      <c r="L5" s="77">
        <v>157.70650000000001</v>
      </c>
      <c r="M5" s="77">
        <v>217.8954</v>
      </c>
    </row>
    <row r="6" spans="1:14" x14ac:dyDescent="0.2">
      <c r="A6" s="70"/>
      <c r="B6" s="70"/>
      <c r="C6" s="68"/>
      <c r="D6" s="68"/>
      <c r="E6" s="68"/>
      <c r="F6" s="68"/>
      <c r="H6" s="2">
        <v>3</v>
      </c>
      <c r="I6" s="77">
        <v>0</v>
      </c>
      <c r="J6" s="77">
        <v>233.4444</v>
      </c>
      <c r="K6" s="77">
        <v>169.8837</v>
      </c>
      <c r="L6" s="77">
        <v>233.4444</v>
      </c>
      <c r="M6" s="77">
        <v>246.69579999999999</v>
      </c>
    </row>
    <row r="7" spans="1:14" x14ac:dyDescent="0.2">
      <c r="A7" s="44"/>
      <c r="B7" s="29" t="s">
        <v>156</v>
      </c>
      <c r="C7" s="29" t="s">
        <v>157</v>
      </c>
      <c r="D7" s="71" t="s">
        <v>151</v>
      </c>
      <c r="E7" s="71" t="s">
        <v>153</v>
      </c>
      <c r="H7" s="2">
        <v>4</v>
      </c>
      <c r="I7" s="77">
        <v>275.23700000000002</v>
      </c>
      <c r="J7" s="77">
        <v>276.08089999999999</v>
      </c>
      <c r="K7" s="77">
        <v>217.84639999999999</v>
      </c>
      <c r="L7" s="77">
        <v>276.08089999999999</v>
      </c>
      <c r="M7" s="77">
        <v>273.73169999999999</v>
      </c>
    </row>
    <row r="8" spans="1:14" x14ac:dyDescent="0.2">
      <c r="A8" s="44" t="s">
        <v>164</v>
      </c>
      <c r="B8" s="44">
        <v>-753.58314813093796</v>
      </c>
      <c r="C8" s="44">
        <v>-753.57691130745695</v>
      </c>
      <c r="D8" s="44">
        <f>B8</f>
        <v>-753.58314813093796</v>
      </c>
      <c r="E8" s="44">
        <f>C8</f>
        <v>-753.57691130745695</v>
      </c>
      <c r="F8" s="70"/>
      <c r="H8" s="2">
        <v>5</v>
      </c>
      <c r="I8" s="77">
        <v>275.23700000000002</v>
      </c>
      <c r="J8" s="77">
        <v>276.08089999999999</v>
      </c>
      <c r="K8" s="77">
        <v>300.79770000000002</v>
      </c>
      <c r="L8" s="77">
        <v>276.08089999999999</v>
      </c>
      <c r="M8" s="77">
        <v>278.27280000000002</v>
      </c>
    </row>
    <row r="9" spans="1:14" x14ac:dyDescent="0.2">
      <c r="A9" s="44" t="s">
        <v>165</v>
      </c>
      <c r="B9" s="44">
        <v>-1507.1638281591199</v>
      </c>
      <c r="C9" s="72">
        <v>-1507.1498591474401</v>
      </c>
      <c r="D9" s="44">
        <f>B9/2</f>
        <v>-753.58191407955997</v>
      </c>
      <c r="E9" s="73">
        <f>C9/2</f>
        <v>-753.57492957372006</v>
      </c>
      <c r="F9" s="70"/>
      <c r="H9" s="2">
        <v>6</v>
      </c>
      <c r="I9" s="77">
        <v>354.18709999999999</v>
      </c>
      <c r="J9" s="77">
        <v>311.2484</v>
      </c>
      <c r="K9" s="77">
        <v>358.31900000000002</v>
      </c>
      <c r="L9" s="77">
        <v>311.2484</v>
      </c>
      <c r="M9" s="77">
        <v>311.51299999999998</v>
      </c>
    </row>
    <row r="10" spans="1:14" x14ac:dyDescent="0.2">
      <c r="A10" s="44" t="s">
        <v>166</v>
      </c>
      <c r="B10" s="44">
        <v>-1507.1576172115001</v>
      </c>
      <c r="C10" s="44">
        <v>-1507.14379081222</v>
      </c>
      <c r="D10" s="44">
        <f>B10/2</f>
        <v>-753.57880860575005</v>
      </c>
      <c r="E10" s="44">
        <f>C10/2</f>
        <v>-753.57189540611</v>
      </c>
      <c r="F10" s="70"/>
      <c r="H10" s="2">
        <v>7</v>
      </c>
      <c r="I10" s="77">
        <v>371.10180000000003</v>
      </c>
      <c r="J10" s="77">
        <v>388.09910000000002</v>
      </c>
      <c r="K10" s="77">
        <v>376.86559999999997</v>
      </c>
      <c r="L10" s="77">
        <v>388.09910000000002</v>
      </c>
      <c r="M10" s="77">
        <v>378.48989999999998</v>
      </c>
    </row>
    <row r="11" spans="1:14" x14ac:dyDescent="0.2">
      <c r="A11" s="70"/>
      <c r="B11" s="70"/>
      <c r="C11" s="70"/>
      <c r="D11" s="70"/>
      <c r="E11" s="70" t="s">
        <v>152</v>
      </c>
      <c r="F11" s="70"/>
      <c r="H11" s="2">
        <v>8</v>
      </c>
      <c r="I11" s="77">
        <v>371.10180000000003</v>
      </c>
      <c r="J11" s="77">
        <v>388.09910000000002</v>
      </c>
      <c r="K11" s="77">
        <v>408.00119999999998</v>
      </c>
      <c r="L11" s="77">
        <v>388.09910000000002</v>
      </c>
      <c r="M11" s="77">
        <v>379.16140000000001</v>
      </c>
    </row>
    <row r="12" spans="1:14" x14ac:dyDescent="0.2">
      <c r="A12" s="44"/>
      <c r="B12" s="66" t="s">
        <v>154</v>
      </c>
      <c r="C12" s="29" t="s">
        <v>155</v>
      </c>
      <c r="D12" s="70"/>
      <c r="E12" s="70"/>
      <c r="F12" s="70"/>
      <c r="H12" s="2">
        <v>9</v>
      </c>
      <c r="I12" s="77">
        <v>2022.6088</v>
      </c>
      <c r="J12" s="77">
        <v>2023.1398999999999</v>
      </c>
      <c r="K12" s="77">
        <v>2025.0771999999999</v>
      </c>
      <c r="L12" s="77">
        <v>2023.1398999999999</v>
      </c>
      <c r="M12" s="77">
        <v>2022.5983000000001</v>
      </c>
    </row>
    <row r="13" spans="1:14" x14ac:dyDescent="0.2">
      <c r="A13" s="44" t="s">
        <v>159</v>
      </c>
      <c r="B13" s="50">
        <f>(D9-D8)*2625.499638</f>
        <v>3.2400014461909197</v>
      </c>
      <c r="C13" s="50">
        <f>(E9-E8)*2625.499638</f>
        <v>5.203041208837285</v>
      </c>
      <c r="D13" s="70"/>
      <c r="E13" s="70"/>
      <c r="F13" s="70"/>
    </row>
    <row r="14" spans="1:14" x14ac:dyDescent="0.2">
      <c r="A14" s="44" t="s">
        <v>160</v>
      </c>
      <c r="B14" s="50">
        <f>(D10-D8)*2625.499638</f>
        <v>11.393421809928391</v>
      </c>
      <c r="C14" s="50">
        <f>(E10-E8)*2625.499638</f>
        <v>13.169247170663741</v>
      </c>
      <c r="D14" s="70"/>
      <c r="E14" s="70"/>
      <c r="F14" s="70"/>
      <c r="H14" s="43" t="s">
        <v>184</v>
      </c>
    </row>
    <row r="15" spans="1:14" ht="18" x14ac:dyDescent="0.2">
      <c r="G15" s="65"/>
      <c r="H15" s="2"/>
      <c r="I15" s="43" t="s">
        <v>179</v>
      </c>
      <c r="J15" s="43" t="s">
        <v>185</v>
      </c>
      <c r="K15" s="43" t="s">
        <v>186</v>
      </c>
      <c r="L15" s="78" t="s">
        <v>180</v>
      </c>
      <c r="M15" s="43" t="s">
        <v>187</v>
      </c>
      <c r="N15" s="43" t="s">
        <v>188</v>
      </c>
    </row>
    <row r="16" spans="1:14" x14ac:dyDescent="0.2">
      <c r="H16" s="2">
        <v>1</v>
      </c>
      <c r="I16" s="77">
        <v>0</v>
      </c>
      <c r="J16" s="77">
        <v>107.9174</v>
      </c>
      <c r="K16" s="77">
        <v>100.58110000000001</v>
      </c>
      <c r="L16" s="77">
        <v>137.99340000000001</v>
      </c>
      <c r="M16" s="77">
        <v>137.95949999999999</v>
      </c>
      <c r="N16" s="77">
        <v>119.13930000000001</v>
      </c>
    </row>
    <row r="17" spans="8:14" x14ac:dyDescent="0.2">
      <c r="H17" s="2">
        <v>2</v>
      </c>
      <c r="I17" s="77">
        <v>0</v>
      </c>
      <c r="J17" s="77">
        <v>137.9366</v>
      </c>
      <c r="K17" s="77">
        <v>100.58110000000001</v>
      </c>
      <c r="L17" s="77">
        <v>137.99340000000001</v>
      </c>
      <c r="M17" s="77">
        <v>150.85550000000001</v>
      </c>
      <c r="N17" s="77">
        <v>154.29329999999999</v>
      </c>
    </row>
    <row r="18" spans="8:14" x14ac:dyDescent="0.2">
      <c r="H18" s="2">
        <v>3</v>
      </c>
      <c r="I18" s="77">
        <v>0</v>
      </c>
      <c r="J18" s="77">
        <v>181.94909999999999</v>
      </c>
      <c r="K18" s="77">
        <v>130.42179999999999</v>
      </c>
      <c r="L18" s="77">
        <v>186.51480000000001</v>
      </c>
      <c r="M18" s="77">
        <v>186.48750000000001</v>
      </c>
      <c r="N18" s="77">
        <v>190.09129999999999</v>
      </c>
    </row>
    <row r="19" spans="8:14" x14ac:dyDescent="0.2">
      <c r="H19" s="2">
        <v>4</v>
      </c>
      <c r="I19" s="77">
        <v>168.5489</v>
      </c>
      <c r="J19" s="77">
        <v>214.36490000000001</v>
      </c>
      <c r="K19" s="77">
        <v>130.42179999999999</v>
      </c>
      <c r="L19" s="77">
        <v>186.51480000000001</v>
      </c>
      <c r="M19" s="77">
        <v>197.0736</v>
      </c>
      <c r="N19" s="77">
        <v>190.8305</v>
      </c>
    </row>
    <row r="20" spans="8:14" x14ac:dyDescent="0.2">
      <c r="H20" s="2">
        <v>5</v>
      </c>
      <c r="I20" s="77">
        <v>202.35140000000001</v>
      </c>
      <c r="J20" s="77">
        <v>228.19460000000001</v>
      </c>
      <c r="K20" s="77">
        <v>163.86590000000001</v>
      </c>
      <c r="L20" s="77">
        <v>225.34690000000001</v>
      </c>
      <c r="M20" s="77">
        <v>210.86770000000001</v>
      </c>
      <c r="N20" s="77">
        <v>206.64019999999999</v>
      </c>
    </row>
    <row r="21" spans="8:14" x14ac:dyDescent="0.2">
      <c r="H21" s="2">
        <v>6</v>
      </c>
      <c r="I21" s="77">
        <v>236.27719999999999</v>
      </c>
      <c r="J21" s="77">
        <v>249.6996</v>
      </c>
      <c r="K21" s="77">
        <v>163.86590000000001</v>
      </c>
      <c r="L21" s="77">
        <v>225.34690000000001</v>
      </c>
      <c r="M21" s="77">
        <v>223.73179999999999</v>
      </c>
      <c r="N21" s="77">
        <v>224.23330000000001</v>
      </c>
    </row>
    <row r="22" spans="8:14" x14ac:dyDescent="0.2">
      <c r="H22" s="2">
        <v>7</v>
      </c>
      <c r="I22" s="77">
        <v>248.63560000000001</v>
      </c>
      <c r="J22" s="77">
        <v>252.0737</v>
      </c>
      <c r="K22" s="77">
        <v>283.96530000000001</v>
      </c>
      <c r="L22" s="77">
        <v>283.24509999999998</v>
      </c>
      <c r="M22" s="77">
        <v>273.96499999999997</v>
      </c>
      <c r="N22" s="77">
        <v>260.80889999999999</v>
      </c>
    </row>
    <row r="23" spans="8:14" x14ac:dyDescent="0.2">
      <c r="H23" s="2">
        <v>8</v>
      </c>
      <c r="I23" s="77">
        <v>271.74079999999998</v>
      </c>
      <c r="J23" s="77">
        <v>272.07159999999999</v>
      </c>
      <c r="K23" s="77">
        <v>283.96530000000001</v>
      </c>
      <c r="L23" s="77">
        <v>283.24509999999998</v>
      </c>
      <c r="M23" s="77">
        <v>283.73360000000002</v>
      </c>
      <c r="N23" s="77">
        <v>275.27519999999998</v>
      </c>
    </row>
    <row r="24" spans="8:14" x14ac:dyDescent="0.2">
      <c r="H24" s="2">
        <v>9</v>
      </c>
      <c r="I24" s="77">
        <v>295.72280000000001</v>
      </c>
      <c r="J24" s="77">
        <v>293.51089999999999</v>
      </c>
      <c r="K24" s="77">
        <v>316.38310000000001</v>
      </c>
      <c r="L24" s="77">
        <v>308.03800000000001</v>
      </c>
      <c r="M24" s="77">
        <v>292.5351</v>
      </c>
      <c r="N24" s="77">
        <v>285.63139999999999</v>
      </c>
    </row>
    <row r="25" spans="8:14" x14ac:dyDescent="0.2">
      <c r="H25" s="2">
        <v>10</v>
      </c>
      <c r="I25" s="77">
        <v>319.01220000000001</v>
      </c>
      <c r="J25" s="77">
        <v>316.94589999999999</v>
      </c>
      <c r="K25" s="77">
        <v>316.38310000000001</v>
      </c>
      <c r="L25" s="77">
        <v>308.03800000000001</v>
      </c>
      <c r="M25" s="77">
        <v>308.25959999999998</v>
      </c>
      <c r="N25" s="77">
        <v>317.53719999999998</v>
      </c>
    </row>
    <row r="26" spans="8:14" x14ac:dyDescent="0.2">
      <c r="H26" s="2">
        <v>11</v>
      </c>
      <c r="I26" s="77">
        <v>344.13869999999997</v>
      </c>
      <c r="J26" s="77">
        <v>340.15210000000002</v>
      </c>
      <c r="K26" s="77">
        <v>355.71179999999998</v>
      </c>
      <c r="L26" s="77">
        <v>348.69099999999997</v>
      </c>
      <c r="M26" s="77">
        <v>322.33019999999999</v>
      </c>
      <c r="N26" s="77">
        <v>326.69779999999997</v>
      </c>
    </row>
    <row r="27" spans="8:14" x14ac:dyDescent="0.2">
      <c r="H27" s="2">
        <v>12</v>
      </c>
      <c r="I27" s="77">
        <v>348.13979999999998</v>
      </c>
      <c r="J27" s="77">
        <v>355.4341</v>
      </c>
      <c r="K27" s="77">
        <v>355.71179999999998</v>
      </c>
      <c r="L27" s="77">
        <v>348.69099999999997</v>
      </c>
      <c r="M27" s="77">
        <v>327.57400000000001</v>
      </c>
      <c r="N27" s="77">
        <v>342.74279999999999</v>
      </c>
    </row>
    <row r="28" spans="8:14" x14ac:dyDescent="0.2">
      <c r="H28" s="2">
        <v>13</v>
      </c>
      <c r="I28" s="77">
        <v>361.05059999999997</v>
      </c>
      <c r="J28" s="77">
        <v>373.39280000000002</v>
      </c>
      <c r="K28" s="77">
        <v>374.51530000000002</v>
      </c>
      <c r="L28" s="77">
        <v>380.20760000000001</v>
      </c>
      <c r="M28" s="77">
        <v>346.88350000000003</v>
      </c>
      <c r="N28" s="77">
        <v>349.67189999999999</v>
      </c>
    </row>
    <row r="29" spans="8:14" x14ac:dyDescent="0.2">
      <c r="H29" s="2">
        <v>14</v>
      </c>
      <c r="I29" s="77">
        <v>378.41329999999999</v>
      </c>
      <c r="J29" s="77">
        <v>376.38600000000002</v>
      </c>
      <c r="K29" s="77">
        <v>374.51530000000002</v>
      </c>
      <c r="L29" s="77">
        <v>380.20760000000001</v>
      </c>
      <c r="M29" s="77">
        <v>368.12759999999997</v>
      </c>
      <c r="N29" s="77">
        <v>365.23320000000001</v>
      </c>
    </row>
    <row r="30" spans="8:14" x14ac:dyDescent="0.2">
      <c r="H30" s="2">
        <v>15</v>
      </c>
      <c r="I30" s="77">
        <v>391.87110000000001</v>
      </c>
      <c r="J30" s="77">
        <v>403.67230000000001</v>
      </c>
      <c r="K30" s="77">
        <v>448.1705</v>
      </c>
      <c r="L30" s="77">
        <v>392.07650000000001</v>
      </c>
      <c r="M30" s="77">
        <v>394.0496</v>
      </c>
      <c r="N30" s="77">
        <v>395.70519999999999</v>
      </c>
    </row>
    <row r="31" spans="8:14" x14ac:dyDescent="0.2">
      <c r="H31" s="2">
        <v>16</v>
      </c>
      <c r="I31" s="77">
        <v>416.06509999999997</v>
      </c>
      <c r="J31" s="77">
        <v>411.38200000000001</v>
      </c>
      <c r="K31" s="77">
        <v>448.1705</v>
      </c>
      <c r="L31" s="77">
        <v>392.07650000000001</v>
      </c>
      <c r="M31" s="77">
        <v>400.79919999999998</v>
      </c>
      <c r="N31" s="77">
        <v>408.90649999999999</v>
      </c>
    </row>
    <row r="32" spans="8:14" x14ac:dyDescent="0.2">
      <c r="H32" s="2">
        <v>17</v>
      </c>
      <c r="I32" s="77">
        <v>2023.5128</v>
      </c>
      <c r="J32" s="77">
        <v>2025.0998</v>
      </c>
      <c r="K32" s="77">
        <v>2024.4158</v>
      </c>
      <c r="L32" s="77">
        <v>2025.9957999999999</v>
      </c>
      <c r="M32" s="77">
        <v>2025.5559000000001</v>
      </c>
      <c r="N32" s="77">
        <v>2025.096</v>
      </c>
    </row>
    <row r="33" spans="8:14" x14ac:dyDescent="0.2">
      <c r="H33" s="2">
        <v>18</v>
      </c>
      <c r="I33" s="77">
        <v>2025.3914</v>
      </c>
      <c r="J33" s="77">
        <v>2026.8431</v>
      </c>
      <c r="K33" s="77">
        <v>2024.4158</v>
      </c>
      <c r="L33" s="77">
        <v>2025.9957999999999</v>
      </c>
      <c r="M33" s="77">
        <v>2027.9078</v>
      </c>
      <c r="N33" s="77">
        <v>2028.3442</v>
      </c>
    </row>
    <row r="35" spans="8:14" x14ac:dyDescent="0.2">
      <c r="H35" s="43" t="s">
        <v>189</v>
      </c>
    </row>
    <row r="36" spans="8:14" x14ac:dyDescent="0.2">
      <c r="H36" s="2"/>
      <c r="I36" s="43" t="s">
        <v>179</v>
      </c>
      <c r="J36" s="43" t="s">
        <v>185</v>
      </c>
      <c r="K36" s="43" t="s">
        <v>186</v>
      </c>
      <c r="L36" s="78" t="s">
        <v>180</v>
      </c>
      <c r="M36" s="43" t="s">
        <v>187</v>
      </c>
      <c r="N36" s="43" t="s">
        <v>188</v>
      </c>
    </row>
    <row r="37" spans="8:14" x14ac:dyDescent="0.2">
      <c r="H37" s="2">
        <v>1</v>
      </c>
      <c r="I37" s="77">
        <v>-80.090599999999995</v>
      </c>
      <c r="J37" s="77">
        <v>-111.8549</v>
      </c>
      <c r="K37" s="77">
        <v>-118.1915</v>
      </c>
      <c r="L37" s="77">
        <v>-111.75369999999999</v>
      </c>
      <c r="M37" s="77">
        <v>-177.09399999999999</v>
      </c>
      <c r="N37" s="77">
        <v>-163.93170000000001</v>
      </c>
    </row>
    <row r="38" spans="8:14" x14ac:dyDescent="0.2">
      <c r="H38" s="2">
        <v>2</v>
      </c>
      <c r="I38" s="77">
        <v>0</v>
      </c>
      <c r="J38" s="77">
        <v>118.3907</v>
      </c>
      <c r="K38" s="77">
        <v>107.68429999999999</v>
      </c>
      <c r="L38" s="77">
        <v>149.2978</v>
      </c>
      <c r="M38" s="77">
        <v>136.78909999999999</v>
      </c>
      <c r="N38" s="77">
        <v>107.2146</v>
      </c>
    </row>
    <row r="39" spans="8:14" x14ac:dyDescent="0.2">
      <c r="H39" s="2">
        <v>3</v>
      </c>
      <c r="I39" s="77">
        <v>0</v>
      </c>
      <c r="J39" s="77">
        <v>136.43809999999999</v>
      </c>
      <c r="K39" s="77">
        <v>113.83110000000001</v>
      </c>
      <c r="L39" s="77">
        <v>176.51150000000001</v>
      </c>
      <c r="M39" s="77">
        <v>159.17939999999999</v>
      </c>
      <c r="N39" s="77">
        <v>141.46600000000001</v>
      </c>
    </row>
    <row r="40" spans="8:14" x14ac:dyDescent="0.2">
      <c r="H40" s="2">
        <v>4</v>
      </c>
      <c r="I40" s="77">
        <v>0</v>
      </c>
      <c r="J40" s="77">
        <v>194.54349999999999</v>
      </c>
      <c r="K40" s="77">
        <v>138.005</v>
      </c>
      <c r="L40" s="77">
        <v>192.01560000000001</v>
      </c>
      <c r="M40" s="77">
        <v>184.8672</v>
      </c>
      <c r="N40" s="77">
        <v>212.61340000000001</v>
      </c>
    </row>
    <row r="41" spans="8:14" x14ac:dyDescent="0.2">
      <c r="H41" s="2">
        <v>5</v>
      </c>
      <c r="I41" s="77">
        <v>195.6438</v>
      </c>
      <c r="J41" s="77">
        <v>212.31100000000001</v>
      </c>
      <c r="K41" s="77">
        <v>166.53980000000001</v>
      </c>
      <c r="L41" s="77">
        <v>207.54400000000001</v>
      </c>
      <c r="M41" s="77">
        <v>216.13399999999999</v>
      </c>
      <c r="N41" s="77">
        <v>218.91829999999999</v>
      </c>
    </row>
    <row r="42" spans="8:14" x14ac:dyDescent="0.2">
      <c r="H42" s="2">
        <v>6</v>
      </c>
      <c r="I42" s="77">
        <v>234.7638</v>
      </c>
      <c r="J42" s="77">
        <v>230.74950000000001</v>
      </c>
      <c r="K42" s="77">
        <v>170.07740000000001</v>
      </c>
      <c r="L42" s="77">
        <v>211.52510000000001</v>
      </c>
      <c r="M42" s="77">
        <v>239.25970000000001</v>
      </c>
      <c r="N42" s="77">
        <v>249.86</v>
      </c>
    </row>
    <row r="43" spans="8:14" x14ac:dyDescent="0.2">
      <c r="H43" s="2">
        <v>7</v>
      </c>
      <c r="I43" s="77">
        <v>260.88459999999998</v>
      </c>
      <c r="J43" s="77">
        <v>257.1653</v>
      </c>
      <c r="K43" s="77">
        <v>212.96889999999999</v>
      </c>
      <c r="L43" s="77">
        <v>222.1096</v>
      </c>
      <c r="M43" s="77">
        <v>259.97379999999998</v>
      </c>
      <c r="N43" s="77">
        <v>251.64760000000001</v>
      </c>
    </row>
    <row r="44" spans="8:14" x14ac:dyDescent="0.2">
      <c r="H44" s="2">
        <v>8</v>
      </c>
      <c r="I44" s="77">
        <v>263.82760000000002</v>
      </c>
      <c r="J44" s="77">
        <v>281.28250000000003</v>
      </c>
      <c r="K44" s="77">
        <v>279.98939999999999</v>
      </c>
      <c r="L44" s="77">
        <v>286.0951</v>
      </c>
      <c r="M44" s="77">
        <v>286.03140000000002</v>
      </c>
      <c r="N44" s="77">
        <v>263.8562</v>
      </c>
    </row>
    <row r="45" spans="8:14" x14ac:dyDescent="0.2">
      <c r="H45" s="2">
        <v>9</v>
      </c>
      <c r="I45" s="77">
        <v>279.73540000000003</v>
      </c>
      <c r="J45" s="77">
        <v>285.16370000000001</v>
      </c>
      <c r="K45" s="77">
        <v>293.1114</v>
      </c>
      <c r="L45" s="77">
        <v>293.30860000000001</v>
      </c>
      <c r="M45" s="77">
        <v>302.53949999999998</v>
      </c>
      <c r="N45" s="77">
        <v>283.73379999999997</v>
      </c>
    </row>
    <row r="46" spans="8:14" x14ac:dyDescent="0.2">
      <c r="H46" s="2">
        <v>10</v>
      </c>
      <c r="I46" s="77">
        <v>287.14359999999999</v>
      </c>
      <c r="J46" s="77">
        <v>296.94639999999998</v>
      </c>
      <c r="K46" s="77">
        <v>306.20890000000003</v>
      </c>
      <c r="L46" s="77">
        <v>313.55990000000003</v>
      </c>
      <c r="M46" s="77">
        <v>310.12009999999998</v>
      </c>
      <c r="N46" s="77">
        <v>322.02850000000001</v>
      </c>
    </row>
    <row r="47" spans="8:14" x14ac:dyDescent="0.2">
      <c r="H47" s="2">
        <v>11</v>
      </c>
      <c r="I47" s="77">
        <v>310.34179999999998</v>
      </c>
      <c r="J47" s="77">
        <v>301.68950000000001</v>
      </c>
      <c r="K47" s="77">
        <v>324.02949999999998</v>
      </c>
      <c r="L47" s="77">
        <v>314.464</v>
      </c>
      <c r="M47" s="77">
        <v>324.41390000000001</v>
      </c>
      <c r="N47" s="77">
        <v>323.3578</v>
      </c>
    </row>
    <row r="48" spans="8:14" x14ac:dyDescent="0.2">
      <c r="H48" s="2">
        <v>12</v>
      </c>
      <c r="I48" s="77">
        <v>349.94439999999997</v>
      </c>
      <c r="J48" s="77">
        <v>309.51940000000002</v>
      </c>
      <c r="K48" s="77">
        <v>351.26569999999998</v>
      </c>
      <c r="L48" s="77">
        <v>322.81979999999999</v>
      </c>
      <c r="M48" s="77">
        <v>329.8768</v>
      </c>
      <c r="N48" s="77">
        <v>332.77839999999998</v>
      </c>
    </row>
    <row r="49" spans="8:14" x14ac:dyDescent="0.2">
      <c r="H49" s="2">
        <v>13</v>
      </c>
      <c r="I49" s="77">
        <v>351.53870000000001</v>
      </c>
      <c r="J49" s="77">
        <v>332.26819999999998</v>
      </c>
      <c r="K49" s="77">
        <v>368.06310000000002</v>
      </c>
      <c r="L49" s="77">
        <v>327.13209999999998</v>
      </c>
      <c r="M49" s="77">
        <v>354.83819999999997</v>
      </c>
      <c r="N49" s="77">
        <v>353.79590000000002</v>
      </c>
    </row>
    <row r="50" spans="8:14" x14ac:dyDescent="0.2">
      <c r="H50" s="2">
        <v>14</v>
      </c>
      <c r="I50" s="77">
        <v>376.1617</v>
      </c>
      <c r="J50" s="77">
        <v>367.50580000000002</v>
      </c>
      <c r="K50" s="77">
        <v>381.38409999999999</v>
      </c>
      <c r="L50" s="77">
        <v>340.1198</v>
      </c>
      <c r="M50" s="77">
        <v>356.29259999999999</v>
      </c>
      <c r="N50" s="77">
        <v>363.00529999999998</v>
      </c>
    </row>
    <row r="51" spans="8:14" x14ac:dyDescent="0.2">
      <c r="H51" s="2">
        <v>15</v>
      </c>
      <c r="I51" s="77">
        <v>381.89159999999998</v>
      </c>
      <c r="J51" s="77">
        <v>381.37630000000001</v>
      </c>
      <c r="K51" s="77">
        <v>439.56180000000001</v>
      </c>
      <c r="L51" s="77">
        <v>370.42500000000001</v>
      </c>
      <c r="M51" s="77">
        <v>393.97039999999998</v>
      </c>
      <c r="N51" s="77">
        <v>391.95060000000001</v>
      </c>
    </row>
    <row r="52" spans="8:14" x14ac:dyDescent="0.2">
      <c r="H52" s="2">
        <v>16</v>
      </c>
      <c r="I52" s="77">
        <v>405.44420000000002</v>
      </c>
      <c r="J52" s="77">
        <v>383.78460000000001</v>
      </c>
      <c r="K52" s="77">
        <v>448.56439999999998</v>
      </c>
      <c r="L52" s="77">
        <v>382.75099999999998</v>
      </c>
      <c r="M52" s="77">
        <v>394.7244</v>
      </c>
      <c r="N52" s="77">
        <v>406.57810000000001</v>
      </c>
    </row>
    <row r="53" spans="8:14" x14ac:dyDescent="0.2">
      <c r="H53" s="2">
        <v>17</v>
      </c>
      <c r="I53" s="77">
        <v>2021.7129</v>
      </c>
      <c r="J53" s="77">
        <v>2024.2382</v>
      </c>
      <c r="K53" s="77">
        <v>2021.2025000000001</v>
      </c>
      <c r="L53" s="77">
        <v>2024.2643</v>
      </c>
      <c r="M53" s="77">
        <v>2022.4187999999999</v>
      </c>
      <c r="N53" s="77">
        <v>2022.3227999999999</v>
      </c>
    </row>
    <row r="54" spans="8:14" x14ac:dyDescent="0.2">
      <c r="H54" s="2">
        <v>18</v>
      </c>
      <c r="I54" s="77">
        <v>2049.2253999999998</v>
      </c>
      <c r="J54" s="77">
        <v>2051.2775000000001</v>
      </c>
      <c r="K54" s="77">
        <v>2048.6538</v>
      </c>
      <c r="L54" s="77">
        <v>2051.0762</v>
      </c>
      <c r="M54" s="77">
        <v>2049.3013000000001</v>
      </c>
      <c r="N54" s="77">
        <v>2049.3984999999998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A2C6A-7300-41EA-91C0-2A96046CEE2A}">
  <dimension ref="A1:AB38"/>
  <sheetViews>
    <sheetView zoomScale="150" zoomScaleNormal="150" workbookViewId="0">
      <selection activeCell="B22" sqref="B22"/>
    </sheetView>
  </sheetViews>
  <sheetFormatPr baseColWidth="10" defaultColWidth="8.83203125" defaultRowHeight="15" x14ac:dyDescent="0.2"/>
  <cols>
    <col min="1" max="1" width="13.83203125" customWidth="1"/>
    <col min="2" max="2" width="35.1640625" customWidth="1"/>
    <col min="3" max="4" width="38.83203125" customWidth="1"/>
    <col min="5" max="5" width="20.33203125" customWidth="1"/>
    <col min="6" max="6" width="24.83203125" customWidth="1"/>
    <col min="7" max="7" width="27.33203125" customWidth="1"/>
    <col min="8" max="8" width="29.1640625" customWidth="1"/>
    <col min="9" max="9" width="26.5" customWidth="1"/>
    <col min="10" max="10" width="43.33203125" customWidth="1"/>
    <col min="11" max="11" width="40.1640625" customWidth="1"/>
    <col min="12" max="12" width="34.6640625" customWidth="1"/>
    <col min="13" max="13" width="61.6640625" customWidth="1"/>
    <col min="14" max="14" width="14.5" customWidth="1"/>
    <col min="15" max="15" width="18.1640625" customWidth="1"/>
    <col min="16" max="16" width="17.1640625" customWidth="1"/>
    <col min="17" max="17" width="17.83203125" customWidth="1"/>
    <col min="18" max="19" width="8.83203125" customWidth="1"/>
    <col min="20" max="20" width="19.83203125" customWidth="1"/>
    <col min="21" max="21" width="12.1640625" customWidth="1"/>
    <col min="22" max="22" width="18.5" customWidth="1"/>
    <col min="23" max="23" width="21" customWidth="1"/>
    <col min="24" max="24" width="20.6640625" customWidth="1"/>
    <col min="25" max="25" width="20.1640625" customWidth="1"/>
    <col min="26" max="28" width="22.33203125" customWidth="1"/>
    <col min="31" max="31" width="12.33203125" customWidth="1"/>
    <col min="33" max="34" width="14.6640625" customWidth="1"/>
    <col min="35" max="35" width="21.33203125" customWidth="1"/>
    <col min="36" max="36" width="21.6640625" customWidth="1"/>
    <col min="37" max="37" width="19" customWidth="1"/>
    <col min="38" max="38" width="20.6640625" customWidth="1"/>
  </cols>
  <sheetData>
    <row r="1" spans="1:22" ht="16" x14ac:dyDescent="0.2">
      <c r="A1" s="14"/>
      <c r="B1" s="71" t="s">
        <v>172</v>
      </c>
      <c r="C1" s="36" t="s">
        <v>145</v>
      </c>
      <c r="D1" s="29" t="s">
        <v>11</v>
      </c>
      <c r="E1" s="17" t="s">
        <v>12</v>
      </c>
      <c r="F1" s="32" t="s">
        <v>30</v>
      </c>
      <c r="G1" s="32"/>
      <c r="H1" s="32"/>
      <c r="I1" s="43"/>
      <c r="J1" s="2"/>
      <c r="K1" s="2"/>
      <c r="N1" s="12"/>
    </row>
    <row r="2" spans="1:22" ht="16" x14ac:dyDescent="0.2">
      <c r="A2" s="10" t="s">
        <v>127</v>
      </c>
      <c r="B2" s="44">
        <v>-753.57691130745695</v>
      </c>
      <c r="C2" s="9">
        <f>B2*2625.499638</f>
        <v>-1978515.9078428862</v>
      </c>
      <c r="D2" s="58">
        <f>C2-MIN(C2:C4)</f>
        <v>0</v>
      </c>
      <c r="E2" s="2">
        <f>EXP(-D2*1000/(8.31446261815324*298.15))/(EXP(-$D$2*1000/(8.31446261815324*298.15))+EXP(-$D$3*1000/(8.31446261815324*298.15)))</f>
        <v>0.89079458224039343</v>
      </c>
      <c r="F2" s="59">
        <f>C2/2625.499638</f>
        <v>-753.57691130745695</v>
      </c>
      <c r="G2" s="59"/>
      <c r="H2" s="59"/>
      <c r="I2" s="2"/>
      <c r="J2" s="2"/>
      <c r="K2" s="2"/>
    </row>
    <row r="3" spans="1:22" ht="16" x14ac:dyDescent="0.2">
      <c r="A3" s="10" t="s">
        <v>128</v>
      </c>
      <c r="B3" s="73">
        <v>-753.57492957372006</v>
      </c>
      <c r="C3" s="9">
        <f>B3*2625.499638</f>
        <v>-1978510.7048016773</v>
      </c>
      <c r="D3" s="58">
        <f>C3-MIN(C2:C4)</f>
        <v>5.2030412089079618</v>
      </c>
      <c r="E3" s="2">
        <f>EXP(-D3*1000/(8.31446261815324*298.15))/(EXP(-$D$2*1000/(8.31446261815324*298.15))+EXP(-$D$3*1000/(8.31446261815324*298.15)))</f>
        <v>0.10920541775960663</v>
      </c>
      <c r="F3" s="59">
        <f t="shared" ref="F3:F4" si="0">C3/2625.499638</f>
        <v>-753.57492957372006</v>
      </c>
      <c r="G3" s="59"/>
      <c r="H3" s="59"/>
      <c r="I3" s="2"/>
      <c r="J3" s="2"/>
      <c r="K3" s="2"/>
    </row>
    <row r="4" spans="1:22" ht="16" x14ac:dyDescent="0.2">
      <c r="A4" s="10" t="s">
        <v>129</v>
      </c>
      <c r="B4" s="44">
        <v>-753.57189540611</v>
      </c>
      <c r="C4" s="9">
        <f t="shared" ref="C4" si="1">B4*2625.499638</f>
        <v>-1978502.7385957155</v>
      </c>
      <c r="D4" s="58">
        <f>C4-MIN(C2:C4)</f>
        <v>13.169247170677409</v>
      </c>
      <c r="E4" s="2">
        <v>0</v>
      </c>
      <c r="F4" s="59">
        <f t="shared" si="0"/>
        <v>-753.57189540611</v>
      </c>
      <c r="G4" s="59"/>
      <c r="H4" s="59"/>
      <c r="I4" s="2"/>
      <c r="J4" s="2"/>
      <c r="K4" s="2"/>
    </row>
    <row r="5" spans="1:22" ht="16" x14ac:dyDescent="0.2">
      <c r="A5" s="10"/>
      <c r="B5" s="14"/>
      <c r="H5" s="2"/>
      <c r="I5" s="2"/>
      <c r="J5" s="2"/>
    </row>
    <row r="6" spans="1:22" ht="16" x14ac:dyDescent="0.2">
      <c r="A6" s="5" t="s">
        <v>0</v>
      </c>
      <c r="B6" s="5" t="s">
        <v>130</v>
      </c>
      <c r="C6" s="15" t="s">
        <v>171</v>
      </c>
      <c r="D6" s="15" t="s">
        <v>131</v>
      </c>
      <c r="E6" s="15" t="s">
        <v>146</v>
      </c>
      <c r="F6" s="15" t="s">
        <v>147</v>
      </c>
      <c r="G6" s="15"/>
      <c r="H6" s="15"/>
      <c r="I6" s="42"/>
      <c r="J6" s="42"/>
      <c r="K6" s="42"/>
      <c r="L6" s="42"/>
    </row>
    <row r="7" spans="1:22" ht="16" x14ac:dyDescent="0.2">
      <c r="A7" s="37">
        <v>1</v>
      </c>
      <c r="B7" s="37" t="s">
        <v>132</v>
      </c>
      <c r="C7" s="74">
        <v>-753.28085562761703</v>
      </c>
      <c r="D7" s="38">
        <f>C7*2625.499638</f>
        <v>-1977738.6137626385</v>
      </c>
      <c r="E7" s="60">
        <f t="shared" ref="E7:E18" si="2">D7-$A7*($C$2*$E$2+$C$3*$E$3+$C$4*$E$4)</f>
        <v>776.72587995883077</v>
      </c>
      <c r="F7" s="60">
        <f t="shared" ref="F7:F18" si="3">E7/A7</f>
        <v>776.72587995883077</v>
      </c>
      <c r="G7" s="60"/>
      <c r="H7" s="61"/>
      <c r="I7" s="41"/>
      <c r="J7" s="39"/>
      <c r="K7" s="40"/>
      <c r="L7" s="40"/>
      <c r="P7" s="1"/>
      <c r="Q7" s="1"/>
      <c r="R7" s="1"/>
      <c r="S7" s="1"/>
      <c r="T7" s="1"/>
      <c r="U7" s="1"/>
      <c r="V7" s="1"/>
    </row>
    <row r="8" spans="1:22" ht="16" x14ac:dyDescent="0.2">
      <c r="A8" s="37">
        <v>2</v>
      </c>
      <c r="B8" s="37" t="s">
        <v>133</v>
      </c>
      <c r="C8" s="74">
        <v>-1506.77473345722</v>
      </c>
      <c r="D8" s="38">
        <f t="shared" ref="D8:D18" si="4">C8*2625.499638</f>
        <v>-3956036.5172394775</v>
      </c>
      <c r="E8" s="60">
        <f t="shared" si="2"/>
        <v>994.16204571723938</v>
      </c>
      <c r="F8" s="60">
        <f t="shared" si="3"/>
        <v>497.08102285861969</v>
      </c>
      <c r="G8" s="60"/>
      <c r="H8" s="61"/>
      <c r="I8" s="41"/>
      <c r="J8" s="39"/>
      <c r="K8" s="40"/>
      <c r="L8" s="40"/>
      <c r="P8" s="1"/>
      <c r="Q8" s="1"/>
      <c r="R8" s="1"/>
      <c r="S8" s="1"/>
      <c r="T8" s="1"/>
      <c r="U8" s="1"/>
      <c r="V8" s="1"/>
    </row>
    <row r="9" spans="1:22" ht="16" x14ac:dyDescent="0.2">
      <c r="A9" s="37">
        <v>2</v>
      </c>
      <c r="B9" s="37" t="s">
        <v>134</v>
      </c>
      <c r="C9" s="74">
        <v>-1506.77725830335</v>
      </c>
      <c r="D9" s="38">
        <f t="shared" si="4"/>
        <v>-3956043.1462220773</v>
      </c>
      <c r="E9" s="60">
        <f t="shared" si="2"/>
        <v>987.53306311741471</v>
      </c>
      <c r="F9" s="60">
        <f t="shared" si="3"/>
        <v>493.76653155870736</v>
      </c>
      <c r="G9" s="60"/>
      <c r="H9" s="61"/>
      <c r="I9" s="63"/>
      <c r="J9" s="39"/>
      <c r="K9" s="40"/>
      <c r="L9" s="40"/>
    </row>
    <row r="10" spans="1:22" ht="16" x14ac:dyDescent="0.2">
      <c r="A10" s="37">
        <v>2</v>
      </c>
      <c r="B10" s="37" t="s">
        <v>135</v>
      </c>
      <c r="C10" s="74">
        <v>-1506.7934591159899</v>
      </c>
      <c r="D10" s="38">
        <f t="shared" si="4"/>
        <v>-3956085.6814497989</v>
      </c>
      <c r="E10" s="60">
        <f t="shared" si="2"/>
        <v>944.99783539585769</v>
      </c>
      <c r="F10" s="60">
        <f t="shared" si="3"/>
        <v>472.49891769792885</v>
      </c>
      <c r="G10" s="60"/>
      <c r="H10" s="61"/>
      <c r="I10" s="41"/>
      <c r="J10" s="39"/>
      <c r="K10" s="40"/>
      <c r="L10" s="40"/>
    </row>
    <row r="11" spans="1:22" ht="16" x14ac:dyDescent="0.2">
      <c r="A11" s="37">
        <v>3</v>
      </c>
      <c r="B11" s="37" t="s">
        <v>136</v>
      </c>
      <c r="C11" s="74">
        <v>-2260.2625170617898</v>
      </c>
      <c r="D11" s="38">
        <f t="shared" si="4"/>
        <v>-5934318.4203306977</v>
      </c>
      <c r="E11" s="60">
        <f t="shared" si="2"/>
        <v>1227.5985970944166</v>
      </c>
      <c r="F11" s="60">
        <f t="shared" si="3"/>
        <v>409.19953236480552</v>
      </c>
      <c r="G11" s="60"/>
      <c r="H11" s="61"/>
      <c r="I11" s="41"/>
      <c r="J11" s="39"/>
      <c r="K11" s="40"/>
      <c r="L11" s="40"/>
    </row>
    <row r="12" spans="1:22" ht="16" x14ac:dyDescent="0.2">
      <c r="A12" s="37">
        <v>4</v>
      </c>
      <c r="B12" s="57" t="s">
        <v>137</v>
      </c>
      <c r="C12" s="74">
        <v>-3013.69585186019</v>
      </c>
      <c r="D12" s="38">
        <f t="shared" si="4"/>
        <v>-7912457.3681010297</v>
      </c>
      <c r="E12" s="60">
        <f t="shared" si="2"/>
        <v>1603.9904693597928</v>
      </c>
      <c r="F12" s="60">
        <f t="shared" si="3"/>
        <v>400.99761733994819</v>
      </c>
      <c r="G12" s="60"/>
      <c r="H12" s="61"/>
      <c r="I12" s="41"/>
      <c r="J12" s="39"/>
      <c r="K12" s="40"/>
      <c r="L12" s="40"/>
    </row>
    <row r="13" spans="1:22" ht="16" x14ac:dyDescent="0.2">
      <c r="A13" s="37">
        <v>4</v>
      </c>
      <c r="B13" s="57" t="s">
        <v>138</v>
      </c>
      <c r="C13" s="74">
        <v>-3013.7362424930002</v>
      </c>
      <c r="D13" s="38">
        <f t="shared" si="4"/>
        <v>-7912563.4136928516</v>
      </c>
      <c r="E13" s="60">
        <f t="shared" si="2"/>
        <v>1497.9448775378987</v>
      </c>
      <c r="F13" s="60">
        <f t="shared" si="3"/>
        <v>374.48621938447468</v>
      </c>
      <c r="G13" s="60"/>
      <c r="H13" s="61"/>
      <c r="I13" s="41"/>
      <c r="J13" s="39"/>
      <c r="K13" s="40"/>
      <c r="L13" s="40"/>
    </row>
    <row r="14" spans="1:22" ht="16" x14ac:dyDescent="0.2">
      <c r="A14" s="38">
        <v>5</v>
      </c>
      <c r="B14" s="57" t="s">
        <v>139</v>
      </c>
      <c r="C14" s="74">
        <v>-3767.2076697991101</v>
      </c>
      <c r="D14" s="38">
        <f t="shared" si="4"/>
        <v>-9890802.3733283859</v>
      </c>
      <c r="E14" s="60">
        <f t="shared" si="2"/>
        <v>1774.3248846009374</v>
      </c>
      <c r="F14" s="60">
        <f t="shared" si="3"/>
        <v>354.86497692018747</v>
      </c>
      <c r="G14" s="60"/>
      <c r="H14" s="61"/>
      <c r="I14" s="41"/>
      <c r="J14" s="39"/>
      <c r="K14" s="40"/>
      <c r="L14" s="40"/>
    </row>
    <row r="15" spans="1:22" ht="16" x14ac:dyDescent="0.2">
      <c r="A15" s="38">
        <v>6</v>
      </c>
      <c r="B15" s="57" t="s">
        <v>140</v>
      </c>
      <c r="C15" s="74">
        <v>-4520.8220654489696</v>
      </c>
      <c r="D15" s="38">
        <f t="shared" si="4"/>
        <v>-11869416.696298681</v>
      </c>
      <c r="E15" s="60">
        <f t="shared" si="2"/>
        <v>1675.3415569029748</v>
      </c>
      <c r="F15" s="60">
        <f t="shared" si="3"/>
        <v>279.22359281716246</v>
      </c>
      <c r="G15" s="60"/>
      <c r="H15" s="61"/>
      <c r="I15" s="41"/>
      <c r="J15" s="39"/>
      <c r="K15" s="40"/>
      <c r="L15" s="40"/>
    </row>
    <row r="16" spans="1:22" ht="16" x14ac:dyDescent="0.2">
      <c r="A16" s="38">
        <v>6</v>
      </c>
      <c r="B16" s="57" t="s">
        <v>141</v>
      </c>
      <c r="C16" s="74">
        <v>-4520.8451996535096</v>
      </c>
      <c r="D16" s="38">
        <f t="shared" si="4"/>
        <v>-11869477.435144326</v>
      </c>
      <c r="E16" s="60">
        <f t="shared" si="2"/>
        <v>1614.6027112584561</v>
      </c>
      <c r="F16" s="60">
        <f t="shared" si="3"/>
        <v>269.10045187640935</v>
      </c>
      <c r="G16" s="60"/>
      <c r="H16" s="61"/>
      <c r="I16" s="41"/>
      <c r="J16" s="39"/>
      <c r="K16" s="40"/>
      <c r="L16" s="40"/>
      <c r="M16" s="11"/>
    </row>
    <row r="17" spans="1:28" ht="16" x14ac:dyDescent="0.2">
      <c r="A17" s="38">
        <v>6</v>
      </c>
      <c r="B17" s="57" t="s">
        <v>142</v>
      </c>
      <c r="C17" s="74">
        <v>-4520.6808909738602</v>
      </c>
      <c r="D17" s="38">
        <f t="shared" si="4"/>
        <v>-11869046.042765386</v>
      </c>
      <c r="E17" s="60">
        <f t="shared" si="2"/>
        <v>2045.9950901977718</v>
      </c>
      <c r="F17" s="60">
        <f t="shared" si="3"/>
        <v>340.99918169962865</v>
      </c>
      <c r="G17" s="60"/>
      <c r="H17" s="61"/>
      <c r="I17" s="41"/>
      <c r="J17" s="39"/>
      <c r="K17" s="40"/>
      <c r="L17" s="40"/>
      <c r="M17" s="11"/>
      <c r="N17" s="64"/>
    </row>
    <row r="18" spans="1:28" ht="16" x14ac:dyDescent="0.2">
      <c r="A18" s="38">
        <v>8</v>
      </c>
      <c r="B18" s="57" t="s">
        <v>143</v>
      </c>
      <c r="C18" s="74">
        <v>-6027.8591580768798</v>
      </c>
      <c r="D18" s="38">
        <f t="shared" si="4"/>
        <v>-15826142.037445832</v>
      </c>
      <c r="E18" s="60">
        <f t="shared" si="2"/>
        <v>1980.6796949468553</v>
      </c>
      <c r="F18" s="60">
        <f t="shared" si="3"/>
        <v>247.58496186835691</v>
      </c>
      <c r="G18" s="60"/>
      <c r="H18" s="61"/>
      <c r="I18" s="62"/>
      <c r="J18" s="39"/>
      <c r="K18" s="40"/>
      <c r="L18" s="40"/>
      <c r="M18" s="11"/>
    </row>
    <row r="19" spans="1:28" x14ac:dyDescent="0.2">
      <c r="A19" s="2"/>
      <c r="B19" s="2"/>
      <c r="C19" s="11"/>
      <c r="D19" s="11"/>
      <c r="E19" s="11"/>
      <c r="F19" s="11"/>
      <c r="G19" s="11"/>
      <c r="H19" s="2"/>
      <c r="I19" s="2"/>
      <c r="J19" s="2"/>
    </row>
    <row r="20" spans="1:28" x14ac:dyDescent="0.2">
      <c r="A20" s="2"/>
      <c r="B20" s="43" t="s">
        <v>273</v>
      </c>
      <c r="C20" s="11"/>
      <c r="D20" s="11"/>
      <c r="E20" s="11"/>
      <c r="F20" s="11"/>
      <c r="G20" s="11"/>
      <c r="H20" s="2"/>
      <c r="I20" s="2"/>
      <c r="J20" s="2"/>
      <c r="L20" s="5"/>
    </row>
    <row r="21" spans="1:28" x14ac:dyDescent="0.2">
      <c r="C21" s="28"/>
      <c r="D21" s="28"/>
      <c r="E21" s="28"/>
      <c r="F21" s="28"/>
      <c r="H21" s="2"/>
      <c r="I21" s="2"/>
      <c r="J21" s="2"/>
      <c r="L21" s="4"/>
    </row>
    <row r="22" spans="1:28" ht="16" x14ac:dyDescent="0.2">
      <c r="C22" s="28"/>
      <c r="D22" s="28"/>
      <c r="E22" s="28"/>
      <c r="F22" s="28"/>
      <c r="H22" s="2"/>
      <c r="I22" s="2"/>
      <c r="J22" s="2"/>
      <c r="L22" s="4"/>
      <c r="M22" s="4"/>
      <c r="W22" s="8"/>
      <c r="X22" s="8"/>
    </row>
    <row r="23" spans="1:28" x14ac:dyDescent="0.2">
      <c r="C23" s="28"/>
      <c r="D23" s="28"/>
      <c r="E23" s="28"/>
      <c r="F23" s="28"/>
      <c r="H23" s="2"/>
      <c r="I23" s="2"/>
      <c r="J23" s="2"/>
      <c r="K23" s="4"/>
      <c r="L23" s="4"/>
      <c r="M23" s="4"/>
      <c r="Y23" s="14"/>
      <c r="Z23" s="14"/>
      <c r="AA23" s="14"/>
      <c r="AB23" s="14"/>
    </row>
    <row r="24" spans="1:28" x14ac:dyDescent="0.2">
      <c r="C24" s="28"/>
      <c r="D24" s="28"/>
      <c r="E24" s="28"/>
      <c r="F24" s="28"/>
      <c r="H24" s="2"/>
      <c r="I24" s="2"/>
      <c r="J24" s="2"/>
      <c r="K24" s="5"/>
      <c r="L24" s="4"/>
      <c r="M24" s="4"/>
      <c r="Y24" s="14"/>
      <c r="Z24" s="14"/>
      <c r="AA24" s="14"/>
      <c r="AB24" s="14"/>
    </row>
    <row r="25" spans="1:28" ht="16" x14ac:dyDescent="0.2">
      <c r="C25" s="28"/>
      <c r="D25" s="28"/>
      <c r="E25" s="28"/>
      <c r="F25" s="28"/>
      <c r="H25" s="2"/>
      <c r="I25" s="2"/>
      <c r="J25" s="2"/>
      <c r="K25" s="6"/>
      <c r="L25" s="4"/>
      <c r="M25" s="4"/>
      <c r="Y25" s="8"/>
      <c r="Z25" s="8"/>
      <c r="AA25" s="40"/>
      <c r="AB25" s="40"/>
    </row>
    <row r="26" spans="1:28" x14ac:dyDescent="0.2">
      <c r="C26" s="28"/>
      <c r="D26" s="28"/>
      <c r="E26" s="28"/>
      <c r="F26" s="28"/>
      <c r="H26" s="2"/>
      <c r="I26" s="2"/>
      <c r="J26" s="2"/>
      <c r="K26" s="6"/>
      <c r="L26" s="4"/>
      <c r="M26" s="4"/>
    </row>
    <row r="27" spans="1:28" x14ac:dyDescent="0.2">
      <c r="C27" s="28"/>
      <c r="D27" s="28"/>
      <c r="E27" s="28"/>
      <c r="F27" s="28"/>
      <c r="H27" s="2"/>
      <c r="I27" s="2"/>
      <c r="J27" s="2"/>
      <c r="K27" s="6"/>
      <c r="L27" s="4"/>
      <c r="M27" s="4"/>
    </row>
    <row r="28" spans="1:28" x14ac:dyDescent="0.2">
      <c r="C28" s="28"/>
      <c r="D28" s="28"/>
      <c r="E28" s="28"/>
      <c r="F28" s="28"/>
      <c r="H28" s="2"/>
      <c r="I28" s="2"/>
      <c r="J28" s="2"/>
      <c r="K28" s="7"/>
      <c r="L28" s="4"/>
      <c r="M28" s="4"/>
    </row>
    <row r="29" spans="1:28" x14ac:dyDescent="0.2">
      <c r="C29" s="28"/>
      <c r="D29" s="28"/>
      <c r="E29" s="28"/>
      <c r="F29" s="28"/>
      <c r="H29" s="2"/>
      <c r="I29" s="2"/>
      <c r="J29" s="2"/>
      <c r="K29" s="6"/>
      <c r="L29" s="4"/>
      <c r="M29" s="4"/>
    </row>
    <row r="30" spans="1:28" x14ac:dyDescent="0.2">
      <c r="C30" s="28"/>
      <c r="D30" s="28"/>
      <c r="E30" s="28"/>
      <c r="F30" s="28"/>
      <c r="H30" s="2"/>
      <c r="I30" s="2"/>
      <c r="J30" s="2"/>
      <c r="K30" s="6"/>
      <c r="L30" s="4"/>
      <c r="M30" s="4"/>
    </row>
    <row r="31" spans="1:28" x14ac:dyDescent="0.2">
      <c r="C31" s="28"/>
      <c r="D31" s="28"/>
      <c r="E31" s="28"/>
      <c r="F31" s="28"/>
      <c r="H31" s="2"/>
      <c r="I31" s="2"/>
      <c r="J31" s="2"/>
      <c r="K31" s="6"/>
      <c r="L31" s="4"/>
      <c r="M31" s="4"/>
    </row>
    <row r="32" spans="1:28" x14ac:dyDescent="0.2">
      <c r="C32" s="28"/>
      <c r="D32" s="28"/>
      <c r="E32" s="28"/>
      <c r="F32" s="28"/>
      <c r="H32" s="2"/>
      <c r="I32" s="2"/>
      <c r="J32" s="2"/>
      <c r="K32" s="6"/>
      <c r="L32" s="4"/>
      <c r="M32" s="4"/>
    </row>
    <row r="33" spans="8:13" x14ac:dyDescent="0.2">
      <c r="H33" s="2"/>
      <c r="I33" s="2"/>
      <c r="J33" s="2"/>
      <c r="K33" s="6"/>
      <c r="L33" s="4"/>
      <c r="M33" s="4"/>
    </row>
    <row r="34" spans="8:13" x14ac:dyDescent="0.2">
      <c r="H34" s="2"/>
      <c r="I34" s="2"/>
      <c r="J34" s="2"/>
      <c r="K34" s="6"/>
      <c r="L34" s="4"/>
      <c r="M34" s="4"/>
    </row>
    <row r="35" spans="8:13" x14ac:dyDescent="0.2">
      <c r="H35" s="2"/>
      <c r="I35" s="2"/>
      <c r="J35" s="2"/>
      <c r="K35" s="7"/>
      <c r="M35" s="4"/>
    </row>
    <row r="36" spans="8:13" x14ac:dyDescent="0.2">
      <c r="H36" s="2"/>
      <c r="I36" s="2"/>
      <c r="J36" s="2"/>
      <c r="K36" s="7"/>
      <c r="M36" s="4"/>
    </row>
    <row r="37" spans="8:13" x14ac:dyDescent="0.2">
      <c r="K37" s="4"/>
    </row>
    <row r="38" spans="8:13" x14ac:dyDescent="0.2">
      <c r="K38" s="4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84095-2B09-9747-86B5-0874478BB353}">
  <dimension ref="A1:N41"/>
  <sheetViews>
    <sheetView topLeftCell="A17" zoomScale="150" zoomScaleNormal="150" workbookViewId="0">
      <selection activeCell="D23" sqref="D23"/>
    </sheetView>
  </sheetViews>
  <sheetFormatPr baseColWidth="10" defaultColWidth="10.83203125" defaultRowHeight="15" x14ac:dyDescent="0.2"/>
  <cols>
    <col min="1" max="1" width="25.83203125" customWidth="1"/>
    <col min="2" max="2" width="45.33203125" style="18" customWidth="1"/>
    <col min="3" max="3" width="25" style="2" customWidth="1"/>
    <col min="4" max="4" width="16.33203125" style="18" customWidth="1"/>
    <col min="5" max="5" width="24.1640625" style="18" customWidth="1"/>
    <col min="6" max="6" width="36.33203125" style="18" customWidth="1"/>
    <col min="7" max="7" width="33.1640625" style="18" customWidth="1"/>
    <col min="8" max="8" width="24.5" style="18" customWidth="1"/>
    <col min="9" max="9" width="23.33203125" style="18" customWidth="1"/>
    <col min="10" max="10" width="26.83203125" customWidth="1"/>
    <col min="11" max="11" width="23.5" customWidth="1"/>
    <col min="12" max="12" width="22.6640625" customWidth="1"/>
    <col min="14" max="14" width="17.83203125" customWidth="1"/>
  </cols>
  <sheetData>
    <row r="1" spans="1:14" x14ac:dyDescent="0.2">
      <c r="A1" t="s">
        <v>8</v>
      </c>
      <c r="B1" s="17" t="s">
        <v>9</v>
      </c>
      <c r="C1" s="29" t="s">
        <v>10</v>
      </c>
      <c r="D1" s="17" t="s">
        <v>16</v>
      </c>
      <c r="E1" s="17" t="s">
        <v>13</v>
      </c>
      <c r="F1" s="17" t="s">
        <v>14</v>
      </c>
      <c r="G1" s="17" t="s">
        <v>174</v>
      </c>
      <c r="H1" s="17" t="s">
        <v>175</v>
      </c>
      <c r="I1" s="17" t="s">
        <v>176</v>
      </c>
      <c r="J1" s="17" t="s">
        <v>177</v>
      </c>
      <c r="K1" s="17" t="s">
        <v>263</v>
      </c>
      <c r="L1" s="17" t="s">
        <v>264</v>
      </c>
    </row>
    <row r="2" spans="1:14" x14ac:dyDescent="0.2">
      <c r="A2" s="27" t="s">
        <v>68</v>
      </c>
      <c r="B2" s="30"/>
      <c r="C2" s="33"/>
      <c r="D2" s="30"/>
      <c r="E2" s="30"/>
      <c r="F2" s="30"/>
      <c r="G2" s="30"/>
      <c r="H2" s="30"/>
      <c r="J2" s="30"/>
      <c r="K2" s="30"/>
    </row>
    <row r="3" spans="1:14" ht="16" x14ac:dyDescent="0.2">
      <c r="A3" s="15" t="s">
        <v>4</v>
      </c>
      <c r="B3" s="48"/>
      <c r="C3" s="116"/>
      <c r="D3" s="48"/>
      <c r="E3" s="22">
        <v>-76.364303594993999</v>
      </c>
      <c r="F3" s="49">
        <f>E3*2625.499638</f>
        <v>-200494.45144477882</v>
      </c>
      <c r="G3" s="48"/>
      <c r="H3" s="48"/>
      <c r="I3" s="76"/>
      <c r="J3" s="48"/>
      <c r="K3" s="48"/>
      <c r="L3" s="117"/>
    </row>
    <row r="4" spans="1:14" ht="16" x14ac:dyDescent="0.2">
      <c r="A4" s="15" t="s">
        <v>7</v>
      </c>
      <c r="B4" s="48"/>
      <c r="C4" s="116"/>
      <c r="D4" s="48"/>
      <c r="E4" s="22">
        <v>-552.72593463360602</v>
      </c>
      <c r="F4" s="49">
        <f>E4*2625.499638</f>
        <v>-1451181.7412937442</v>
      </c>
      <c r="G4" s="48"/>
      <c r="H4" s="48"/>
      <c r="I4" s="76"/>
      <c r="J4" s="48"/>
      <c r="K4" s="48"/>
      <c r="L4" s="117"/>
    </row>
    <row r="5" spans="1:14" ht="16" x14ac:dyDescent="0.2">
      <c r="A5" s="19" t="s">
        <v>3</v>
      </c>
      <c r="B5" s="48"/>
      <c r="C5" s="116"/>
      <c r="D5" s="48"/>
      <c r="E5" s="22">
        <v>-829.81169209923803</v>
      </c>
      <c r="F5" s="49">
        <f>E5*2625.499638</f>
        <v>-2178670.2972147167</v>
      </c>
      <c r="G5" s="48"/>
      <c r="H5" s="48"/>
      <c r="I5" s="76"/>
      <c r="J5" s="48"/>
      <c r="K5" s="48"/>
      <c r="L5" s="117"/>
    </row>
    <row r="6" spans="1:14" ht="16" x14ac:dyDescent="0.2">
      <c r="A6" s="19" t="s">
        <v>173</v>
      </c>
      <c r="B6" s="48"/>
      <c r="C6" s="116"/>
      <c r="D6" s="48"/>
      <c r="E6" s="74">
        <v>-753.28085562761703</v>
      </c>
      <c r="F6" s="49">
        <f>E6*2625.499638</f>
        <v>-1977738.6137626385</v>
      </c>
      <c r="G6" s="48"/>
      <c r="H6" s="48"/>
      <c r="I6" s="76"/>
      <c r="J6" s="48"/>
      <c r="K6" s="48"/>
      <c r="L6" s="117"/>
    </row>
    <row r="7" spans="1:14" x14ac:dyDescent="0.2">
      <c r="A7" s="18"/>
      <c r="B7" s="31"/>
      <c r="C7" s="34"/>
      <c r="D7" s="31"/>
      <c r="E7" s="22"/>
      <c r="F7" s="50"/>
      <c r="G7" s="31"/>
      <c r="H7" s="31"/>
      <c r="J7" s="31"/>
      <c r="K7" s="31"/>
    </row>
    <row r="8" spans="1:14" x14ac:dyDescent="0.2">
      <c r="A8" s="27" t="s">
        <v>120</v>
      </c>
      <c r="B8" s="31"/>
      <c r="C8" s="34"/>
      <c r="D8" s="31"/>
      <c r="E8" s="22"/>
      <c r="F8" s="50"/>
      <c r="G8" s="31"/>
      <c r="H8" s="31"/>
      <c r="J8" s="31"/>
      <c r="K8" s="31"/>
    </row>
    <row r="9" spans="1:14" x14ac:dyDescent="0.2">
      <c r="A9" s="17" t="s">
        <v>5</v>
      </c>
      <c r="B9" s="31">
        <v>-2966.0988360891301</v>
      </c>
      <c r="C9" s="34">
        <v>-2966.1448899870502</v>
      </c>
      <c r="D9" s="31">
        <f>C9-B9+E28</f>
        <v>-4.3035108970046441E-2</v>
      </c>
      <c r="E9" s="22">
        <v>-2964.3974844383802</v>
      </c>
      <c r="F9" s="51">
        <f t="shared" ref="F9:F20" si="0">E9*2625.499638</f>
        <v>-7783024.5222810768</v>
      </c>
      <c r="G9" s="45">
        <f>F9-MIN(F$9:F$14)</f>
        <v>19.837487352080643</v>
      </c>
      <c r="H9" s="45">
        <f t="shared" ref="H9:H14" si="1">EXP(-G9*1000/(8.31446261815324*298.15))/(EXP(-G$9*1000/(8.31446261815324*298.15))+EXP(-G$10*1000/(8.31446261815324*298.15))+EXP(-G$11*1000/(8.31446261815324*298.15))+EXP(-G$12*1000/(8.31446261815324*298.15))+EXP(-G$13*1000/(8.31446261815324*298.15))+EXP(-G$14*1000/(8.31446261815324*298.15)))</f>
        <v>2.4390392686793542E-4</v>
      </c>
      <c r="I9" s="30">
        <f>L9-MIN(L9:L14)</f>
        <v>0</v>
      </c>
      <c r="J9" s="45">
        <f>EXP(-I9*1000/(8.31446261815324*298.15))/(EXP(-I$9*1000/(8.31446261815324*298.15))+EXP(-I$10*1000/(8.31446261815324*298.15))+EXP(-I$11*1000/(8.31446261815324*298.15))+EXP(-I$12*1000/(8.31446261815324*298.15))+EXP(-I$13*1000/(8.31446261815324*298.15))+EXP(-I$14*1000/(8.31446261815324*298.15)))</f>
        <v>0.99528758094535641</v>
      </c>
      <c r="K9" s="75">
        <f>E9+D9</f>
        <v>-2964.44051954735</v>
      </c>
      <c r="L9" s="118">
        <f>K9*2625.499638</f>
        <v>-7783137.5109440992</v>
      </c>
      <c r="M9" s="20"/>
      <c r="N9" s="123"/>
    </row>
    <row r="10" spans="1:14" x14ac:dyDescent="0.2">
      <c r="A10" s="21" t="s">
        <v>69</v>
      </c>
      <c r="B10" s="22">
        <v>-2966.0919550113299</v>
      </c>
      <c r="C10" s="46">
        <v>-2966.1242023099999</v>
      </c>
      <c r="D10" s="31">
        <f>C10-B10+E28</f>
        <v>-2.9228509719972224E-2</v>
      </c>
      <c r="E10" s="22">
        <v>-2964.40104875319</v>
      </c>
      <c r="F10" s="51">
        <f t="shared" si="0"/>
        <v>-7783033.8803883204</v>
      </c>
      <c r="G10" s="45">
        <f t="shared" ref="G10:G14" si="2">F10-MIN(F$9:F$14)</f>
        <v>10.47938010841608</v>
      </c>
      <c r="H10" s="45">
        <f t="shared" si="1"/>
        <v>1.0633794181615319E-2</v>
      </c>
      <c r="I10" s="30">
        <f>L10-MIN(L9:L14)</f>
        <v>26.891114090569317</v>
      </c>
      <c r="J10" s="45">
        <f t="shared" ref="J10:J14" si="3">EXP(-I10*1000/(8.31446261815324*298.15))/(EXP(-I$9*1000/(8.31446261815324*298.15))+EXP(-I$10*1000/(8.31446261815324*298.15))+EXP(-I$11*1000/(8.31446261815324*298.15))+EXP(-I$12*1000/(8.31446261815324*298.15))+EXP(-I$13*1000/(8.31446261815324*298.15))+EXP(-I$14*1000/(8.31446261815324*298.15)))</f>
        <v>1.9356606537010849E-5</v>
      </c>
      <c r="K10" s="75">
        <f t="shared" ref="K10:K20" si="4">E10+D10</f>
        <v>-2964.4302772629098</v>
      </c>
      <c r="L10" s="118">
        <f t="shared" ref="L10:L20" si="5">K10*2625.499638</f>
        <v>-7783110.6198300086</v>
      </c>
      <c r="M10" s="20"/>
      <c r="N10" s="123"/>
    </row>
    <row r="11" spans="1:14" x14ac:dyDescent="0.2">
      <c r="A11" s="17" t="s">
        <v>70</v>
      </c>
      <c r="B11" s="22">
        <v>-2966.0991638851101</v>
      </c>
      <c r="C11" s="46">
        <v>-2966.1343597524801</v>
      </c>
      <c r="D11" s="31">
        <f>C11-B11+E28</f>
        <v>-3.2177078420021009E-2</v>
      </c>
      <c r="E11" s="22">
        <v>-2964.40305232333</v>
      </c>
      <c r="F11" s="51">
        <f t="shared" si="0"/>
        <v>-7783039.1407609973</v>
      </c>
      <c r="G11" s="45">
        <f t="shared" si="2"/>
        <v>5.2190074315294623</v>
      </c>
      <c r="H11" s="45">
        <f t="shared" si="1"/>
        <v>8.8769887874860634E-2</v>
      </c>
      <c r="I11" s="30">
        <f>L11-MIN(L9:L14)</f>
        <v>13.889275358989835</v>
      </c>
      <c r="J11" s="45">
        <f t="shared" si="3"/>
        <v>3.66988806701276E-3</v>
      </c>
      <c r="K11" s="75">
        <f t="shared" si="4"/>
        <v>-2964.4352294017499</v>
      </c>
      <c r="L11" s="118">
        <f t="shared" si="5"/>
        <v>-7783123.6216687402</v>
      </c>
      <c r="M11" s="20"/>
      <c r="N11" s="123"/>
    </row>
    <row r="12" spans="1:14" x14ac:dyDescent="0.2">
      <c r="A12" s="17" t="s">
        <v>71</v>
      </c>
      <c r="B12" s="22">
        <v>-2966.0866753518799</v>
      </c>
      <c r="C12" s="46">
        <v>-2966.1195813545701</v>
      </c>
      <c r="D12" s="31">
        <f>C12-B12+E28</f>
        <v>-2.9887213740197056E-2</v>
      </c>
      <c r="E12" s="22">
        <v>-2964.3977775703802</v>
      </c>
      <c r="F12" s="51">
        <f t="shared" si="0"/>
        <v>-7783025.2918990366</v>
      </c>
      <c r="G12" s="45">
        <f t="shared" si="2"/>
        <v>19.067869392223656</v>
      </c>
      <c r="H12" s="45">
        <f t="shared" si="1"/>
        <v>3.3269787399629538E-4</v>
      </c>
      <c r="I12" s="30">
        <f>L12-MIN(L9:L14)</f>
        <v>33.75017620716244</v>
      </c>
      <c r="J12" s="45">
        <f t="shared" si="3"/>
        <v>1.2166720429937496E-6</v>
      </c>
      <c r="K12" s="75">
        <f t="shared" si="4"/>
        <v>-2964.4276647841202</v>
      </c>
      <c r="L12" s="118">
        <f t="shared" si="5"/>
        <v>-7783103.760767892</v>
      </c>
      <c r="M12" s="20"/>
      <c r="N12" s="123"/>
    </row>
    <row r="13" spans="1:14" x14ac:dyDescent="0.2">
      <c r="A13" s="17" t="s">
        <v>72</v>
      </c>
      <c r="B13" s="22">
        <v>-2966.0938884935299</v>
      </c>
      <c r="C13" s="46">
        <v>-2966.1263569431399</v>
      </c>
      <c r="D13" s="31">
        <f>C13-B13+E28</f>
        <v>-2.9449660659950767E-2</v>
      </c>
      <c r="E13" s="22">
        <v>-2964.4036726709101</v>
      </c>
      <c r="F13" s="51">
        <f t="shared" si="0"/>
        <v>-7783040.7694833446</v>
      </c>
      <c r="G13" s="45">
        <f t="shared" si="2"/>
        <v>3.5902850842103362</v>
      </c>
      <c r="H13" s="45">
        <f t="shared" si="1"/>
        <v>0.17124010339569401</v>
      </c>
      <c r="I13" s="30">
        <f>L13-MIN(L9:L14)</f>
        <v>19.421387353911996</v>
      </c>
      <c r="J13" s="45">
        <f t="shared" si="3"/>
        <v>3.9397505823976855E-4</v>
      </c>
      <c r="K13" s="75">
        <f t="shared" si="4"/>
        <v>-2964.4331223315698</v>
      </c>
      <c r="L13" s="118">
        <f t="shared" si="5"/>
        <v>-7783118.0895567453</v>
      </c>
      <c r="M13" s="20"/>
      <c r="N13" s="123"/>
    </row>
    <row r="14" spans="1:14" x14ac:dyDescent="0.2">
      <c r="A14" s="21" t="s">
        <v>6</v>
      </c>
      <c r="B14" s="22">
        <v>-2966.0985798631</v>
      </c>
      <c r="C14" s="46">
        <v>-2966.13012104787</v>
      </c>
      <c r="D14" s="31">
        <f>C14-B14+E28</f>
        <v>-2.8522395820048858E-2</v>
      </c>
      <c r="E14" s="22">
        <v>-2964.4050401382801</v>
      </c>
      <c r="F14" s="51">
        <f t="shared" si="0"/>
        <v>-7783044.3597684288</v>
      </c>
      <c r="G14" s="45">
        <f t="shared" si="2"/>
        <v>0</v>
      </c>
      <c r="H14" s="45">
        <f t="shared" si="1"/>
        <v>0.72877961274696579</v>
      </c>
      <c r="I14" s="30">
        <f>L14-MIN(L9:L14)</f>
        <v>18.265635769814253</v>
      </c>
      <c r="J14" s="45">
        <f t="shared" si="3"/>
        <v>6.2798265081105177E-4</v>
      </c>
      <c r="K14" s="75">
        <f t="shared" si="4"/>
        <v>-2964.4335625341</v>
      </c>
      <c r="L14" s="118">
        <f t="shared" si="5"/>
        <v>-7783119.2453083294</v>
      </c>
      <c r="M14" s="20"/>
      <c r="N14" s="123"/>
    </row>
    <row r="15" spans="1:14" x14ac:dyDescent="0.2">
      <c r="A15" s="21" t="s">
        <v>2</v>
      </c>
      <c r="B15" s="22">
        <v>-3042.58103371578</v>
      </c>
      <c r="C15" s="46">
        <v>-3042.6113277269501</v>
      </c>
      <c r="D15" s="31">
        <f>C15-B15+E28</f>
        <v>-2.7275222220099111E-2</v>
      </c>
      <c r="E15" s="22">
        <v>-3040.8316525054502</v>
      </c>
      <c r="F15" s="51">
        <f t="shared" si="0"/>
        <v>-7983702.4028720008</v>
      </c>
      <c r="G15" s="45">
        <f t="shared" ref="G15:G19" si="6">F15-MIN(F$15:F$20)</f>
        <v>0</v>
      </c>
      <c r="H15" s="45">
        <f t="shared" ref="H15:H20" si="7">EXP(-G15*1000/(8.31446261815324*298.15))/(EXP(-G$15*1000/(8.31446261815324*298.15))+EXP(-G$16*1000/(8.31446261815324*298.15))+EXP(-G$17*1000/(8.31446261815324*298.15))+EXP(-G$18*1000/(8.31446261815324*298.15))+EXP(-G$19*1000/(8.31446261815324*298.15))+EXP(-G$20*1000/(8.31446261815324*298.15)))</f>
        <v>0.99210128725009605</v>
      </c>
      <c r="I15" s="30">
        <f>L15-MIN(L15:L20)</f>
        <v>1.7127318754792213</v>
      </c>
      <c r="J15" s="45">
        <f>EXP(-I15*1000/(8.31446261815324*298.15))/(EXP(-I$15*1000/(8.31446261815324*298.15))+EXP(-I$16*1000/(8.31446261815324*298.15))+EXP(-I$17*1000/(8.31446261815324*298.15))+EXP(-I$18*1000/(8.31446261815324*298.15))+EXP(-I$19*1000/(8.31446261815324*298.15))+EXP(-I$20*1000/(8.31446261815324*298.15)))</f>
        <v>0.32170599633750163</v>
      </c>
      <c r="K15" s="75">
        <f t="shared" si="4"/>
        <v>-3040.8589277276701</v>
      </c>
      <c r="L15" s="118">
        <f t="shared" si="5"/>
        <v>-7983774.0139580658</v>
      </c>
      <c r="M15" s="20"/>
      <c r="N15" s="123"/>
    </row>
    <row r="16" spans="1:14" x14ac:dyDescent="0.2">
      <c r="A16" s="21" t="s">
        <v>73</v>
      </c>
      <c r="B16" s="22">
        <v>-3042.5664783311299</v>
      </c>
      <c r="C16" s="46">
        <v>-3042.61318852361</v>
      </c>
      <c r="D16" s="31">
        <f>C16-B16+E28</f>
        <v>-4.3691403530077243E-2</v>
      </c>
      <c r="E16" s="22">
        <v>-3040.8070408879298</v>
      </c>
      <c r="F16" s="51">
        <f t="shared" si="0"/>
        <v>-7983637.7850791104</v>
      </c>
      <c r="G16" s="45">
        <f t="shared" si="6"/>
        <v>64.617792890407145</v>
      </c>
      <c r="H16" s="45">
        <f t="shared" si="7"/>
        <v>4.7425124586032575E-12</v>
      </c>
      <c r="I16" s="30">
        <f>L16-MIN(L15:L20)</f>
        <v>23.229846679605544</v>
      </c>
      <c r="J16" s="45">
        <f t="shared" ref="J16:J20" si="8">EXP(-I16*1000/(8.31446261815324*298.15))/(EXP(-I$15*1000/(8.31446261815324*298.15))+EXP(-I$16*1000/(8.31446261815324*298.15))+EXP(-I$17*1000/(8.31446261815324*298.15))+EXP(-I$18*1000/(8.31446261815324*298.15))+EXP(-I$19*1000/(8.31446261815324*298.15))+EXP(-I$20*1000/(8.31446261815324*298.15)))</f>
        <v>5.4679399306704763E-5</v>
      </c>
      <c r="K16" s="75">
        <f t="shared" si="4"/>
        <v>-3040.8507322914597</v>
      </c>
      <c r="L16" s="118">
        <f t="shared" si="5"/>
        <v>-7983752.4968432616</v>
      </c>
      <c r="M16" s="20"/>
      <c r="N16" s="123"/>
    </row>
    <row r="17" spans="1:14" x14ac:dyDescent="0.2">
      <c r="A17" s="21" t="s">
        <v>74</v>
      </c>
      <c r="B17" s="22">
        <v>-3042.57675415824</v>
      </c>
      <c r="C17" s="46">
        <v>-3042.61227386575</v>
      </c>
      <c r="D17" s="31">
        <f>C17-B17+E28</f>
        <v>-3.2500918560047741E-2</v>
      </c>
      <c r="E17" s="22">
        <v>-3040.82707915423</v>
      </c>
      <c r="F17" s="51">
        <f t="shared" si="0"/>
        <v>-7983690.3955400279</v>
      </c>
      <c r="G17" s="45">
        <f>F17-MIN(F$15:F$20)</f>
        <v>12.007331972941756</v>
      </c>
      <c r="H17" s="45">
        <f t="shared" si="7"/>
        <v>7.8156024995897407E-3</v>
      </c>
      <c r="I17" s="30">
        <f>L17-MIN(L15:L20)</f>
        <v>0</v>
      </c>
      <c r="J17" s="45">
        <f t="shared" si="8"/>
        <v>0.64197305254361581</v>
      </c>
      <c r="K17" s="75">
        <f t="shared" si="4"/>
        <v>-3040.8595800727899</v>
      </c>
      <c r="L17" s="118">
        <f t="shared" si="5"/>
        <v>-7983775.7266899412</v>
      </c>
      <c r="M17" s="20"/>
      <c r="N17" s="123"/>
    </row>
    <row r="18" spans="1:14" x14ac:dyDescent="0.2">
      <c r="A18" s="26" t="s">
        <v>75</v>
      </c>
      <c r="B18" s="22">
        <v>-3042.5747377160801</v>
      </c>
      <c r="C18" s="46">
        <v>-3042.6118418996298</v>
      </c>
      <c r="D18" s="31">
        <f>C18-B18+E28</f>
        <v>-3.4085394599672601E-2</v>
      </c>
      <c r="E18" s="22">
        <v>-3040.82278135261</v>
      </c>
      <c r="F18" s="51">
        <f t="shared" si="0"/>
        <v>-7983679.11166343</v>
      </c>
      <c r="G18" s="45">
        <f t="shared" si="6"/>
        <v>23.291208570823073</v>
      </c>
      <c r="H18" s="45">
        <f t="shared" si="7"/>
        <v>8.2435221889939995E-5</v>
      </c>
      <c r="I18" s="30">
        <f>L18-MIN(L15:L20)</f>
        <v>7.1238353289663792</v>
      </c>
      <c r="J18" s="45">
        <f t="shared" si="8"/>
        <v>3.6263928119484319E-2</v>
      </c>
      <c r="K18" s="75">
        <f t="shared" si="4"/>
        <v>-3040.8568667472096</v>
      </c>
      <c r="L18" s="118">
        <f t="shared" si="5"/>
        <v>-7983768.6028546123</v>
      </c>
      <c r="M18" s="20"/>
      <c r="N18" s="123"/>
    </row>
    <row r="19" spans="1:14" x14ac:dyDescent="0.2">
      <c r="A19" s="26" t="s">
        <v>76</v>
      </c>
      <c r="B19" s="22">
        <v>-3042.5677890198699</v>
      </c>
      <c r="C19" s="46">
        <v>-3042.6011782391602</v>
      </c>
      <c r="D19" s="31">
        <f>C19-B19+E28</f>
        <v>-3.0370430340256733E-2</v>
      </c>
      <c r="E19" s="22">
        <v>-3040.8173855765799</v>
      </c>
      <c r="F19" s="51">
        <f t="shared" si="0"/>
        <v>-7983664.9450554159</v>
      </c>
      <c r="G19" s="45">
        <f t="shared" si="6"/>
        <v>37.457816584967077</v>
      </c>
      <c r="H19" s="45">
        <f t="shared" si="7"/>
        <v>2.7178811741067225E-7</v>
      </c>
      <c r="I19" s="30">
        <f>L19-MIN(L15:L20)</f>
        <v>31.044080660678446</v>
      </c>
      <c r="J19" s="45">
        <f t="shared" si="8"/>
        <v>2.3379174404518542E-6</v>
      </c>
      <c r="K19" s="75">
        <f t="shared" si="4"/>
        <v>-3040.84775600692</v>
      </c>
      <c r="L19" s="118">
        <f t="shared" si="5"/>
        <v>-7983744.6826092806</v>
      </c>
      <c r="M19" s="20"/>
      <c r="N19" s="123"/>
    </row>
    <row r="20" spans="1:14" x14ac:dyDescent="0.2">
      <c r="A20" s="21" t="s">
        <v>1</v>
      </c>
      <c r="B20" s="22">
        <v>-3042.5750089683102</v>
      </c>
      <c r="C20" s="46">
        <v>-3042.6023420951001</v>
      </c>
      <c r="D20" s="31">
        <f>C20-B20+E28</f>
        <v>-2.4314337839926609E-2</v>
      </c>
      <c r="E20" s="22">
        <v>-3040.8177580557499</v>
      </c>
      <c r="F20" s="51">
        <f t="shared" si="0"/>
        <v>-7983665.922999342</v>
      </c>
      <c r="G20" s="45">
        <f>F20-MIN(F$15:F$20)</f>
        <v>36.479872658848763</v>
      </c>
      <c r="H20" s="45">
        <f t="shared" si="7"/>
        <v>4.0323556435288065E-7</v>
      </c>
      <c r="I20" s="30">
        <f>L20-MIN(L15:L20)</f>
        <v>45.966405402868986</v>
      </c>
      <c r="J20" s="45">
        <f t="shared" si="8"/>
        <v>5.6826509681893467E-9</v>
      </c>
      <c r="K20" s="75">
        <f t="shared" si="4"/>
        <v>-3040.8420723935897</v>
      </c>
      <c r="L20" s="118">
        <f t="shared" si="5"/>
        <v>-7983729.7602845384</v>
      </c>
      <c r="N20" s="123"/>
    </row>
    <row r="21" spans="1:14" x14ac:dyDescent="0.2">
      <c r="A21" s="18"/>
      <c r="B21" s="30"/>
      <c r="C21" s="33"/>
      <c r="D21" s="30"/>
      <c r="E21" s="30"/>
      <c r="F21" s="30"/>
      <c r="G21" s="30"/>
      <c r="H21" s="30"/>
      <c r="I21" s="30"/>
    </row>
    <row r="22" spans="1:14" x14ac:dyDescent="0.2">
      <c r="A22" s="24" t="s">
        <v>124</v>
      </c>
      <c r="B22" s="17" t="s">
        <v>125</v>
      </c>
      <c r="C22" s="29" t="s">
        <v>11</v>
      </c>
      <c r="D22" s="17" t="s">
        <v>12</v>
      </c>
      <c r="E22" s="32" t="s">
        <v>30</v>
      </c>
      <c r="F22" s="30"/>
      <c r="G22" s="30"/>
      <c r="H22" s="30"/>
      <c r="I22" s="30"/>
      <c r="K22" s="23" t="s">
        <v>267</v>
      </c>
      <c r="L22" s="128">
        <f>(K9*J9+K10*J10+K11*J11+K12*J12+K13*J13+K14*J14 - MIN(K9:K14))*627.509474</f>
        <v>1.6887121236624232E-2</v>
      </c>
    </row>
    <row r="23" spans="1:14" x14ac:dyDescent="0.2">
      <c r="A23" s="23" t="s">
        <v>127</v>
      </c>
      <c r="B23" s="31">
        <v>-1978515.9078428862</v>
      </c>
      <c r="C23" s="34">
        <f>B23-MIN(B23:B25)</f>
        <v>0</v>
      </c>
      <c r="D23" s="31">
        <f>EXP(-C23*1000/(8.31446261815324*298.15))/(EXP(-C23*1000/(8.31446261815324*298.15))+EXP(-C24*1000/(8.31446261815324*298.15)))</f>
        <v>0.89079458224039343</v>
      </c>
      <c r="E23" s="31">
        <f>B23/2625.499638</f>
        <v>-753.57691130745695</v>
      </c>
      <c r="F23" s="30"/>
      <c r="G23" s="30"/>
      <c r="H23" s="30"/>
      <c r="I23" s="30"/>
      <c r="K23" s="23" t="s">
        <v>268</v>
      </c>
    </row>
    <row r="24" spans="1:14" x14ac:dyDescent="0.2">
      <c r="A24" s="23" t="s">
        <v>128</v>
      </c>
      <c r="B24" s="31">
        <v>-1978510.7048016773</v>
      </c>
      <c r="C24" s="34">
        <f>B24-MIN(B23:B25)</f>
        <v>5.2030412089079618</v>
      </c>
      <c r="D24" s="31">
        <f>EXP(-C24*1000/(8.31446261815324*298.15))/(EXP(-C23*1000/(8.31446261815324*298.15))+EXP(-C24*1000/(8.31446261815324*298.15)))</f>
        <v>0.10920541775960663</v>
      </c>
      <c r="E24" s="31">
        <f t="shared" ref="E24:E25" si="9">B24/2625.499638</f>
        <v>-753.57492957372006</v>
      </c>
      <c r="F24" s="30"/>
      <c r="G24" s="30"/>
      <c r="H24" s="30"/>
      <c r="I24" s="30"/>
    </row>
    <row r="25" spans="1:14" x14ac:dyDescent="0.2">
      <c r="A25" s="23" t="s">
        <v>129</v>
      </c>
      <c r="B25" s="31">
        <v>-1978502.7385957155</v>
      </c>
      <c r="C25" s="34">
        <f>B25-MIN(B23:B25)</f>
        <v>13.169247170677409</v>
      </c>
      <c r="D25" s="31">
        <v>0</v>
      </c>
      <c r="E25" s="31">
        <f t="shared" si="9"/>
        <v>-753.57189540611</v>
      </c>
      <c r="F25" s="30"/>
      <c r="G25" s="30"/>
      <c r="H25" s="30"/>
      <c r="I25" s="30"/>
    </row>
    <row r="26" spans="1:14" x14ac:dyDescent="0.2">
      <c r="B26" s="32"/>
      <c r="C26" s="33"/>
      <c r="D26" s="30"/>
      <c r="E26" s="32"/>
      <c r="H26" s="30"/>
      <c r="I26" s="30"/>
    </row>
    <row r="27" spans="1:14" x14ac:dyDescent="0.2">
      <c r="A27" s="18"/>
      <c r="B27" s="30"/>
      <c r="C27" s="33"/>
      <c r="D27" s="30"/>
      <c r="E27" s="30"/>
      <c r="H27" s="30"/>
      <c r="I27" s="30"/>
    </row>
    <row r="28" spans="1:14" x14ac:dyDescent="0.2">
      <c r="A28" s="18"/>
      <c r="B28" s="32" t="s">
        <v>126</v>
      </c>
      <c r="C28" s="35" t="s">
        <v>18</v>
      </c>
      <c r="D28" s="30"/>
      <c r="E28" s="17">
        <v>3.0187889499999998E-3</v>
      </c>
      <c r="F28" s="18" t="s">
        <v>31</v>
      </c>
      <c r="G28" s="18" t="s">
        <v>32</v>
      </c>
      <c r="H28" s="30"/>
      <c r="I28" s="30"/>
    </row>
    <row r="29" spans="1:14" x14ac:dyDescent="0.2">
      <c r="A29" s="18" t="s">
        <v>21</v>
      </c>
      <c r="B29" s="126">
        <f>C29*627.509474</f>
        <v>185.64194080267777</v>
      </c>
      <c r="C29" s="33">
        <f>E6-(E23*D23+E24*D24+E25*D25)</f>
        <v>0.29583926377927128</v>
      </c>
      <c r="D29" s="30"/>
      <c r="E29" s="17">
        <v>2.4932932400000001E-3</v>
      </c>
      <c r="H29" s="30"/>
      <c r="I29" s="30"/>
    </row>
    <row r="30" spans="1:14" x14ac:dyDescent="0.2">
      <c r="A30" s="18"/>
      <c r="C30" s="33"/>
      <c r="D30" s="30"/>
      <c r="E30" s="30"/>
      <c r="F30" s="30"/>
      <c r="G30" s="30"/>
      <c r="H30" s="30"/>
      <c r="I30" s="30"/>
    </row>
    <row r="31" spans="1:14" x14ac:dyDescent="0.2">
      <c r="A31" s="18"/>
      <c r="B31" s="32" t="s">
        <v>17</v>
      </c>
      <c r="C31" s="35" t="s">
        <v>19</v>
      </c>
      <c r="D31" s="32" t="s">
        <v>20</v>
      </c>
      <c r="E31" s="35"/>
      <c r="F31" s="32"/>
      <c r="G31" s="30"/>
      <c r="H31" s="30"/>
      <c r="I31" s="30"/>
    </row>
    <row r="32" spans="1:14" x14ac:dyDescent="0.2">
      <c r="A32" s="18"/>
      <c r="B32" s="119" t="s">
        <v>22</v>
      </c>
      <c r="C32" s="120">
        <f>E5-(E3+E6)</f>
        <v>-0.16653287662700222</v>
      </c>
      <c r="D32" s="121">
        <f>C32*627.509474</f>
        <v>-104.50095781591705</v>
      </c>
      <c r="E32" s="30"/>
      <c r="F32" s="30"/>
      <c r="G32" s="30"/>
      <c r="H32" s="30"/>
      <c r="I32" s="30"/>
    </row>
    <row r="33" spans="1:9" x14ac:dyDescent="0.2">
      <c r="A33" s="18"/>
      <c r="B33" s="119"/>
      <c r="C33" s="120"/>
      <c r="D33" s="121"/>
      <c r="E33" s="30"/>
      <c r="F33" s="30"/>
      <c r="G33" s="30"/>
      <c r="H33" s="30"/>
      <c r="I33" s="30"/>
    </row>
    <row r="34" spans="1:9" x14ac:dyDescent="0.2">
      <c r="A34" s="18"/>
      <c r="B34" s="119" t="s">
        <v>23</v>
      </c>
      <c r="C34" s="120">
        <f>(E9*H9+E10*H10+E11*H11+E12*H12+E13*H13+E14*H14)-(E6+4*E4)</f>
        <v>-0.21998865020123048</v>
      </c>
      <c r="D34" s="121">
        <f t="shared" ref="D34:D41" si="10">C34*627.509474</f>
        <v>-138.04496217374412</v>
      </c>
      <c r="E34" s="30"/>
      <c r="F34" s="30"/>
      <c r="G34" s="30"/>
      <c r="H34" s="30"/>
      <c r="I34" s="30"/>
    </row>
    <row r="35" spans="1:9" x14ac:dyDescent="0.2">
      <c r="A35" s="18"/>
      <c r="B35" s="119" t="s">
        <v>25</v>
      </c>
      <c r="C35" s="120">
        <f>(K9*J9+K10*J10+K11*J11+K12*J12+K13*J13+K14*J14)-(E9*H9+E10*H10+E11*H11+E12*H12+E13*H13+E14*H14)</f>
        <v>-3.5909823766814952E-2</v>
      </c>
      <c r="D35" s="121">
        <f t="shared" si="10"/>
        <v>-22.533754623346749</v>
      </c>
      <c r="E35" s="30"/>
      <c r="F35" s="30"/>
      <c r="G35" s="30"/>
      <c r="H35" s="30"/>
      <c r="I35" s="30"/>
    </row>
    <row r="36" spans="1:9" x14ac:dyDescent="0.2">
      <c r="A36" s="18"/>
      <c r="B36" s="122"/>
      <c r="C36" s="120"/>
      <c r="D36" s="121"/>
      <c r="E36" s="30"/>
    </row>
    <row r="37" spans="1:9" x14ac:dyDescent="0.2">
      <c r="B37" s="119" t="s">
        <v>24</v>
      </c>
      <c r="C37" s="120">
        <f>(E15*H15+E16*H16+E17*H17+E18*H18+E19*H19+E20*H20)-(E5+4*E4)</f>
        <v>-0.11618538751736196</v>
      </c>
      <c r="D37" s="121">
        <f t="shared" si="10"/>
        <v>-72.907431407505968</v>
      </c>
      <c r="E37" s="30"/>
    </row>
    <row r="38" spans="1:9" x14ac:dyDescent="0.2">
      <c r="B38" s="119" t="s">
        <v>26</v>
      </c>
      <c r="C38" s="13">
        <f>(K15*J15+K16*J16+K17*J17+K18*J18+K19*J19+K20*J20)-(E15*H15+E16*H16+E17*H17+E18*H18+E19*H19+E20*H20)</f>
        <v>-2.7655280895032774E-2</v>
      </c>
      <c r="D38" s="121">
        <f t="shared" si="10"/>
        <v>-17.353950767764264</v>
      </c>
    </row>
    <row r="39" spans="1:9" x14ac:dyDescent="0.2">
      <c r="B39" s="119"/>
      <c r="C39" s="13"/>
      <c r="D39" s="121"/>
    </row>
    <row r="40" spans="1:9" x14ac:dyDescent="0.2">
      <c r="B40" s="119" t="s">
        <v>27</v>
      </c>
      <c r="C40" s="120">
        <f>C29+C34+C35</f>
        <v>3.9940789811225841E-2</v>
      </c>
      <c r="D40" s="121">
        <f t="shared" si="10"/>
        <v>25.063224005586886</v>
      </c>
    </row>
    <row r="41" spans="1:9" x14ac:dyDescent="0.2">
      <c r="A41" s="24" t="s">
        <v>29</v>
      </c>
      <c r="B41" s="119" t="s">
        <v>28</v>
      </c>
      <c r="C41" s="120">
        <f>C29+C32+C37+C38</f>
        <v>-1.4534281260125681E-2</v>
      </c>
      <c r="D41" s="121">
        <f t="shared" si="10"/>
        <v>-9.1203991885095235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34AF-D74C-214B-8E4C-096A50350AE6}">
  <dimension ref="A1:O41"/>
  <sheetViews>
    <sheetView topLeftCell="A3" zoomScale="115" zoomScaleNormal="115" workbookViewId="0">
      <selection activeCell="D20" sqref="D20"/>
    </sheetView>
  </sheetViews>
  <sheetFormatPr baseColWidth="10" defaultColWidth="10.83203125" defaultRowHeight="15" x14ac:dyDescent="0.2"/>
  <cols>
    <col min="1" max="1" width="22.1640625" customWidth="1"/>
    <col min="2" max="2" width="22.5" customWidth="1"/>
    <col min="3" max="3" width="21.33203125" customWidth="1"/>
    <col min="4" max="4" width="17.5" customWidth="1"/>
    <col min="5" max="5" width="28.6640625" customWidth="1"/>
    <col min="6" max="6" width="19" customWidth="1"/>
    <col min="7" max="7" width="21.5" customWidth="1"/>
    <col min="8" max="8" width="17.6640625" customWidth="1"/>
    <col min="9" max="9" width="24" customWidth="1"/>
  </cols>
  <sheetData>
    <row r="1" spans="1:15" x14ac:dyDescent="0.2">
      <c r="A1" s="2"/>
      <c r="B1" s="29" t="s">
        <v>54</v>
      </c>
      <c r="C1" s="2"/>
      <c r="D1" s="52"/>
      <c r="E1" s="2"/>
      <c r="F1" s="29" t="s">
        <v>7</v>
      </c>
      <c r="G1" s="2"/>
      <c r="H1" s="52"/>
      <c r="I1" s="13"/>
      <c r="J1" s="2"/>
      <c r="K1" s="2"/>
      <c r="L1" s="2"/>
      <c r="M1" s="2"/>
      <c r="N1" s="2"/>
      <c r="O1" s="2"/>
    </row>
    <row r="2" spans="1:15" x14ac:dyDescent="0.2">
      <c r="A2" s="29" t="s">
        <v>39</v>
      </c>
      <c r="B2" s="2" t="s">
        <v>41</v>
      </c>
      <c r="C2" s="2" t="s">
        <v>260</v>
      </c>
      <c r="D2" s="52"/>
      <c r="E2" s="29" t="s">
        <v>39</v>
      </c>
      <c r="F2" s="2" t="s">
        <v>41</v>
      </c>
      <c r="G2" s="2" t="s">
        <v>42</v>
      </c>
      <c r="H2" s="52"/>
      <c r="I2" s="13"/>
      <c r="J2" s="2"/>
      <c r="K2" s="2"/>
      <c r="L2" s="2"/>
      <c r="M2" s="2"/>
      <c r="N2" s="2"/>
      <c r="O2" s="2"/>
    </row>
    <row r="3" spans="1:15" x14ac:dyDescent="0.2">
      <c r="A3" s="2" t="s">
        <v>36</v>
      </c>
      <c r="B3" s="2">
        <v>-676.85298372796296</v>
      </c>
      <c r="C3" s="2">
        <v>-677.30523297273101</v>
      </c>
      <c r="D3" s="52"/>
      <c r="E3" s="2" t="s">
        <v>36</v>
      </c>
      <c r="F3" s="2">
        <v>-676.85298372796296</v>
      </c>
      <c r="G3" s="2">
        <v>-677.29811631237897</v>
      </c>
      <c r="H3" s="52"/>
      <c r="I3" s="13"/>
      <c r="J3" s="2"/>
      <c r="K3" s="2"/>
      <c r="L3" s="2"/>
      <c r="M3" s="2"/>
      <c r="N3" s="2"/>
      <c r="O3" s="2"/>
    </row>
    <row r="4" spans="1:15" x14ac:dyDescent="0.2">
      <c r="A4" s="52"/>
      <c r="B4" s="52"/>
      <c r="C4" s="52"/>
      <c r="D4" s="52"/>
      <c r="E4" s="2" t="s">
        <v>37</v>
      </c>
      <c r="F4" s="2">
        <v>-830.08973179571603</v>
      </c>
      <c r="G4" s="2">
        <v>-830.12015802331496</v>
      </c>
      <c r="H4" s="52"/>
      <c r="I4" s="13"/>
      <c r="J4" s="2"/>
      <c r="K4" s="2"/>
      <c r="L4" s="2"/>
      <c r="M4" s="2"/>
      <c r="N4" s="2"/>
      <c r="O4" s="2"/>
    </row>
    <row r="5" spans="1:15" x14ac:dyDescent="0.2">
      <c r="A5" s="29" t="s">
        <v>40</v>
      </c>
      <c r="B5" s="2" t="s">
        <v>41</v>
      </c>
      <c r="C5" s="2" t="s">
        <v>261</v>
      </c>
      <c r="D5" s="52"/>
      <c r="E5" s="29" t="s">
        <v>40</v>
      </c>
      <c r="F5" s="2" t="s">
        <v>41</v>
      </c>
      <c r="G5" s="2" t="s">
        <v>43</v>
      </c>
      <c r="H5" s="52"/>
      <c r="I5" s="13"/>
      <c r="J5" s="2"/>
      <c r="K5" s="2"/>
      <c r="L5" s="2"/>
      <c r="M5" s="2"/>
      <c r="N5" s="2"/>
      <c r="O5" s="2"/>
    </row>
    <row r="6" spans="1:15" x14ac:dyDescent="0.2">
      <c r="A6" s="2" t="s">
        <v>36</v>
      </c>
      <c r="B6" s="2">
        <v>-676.71938205327399</v>
      </c>
      <c r="C6" s="2">
        <v>-677.18948268502197</v>
      </c>
      <c r="D6" s="52"/>
      <c r="E6" s="2" t="s">
        <v>36</v>
      </c>
      <c r="F6" s="2">
        <v>-676.71938205327399</v>
      </c>
      <c r="G6" s="2">
        <v>-677.18531814502103</v>
      </c>
      <c r="H6" s="52"/>
      <c r="I6" s="13"/>
      <c r="J6" s="2"/>
      <c r="K6" s="2"/>
      <c r="L6" s="2"/>
      <c r="M6" s="2"/>
      <c r="N6" s="2"/>
      <c r="O6" s="2"/>
    </row>
    <row r="7" spans="1:15" x14ac:dyDescent="0.2">
      <c r="A7" s="52"/>
      <c r="B7" s="52"/>
      <c r="C7" s="52"/>
      <c r="D7" s="52"/>
      <c r="E7" s="2" t="s">
        <v>37</v>
      </c>
      <c r="F7" s="2">
        <v>-829.92161920281603</v>
      </c>
      <c r="G7" s="2">
        <v>-829.96171104307098</v>
      </c>
      <c r="H7" s="52"/>
      <c r="I7" s="13"/>
      <c r="J7" s="2"/>
      <c r="K7" s="2"/>
      <c r="L7" s="2"/>
      <c r="M7" s="2"/>
      <c r="N7" s="2"/>
      <c r="O7" s="2"/>
    </row>
    <row r="8" spans="1:15" x14ac:dyDescent="0.2">
      <c r="A8" s="29" t="s">
        <v>272</v>
      </c>
      <c r="B8" s="2" t="s">
        <v>41</v>
      </c>
      <c r="C8" s="2" t="s">
        <v>262</v>
      </c>
      <c r="D8" s="52"/>
      <c r="E8" s="29" t="s">
        <v>272</v>
      </c>
      <c r="F8" s="2" t="s">
        <v>41</v>
      </c>
      <c r="G8" s="2" t="s">
        <v>44</v>
      </c>
      <c r="H8" s="52"/>
      <c r="I8" s="13"/>
      <c r="J8" s="2"/>
      <c r="K8" s="2"/>
      <c r="L8" s="2"/>
      <c r="M8" s="2"/>
      <c r="N8" s="2"/>
      <c r="O8" s="2"/>
    </row>
    <row r="9" spans="1:15" x14ac:dyDescent="0.2">
      <c r="A9" s="2" t="s">
        <v>36</v>
      </c>
      <c r="B9" s="2">
        <v>-676.95584454890104</v>
      </c>
      <c r="C9" s="2">
        <v>-677.42390529720899</v>
      </c>
      <c r="D9" s="52"/>
      <c r="E9" s="2" t="s">
        <v>36</v>
      </c>
      <c r="F9" s="2">
        <v>-676.95584454890104</v>
      </c>
      <c r="G9" s="2">
        <v>-677.41775079341198</v>
      </c>
      <c r="H9" s="52"/>
      <c r="I9" s="13"/>
      <c r="J9" s="2"/>
      <c r="K9" s="2"/>
      <c r="L9" s="2"/>
      <c r="M9" s="2"/>
      <c r="N9" s="2"/>
      <c r="O9" s="2"/>
    </row>
    <row r="10" spans="1:15" x14ac:dyDescent="0.2">
      <c r="A10" s="52"/>
      <c r="B10" s="52"/>
      <c r="C10" s="52"/>
      <c r="D10" s="52"/>
      <c r="E10" s="2" t="s">
        <v>37</v>
      </c>
      <c r="F10" s="2">
        <v>-830.29139159990802</v>
      </c>
      <c r="G10" s="2">
        <v>-830.33992989399303</v>
      </c>
      <c r="H10" s="52"/>
      <c r="I10" s="13"/>
      <c r="J10" s="2"/>
      <c r="K10" s="2"/>
      <c r="L10" s="2"/>
      <c r="M10" s="2"/>
      <c r="N10" s="2"/>
      <c r="O10" s="2"/>
    </row>
    <row r="11" spans="1:15" x14ac:dyDescent="0.2">
      <c r="A11" s="52"/>
      <c r="B11" s="52"/>
      <c r="C11" s="52"/>
      <c r="D11" s="52"/>
      <c r="E11" s="52"/>
      <c r="F11" s="52"/>
      <c r="G11" s="52"/>
      <c r="H11" s="52"/>
      <c r="I11" s="13"/>
      <c r="J11" s="2"/>
      <c r="K11" s="2"/>
      <c r="L11" s="2"/>
      <c r="M11" s="2"/>
      <c r="N11" s="2"/>
      <c r="O11" s="2"/>
    </row>
    <row r="12" spans="1:15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x14ac:dyDescent="0.2">
      <c r="A13" s="2" t="s">
        <v>50</v>
      </c>
      <c r="B13" s="2" t="s">
        <v>48</v>
      </c>
      <c r="C13" s="2" t="s">
        <v>49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x14ac:dyDescent="0.2">
      <c r="A14" s="2" t="s">
        <v>64</v>
      </c>
      <c r="B14" s="2">
        <f>-(6.02214076*10^23*2^2*(1.602176634*10^(-19))^2)*(1-1/46.515)/(8*PI()*8.8541878128*10^(-12)*1*10^(-10))</f>
        <v>-2718971.2370994515</v>
      </c>
      <c r="C14" s="2">
        <f>B14/(4.184*1000)</f>
        <v>-649.84972206009832</v>
      </c>
      <c r="D14" s="2"/>
      <c r="E14" s="2" t="s">
        <v>259</v>
      </c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x14ac:dyDescent="0.2">
      <c r="A16" s="2"/>
      <c r="B16" s="2"/>
      <c r="C16" s="2"/>
      <c r="D16" s="2"/>
      <c r="E16" s="2" t="s">
        <v>53</v>
      </c>
      <c r="F16" s="2"/>
      <c r="G16" s="29">
        <v>3.0187889499999998E-3</v>
      </c>
      <c r="H16" s="2" t="s">
        <v>31</v>
      </c>
      <c r="I16" s="111" t="s">
        <v>32</v>
      </c>
      <c r="J16" s="2"/>
      <c r="K16" s="2"/>
      <c r="L16" s="2"/>
      <c r="M16" s="2"/>
      <c r="N16" s="2"/>
      <c r="O16" s="2"/>
    </row>
    <row r="17" spans="1:15" x14ac:dyDescent="0.2">
      <c r="A17" s="2" t="s">
        <v>51</v>
      </c>
      <c r="B17" s="2" t="s">
        <v>48</v>
      </c>
      <c r="C17" s="2" t="s">
        <v>49</v>
      </c>
      <c r="D17" s="2"/>
      <c r="E17" s="2"/>
      <c r="F17" s="2"/>
      <c r="G17" s="29"/>
      <c r="H17" s="2"/>
      <c r="I17" s="111"/>
      <c r="J17" s="2"/>
      <c r="K17" s="2"/>
      <c r="L17" s="2"/>
      <c r="M17" s="2"/>
      <c r="N17" s="2"/>
      <c r="O17" s="2"/>
    </row>
    <row r="18" spans="1:15" x14ac:dyDescent="0.2">
      <c r="A18" s="2" t="s">
        <v>64</v>
      </c>
      <c r="B18" s="2">
        <f>-(6.02214076*10^23*2^2*(1.602176634*10^(-19))^2)*(1-1/78.304)/(8*PI()*8.8541878128*10^(-12)*1.06*10^(-10))</f>
        <v>-2587946.2091002148</v>
      </c>
      <c r="C18" s="2">
        <f>B18/(4.184*1000)</f>
        <v>-618.53398879068232</v>
      </c>
      <c r="D18" s="2" t="s">
        <v>59</v>
      </c>
      <c r="E18" s="2" t="s">
        <v>60</v>
      </c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x14ac:dyDescent="0.2">
      <c r="A19" s="2" t="s">
        <v>64</v>
      </c>
      <c r="B19" s="2">
        <f>-(6.02214076*10^23*2^2*(1.602176634*10^(-19))^2)*(1-1/78.304)/(8*PI()*8.8541878128*10^(-12)*1*10^(-10))</f>
        <v>-2743222.9816462277</v>
      </c>
      <c r="C19" s="2">
        <f>B19/(4.184*1000)</f>
        <v>-655.64602811812324</v>
      </c>
      <c r="D19" s="2" t="s">
        <v>52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x14ac:dyDescent="0.2">
      <c r="A20" s="2"/>
      <c r="B20" s="2"/>
      <c r="C20" s="2"/>
      <c r="D20" s="25" t="e">
        <f>SQRT(((D16-B16)^2+(D17-B17)^2+(D18-B18)^2+(D19-B19)^2)/4)</f>
        <v>#VALUE!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5" x14ac:dyDescent="0.2">
      <c r="A21" s="2"/>
      <c r="B21" s="44" t="s">
        <v>39</v>
      </c>
      <c r="C21" s="44" t="s">
        <v>39</v>
      </c>
      <c r="D21" s="2"/>
      <c r="E21" s="44" t="s">
        <v>62</v>
      </c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x14ac:dyDescent="0.2">
      <c r="A22" s="29" t="s">
        <v>61</v>
      </c>
      <c r="B22" s="2" t="s">
        <v>41</v>
      </c>
      <c r="C22" s="2" t="s">
        <v>260</v>
      </c>
      <c r="D22" s="2" t="s">
        <v>15</v>
      </c>
      <c r="E22" s="44" t="s">
        <v>63</v>
      </c>
      <c r="F22" s="110"/>
      <c r="G22" s="110"/>
      <c r="H22" s="13"/>
      <c r="I22" s="2"/>
      <c r="J22" s="2"/>
      <c r="K22" s="2"/>
      <c r="L22" s="2"/>
      <c r="M22" s="2"/>
      <c r="N22" s="2"/>
      <c r="O22" s="2"/>
    </row>
    <row r="23" spans="1:15" x14ac:dyDescent="0.2">
      <c r="A23" s="2" t="s">
        <v>36</v>
      </c>
      <c r="B23" s="52"/>
      <c r="C23" s="52"/>
      <c r="D23" s="52"/>
      <c r="E23" s="2">
        <f xml:space="preserve"> -676.71938895 + 0.00141627 + 0.00094421 - 0.01757636</f>
        <v>-676.73460483000008</v>
      </c>
      <c r="F23" s="13"/>
      <c r="G23" s="13"/>
      <c r="H23" s="13"/>
      <c r="I23" s="2"/>
      <c r="J23" s="2"/>
      <c r="K23" s="2"/>
      <c r="L23" s="2"/>
      <c r="M23" s="2"/>
      <c r="N23" s="2"/>
      <c r="O23" s="2"/>
    </row>
    <row r="24" spans="1:15" x14ac:dyDescent="0.2">
      <c r="A24" s="2" t="s">
        <v>66</v>
      </c>
      <c r="B24" s="2">
        <v>-1212.06322039922</v>
      </c>
      <c r="C24" s="2">
        <v>-1212.3561162931601</v>
      </c>
      <c r="D24" s="2">
        <f>C24-B24</f>
        <v>-0.29289589394011273</v>
      </c>
      <c r="E24" s="2">
        <v>-1211.6672690800001</v>
      </c>
      <c r="F24" s="13"/>
      <c r="G24" s="13"/>
      <c r="H24" s="13"/>
      <c r="I24" s="2"/>
      <c r="J24" s="2"/>
      <c r="K24" s="2"/>
      <c r="L24" s="2"/>
      <c r="M24" s="2"/>
      <c r="N24" s="2"/>
      <c r="O24" s="2"/>
    </row>
    <row r="25" spans="1:15" x14ac:dyDescent="0.2">
      <c r="A25" s="2" t="s">
        <v>4</v>
      </c>
      <c r="B25" s="52"/>
      <c r="C25" s="52"/>
      <c r="D25" s="52"/>
      <c r="E25" s="2">
        <v>-76.372134439999996</v>
      </c>
      <c r="F25" s="13"/>
      <c r="G25" s="13"/>
      <c r="H25" s="13"/>
      <c r="I25" s="2"/>
      <c r="J25" s="2"/>
      <c r="K25" s="2"/>
      <c r="L25" s="2"/>
      <c r="M25" s="2"/>
      <c r="N25" s="2"/>
      <c r="O25" s="2"/>
    </row>
    <row r="26" spans="1:15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x14ac:dyDescent="0.2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2"/>
      <c r="O28" s="2"/>
    </row>
    <row r="29" spans="1:15" x14ac:dyDescent="0.2">
      <c r="A29" s="29" t="s">
        <v>55</v>
      </c>
      <c r="B29" s="2" t="s">
        <v>35</v>
      </c>
      <c r="C29" s="2" t="s">
        <v>67</v>
      </c>
      <c r="D29" s="2" t="s">
        <v>89</v>
      </c>
      <c r="E29" s="2" t="s">
        <v>90</v>
      </c>
      <c r="F29" s="2" t="s">
        <v>123</v>
      </c>
      <c r="G29" s="52"/>
      <c r="H29" s="52"/>
      <c r="I29" s="29" t="s">
        <v>56</v>
      </c>
      <c r="J29" s="2" t="s">
        <v>35</v>
      </c>
      <c r="K29" s="2" t="s">
        <v>36</v>
      </c>
      <c r="L29" s="2" t="s">
        <v>37</v>
      </c>
      <c r="M29" s="52"/>
      <c r="N29" s="2"/>
      <c r="O29" s="2"/>
    </row>
    <row r="30" spans="1:15" x14ac:dyDescent="0.2">
      <c r="A30" s="52"/>
      <c r="B30" s="2" t="s">
        <v>38</v>
      </c>
      <c r="C30" s="47">
        <f>(C3-B3)*627.509474</f>
        <v>-283.79068570129039</v>
      </c>
      <c r="D30" s="47">
        <f>C30-C37</f>
        <v>75.912947185898872</v>
      </c>
      <c r="E30" s="47">
        <f>C30-C38</f>
        <v>97.009314298709626</v>
      </c>
      <c r="F30" s="47">
        <f>C30-C39</f>
        <v>102.44258389717999</v>
      </c>
      <c r="G30" s="54"/>
      <c r="H30" s="52"/>
      <c r="I30" s="52"/>
      <c r="J30" s="2" t="s">
        <v>38</v>
      </c>
      <c r="K30" s="47">
        <f>(G3-F3)*627.509474</f>
        <v>-279.32491390714534</v>
      </c>
      <c r="L30" s="47">
        <f>(G4-F4)*627.509474</f>
        <v>-19.09274607640452</v>
      </c>
      <c r="M30" s="52"/>
      <c r="N30" s="2"/>
      <c r="O30" s="2"/>
    </row>
    <row r="31" spans="1:15" x14ac:dyDescent="0.2">
      <c r="A31" s="52"/>
      <c r="B31" s="2" t="s">
        <v>45</v>
      </c>
      <c r="C31" s="47">
        <f>(C6-B6)*627.509474</f>
        <v>-294.99260015524408</v>
      </c>
      <c r="D31" s="47">
        <f>C31-C37</f>
        <v>64.711032731945181</v>
      </c>
      <c r="E31" s="47">
        <f>C31-C38</f>
        <v>85.807399844755935</v>
      </c>
      <c r="F31" s="47">
        <f>C31-C39</f>
        <v>91.240669443226295</v>
      </c>
      <c r="G31" s="54"/>
      <c r="H31" s="52"/>
      <c r="I31" s="52"/>
      <c r="J31" s="2" t="s">
        <v>45</v>
      </c>
      <c r="K31" s="47">
        <f>(G6-F6)*627.509474</f>
        <v>-292.37931184980044</v>
      </c>
      <c r="L31" s="47">
        <f>(G7-F7)*627.509474</f>
        <v>-25.158009590072595</v>
      </c>
      <c r="M31" s="52"/>
      <c r="N31" s="2"/>
      <c r="O31" s="2"/>
    </row>
    <row r="32" spans="1:15" x14ac:dyDescent="0.2">
      <c r="A32" s="52"/>
      <c r="B32" s="2" t="s">
        <v>46</v>
      </c>
      <c r="C32" s="47">
        <f>(C9-B9)*627.509474</f>
        <v>-293.71255397076709</v>
      </c>
      <c r="D32" s="47">
        <f>C32-C37</f>
        <v>65.991078916422168</v>
      </c>
      <c r="E32" s="47">
        <f>C32-C38</f>
        <v>87.087446029232922</v>
      </c>
      <c r="F32" s="47">
        <f>C32-C39</f>
        <v>92.520715627703282</v>
      </c>
      <c r="G32" s="54"/>
      <c r="H32" s="52"/>
      <c r="I32" s="52"/>
      <c r="J32" s="2" t="s">
        <v>46</v>
      </c>
      <c r="K32" s="47">
        <f>(G9-F9)*627.509474</f>
        <v>-289.85054453037662</v>
      </c>
      <c r="L32" s="53">
        <f>(G10-F10)*627.509474</f>
        <v>-30.458239390139344</v>
      </c>
      <c r="M32" s="52"/>
      <c r="N32" s="2"/>
      <c r="O32" s="2"/>
    </row>
    <row r="33" spans="1:15" x14ac:dyDescent="0.2">
      <c r="A33" s="52"/>
      <c r="B33" s="2" t="s">
        <v>65</v>
      </c>
      <c r="C33" s="47">
        <f>(E24-(E23+7*E25)+D24+G16)*627.509474</f>
        <v>-387.55002370123776</v>
      </c>
      <c r="D33" s="47">
        <f>C33-C37</f>
        <v>-27.846390814048505</v>
      </c>
      <c r="E33" s="47">
        <f>C33-C38</f>
        <v>-6.7500237012377511</v>
      </c>
      <c r="F33" s="47">
        <f>C33-C39</f>
        <v>-1.3167541027673906</v>
      </c>
      <c r="G33" s="52"/>
      <c r="H33" s="52"/>
      <c r="I33" s="52"/>
      <c r="J33" s="2" t="s">
        <v>47</v>
      </c>
      <c r="K33" s="47">
        <f>C14</f>
        <v>-649.84972206009832</v>
      </c>
      <c r="L33" s="54"/>
      <c r="M33" s="52"/>
      <c r="N33" s="2"/>
      <c r="O33" s="2"/>
    </row>
    <row r="34" spans="1:15" x14ac:dyDescent="0.2">
      <c r="A34" s="52"/>
      <c r="B34" s="2" t="s">
        <v>47</v>
      </c>
      <c r="C34" s="47">
        <f>C18</f>
        <v>-618.53398879068232</v>
      </c>
      <c r="D34" s="47">
        <f>C34-C37</f>
        <v>-258.83035590349306</v>
      </c>
      <c r="E34" s="47">
        <f>C34-C38</f>
        <v>-237.7339887906823</v>
      </c>
      <c r="F34" s="47">
        <f>C34-C39</f>
        <v>-232.30071919221194</v>
      </c>
      <c r="G34" s="52"/>
      <c r="H34" s="52"/>
      <c r="I34" s="52"/>
      <c r="J34" s="52"/>
      <c r="K34" s="54"/>
      <c r="L34" s="54"/>
      <c r="M34" s="52"/>
      <c r="N34" s="2"/>
      <c r="O34" s="2"/>
    </row>
    <row r="35" spans="1:15" x14ac:dyDescent="0.2">
      <c r="A35" s="52"/>
      <c r="B35" s="52"/>
      <c r="C35" s="54"/>
      <c r="D35" s="54"/>
      <c r="E35" s="54"/>
      <c r="F35" s="54"/>
      <c r="G35" s="54"/>
      <c r="H35" s="52"/>
      <c r="I35" s="52"/>
      <c r="J35" s="52"/>
      <c r="K35" s="52"/>
      <c r="L35" s="52"/>
      <c r="M35" s="52"/>
      <c r="N35" s="2"/>
      <c r="O35" s="2"/>
    </row>
    <row r="36" spans="1:15" x14ac:dyDescent="0.2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2"/>
      <c r="O36" s="2"/>
    </row>
    <row r="37" spans="1:15" x14ac:dyDescent="0.2">
      <c r="A37" s="2" t="s">
        <v>87</v>
      </c>
      <c r="B37" s="2">
        <v>-1505</v>
      </c>
      <c r="C37" s="47">
        <f>B37/4.184</f>
        <v>-359.70363288718926</v>
      </c>
      <c r="D37" s="112" t="s">
        <v>57</v>
      </c>
      <c r="E37" s="13"/>
      <c r="F37" s="13"/>
      <c r="G37" s="13"/>
      <c r="H37" s="13"/>
      <c r="I37" s="13"/>
      <c r="J37" s="13"/>
      <c r="K37" s="2"/>
      <c r="L37" s="2"/>
      <c r="M37" s="2"/>
      <c r="N37" s="2"/>
      <c r="O37" s="2"/>
    </row>
    <row r="38" spans="1:15" x14ac:dyDescent="0.2">
      <c r="A38" s="2" t="s">
        <v>88</v>
      </c>
      <c r="B38" s="55">
        <f>C38*4.184</f>
        <v>-1593.2672</v>
      </c>
      <c r="C38" s="2">
        <v>-380.8</v>
      </c>
      <c r="D38" s="112" t="s">
        <v>86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x14ac:dyDescent="0.2">
      <c r="A39" s="113" t="s">
        <v>121</v>
      </c>
      <c r="B39" s="113">
        <v>-1616</v>
      </c>
      <c r="C39" s="114">
        <f>B39/4.184</f>
        <v>-386.23326959847037</v>
      </c>
      <c r="D39" s="115" t="s">
        <v>122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x14ac:dyDescent="0.2">
      <c r="A40" s="2"/>
      <c r="B40" s="2" t="s">
        <v>85</v>
      </c>
      <c r="C40" s="2" t="s">
        <v>58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056EB-CD08-9D4F-9604-60BA4AB5515D}">
  <dimension ref="A1:G61"/>
  <sheetViews>
    <sheetView zoomScale="115" zoomScaleNormal="115" workbookViewId="0">
      <selection activeCell="P44" sqref="P44"/>
    </sheetView>
  </sheetViews>
  <sheetFormatPr baseColWidth="10" defaultColWidth="10.83203125" defaultRowHeight="15" x14ac:dyDescent="0.2"/>
  <cols>
    <col min="1" max="1" width="17.33203125" customWidth="1"/>
    <col min="2" max="2" width="23.83203125" customWidth="1"/>
    <col min="3" max="3" width="19.1640625" customWidth="1"/>
    <col min="4" max="4" width="17.1640625" customWidth="1"/>
    <col min="5" max="5" width="14.33203125" customWidth="1"/>
    <col min="6" max="6" width="14.5" customWidth="1"/>
    <col min="7" max="7" width="11.83203125" customWidth="1"/>
    <col min="8" max="8" width="8.5" customWidth="1"/>
  </cols>
  <sheetData>
    <row r="1" spans="1:7" x14ac:dyDescent="0.2">
      <c r="A1" s="2"/>
      <c r="B1" s="44" t="s">
        <v>39</v>
      </c>
      <c r="C1" s="44" t="s">
        <v>39</v>
      </c>
      <c r="D1" s="44"/>
      <c r="E1" s="2" t="s">
        <v>82</v>
      </c>
      <c r="F1" s="2"/>
      <c r="G1" s="2"/>
    </row>
    <row r="2" spans="1:7" x14ac:dyDescent="0.2">
      <c r="A2" s="56" t="s">
        <v>269</v>
      </c>
      <c r="B2" s="2" t="s">
        <v>41</v>
      </c>
      <c r="C2" s="2" t="s">
        <v>42</v>
      </c>
      <c r="D2" s="2" t="s">
        <v>91</v>
      </c>
      <c r="E2" s="44" t="s">
        <v>63</v>
      </c>
      <c r="F2" s="2" t="s">
        <v>92</v>
      </c>
      <c r="G2" s="29" t="s">
        <v>119</v>
      </c>
    </row>
    <row r="3" spans="1:7" x14ac:dyDescent="0.2">
      <c r="A3" s="29" t="s">
        <v>102</v>
      </c>
      <c r="B3" s="2">
        <v>-2966.10060293073</v>
      </c>
      <c r="C3" s="33">
        <v>-2966.14607797688</v>
      </c>
      <c r="D3" s="33">
        <f>C3-B3</f>
        <v>-4.5475046149931586E-2</v>
      </c>
      <c r="E3" s="33">
        <v>-2965.8428658100001</v>
      </c>
      <c r="F3" s="33">
        <f>E3+D3</f>
        <v>-2965.8883408561501</v>
      </c>
      <c r="G3" s="55">
        <v>1</v>
      </c>
    </row>
    <row r="4" spans="1:7" x14ac:dyDescent="0.2">
      <c r="A4" s="2" t="s">
        <v>77</v>
      </c>
      <c r="B4" s="2">
        <v>-2966.09346744406</v>
      </c>
      <c r="C4" s="33">
        <v>-2966.1372352051399</v>
      </c>
      <c r="D4" s="33">
        <f t="shared" ref="D4:D31" si="0">C4-B4</f>
        <v>-4.37677610798346E-2</v>
      </c>
      <c r="E4" s="33">
        <v>-2965.8392398999999</v>
      </c>
      <c r="F4" s="33">
        <f t="shared" ref="F4:F31" si="1">E4+D4</f>
        <v>-2965.8830076610798</v>
      </c>
      <c r="G4" s="55">
        <v>2</v>
      </c>
    </row>
    <row r="5" spans="1:7" x14ac:dyDescent="0.2">
      <c r="A5" s="2" t="s">
        <v>78</v>
      </c>
      <c r="B5" s="2">
        <v>-2966.0867039251002</v>
      </c>
      <c r="C5" s="33">
        <v>-2966.1262799877099</v>
      </c>
      <c r="D5" s="33">
        <f t="shared" si="0"/>
        <v>-3.9576062609739893E-2</v>
      </c>
      <c r="E5" s="33">
        <v>-2965.8333190899998</v>
      </c>
      <c r="F5" s="33">
        <f t="shared" si="1"/>
        <v>-2965.8728951526095</v>
      </c>
      <c r="G5" s="55">
        <v>3</v>
      </c>
    </row>
    <row r="6" spans="1:7" x14ac:dyDescent="0.2">
      <c r="A6" s="2" t="s">
        <v>79</v>
      </c>
      <c r="B6" s="2">
        <v>-2966.0872262344201</v>
      </c>
      <c r="C6" s="33">
        <v>-2966.1271340452099</v>
      </c>
      <c r="D6" s="33">
        <f t="shared" si="0"/>
        <v>-3.9907810789827636E-2</v>
      </c>
      <c r="E6" s="33">
        <v>-2965.8350842499999</v>
      </c>
      <c r="F6" s="33">
        <f t="shared" si="1"/>
        <v>-2965.8749920607897</v>
      </c>
      <c r="G6" s="55">
        <v>4</v>
      </c>
    </row>
    <row r="7" spans="1:7" x14ac:dyDescent="0.2">
      <c r="A7" s="2" t="s">
        <v>94</v>
      </c>
      <c r="B7" s="2">
        <v>-2966.1392635247398</v>
      </c>
      <c r="C7" s="33">
        <v>-2966.1674524126402</v>
      </c>
      <c r="D7" s="33">
        <f t="shared" si="0"/>
        <v>-2.8188887900341797E-2</v>
      </c>
      <c r="E7" s="33">
        <v>-2965.88059595</v>
      </c>
      <c r="F7" s="33">
        <f t="shared" si="1"/>
        <v>-2965.9087848379004</v>
      </c>
      <c r="G7" s="55">
        <v>5</v>
      </c>
    </row>
    <row r="8" spans="1:7" x14ac:dyDescent="0.2">
      <c r="A8" s="2" t="s">
        <v>95</v>
      </c>
      <c r="B8" s="2">
        <v>-2966.1471378923702</v>
      </c>
      <c r="C8" s="33">
        <v>-2966.1769914241299</v>
      </c>
      <c r="D8" s="33">
        <f t="shared" si="0"/>
        <v>-2.9853531759727048E-2</v>
      </c>
      <c r="E8" s="33">
        <v>-2965.8813404799998</v>
      </c>
      <c r="F8" s="33">
        <f t="shared" si="1"/>
        <v>-2965.9111940117596</v>
      </c>
      <c r="G8" s="55">
        <v>6</v>
      </c>
    </row>
    <row r="9" spans="1:7" x14ac:dyDescent="0.2">
      <c r="A9" s="2" t="s">
        <v>96</v>
      </c>
      <c r="B9" s="2">
        <v>-2966.1360824319199</v>
      </c>
      <c r="C9" s="33">
        <v>-2966.1650641976998</v>
      </c>
      <c r="D9" s="33">
        <f t="shared" si="0"/>
        <v>-2.8981765779917623E-2</v>
      </c>
      <c r="E9" s="33">
        <v>-2965.87790455</v>
      </c>
      <c r="F9" s="33">
        <f t="shared" si="1"/>
        <v>-2965.90688631578</v>
      </c>
      <c r="G9" s="55">
        <v>7</v>
      </c>
    </row>
    <row r="10" spans="1:7" x14ac:dyDescent="0.2">
      <c r="A10" s="18"/>
      <c r="C10" s="3"/>
      <c r="D10" s="3"/>
      <c r="E10" s="3"/>
      <c r="F10" s="3"/>
      <c r="G10" s="28"/>
    </row>
    <row r="11" spans="1:7" x14ac:dyDescent="0.2">
      <c r="A11" s="18"/>
      <c r="C11" s="3"/>
      <c r="D11" s="3"/>
      <c r="E11" s="3"/>
      <c r="F11" s="3"/>
      <c r="G11" s="28"/>
    </row>
    <row r="12" spans="1:7" x14ac:dyDescent="0.2">
      <c r="A12" s="18"/>
      <c r="C12" s="3"/>
      <c r="D12" s="3"/>
      <c r="E12" s="3"/>
      <c r="F12" s="3"/>
      <c r="G12" s="28"/>
    </row>
    <row r="13" spans="1:7" x14ac:dyDescent="0.2">
      <c r="B13" s="33"/>
      <c r="C13" s="33"/>
      <c r="D13" s="33"/>
      <c r="E13" s="33"/>
      <c r="F13" s="33"/>
      <c r="G13" s="28"/>
    </row>
    <row r="14" spans="1:7" x14ac:dyDescent="0.2">
      <c r="A14" s="17" t="s">
        <v>103</v>
      </c>
      <c r="B14" s="2">
        <v>-3519.2057356922301</v>
      </c>
      <c r="C14" s="33">
        <v>-3519.2525170507101</v>
      </c>
      <c r="D14" s="33">
        <f t="shared" si="0"/>
        <v>-4.6781358480075141E-2</v>
      </c>
      <c r="E14" s="33">
        <v>-3518.87062909</v>
      </c>
      <c r="F14" s="33">
        <f t="shared" si="1"/>
        <v>-3518.91741044848</v>
      </c>
      <c r="G14" s="55">
        <v>8</v>
      </c>
    </row>
    <row r="15" spans="1:7" x14ac:dyDescent="0.2">
      <c r="A15" s="18" t="s">
        <v>80</v>
      </c>
      <c r="B15" s="33">
        <v>-3519.1739716789798</v>
      </c>
      <c r="C15" s="33">
        <v>-3519.2252578570301</v>
      </c>
      <c r="D15" s="33">
        <f t="shared" si="0"/>
        <v>-5.1286178050304443E-2</v>
      </c>
      <c r="E15" s="33">
        <v>-3518.84793244</v>
      </c>
      <c r="F15" s="33">
        <f t="shared" si="1"/>
        <v>-3518.8992186180503</v>
      </c>
      <c r="G15" s="55">
        <v>9</v>
      </c>
    </row>
    <row r="16" spans="1:7" x14ac:dyDescent="0.2">
      <c r="A16" s="18" t="s">
        <v>81</v>
      </c>
      <c r="B16" s="33">
        <v>-3519.1808182360501</v>
      </c>
      <c r="C16" s="33">
        <v>-3519.23105068423</v>
      </c>
      <c r="D16" s="33">
        <f t="shared" si="0"/>
        <v>-5.0232448179940548E-2</v>
      </c>
      <c r="E16" s="33">
        <v>-3518.8491070700002</v>
      </c>
      <c r="F16" s="33">
        <f t="shared" si="1"/>
        <v>-3518.8993395181801</v>
      </c>
      <c r="G16" s="55">
        <v>10</v>
      </c>
    </row>
    <row r="17" spans="1:7" x14ac:dyDescent="0.2">
      <c r="A17" s="18" t="s">
        <v>97</v>
      </c>
      <c r="B17" s="33">
        <v>-3519.2228852029798</v>
      </c>
      <c r="C17" s="33">
        <v>-3519.2588324845201</v>
      </c>
      <c r="D17" s="33">
        <f t="shared" si="0"/>
        <v>-3.5947281540302356E-2</v>
      </c>
      <c r="E17" s="33">
        <v>-3518.8805366900001</v>
      </c>
      <c r="F17" s="33">
        <f t="shared" si="1"/>
        <v>-3518.9164839715404</v>
      </c>
      <c r="G17" s="55">
        <v>11</v>
      </c>
    </row>
    <row r="18" spans="1:7" x14ac:dyDescent="0.2">
      <c r="A18" s="18" t="s">
        <v>98</v>
      </c>
      <c r="B18" s="33">
        <v>-3519.2074452403899</v>
      </c>
      <c r="C18" s="33">
        <v>-3519.2467900840302</v>
      </c>
      <c r="D18" s="33">
        <f t="shared" si="0"/>
        <v>-3.9344843640265026E-2</v>
      </c>
      <c r="E18" s="33">
        <v>-3518.8766076699999</v>
      </c>
      <c r="F18" s="33">
        <f t="shared" si="1"/>
        <v>-3518.9159525136401</v>
      </c>
      <c r="G18" s="55">
        <v>12</v>
      </c>
    </row>
    <row r="19" spans="1:7" x14ac:dyDescent="0.2">
      <c r="A19" s="18"/>
      <c r="B19" s="33"/>
      <c r="C19" s="33"/>
      <c r="D19" s="33"/>
      <c r="E19" s="33"/>
      <c r="F19" s="33"/>
      <c r="G19" s="28"/>
    </row>
    <row r="20" spans="1:7" x14ac:dyDescent="0.2">
      <c r="A20" s="18"/>
      <c r="B20" s="3"/>
      <c r="C20" s="3"/>
      <c r="D20" s="3"/>
      <c r="E20" s="3"/>
      <c r="F20" s="3"/>
      <c r="G20" s="28"/>
    </row>
    <row r="21" spans="1:7" x14ac:dyDescent="0.2">
      <c r="A21" s="18"/>
      <c r="B21" s="3"/>
      <c r="C21" s="3"/>
      <c r="D21" s="3"/>
      <c r="E21" s="3"/>
      <c r="F21" s="3"/>
      <c r="G21" s="28"/>
    </row>
    <row r="22" spans="1:7" x14ac:dyDescent="0.2">
      <c r="A22" s="18"/>
      <c r="B22" s="3"/>
      <c r="C22" s="3"/>
      <c r="D22" s="3"/>
      <c r="E22" s="3"/>
      <c r="F22" s="3"/>
      <c r="G22" s="28"/>
    </row>
    <row r="23" spans="1:7" x14ac:dyDescent="0.2">
      <c r="A23" s="18"/>
      <c r="B23" s="3"/>
      <c r="C23" s="3"/>
      <c r="D23" s="3"/>
      <c r="E23" s="3"/>
      <c r="F23" s="3"/>
      <c r="G23" s="28"/>
    </row>
    <row r="24" spans="1:7" x14ac:dyDescent="0.2">
      <c r="D24" s="3"/>
      <c r="F24" s="3"/>
      <c r="G24" s="28"/>
    </row>
    <row r="25" spans="1:7" x14ac:dyDescent="0.2">
      <c r="D25" s="3"/>
      <c r="F25" s="3"/>
      <c r="G25" s="28"/>
    </row>
    <row r="26" spans="1:7" x14ac:dyDescent="0.2">
      <c r="A26" s="56" t="s">
        <v>270</v>
      </c>
      <c r="B26" s="2"/>
      <c r="C26" s="2"/>
      <c r="D26" s="33"/>
      <c r="E26" s="2"/>
      <c r="F26" s="33"/>
      <c r="G26" s="55"/>
    </row>
    <row r="27" spans="1:7" x14ac:dyDescent="0.2">
      <c r="A27" s="29" t="s">
        <v>104</v>
      </c>
      <c r="B27" s="2">
        <v>-3042.5829192864198</v>
      </c>
      <c r="C27" s="2">
        <v>-3042.6181730571898</v>
      </c>
      <c r="D27" s="33">
        <f t="shared" si="0"/>
        <v>-3.5253770769941184E-2</v>
      </c>
      <c r="E27" s="2">
        <v>-3042.3000061799999</v>
      </c>
      <c r="F27" s="33">
        <f t="shared" si="1"/>
        <v>-3042.3352599507698</v>
      </c>
      <c r="G27" s="55">
        <v>13</v>
      </c>
    </row>
    <row r="28" spans="1:7" x14ac:dyDescent="0.2">
      <c r="A28" s="2" t="s">
        <v>83</v>
      </c>
      <c r="B28" s="2">
        <v>-3042.5479042362399</v>
      </c>
      <c r="C28" s="2">
        <v>-3042.5759190560502</v>
      </c>
      <c r="D28" s="33">
        <f t="shared" si="0"/>
        <v>-2.8014819810323388E-2</v>
      </c>
      <c r="E28" s="2">
        <v>-3042.27433311</v>
      </c>
      <c r="F28" s="33">
        <f t="shared" si="1"/>
        <v>-3042.3023479298104</v>
      </c>
      <c r="G28" s="55">
        <v>14</v>
      </c>
    </row>
    <row r="29" spans="1:7" x14ac:dyDescent="0.2">
      <c r="A29" s="2" t="s">
        <v>84</v>
      </c>
      <c r="B29" s="2">
        <v>-3042.5463439353498</v>
      </c>
      <c r="C29" s="2">
        <v>-3042.5731273157699</v>
      </c>
      <c r="D29" s="33">
        <f t="shared" si="0"/>
        <v>-2.6783380420056346E-2</v>
      </c>
      <c r="E29" s="2">
        <v>-3042.2742360100001</v>
      </c>
      <c r="F29" s="33">
        <f t="shared" si="1"/>
        <v>-3042.3010193904202</v>
      </c>
      <c r="G29" s="55">
        <v>15</v>
      </c>
    </row>
    <row r="30" spans="1:7" x14ac:dyDescent="0.2">
      <c r="A30" s="2" t="s">
        <v>99</v>
      </c>
      <c r="B30" s="2">
        <v>-3042.55634186007</v>
      </c>
      <c r="C30" s="2">
        <v>-3042.58253778382</v>
      </c>
      <c r="D30" s="33">
        <f t="shared" si="0"/>
        <v>-2.6195923750037764E-2</v>
      </c>
      <c r="E30" s="2">
        <v>-3042.28085018</v>
      </c>
      <c r="F30" s="33">
        <f t="shared" si="1"/>
        <v>-3042.3070461037501</v>
      </c>
      <c r="G30" s="55">
        <v>16</v>
      </c>
    </row>
    <row r="31" spans="1:7" x14ac:dyDescent="0.2">
      <c r="A31" s="2" t="s">
        <v>100</v>
      </c>
      <c r="B31" s="2">
        <v>-3042.5524976308202</v>
      </c>
      <c r="C31" s="2">
        <v>-3042.57783176358</v>
      </c>
      <c r="D31" s="33">
        <f t="shared" si="0"/>
        <v>-2.5334132759780914E-2</v>
      </c>
      <c r="E31" s="2">
        <v>-3042.2776211</v>
      </c>
      <c r="F31" s="33">
        <f t="shared" si="1"/>
        <v>-3042.3029552327598</v>
      </c>
      <c r="G31" s="55">
        <v>17</v>
      </c>
    </row>
    <row r="33" spans="2:5" x14ac:dyDescent="0.2">
      <c r="B33" s="17" t="s">
        <v>93</v>
      </c>
      <c r="C33" s="17" t="s">
        <v>101</v>
      </c>
      <c r="D33" s="17" t="s">
        <v>19</v>
      </c>
      <c r="E33" s="124" t="s">
        <v>265</v>
      </c>
    </row>
    <row r="34" spans="2:5" x14ac:dyDescent="0.2">
      <c r="B34" s="16"/>
    </row>
    <row r="35" spans="2:5" x14ac:dyDescent="0.2">
      <c r="B35" s="18" t="s">
        <v>105</v>
      </c>
      <c r="C35" s="25">
        <f>D35*627.509474</f>
        <v>3.3466304333076309</v>
      </c>
      <c r="D35" s="3">
        <f>F4-F3</f>
        <v>5.3331950703068287E-3</v>
      </c>
    </row>
    <row r="36" spans="2:5" x14ac:dyDescent="0.2">
      <c r="B36" s="18" t="s">
        <v>106</v>
      </c>
      <c r="C36" s="25">
        <f t="shared" ref="C36:C53" si="2">D36*627.509474</f>
        <v>9.6923253042815318</v>
      </c>
      <c r="D36" s="3">
        <f>F5-F3</f>
        <v>1.544570354053576E-2</v>
      </c>
    </row>
    <row r="37" spans="2:5" x14ac:dyDescent="0.2">
      <c r="B37" s="18" t="s">
        <v>107</v>
      </c>
      <c r="C37" s="25">
        <f t="shared" si="2"/>
        <v>8.3764955551027906</v>
      </c>
      <c r="D37" s="3">
        <f>F6-F3</f>
        <v>1.3348795360343502E-2</v>
      </c>
    </row>
    <row r="38" spans="2:5" x14ac:dyDescent="0.2">
      <c r="B38" s="18"/>
      <c r="C38" s="25"/>
      <c r="D38" s="3"/>
    </row>
    <row r="39" spans="2:5" x14ac:dyDescent="0.2">
      <c r="B39" s="18" t="s">
        <v>108</v>
      </c>
      <c r="C39" s="25">
        <f t="shared" si="2"/>
        <v>-12.828792234599096</v>
      </c>
      <c r="D39" s="3">
        <f>F7-F3</f>
        <v>-2.0443981750304374E-2</v>
      </c>
    </row>
    <row r="40" spans="2:5" x14ac:dyDescent="0.2">
      <c r="B40" s="18" t="s">
        <v>109</v>
      </c>
      <c r="C40" s="25">
        <f t="shared" si="2"/>
        <v>-14.340571655746324</v>
      </c>
      <c r="D40" s="3">
        <f>F8-F3</f>
        <v>-2.2853155609482201E-2</v>
      </c>
    </row>
    <row r="41" spans="2:5" x14ac:dyDescent="0.2">
      <c r="B41" s="18" t="s">
        <v>110</v>
      </c>
      <c r="C41" s="25">
        <f t="shared" si="2"/>
        <v>-11.637451617432262</v>
      </c>
      <c r="D41" s="3">
        <f>F9-F3</f>
        <v>-1.8545459629876859E-2</v>
      </c>
    </row>
    <row r="42" spans="2:5" x14ac:dyDescent="0.2">
      <c r="B42" s="18"/>
      <c r="C42" s="25"/>
    </row>
    <row r="43" spans="2:5" x14ac:dyDescent="0.2">
      <c r="B43" s="18" t="s">
        <v>111</v>
      </c>
      <c r="C43" s="25">
        <f t="shared" si="2"/>
        <v>11.415545944047134</v>
      </c>
      <c r="D43" s="3">
        <f>F15-F14</f>
        <v>1.8191830429714173E-2</v>
      </c>
    </row>
    <row r="44" spans="2:5" x14ac:dyDescent="0.2">
      <c r="B44" s="18" t="s">
        <v>112</v>
      </c>
      <c r="C44" s="25">
        <f t="shared" si="2"/>
        <v>11.33967996719821</v>
      </c>
      <c r="D44" s="3">
        <f>F16-F14</f>
        <v>1.8070930299927568E-2</v>
      </c>
    </row>
    <row r="45" spans="2:5" x14ac:dyDescent="0.2">
      <c r="B45" s="18"/>
      <c r="C45" s="25"/>
    </row>
    <row r="46" spans="2:5" x14ac:dyDescent="0.2">
      <c r="B46" s="18" t="s">
        <v>113</v>
      </c>
      <c r="C46" s="25">
        <f t="shared" si="2"/>
        <v>0.58137305706633891</v>
      </c>
      <c r="D46" s="3">
        <f>F17-F14</f>
        <v>9.2647693963954225E-4</v>
      </c>
    </row>
    <row r="47" spans="2:5" x14ac:dyDescent="0.2">
      <c r="B47" s="18" t="s">
        <v>114</v>
      </c>
      <c r="C47" s="25">
        <f t="shared" si="2"/>
        <v>0.91486792450633525</v>
      </c>
      <c r="D47" s="3">
        <f>F18-F14</f>
        <v>1.4579348398910952E-3</v>
      </c>
    </row>
    <row r="48" spans="2:5" x14ac:dyDescent="0.2">
      <c r="B48" s="18"/>
      <c r="C48" s="25"/>
    </row>
    <row r="49" spans="2:5" x14ac:dyDescent="0.2">
      <c r="B49" s="18" t="s">
        <v>115</v>
      </c>
      <c r="C49" s="25">
        <f t="shared" si="2"/>
        <v>20.652604960528489</v>
      </c>
      <c r="D49" s="3">
        <f>F28-F27</f>
        <v>3.2912020959429356E-2</v>
      </c>
      <c r="E49" s="125">
        <v>-1068.77</v>
      </c>
    </row>
    <row r="50" spans="2:5" x14ac:dyDescent="0.2">
      <c r="B50" s="18" t="s">
        <v>116</v>
      </c>
      <c r="C50" s="25">
        <f t="shared" si="2"/>
        <v>21.486276014470683</v>
      </c>
      <c r="D50" s="3">
        <f>F29-F27</f>
        <v>3.4240560349644511E-2</v>
      </c>
      <c r="E50" s="125">
        <v>-855.44</v>
      </c>
    </row>
    <row r="51" spans="2:5" x14ac:dyDescent="0.2">
      <c r="B51" s="18"/>
      <c r="C51" s="25"/>
    </row>
    <row r="52" spans="2:5" x14ac:dyDescent="0.2">
      <c r="B52" s="18" t="s">
        <v>117</v>
      </c>
      <c r="C52" s="25">
        <f t="shared" si="2"/>
        <v>17.704456302875013</v>
      </c>
      <c r="D52" s="3">
        <f>F30-F27</f>
        <v>2.8213847019742389E-2</v>
      </c>
    </row>
    <row r="53" spans="2:5" x14ac:dyDescent="0.2">
      <c r="B53" s="18" t="s">
        <v>118</v>
      </c>
      <c r="C53" s="25">
        <f t="shared" si="2"/>
        <v>20.271516606162145</v>
      </c>
      <c r="D53" s="3">
        <f>F31-F27</f>
        <v>3.2304718009982025E-2</v>
      </c>
    </row>
    <row r="54" spans="2:5" x14ac:dyDescent="0.2">
      <c r="C54" s="25"/>
    </row>
    <row r="55" spans="2:5" x14ac:dyDescent="0.2">
      <c r="C55" s="25"/>
    </row>
    <row r="56" spans="2:5" x14ac:dyDescent="0.2">
      <c r="C56" s="25"/>
    </row>
    <row r="57" spans="2:5" x14ac:dyDescent="0.2">
      <c r="C57" s="25"/>
    </row>
    <row r="58" spans="2:5" x14ac:dyDescent="0.2">
      <c r="C58" s="25"/>
    </row>
    <row r="59" spans="2:5" x14ac:dyDescent="0.2">
      <c r="C59" s="25"/>
    </row>
    <row r="60" spans="2:5" x14ac:dyDescent="0.2">
      <c r="C60" s="25"/>
    </row>
    <row r="61" spans="2:5" x14ac:dyDescent="0.2">
      <c r="C61" s="2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FE9AC-D024-4E4A-A945-D6004F660DC8}">
  <dimension ref="A1:W79"/>
  <sheetViews>
    <sheetView topLeftCell="A12" zoomScale="125" zoomScaleNormal="125" workbookViewId="0">
      <selection activeCell="A5" sqref="A5"/>
    </sheetView>
  </sheetViews>
  <sheetFormatPr baseColWidth="10" defaultRowHeight="16" x14ac:dyDescent="0.2"/>
  <cols>
    <col min="1" max="1" width="31.33203125" style="81" customWidth="1"/>
    <col min="2" max="2" width="29.6640625" style="79" customWidth="1"/>
    <col min="3" max="3" width="26" style="79" customWidth="1"/>
    <col min="4" max="4" width="24.83203125" style="79" customWidth="1"/>
    <col min="5" max="5" width="24" style="79" customWidth="1"/>
    <col min="6" max="6" width="30.33203125" style="79" customWidth="1"/>
    <col min="7" max="8" width="15.83203125" style="79" customWidth="1"/>
    <col min="9" max="9" width="21.83203125" style="79" customWidth="1"/>
    <col min="10" max="10" width="10.83203125" style="79"/>
    <col min="11" max="11" width="26.5" style="80" customWidth="1"/>
    <col min="12" max="12" width="6.1640625" style="79" customWidth="1"/>
    <col min="13" max="13" width="19.5" style="79" customWidth="1"/>
    <col min="14" max="14" width="30.1640625" style="79" customWidth="1"/>
    <col min="15" max="15" width="18.83203125" style="79" customWidth="1"/>
    <col min="16" max="17" width="24.83203125" style="79" customWidth="1"/>
    <col min="18" max="18" width="30.1640625" style="79" customWidth="1"/>
    <col min="19" max="21" width="15.83203125" style="79" customWidth="1"/>
    <col min="22" max="22" width="10.83203125" style="79"/>
    <col min="23" max="23" width="21.5" style="80" customWidth="1"/>
    <col min="24" max="16384" width="10.83203125" style="79"/>
  </cols>
  <sheetData>
    <row r="1" spans="1:23" x14ac:dyDescent="0.2">
      <c r="A1" s="105"/>
      <c r="B1" s="82"/>
      <c r="C1" s="82"/>
      <c r="D1" s="82"/>
      <c r="E1" s="82"/>
      <c r="F1" s="82"/>
      <c r="G1" s="82"/>
      <c r="H1" s="82"/>
      <c r="I1" s="82"/>
      <c r="J1" s="82"/>
      <c r="K1" s="104"/>
      <c r="L1" s="82"/>
    </row>
    <row r="2" spans="1:23" x14ac:dyDescent="0.2">
      <c r="A2" s="84" t="s">
        <v>257</v>
      </c>
      <c r="B2" s="79" t="s">
        <v>8</v>
      </c>
      <c r="C2" s="79" t="s">
        <v>256</v>
      </c>
      <c r="D2" s="79" t="s">
        <v>9</v>
      </c>
      <c r="E2" s="79" t="s">
        <v>10</v>
      </c>
      <c r="F2" s="79" t="s">
        <v>255</v>
      </c>
      <c r="G2" s="79" t="s">
        <v>11</v>
      </c>
      <c r="H2" s="79" t="s">
        <v>12</v>
      </c>
      <c r="I2" s="79" t="s">
        <v>254</v>
      </c>
      <c r="J2" s="79" t="s">
        <v>253</v>
      </c>
      <c r="K2" s="80" t="s">
        <v>252</v>
      </c>
      <c r="L2" s="82"/>
      <c r="M2" s="84"/>
    </row>
    <row r="3" spans="1:23" x14ac:dyDescent="0.2">
      <c r="A3" s="79"/>
      <c r="B3" s="129" t="s">
        <v>271</v>
      </c>
      <c r="C3" s="80">
        <v>-75.830326380000002</v>
      </c>
      <c r="D3" s="79">
        <v>-75.870467446218001</v>
      </c>
      <c r="E3" s="79">
        <v>-76.264859940456006</v>
      </c>
      <c r="F3" s="80">
        <v>-75.844588150000007</v>
      </c>
      <c r="G3" s="107"/>
      <c r="H3" s="107"/>
      <c r="I3" s="106">
        <f>F3+(E3-D3)+0.00301878895</f>
        <v>-76.235961855288011</v>
      </c>
      <c r="J3" s="79" t="s">
        <v>244</v>
      </c>
      <c r="K3" s="80">
        <v>2</v>
      </c>
      <c r="L3" s="82"/>
      <c r="N3" s="81"/>
      <c r="O3" s="81"/>
      <c r="P3" s="81"/>
      <c r="Q3" s="81"/>
      <c r="R3" s="106"/>
      <c r="U3" s="106"/>
    </row>
    <row r="4" spans="1:23" x14ac:dyDescent="0.2">
      <c r="A4" s="79"/>
      <c r="B4" s="79" t="s">
        <v>7</v>
      </c>
      <c r="C4" s="80">
        <v>-552.97092189</v>
      </c>
      <c r="D4" s="79">
        <v>-553.07795479460106</v>
      </c>
      <c r="E4" s="79">
        <v>-553.091622649432</v>
      </c>
      <c r="F4" s="80">
        <f>-552.91950484</f>
        <v>-552.91950483999995</v>
      </c>
      <c r="G4" s="107"/>
      <c r="H4" s="107"/>
      <c r="I4" s="106">
        <f>F4+(E4-D4)+0.00301878895+0.00249329324</f>
        <v>-552.92766061264081</v>
      </c>
      <c r="J4" s="79" t="s">
        <v>247</v>
      </c>
      <c r="K4" s="80">
        <v>1</v>
      </c>
      <c r="L4" s="109"/>
      <c r="N4" s="81"/>
      <c r="O4" s="81"/>
      <c r="P4" s="81"/>
      <c r="Q4" s="81"/>
      <c r="R4" s="106"/>
      <c r="U4" s="106"/>
    </row>
    <row r="5" spans="1:23" x14ac:dyDescent="0.2">
      <c r="A5" s="79"/>
      <c r="B5" s="81" t="s">
        <v>251</v>
      </c>
      <c r="C5" s="80">
        <v>-552.35848883999995</v>
      </c>
      <c r="D5" s="79">
        <v>-552.46709390600597</v>
      </c>
      <c r="E5" s="79">
        <v>-552.55826285437695</v>
      </c>
      <c r="F5" s="80">
        <v>-552.32083124999997</v>
      </c>
      <c r="G5" s="107">
        <f>(I5-MIN(I5:I6))*2625.499638</f>
        <v>0.19524390259621252</v>
      </c>
      <c r="H5" s="107">
        <f>EXP(-G5*1000/(8.31446261815324*298.15))/(EXP(-G5*1000/(8.31446261815324*298.15))+EXP(-G6*1000/(8.31446261815324*298.15)))</f>
        <v>0.48032004644701354</v>
      </c>
      <c r="I5" s="106">
        <f t="shared" ref="I5:I14" si="0">F5+(E5-D5)+0.00301878895</f>
        <v>-552.4089814094209</v>
      </c>
      <c r="J5" s="79" t="s">
        <v>247</v>
      </c>
      <c r="K5" s="80">
        <v>1</v>
      </c>
      <c r="L5" s="82"/>
      <c r="N5" s="81"/>
      <c r="O5" s="81"/>
      <c r="P5" s="81"/>
      <c r="Q5" s="81"/>
      <c r="R5" s="106"/>
      <c r="U5" s="106"/>
    </row>
    <row r="6" spans="1:23" x14ac:dyDescent="0.2">
      <c r="B6" s="81" t="s">
        <v>250</v>
      </c>
      <c r="C6" s="80">
        <v>-552.35848917999999</v>
      </c>
      <c r="D6" s="79">
        <v>-552.46709325379697</v>
      </c>
      <c r="E6" s="79">
        <v>-552.55828589664304</v>
      </c>
      <c r="F6" s="80">
        <v>-552.32088192000003</v>
      </c>
      <c r="G6" s="107">
        <f>(I6-MIN(I5:I6))*2625.499638</f>
        <v>0</v>
      </c>
      <c r="H6" s="107">
        <f>EXP(-G6*1000/(8.31446261815324*298.15))/(EXP(-G6*1000/(8.31446261815324*298.15))+EXP(-G5*1000/(8.31446261815324*298.15)))</f>
        <v>0.51967995355298646</v>
      </c>
      <c r="I6" s="106">
        <f t="shared" si="0"/>
        <v>-552.40905577389606</v>
      </c>
      <c r="J6" s="79" t="s">
        <v>247</v>
      </c>
      <c r="K6" s="80">
        <v>1</v>
      </c>
      <c r="L6" s="108"/>
      <c r="N6" s="81"/>
      <c r="O6" s="81"/>
      <c r="P6" s="81"/>
      <c r="Q6" s="81"/>
      <c r="R6" s="106"/>
      <c r="U6" s="106"/>
    </row>
    <row r="7" spans="1:23" x14ac:dyDescent="0.2">
      <c r="B7" s="81" t="s">
        <v>249</v>
      </c>
      <c r="C7" s="80">
        <v>-553.27892579000002</v>
      </c>
      <c r="D7" s="79">
        <v>-553.36610887190398</v>
      </c>
      <c r="E7" s="79">
        <v>-553.47610776907698</v>
      </c>
      <c r="F7" s="80">
        <v>-553.21618899999999</v>
      </c>
      <c r="G7" s="107">
        <f>(I7-MIN(I7:I8))*2625.499638</f>
        <v>68.476623883482901</v>
      </c>
      <c r="H7" s="107">
        <f>EXP(-G7*1000/(8.31446261815324*298.15))/(EXP(-G7*1000/(8.31446261815324*298.15))+EXP(-G8*1000/(8.31446261815324*298.15)))</f>
        <v>1.0078932252435583E-12</v>
      </c>
      <c r="I7" s="106">
        <f t="shared" si="0"/>
        <v>-553.32316910822294</v>
      </c>
      <c r="J7" s="79" t="s">
        <v>247</v>
      </c>
      <c r="K7" s="80">
        <v>1</v>
      </c>
      <c r="L7" s="82"/>
      <c r="N7" s="81"/>
      <c r="O7" s="81"/>
      <c r="P7" s="81"/>
      <c r="Q7" s="81"/>
      <c r="R7" s="106"/>
      <c r="U7" s="106"/>
    </row>
    <row r="8" spans="1:23" x14ac:dyDescent="0.2">
      <c r="B8" s="81" t="s">
        <v>248</v>
      </c>
      <c r="C8" s="80">
        <v>-553.31912924000005</v>
      </c>
      <c r="D8" s="79">
        <v>-553.432421259747</v>
      </c>
      <c r="E8" s="79">
        <v>-553.52856468554501</v>
      </c>
      <c r="F8" s="80">
        <v>-553.25612583999998</v>
      </c>
      <c r="G8" s="107">
        <f>(I8-MIN(I7:I8))*2625.499638</f>
        <v>0</v>
      </c>
      <c r="H8" s="107">
        <f>EXP(-G8*1000/(8.31446261815324*298.15))/(EXP(-G8*1000/(8.31446261815324*298.15))+EXP(-G7*1000/(8.31446261815324*298.15)))</f>
        <v>0.99999999999899214</v>
      </c>
      <c r="I8" s="106">
        <f t="shared" si="0"/>
        <v>-553.34925047684794</v>
      </c>
      <c r="J8" s="79" t="s">
        <v>247</v>
      </c>
      <c r="K8" s="80">
        <v>1</v>
      </c>
      <c r="L8" s="82"/>
      <c r="N8" s="81"/>
      <c r="O8" s="81"/>
      <c r="P8" s="81"/>
      <c r="Q8" s="81"/>
      <c r="R8" s="106"/>
      <c r="U8" s="106"/>
    </row>
    <row r="9" spans="1:23" x14ac:dyDescent="0.2">
      <c r="A9" s="79"/>
      <c r="B9" s="81" t="s">
        <v>246</v>
      </c>
      <c r="C9" s="80">
        <v>-76.643359200000006</v>
      </c>
      <c r="D9" s="79">
        <v>-76.687004419744</v>
      </c>
      <c r="E9" s="79">
        <v>-76.796642436446007</v>
      </c>
      <c r="F9" s="80">
        <v>-76.648035100000001</v>
      </c>
      <c r="G9" s="107"/>
      <c r="H9" s="107"/>
      <c r="I9" s="106">
        <f t="shared" si="0"/>
        <v>-76.754654327752007</v>
      </c>
      <c r="J9" s="79" t="s">
        <v>240</v>
      </c>
      <c r="K9" s="80">
        <v>1</v>
      </c>
      <c r="L9" s="82"/>
      <c r="N9" s="81"/>
      <c r="O9" s="81"/>
      <c r="P9" s="81"/>
      <c r="Q9" s="81"/>
      <c r="R9" s="106"/>
      <c r="U9" s="106"/>
    </row>
    <row r="10" spans="1:23" x14ac:dyDescent="0.2">
      <c r="A10" s="79"/>
      <c r="B10" s="81" t="s">
        <v>245</v>
      </c>
      <c r="C10" s="80">
        <v>-77.256305409999996</v>
      </c>
      <c r="D10" s="79">
        <v>-77.295603212101</v>
      </c>
      <c r="E10" s="79">
        <v>-77.297758446963002</v>
      </c>
      <c r="F10" s="80">
        <v>-77.248160479999996</v>
      </c>
      <c r="G10" s="107"/>
      <c r="H10" s="107"/>
      <c r="I10" s="106">
        <f t="shared" si="0"/>
        <v>-77.247296925911996</v>
      </c>
      <c r="J10" s="79" t="s">
        <v>244</v>
      </c>
      <c r="K10" s="80">
        <v>2</v>
      </c>
      <c r="L10" s="82"/>
      <c r="N10" s="81"/>
      <c r="O10" s="81"/>
      <c r="P10" s="81"/>
      <c r="Q10" s="81"/>
      <c r="R10" s="106"/>
      <c r="U10" s="106"/>
    </row>
    <row r="11" spans="1:23" x14ac:dyDescent="0.2">
      <c r="B11" s="81" t="s">
        <v>243</v>
      </c>
      <c r="C11" s="80">
        <v>-307.5240627</v>
      </c>
      <c r="D11" s="79">
        <v>-307.67229573523099</v>
      </c>
      <c r="E11" s="79">
        <v>-307.77527317478098</v>
      </c>
      <c r="F11" s="80">
        <v>-307.456633637751</v>
      </c>
      <c r="G11" s="107"/>
      <c r="H11" s="107"/>
      <c r="I11" s="106">
        <f t="shared" si="0"/>
        <v>-307.556592288351</v>
      </c>
      <c r="J11" s="79" t="s">
        <v>242</v>
      </c>
      <c r="K11" s="80">
        <v>2</v>
      </c>
      <c r="L11" s="82"/>
      <c r="N11" s="81"/>
      <c r="O11" s="81"/>
      <c r="P11" s="81"/>
      <c r="Q11" s="81"/>
      <c r="R11" s="106"/>
      <c r="U11" s="106"/>
    </row>
    <row r="12" spans="1:23" x14ac:dyDescent="0.2">
      <c r="B12" s="81" t="s">
        <v>203</v>
      </c>
      <c r="C12" s="80">
        <v>-308.12570087</v>
      </c>
      <c r="D12" s="79">
        <v>-308.26911619941899</v>
      </c>
      <c r="E12" s="79">
        <v>-308.27661019885102</v>
      </c>
      <c r="F12" s="80">
        <v>-308.04540420278403</v>
      </c>
      <c r="G12" s="107"/>
      <c r="H12" s="107"/>
      <c r="I12" s="106">
        <f t="shared" si="0"/>
        <v>-308.04987941326607</v>
      </c>
      <c r="J12" s="79" t="s">
        <v>242</v>
      </c>
      <c r="K12" s="80">
        <v>2</v>
      </c>
      <c r="L12" s="82"/>
      <c r="N12" s="81"/>
      <c r="O12" s="81"/>
      <c r="P12" s="81"/>
      <c r="Q12" s="81"/>
      <c r="R12" s="106"/>
      <c r="U12" s="106"/>
    </row>
    <row r="13" spans="1:23" x14ac:dyDescent="0.2">
      <c r="A13" s="79"/>
      <c r="B13" s="81" t="s">
        <v>200</v>
      </c>
      <c r="C13" s="80">
        <v>-76.37903996</v>
      </c>
      <c r="D13" s="79">
        <v>-76.394537068692003</v>
      </c>
      <c r="E13" s="79">
        <v>-76.403176432455993</v>
      </c>
      <c r="F13" s="80">
        <v>-76.375207489999994</v>
      </c>
      <c r="G13" s="107"/>
      <c r="H13" s="107"/>
      <c r="I13" s="106">
        <f t="shared" si="0"/>
        <v>-76.380828064813983</v>
      </c>
      <c r="J13" s="79" t="s">
        <v>242</v>
      </c>
      <c r="K13" s="80">
        <v>2</v>
      </c>
      <c r="L13" s="82"/>
      <c r="N13" s="81"/>
      <c r="O13" s="81"/>
      <c r="P13" s="81"/>
      <c r="Q13" s="81"/>
      <c r="R13" s="106"/>
      <c r="U13" s="106"/>
    </row>
    <row r="14" spans="1:23" x14ac:dyDescent="0.2">
      <c r="A14" s="79"/>
      <c r="B14" s="81" t="s">
        <v>241</v>
      </c>
      <c r="C14" s="80">
        <v>-75.744384299999993</v>
      </c>
      <c r="D14" s="79">
        <v>-75.758201477941</v>
      </c>
      <c r="E14" s="79">
        <v>-75.874145390045996</v>
      </c>
      <c r="F14" s="80">
        <v>-75.751989750000007</v>
      </c>
      <c r="G14" s="107"/>
      <c r="H14" s="107"/>
      <c r="I14" s="106">
        <f t="shared" si="0"/>
        <v>-75.864914873155001</v>
      </c>
      <c r="J14" s="79" t="s">
        <v>240</v>
      </c>
      <c r="K14" s="80">
        <v>1</v>
      </c>
      <c r="L14" s="82"/>
      <c r="N14" s="81"/>
      <c r="O14" s="81"/>
      <c r="P14" s="81"/>
      <c r="Q14" s="81"/>
      <c r="R14" s="106"/>
      <c r="U14" s="106"/>
    </row>
    <row r="15" spans="1:23" x14ac:dyDescent="0.2">
      <c r="A15" s="105"/>
      <c r="B15" s="82"/>
      <c r="C15" s="82"/>
      <c r="D15" s="82"/>
      <c r="E15" s="82"/>
      <c r="F15" s="82"/>
      <c r="G15" s="82"/>
      <c r="H15" s="82"/>
      <c r="I15" s="82"/>
      <c r="J15" s="82"/>
      <c r="K15" s="104"/>
      <c r="L15" s="82"/>
    </row>
    <row r="16" spans="1:23" x14ac:dyDescent="0.2">
      <c r="A16" s="84" t="s">
        <v>40</v>
      </c>
      <c r="C16" s="81" t="s">
        <v>239</v>
      </c>
      <c r="D16" s="79" t="s">
        <v>238</v>
      </c>
      <c r="E16" s="81" t="s">
        <v>234</v>
      </c>
      <c r="G16" s="81" t="s">
        <v>237</v>
      </c>
      <c r="H16" s="79" t="s">
        <v>236</v>
      </c>
      <c r="I16" s="80"/>
      <c r="J16" s="79" t="s">
        <v>235</v>
      </c>
      <c r="K16" s="81" t="s">
        <v>234</v>
      </c>
      <c r="L16" s="82"/>
      <c r="N16" s="84"/>
      <c r="P16" s="81"/>
      <c r="S16" s="81"/>
      <c r="U16" s="80"/>
      <c r="W16" s="89"/>
    </row>
    <row r="17" spans="1:23" x14ac:dyDescent="0.2">
      <c r="A17" s="100" t="s">
        <v>233</v>
      </c>
      <c r="B17" s="81" t="s">
        <v>225</v>
      </c>
      <c r="C17" s="85">
        <f>(I9+B32-I10)*627.509474</f>
        <v>34.213256029209923</v>
      </c>
      <c r="D17" s="85">
        <f>(I9+B32-I10)*2625.499638*1000/(2.30258509*298.15*8.31446261815324)</f>
        <v>25.0784907212348</v>
      </c>
      <c r="E17" s="85">
        <f>D17-B43</f>
        <v>-4.621509278765199</v>
      </c>
      <c r="F17" s="81" t="s">
        <v>232</v>
      </c>
      <c r="G17" s="25">
        <f>((I9+I4)-(I10+H5*I5+H6*I6))*627.509474</f>
        <v>-16.313965786077944</v>
      </c>
      <c r="H17" s="25">
        <f>((I9+I4)-(I10+H5*I5+H6*I6))*2625.499638*1000/(2.30258509*298.15*8.31446261815324)</f>
        <v>-11.958219914626047</v>
      </c>
      <c r="I17" s="101" t="s">
        <v>231</v>
      </c>
      <c r="J17" s="79">
        <f>B43-B41</f>
        <v>-5.4000000000000021</v>
      </c>
      <c r="K17" s="92">
        <f>H17-J17</f>
        <v>-6.5582199146260454</v>
      </c>
      <c r="L17" s="82"/>
      <c r="O17" s="81"/>
      <c r="P17" s="85"/>
      <c r="Q17" s="86"/>
      <c r="R17" s="81"/>
      <c r="S17" s="98"/>
      <c r="T17" s="97"/>
      <c r="U17" s="101"/>
    </row>
    <row r="18" spans="1:23" x14ac:dyDescent="0.2">
      <c r="A18" s="79"/>
      <c r="B18" s="81" t="s">
        <v>224</v>
      </c>
      <c r="C18" s="85">
        <f>(I11+B32-I12)*627.509474</f>
        <v>34.61770267426121</v>
      </c>
      <c r="D18" s="85">
        <f>(I11+B32-I12)*2625.499638*1000/(2.30258509*298.15*8.31446261815324)</f>
        <v>25.374952169583761</v>
      </c>
      <c r="E18" s="85">
        <f>D18-B39</f>
        <v>-3.3250478304162385</v>
      </c>
      <c r="F18" s="81"/>
      <c r="G18" s="25"/>
      <c r="H18" s="25"/>
      <c r="I18" s="80"/>
      <c r="K18" s="90"/>
      <c r="L18" s="82"/>
      <c r="M18" s="81"/>
      <c r="O18" s="81"/>
      <c r="P18" s="85"/>
      <c r="Q18" s="86"/>
      <c r="R18" s="81"/>
      <c r="S18" s="85"/>
      <c r="T18" s="86"/>
      <c r="U18" s="80"/>
      <c r="W18" s="90"/>
    </row>
    <row r="19" spans="1:23" x14ac:dyDescent="0.2">
      <c r="A19" s="79"/>
      <c r="B19" s="79" t="s">
        <v>221</v>
      </c>
      <c r="C19" s="85">
        <f>(I14+B32-I13)*627.509474</f>
        <v>48.815773915430398</v>
      </c>
      <c r="D19" s="85">
        <f>(I14+B32-I13)*2625.499638*1000/(2.30258509*298.15*8.31446261815324)</f>
        <v>35.782210618680125</v>
      </c>
      <c r="E19" s="85">
        <f>D19-B40</f>
        <v>4.3822106186801264</v>
      </c>
      <c r="F19" s="79" t="s">
        <v>230</v>
      </c>
      <c r="G19" s="25">
        <f>((I3+I4)-(I9+H5*I5+H6*I6))*627.509474</f>
        <v>3.2577136204772691E-2</v>
      </c>
      <c r="H19" s="25">
        <f>((I3+I4)-(I9+H5*I5+H6*I6))*2625.499638*1000/(2.30258509*298.15*8.31446261815324)</f>
        <v>2.3879206566550831E-2</v>
      </c>
      <c r="I19" s="80" t="s">
        <v>229</v>
      </c>
      <c r="L19" s="82"/>
      <c r="M19" s="81"/>
      <c r="P19" s="85"/>
      <c r="Q19" s="86"/>
      <c r="S19" s="103"/>
      <c r="T19" s="102"/>
      <c r="U19" s="80"/>
    </row>
    <row r="20" spans="1:23" x14ac:dyDescent="0.2">
      <c r="B20" s="127" t="s">
        <v>266</v>
      </c>
      <c r="C20" s="85">
        <f>(H5*I5+H6*I6+B32-I4)*627.509474</f>
        <v>50.527221815278949</v>
      </c>
      <c r="D20" s="85">
        <f>(H5*I5+H6*I6+B32-I4)*2625.499638*1000/(2.30258509*298.15*8.31446261815324)</f>
        <v>37.036710635854313</v>
      </c>
      <c r="E20" s="85">
        <f>D20-B41</f>
        <v>1.9367106358543111</v>
      </c>
      <c r="F20" s="81"/>
      <c r="G20" s="25"/>
      <c r="H20" s="25"/>
      <c r="I20" s="101"/>
      <c r="K20" s="92"/>
      <c r="L20" s="82"/>
      <c r="M20" s="81"/>
      <c r="R20" s="81"/>
      <c r="S20" s="85"/>
      <c r="T20" s="86"/>
      <c r="U20" s="101"/>
      <c r="W20" s="92"/>
    </row>
    <row r="21" spans="1:23" x14ac:dyDescent="0.2">
      <c r="C21" s="85"/>
      <c r="D21" s="96" t="s">
        <v>212</v>
      </c>
      <c r="E21" s="90">
        <f>SQRT(((E17)^2+(E18)^2+(E19)^2+(E20)^2)/4)</f>
        <v>3.7205143825072304</v>
      </c>
      <c r="F21" s="81" t="s">
        <v>228</v>
      </c>
      <c r="G21" s="25">
        <f>((I14+I10)-(I13+I9))*627.509474</f>
        <v>14.602517886229393</v>
      </c>
      <c r="H21" s="25">
        <f>((I14+I10)-(I13+I9))*2625.499638*1000/(2.30258509*298.15*8.31446261815324)</f>
        <v>10.70371989745186</v>
      </c>
      <c r="I21" s="80" t="s">
        <v>227</v>
      </c>
      <c r="J21" s="79">
        <f>B40-B43</f>
        <v>1.6999999999999993</v>
      </c>
      <c r="K21" s="92">
        <f>H21-J21</f>
        <v>9.0037198974518606</v>
      </c>
      <c r="L21" s="82"/>
      <c r="M21" s="81"/>
      <c r="R21" s="81"/>
      <c r="S21" s="98"/>
      <c r="T21" s="97"/>
      <c r="U21" s="80"/>
    </row>
    <row r="22" spans="1:23" x14ac:dyDescent="0.2">
      <c r="A22" s="100" t="s">
        <v>226</v>
      </c>
      <c r="B22" s="81" t="s">
        <v>225</v>
      </c>
      <c r="C22" s="85">
        <f>(I9+B36-I10)*627.509474</f>
        <v>29.555703535877843</v>
      </c>
      <c r="D22" s="85">
        <f>(I9+B36-I10)*2625.499638*1000/(2.30258509*298.15*8.31446261815324)</f>
        <v>21.66448104942895</v>
      </c>
      <c r="E22" s="85">
        <f>D22-B43</f>
        <v>-8.0355189505710491</v>
      </c>
      <c r="G22" s="25"/>
      <c r="H22" s="25"/>
      <c r="I22" s="80"/>
      <c r="K22" s="89"/>
      <c r="L22" s="82"/>
      <c r="M22" s="81"/>
      <c r="S22" s="85"/>
      <c r="T22" s="86"/>
      <c r="U22" s="80"/>
      <c r="W22" s="89"/>
    </row>
    <row r="23" spans="1:23" x14ac:dyDescent="0.2">
      <c r="A23" s="99" t="s">
        <v>258</v>
      </c>
      <c r="B23" s="81" t="s">
        <v>224</v>
      </c>
      <c r="C23" s="85">
        <f>(I11+B36-I12)*627.509474</f>
        <v>29.960150180946968</v>
      </c>
      <c r="D23" s="85">
        <f>(I11+B36-I12)*2625.499638*1000/(2.30258509*298.15*8.31446261815324)</f>
        <v>21.960942497790981</v>
      </c>
      <c r="E23" s="85">
        <f>D23-B39</f>
        <v>-6.7390575022090182</v>
      </c>
      <c r="F23" s="79" t="s">
        <v>223</v>
      </c>
      <c r="G23" s="25">
        <f>((I14+I9)-(I13+I3))*627.509474</f>
        <v>-1.7440250360354903</v>
      </c>
      <c r="H23" s="25">
        <f>((I14+I9)-(I13+I3))*2625.499638*1000/(2.30258509*298.15*8.31446261815324)</f>
        <v>-1.2783792237276652</v>
      </c>
      <c r="I23" s="80" t="s">
        <v>222</v>
      </c>
      <c r="L23" s="82"/>
      <c r="M23" s="81"/>
      <c r="S23" s="98"/>
      <c r="T23" s="97"/>
      <c r="U23" s="80"/>
    </row>
    <row r="24" spans="1:23" x14ac:dyDescent="0.2">
      <c r="B24" s="79" t="s">
        <v>221</v>
      </c>
      <c r="C24" s="85">
        <f>(I14+B36-I13)*627.509474</f>
        <v>44.158221422098322</v>
      </c>
      <c r="D24" s="85">
        <f>(I14+B36-I13)*2625.499638*1000/(2.30258509*298.15*8.31446261815324)</f>
        <v>32.368200946874275</v>
      </c>
      <c r="E24" s="85">
        <f>D24-B40</f>
        <v>0.96820094687427627</v>
      </c>
      <c r="G24" s="25"/>
      <c r="H24" s="25"/>
      <c r="K24" s="90"/>
      <c r="L24" s="82"/>
      <c r="W24" s="90"/>
    </row>
    <row r="25" spans="1:23" x14ac:dyDescent="0.2">
      <c r="B25" s="127" t="s">
        <v>266</v>
      </c>
      <c r="C25" s="85">
        <f>(H5*I5+H6*I6+B36-I4)*627.509474</f>
        <v>45.869669321929038</v>
      </c>
      <c r="D25" s="85">
        <f>(H5*I5+H6*I6+B36-I4)*2625.499638*1000/(2.30258509*298.15*8.31446261815324)</f>
        <v>33.622700964035381</v>
      </c>
      <c r="E25" s="85">
        <f>D25-B41</f>
        <v>-1.4772990359646201</v>
      </c>
      <c r="F25" s="81" t="s">
        <v>220</v>
      </c>
      <c r="G25" s="25">
        <f>((I11+I4)-(I12+H5*I5+H6*I6))*627.509474</f>
        <v>-15.909519140946397</v>
      </c>
      <c r="H25" s="25">
        <f>((I11+I4)-(I12+H5*I5+H6*I6))*2625.499638*1000/(2.30258509*298.15*8.31446261815324)</f>
        <v>-11.661758466218259</v>
      </c>
      <c r="I25" s="80" t="s">
        <v>219</v>
      </c>
      <c r="J25" s="79">
        <f>B39-B41</f>
        <v>-6.4000000000000021</v>
      </c>
      <c r="K25" s="92">
        <f>H25-J25</f>
        <v>-5.2617584662182573</v>
      </c>
      <c r="L25" s="82"/>
      <c r="R25" s="81"/>
      <c r="S25" s="85"/>
      <c r="T25" s="86"/>
    </row>
    <row r="26" spans="1:23" x14ac:dyDescent="0.2">
      <c r="C26" s="85"/>
      <c r="D26" s="96" t="s">
        <v>212</v>
      </c>
      <c r="E26" s="90">
        <f>SQRT(((E22)^2+(E23)^2+(E24)^2+(E25)^2)/4)</f>
        <v>5.3175249491247421</v>
      </c>
      <c r="G26" s="25"/>
      <c r="H26" s="25"/>
      <c r="K26" s="92"/>
      <c r="L26" s="82"/>
      <c r="S26" s="85"/>
      <c r="T26" s="86"/>
      <c r="W26" s="92"/>
    </row>
    <row r="27" spans="1:23" x14ac:dyDescent="0.2">
      <c r="E27" s="86"/>
      <c r="F27" s="81" t="s">
        <v>218</v>
      </c>
      <c r="G27" s="25">
        <f>((I11+I13)-(I14+I12))*627.509474</f>
        <v>-14.19807124115135</v>
      </c>
      <c r="H27" s="25">
        <f>((I11+I13)-(I14+I12))*2625.499638*1000/(2.30258509*298.15*8.31446261815324)</f>
        <v>-10.40725844908329</v>
      </c>
      <c r="I27" s="80" t="s">
        <v>217</v>
      </c>
      <c r="J27" s="79">
        <f>B39-B40</f>
        <v>-2.6999999999999993</v>
      </c>
      <c r="K27" s="92">
        <f>H27-J27</f>
        <v>-7.7072584490832909</v>
      </c>
      <c r="L27" s="82"/>
      <c r="R27" s="81"/>
      <c r="S27" s="85"/>
      <c r="T27" s="86"/>
    </row>
    <row r="28" spans="1:23" x14ac:dyDescent="0.2">
      <c r="A28" s="94"/>
      <c r="C28" s="95" t="s">
        <v>216</v>
      </c>
      <c r="D28" s="95" t="s">
        <v>215</v>
      </c>
      <c r="G28" s="25"/>
      <c r="H28" s="25"/>
      <c r="L28" s="82"/>
    </row>
    <row r="29" spans="1:23" x14ac:dyDescent="0.2">
      <c r="A29" s="94"/>
      <c r="C29" s="93">
        <f>(I3+B32-I9)*627.509474</f>
        <v>50.559798951483721</v>
      </c>
      <c r="D29" s="93">
        <f>(I3+B32-I9)*2625.499638*1000/(2.30258509*298.15*8.31446261815324)</f>
        <v>37.060589842420868</v>
      </c>
      <c r="F29" s="81" t="s">
        <v>214</v>
      </c>
      <c r="G29" s="25">
        <f>((H5*I5+H6*I6+I13)-(I4+I14))*627.509474</f>
        <v>1.7114478998663873</v>
      </c>
      <c r="H29" s="25">
        <f>((H5*I5+H6*I6+I13)-(I4+I14))*2625.499638*1000/(2.30258509*298.15*8.31446261815324)</f>
        <v>1.2545000171872602</v>
      </c>
      <c r="I29" s="80" t="s">
        <v>213</v>
      </c>
      <c r="J29" s="79">
        <f>B41-B40</f>
        <v>3.7000000000000028</v>
      </c>
      <c r="K29" s="92">
        <f>H29-J29</f>
        <v>-2.4454999828127426</v>
      </c>
      <c r="L29" s="82"/>
    </row>
    <row r="30" spans="1:23" x14ac:dyDescent="0.2">
      <c r="J30" s="91" t="s">
        <v>212</v>
      </c>
      <c r="K30" s="90">
        <f>SQRT(((K17)^2+(K21)^2+(K25)^2+(K27)^2+(K29)^2)/5)</f>
        <v>6.5900777774483155</v>
      </c>
      <c r="L30" s="82"/>
    </row>
    <row r="31" spans="1:23" x14ac:dyDescent="0.2">
      <c r="A31" s="81" t="s">
        <v>208</v>
      </c>
      <c r="B31" s="88">
        <f>-268.6-6.28219407266</f>
        <v>-274.88219407266001</v>
      </c>
      <c r="C31" s="87" t="s">
        <v>49</v>
      </c>
      <c r="J31" s="79" t="s">
        <v>211</v>
      </c>
      <c r="L31" s="82"/>
    </row>
    <row r="32" spans="1:23" x14ac:dyDescent="0.2">
      <c r="B32" s="87">
        <f>-0.42810899065-0.01001131351</f>
        <v>-0.43812030416000003</v>
      </c>
      <c r="C32" s="87" t="s">
        <v>206</v>
      </c>
      <c r="L32" s="82"/>
    </row>
    <row r="33" spans="1:12" x14ac:dyDescent="0.2">
      <c r="I33" s="89" t="s">
        <v>210</v>
      </c>
      <c r="L33" s="82"/>
    </row>
    <row r="34" spans="1:12" x14ac:dyDescent="0.2">
      <c r="I34" s="80" t="s">
        <v>209</v>
      </c>
      <c r="L34" s="82"/>
    </row>
    <row r="35" spans="1:12" x14ac:dyDescent="0.2">
      <c r="A35" s="81" t="s">
        <v>208</v>
      </c>
      <c r="B35" s="88">
        <f>-273.3-6.28219407266</f>
        <v>-279.58219407266</v>
      </c>
      <c r="C35" s="87" t="s">
        <v>49</v>
      </c>
      <c r="D35" s="84" t="s">
        <v>207</v>
      </c>
      <c r="I35" s="85">
        <f>((H5*I5+H6*I6)+(H7*I7+H8*I8)-2*I4)*627.509474</f>
        <v>60.90022949513093</v>
      </c>
      <c r="L35" s="82"/>
    </row>
    <row r="36" spans="1:12" x14ac:dyDescent="0.2">
      <c r="B36" s="87">
        <f>-0.435531273-0.01001131351</f>
        <v>-0.44554258651</v>
      </c>
      <c r="C36" s="87" t="s">
        <v>206</v>
      </c>
      <c r="D36" s="84">
        <v>3.0187889499999998E-3</v>
      </c>
      <c r="E36" s="79" t="s">
        <v>31</v>
      </c>
      <c r="F36" s="79" t="s">
        <v>32</v>
      </c>
      <c r="I36" s="80" t="s">
        <v>205</v>
      </c>
      <c r="L36" s="82"/>
    </row>
    <row r="37" spans="1:12" x14ac:dyDescent="0.2">
      <c r="D37" s="84">
        <v>2.4932932400000001E-3</v>
      </c>
      <c r="E37" s="79" t="s">
        <v>33</v>
      </c>
      <c r="F37" s="79" t="s">
        <v>34</v>
      </c>
      <c r="I37" s="86">
        <f>((H5*I5+H6*I6)+(H7*I7+H8*I8)-2*I4)*2625.499638*1000/(2.30258509*298.15*8.31446261815324)</f>
        <v>44.640178035401682</v>
      </c>
      <c r="L37" s="82"/>
    </row>
    <row r="38" spans="1:12" x14ac:dyDescent="0.2">
      <c r="A38" s="79" t="s">
        <v>204</v>
      </c>
      <c r="L38" s="82"/>
    </row>
    <row r="39" spans="1:12" x14ac:dyDescent="0.2">
      <c r="A39" s="79" t="s">
        <v>203</v>
      </c>
      <c r="B39" s="79">
        <v>28.7</v>
      </c>
      <c r="C39" s="79" t="s">
        <v>202</v>
      </c>
      <c r="E39" s="79" t="s">
        <v>201</v>
      </c>
      <c r="L39" s="82"/>
    </row>
    <row r="40" spans="1:12" x14ac:dyDescent="0.2">
      <c r="A40" s="79" t="s">
        <v>200</v>
      </c>
      <c r="B40" s="79">
        <v>31.4</v>
      </c>
      <c r="C40" s="79" t="s">
        <v>198</v>
      </c>
      <c r="E40" s="79">
        <f>0.01001131351</f>
        <v>1.001131351E-2</v>
      </c>
      <c r="F40" s="79" t="s">
        <v>199</v>
      </c>
      <c r="L40" s="82"/>
    </row>
    <row r="41" spans="1:12" x14ac:dyDescent="0.2">
      <c r="A41" s="79" t="s">
        <v>7</v>
      </c>
      <c r="B41" s="79">
        <v>35.1</v>
      </c>
      <c r="C41" s="79" t="s">
        <v>198</v>
      </c>
      <c r="E41" s="85">
        <v>-6.2821940726600003</v>
      </c>
      <c r="F41" s="79" t="s">
        <v>49</v>
      </c>
      <c r="L41" s="82"/>
    </row>
    <row r="42" spans="1:12" x14ac:dyDescent="0.2">
      <c r="L42" s="82"/>
    </row>
    <row r="43" spans="1:12" x14ac:dyDescent="0.2">
      <c r="A43" s="81" t="s">
        <v>197</v>
      </c>
      <c r="B43" s="79">
        <v>29.7</v>
      </c>
      <c r="F43" s="84" t="s">
        <v>196</v>
      </c>
      <c r="L43" s="82"/>
    </row>
    <row r="44" spans="1:12" x14ac:dyDescent="0.2">
      <c r="A44" s="81" t="s">
        <v>195</v>
      </c>
      <c r="B44" s="130" t="s">
        <v>194</v>
      </c>
      <c r="C44" s="79" t="s">
        <v>193</v>
      </c>
      <c r="F44" s="83" t="s">
        <v>192</v>
      </c>
      <c r="G44" s="79">
        <v>-268.60000000000002</v>
      </c>
      <c r="H44" s="79" t="s">
        <v>49</v>
      </c>
      <c r="L44" s="82"/>
    </row>
    <row r="45" spans="1:12" x14ac:dyDescent="0.2">
      <c r="F45" s="83" t="s">
        <v>191</v>
      </c>
      <c r="G45" s="79">
        <v>-273.3</v>
      </c>
      <c r="H45" s="79" t="s">
        <v>49</v>
      </c>
      <c r="L45" s="82"/>
    </row>
    <row r="46" spans="1:12" x14ac:dyDescent="0.2">
      <c r="L46" s="82"/>
    </row>
    <row r="47" spans="1:12" x14ac:dyDescent="0.2">
      <c r="L47" s="82"/>
    </row>
    <row r="48" spans="1:12" x14ac:dyDescent="0.2">
      <c r="L48" s="82"/>
    </row>
    <row r="49" spans="12:12" x14ac:dyDescent="0.2">
      <c r="L49" s="82"/>
    </row>
    <row r="50" spans="12:12" x14ac:dyDescent="0.2">
      <c r="L50" s="82"/>
    </row>
    <row r="51" spans="12:12" x14ac:dyDescent="0.2">
      <c r="L51" s="82"/>
    </row>
    <row r="52" spans="12:12" x14ac:dyDescent="0.2">
      <c r="L52" s="82"/>
    </row>
    <row r="53" spans="12:12" x14ac:dyDescent="0.2">
      <c r="L53" s="82"/>
    </row>
    <row r="54" spans="12:12" x14ac:dyDescent="0.2">
      <c r="L54" s="82"/>
    </row>
    <row r="55" spans="12:12" x14ac:dyDescent="0.2">
      <c r="L55" s="82"/>
    </row>
    <row r="56" spans="12:12" x14ac:dyDescent="0.2">
      <c r="L56" s="82"/>
    </row>
    <row r="57" spans="12:12" x14ac:dyDescent="0.2">
      <c r="L57" s="82"/>
    </row>
    <row r="58" spans="12:12" x14ac:dyDescent="0.2">
      <c r="L58" s="82"/>
    </row>
    <row r="59" spans="12:12" x14ac:dyDescent="0.2">
      <c r="L59" s="82"/>
    </row>
    <row r="60" spans="12:12" x14ac:dyDescent="0.2">
      <c r="L60" s="82"/>
    </row>
    <row r="61" spans="12:12" x14ac:dyDescent="0.2">
      <c r="L61" s="82"/>
    </row>
    <row r="62" spans="12:12" x14ac:dyDescent="0.2">
      <c r="L62" s="82"/>
    </row>
    <row r="63" spans="12:12" x14ac:dyDescent="0.2">
      <c r="L63" s="82"/>
    </row>
    <row r="64" spans="12:12" x14ac:dyDescent="0.2">
      <c r="L64" s="82"/>
    </row>
    <row r="65" spans="12:12" x14ac:dyDescent="0.2">
      <c r="L65" s="82"/>
    </row>
    <row r="66" spans="12:12" x14ac:dyDescent="0.2">
      <c r="L66" s="82"/>
    </row>
    <row r="67" spans="12:12" x14ac:dyDescent="0.2">
      <c r="L67" s="82"/>
    </row>
    <row r="68" spans="12:12" x14ac:dyDescent="0.2">
      <c r="L68" s="82"/>
    </row>
    <row r="69" spans="12:12" x14ac:dyDescent="0.2">
      <c r="L69" s="82"/>
    </row>
    <row r="70" spans="12:12" x14ac:dyDescent="0.2">
      <c r="L70" s="82"/>
    </row>
    <row r="71" spans="12:12" x14ac:dyDescent="0.2">
      <c r="L71" s="82"/>
    </row>
    <row r="72" spans="12:12" x14ac:dyDescent="0.2">
      <c r="L72" s="82"/>
    </row>
    <row r="73" spans="12:12" x14ac:dyDescent="0.2">
      <c r="L73" s="82"/>
    </row>
    <row r="74" spans="12:12" x14ac:dyDescent="0.2">
      <c r="L74" s="82"/>
    </row>
    <row r="75" spans="12:12" x14ac:dyDescent="0.2">
      <c r="L75" s="82"/>
    </row>
    <row r="76" spans="12:12" x14ac:dyDescent="0.2">
      <c r="L76" s="82"/>
    </row>
    <row r="77" spans="12:12" x14ac:dyDescent="0.2">
      <c r="L77" s="82"/>
    </row>
    <row r="78" spans="12:12" x14ac:dyDescent="0.2">
      <c r="L78" s="82"/>
    </row>
    <row r="79" spans="12:12" x14ac:dyDescent="0.2">
      <c r="L79" s="8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60C45-61A5-7344-BCA7-DFEE08E0EA76}">
  <dimension ref="A1:G14"/>
  <sheetViews>
    <sheetView tabSelected="1" zoomScale="150" zoomScaleNormal="150" workbookViewId="0">
      <selection activeCell="G14" sqref="G14"/>
    </sheetView>
  </sheetViews>
  <sheetFormatPr baseColWidth="10" defaultRowHeight="15" x14ac:dyDescent="0.2"/>
  <cols>
    <col min="1" max="1" width="22.5" customWidth="1"/>
    <col min="2" max="7" width="13.83203125" customWidth="1"/>
  </cols>
  <sheetData>
    <row r="1" spans="1:7" x14ac:dyDescent="0.2">
      <c r="D1" t="s">
        <v>287</v>
      </c>
    </row>
    <row r="2" spans="1:7" x14ac:dyDescent="0.2">
      <c r="A2" t="s">
        <v>274</v>
      </c>
      <c r="B2" t="s">
        <v>275</v>
      </c>
      <c r="C2" t="s">
        <v>276</v>
      </c>
      <c r="D2" t="s">
        <v>277</v>
      </c>
      <c r="E2" t="s">
        <v>278</v>
      </c>
      <c r="F2" t="s">
        <v>279</v>
      </c>
      <c r="G2" t="s">
        <v>280</v>
      </c>
    </row>
    <row r="3" spans="1:7" x14ac:dyDescent="0.2">
      <c r="A3" t="s">
        <v>281</v>
      </c>
      <c r="B3">
        <v>-2966.3735642270999</v>
      </c>
      <c r="C3">
        <v>-2966.4246740951398</v>
      </c>
      <c r="D3">
        <v>-2966.1134707013498</v>
      </c>
      <c r="E3">
        <v>-2966.1632425770499</v>
      </c>
      <c r="F3">
        <v>-2964.9871117410498</v>
      </c>
      <c r="G3">
        <v>-2965.0346434880398</v>
      </c>
    </row>
    <row r="4" spans="1:7" x14ac:dyDescent="0.2">
      <c r="A4" t="s">
        <v>7</v>
      </c>
      <c r="B4">
        <v>-553.14424837926299</v>
      </c>
      <c r="C4">
        <v>-553.16039365611402</v>
      </c>
      <c r="D4">
        <v>-553.08119723045797</v>
      </c>
      <c r="E4">
        <v>-553.096716547955</v>
      </c>
      <c r="F4">
        <v>-552.86907272287101</v>
      </c>
      <c r="G4">
        <v>-552.88407612151696</v>
      </c>
    </row>
    <row r="5" spans="1:7" x14ac:dyDescent="0.2">
      <c r="A5" t="s">
        <v>4</v>
      </c>
      <c r="B5">
        <v>-76.416349156790005</v>
      </c>
      <c r="C5">
        <v>-76.425322768624</v>
      </c>
      <c r="D5">
        <v>-76.394983482591996</v>
      </c>
      <c r="E5">
        <v>-76.403822385447</v>
      </c>
      <c r="F5">
        <v>-76.349131031631998</v>
      </c>
      <c r="G5">
        <v>-76.357883051106</v>
      </c>
    </row>
    <row r="6" spans="1:7" x14ac:dyDescent="0.2">
      <c r="A6" t="s">
        <v>282</v>
      </c>
      <c r="B6">
        <v>-3042.8712173246099</v>
      </c>
      <c r="C6">
        <v>-3042.9123160791901</v>
      </c>
      <c r="D6">
        <v>-3042.5905921385202</v>
      </c>
      <c r="E6">
        <v>-3042.6301054196201</v>
      </c>
      <c r="F6">
        <v>-3041.4171836466298</v>
      </c>
      <c r="G6">
        <v>-3041.4544949818401</v>
      </c>
    </row>
    <row r="8" spans="1:7" x14ac:dyDescent="0.2">
      <c r="B8" t="s">
        <v>283</v>
      </c>
    </row>
    <row r="9" spans="1:7" x14ac:dyDescent="0.2">
      <c r="B9" t="s">
        <v>284</v>
      </c>
      <c r="C9" t="s">
        <v>285</v>
      </c>
      <c r="D9" t="s">
        <v>286</v>
      </c>
    </row>
    <row r="10" spans="1:7" x14ac:dyDescent="0.2">
      <c r="A10" t="s">
        <v>281</v>
      </c>
      <c r="B10">
        <v>-32.071926413170921</v>
      </c>
      <c r="C10">
        <v>-31.232323543714188</v>
      </c>
      <c r="D10">
        <v>-29.826621554988453</v>
      </c>
    </row>
    <row r="11" spans="1:7" x14ac:dyDescent="0.2">
      <c r="A11" t="s">
        <v>7</v>
      </c>
      <c r="B11">
        <v>-10.131314185395738</v>
      </c>
      <c r="C11">
        <v>-9.738518760375559</v>
      </c>
      <c r="D11">
        <v>-9.4147747934758481</v>
      </c>
    </row>
    <row r="12" spans="1:7" x14ac:dyDescent="0.2">
      <c r="A12" t="s">
        <v>4</v>
      </c>
      <c r="B12">
        <v>-5.6310264423961449</v>
      </c>
      <c r="C12">
        <v>-5.5464952818383892</v>
      </c>
      <c r="D12">
        <v>-5.4919751371211811</v>
      </c>
    </row>
    <row r="13" spans="1:7" x14ac:dyDescent="0.2">
      <c r="A13" t="s">
        <v>282</v>
      </c>
      <c r="B13">
        <v>-25.789857871245733</v>
      </c>
      <c r="C13">
        <v>-24.794958241550365</v>
      </c>
      <c r="D13">
        <v>-23.413216334365753</v>
      </c>
    </row>
    <row r="14" spans="1:7" x14ac:dyDescent="0.2">
      <c r="B14" t="s">
        <v>212</v>
      </c>
      <c r="C14" s="25">
        <v>0.68121068961628617</v>
      </c>
      <c r="D14" s="25">
        <v>1.6750061840686306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CaC2 polymorphs</vt:lpstr>
      <vt:lpstr>CaC2 Clusters</vt:lpstr>
      <vt:lpstr>CaC2 Solvation</vt:lpstr>
      <vt:lpstr>Ca2+ and HCC-Ca-OH</vt:lpstr>
      <vt:lpstr>Solvent to acetylide H-transfer</vt:lpstr>
      <vt:lpstr>Acidity in DMSO</vt:lpstr>
      <vt:lpstr>SMD at different levels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Egor Bogomolov</dc:creator>
  <cp:lastModifiedBy>Microsoft Office User</cp:lastModifiedBy>
  <dcterms:created xsi:type="dcterms:W3CDTF">2019-10-30T10:45:52Z</dcterms:created>
  <dcterms:modified xsi:type="dcterms:W3CDTF">2020-09-28T16:57:51Z</dcterms:modified>
</cp:coreProperties>
</file>