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60BE1ACB-507B-4977-87B9-591433E767E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Example CH3OH" sheetId="1" r:id="rId1"/>
    <sheet name="New alcohol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6" l="1"/>
  <c r="B14" i="1"/>
  <c r="M15" i="6" l="1"/>
  <c r="Q14" i="6"/>
  <c r="Q15" i="6" s="1"/>
  <c r="P14" i="6"/>
  <c r="P15" i="6" s="1"/>
  <c r="O14" i="6"/>
  <c r="O15" i="6" s="1"/>
  <c r="N14" i="6"/>
  <c r="N15" i="6" s="1"/>
  <c r="M14" i="6"/>
  <c r="L14" i="6"/>
  <c r="L15" i="6" s="1"/>
  <c r="B9" i="6"/>
  <c r="D9" i="6" s="1"/>
  <c r="Q14" i="1"/>
  <c r="Q15" i="1"/>
  <c r="P15" i="1"/>
  <c r="P14" i="1"/>
  <c r="J14" i="1"/>
  <c r="J15" i="1" s="1"/>
  <c r="K14" i="1"/>
  <c r="K15" i="1" s="1"/>
  <c r="O14" i="1"/>
  <c r="O15" i="1" s="1"/>
  <c r="N14" i="1"/>
  <c r="N15" i="1" s="1"/>
  <c r="M14" i="1"/>
  <c r="M15" i="1" s="1"/>
  <c r="L14" i="1"/>
  <c r="L15" i="1" s="1"/>
  <c r="I14" i="1"/>
  <c r="I15" i="1" s="1"/>
  <c r="H14" i="1"/>
  <c r="H15" i="1" s="1"/>
  <c r="G15" i="1"/>
  <c r="F15" i="1"/>
  <c r="G14" i="1"/>
  <c r="F14" i="1"/>
  <c r="E15" i="1"/>
  <c r="D15" i="1"/>
  <c r="B15" i="1"/>
  <c r="C15" i="1"/>
  <c r="E14" i="1"/>
  <c r="D14" i="1"/>
  <c r="C14" i="1"/>
  <c r="D9" i="1"/>
  <c r="C9" i="1"/>
  <c r="B9" i="1"/>
  <c r="J3" i="1"/>
  <c r="I3" i="1"/>
  <c r="I14" i="6" l="1"/>
  <c r="I15" i="6" s="1"/>
  <c r="E14" i="6"/>
  <c r="E15" i="6" s="1"/>
  <c r="G14" i="6"/>
  <c r="G15" i="6" s="1"/>
  <c r="C14" i="6"/>
  <c r="C9" i="6"/>
  <c r="H14" i="6" l="1"/>
  <c r="H15" i="6" s="1"/>
  <c r="F14" i="6"/>
  <c r="F15" i="6" s="1"/>
  <c r="K14" i="6"/>
  <c r="K15" i="6" s="1"/>
  <c r="D14" i="6"/>
  <c r="D15" i="6" s="1"/>
  <c r="C15" i="6"/>
  <c r="B15" i="6" l="1"/>
  <c r="J14" i="6"/>
  <c r="J15" i="6" s="1"/>
</calcChain>
</file>

<file path=xl/sharedStrings.xml><?xml version="1.0" encoding="utf-8"?>
<sst xmlns="http://schemas.openxmlformats.org/spreadsheetml/2006/main" count="160" uniqueCount="34">
  <si>
    <t>minimum</t>
  </si>
  <si>
    <t>transition state</t>
  </si>
  <si>
    <t>H</t>
  </si>
  <si>
    <t>J/mol</t>
  </si>
  <si>
    <t>intermediate results</t>
  </si>
  <si>
    <t>input</t>
  </si>
  <si>
    <t>deviation ratio</t>
  </si>
  <si>
    <r>
      <t>cm</t>
    </r>
    <r>
      <rPr>
        <vertAlign val="superscript"/>
        <sz val="11"/>
        <color theme="1"/>
        <rFont val="Symbol"/>
        <family val="1"/>
        <charset val="2"/>
      </rPr>
      <t>-1</t>
    </r>
  </si>
  <si>
    <r>
      <t>cm</t>
    </r>
    <r>
      <rPr>
        <vertAlign val="superscript"/>
        <sz val="11"/>
        <color theme="1"/>
        <rFont val="Symbol"/>
        <family val="1"/>
        <charset val="2"/>
      </rPr>
      <t>-1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hc</t>
    </r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</si>
  <si>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4"/>
        <color theme="1"/>
        <rFont val="Calibri"/>
        <family val="2"/>
        <scheme val="minor"/>
      </rPr>
      <t>el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</si>
  <si>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el</t>
    </r>
  </si>
  <si>
    <t>unit</t>
  </si>
  <si>
    <t>model</t>
  </si>
  <si>
    <t>result</t>
  </si>
  <si>
    <t>barrier heights</t>
  </si>
  <si>
    <t>output</t>
  </si>
  <si>
    <t>EBM</t>
  </si>
  <si>
    <t>BHM</t>
  </si>
  <si>
    <t>RBHM</t>
  </si>
  <si>
    <t>EBHM</t>
  </si>
  <si>
    <t>SEBM</t>
  </si>
  <si>
    <t>MSM</t>
  </si>
  <si>
    <t>DCM</t>
  </si>
  <si>
    <t>UDCM</t>
  </si>
  <si>
    <r>
      <t>ZPE</t>
    </r>
    <r>
      <rPr>
        <b/>
        <vertAlign val="subscript"/>
        <sz val="14"/>
        <color rgb="FFFF0000"/>
        <rFont val="Calibri"/>
        <family val="2"/>
        <scheme val="minor"/>
      </rPr>
      <t>H</t>
    </r>
  </si>
  <si>
    <r>
      <t>ZPE</t>
    </r>
    <r>
      <rPr>
        <b/>
        <vertAlign val="subscript"/>
        <sz val="14"/>
        <color rgb="FF0070C0"/>
        <rFont val="Calibri"/>
        <family val="2"/>
        <scheme val="minor"/>
      </rPr>
      <t>D</t>
    </r>
  </si>
  <si>
    <r>
      <rPr>
        <b/>
        <i/>
        <sz val="11"/>
        <color theme="1"/>
        <rFont val="Symbol"/>
        <family val="1"/>
        <charset val="2"/>
      </rPr>
      <t>w</t>
    </r>
    <r>
      <rPr>
        <b/>
        <vertAlign val="subscript"/>
        <sz val="14"/>
        <color rgb="FFFF0000"/>
        <rFont val="Calibri"/>
        <family val="2"/>
        <scheme val="minor"/>
      </rPr>
      <t>H</t>
    </r>
  </si>
  <si>
    <r>
      <rPr>
        <b/>
        <i/>
        <sz val="11"/>
        <color theme="1"/>
        <rFont val="Symbol"/>
        <family val="1"/>
        <charset val="2"/>
      </rPr>
      <t>w</t>
    </r>
    <r>
      <rPr>
        <b/>
        <vertAlign val="subscript"/>
        <sz val="14"/>
        <color rgb="FF0070C0"/>
        <rFont val="Calibri"/>
        <family val="2"/>
        <scheme val="minor"/>
      </rPr>
      <t>D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</si>
  <si>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vertAlign val="subscript"/>
        <sz val="14"/>
        <color rgb="FFFF0000"/>
        <rFont val="Calibri"/>
        <family val="2"/>
        <scheme val="minor"/>
      </rPr>
      <t>H</t>
    </r>
    <r>
      <rPr>
        <b/>
        <vertAlign val="subscript"/>
        <sz val="14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(exp)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</si>
  <si>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vertAlign val="subscript"/>
        <sz val="14"/>
        <color rgb="FF0070C0"/>
        <rFont val="Calibri"/>
        <family val="2"/>
        <scheme val="minor"/>
      </rPr>
      <t>D</t>
    </r>
    <r>
      <rPr>
        <b/>
        <vertAlign val="subscript"/>
        <sz val="14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(exp)</t>
    </r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</si>
  <si>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4"/>
        <color theme="1"/>
        <rFont val="Calibri"/>
        <family val="2"/>
        <scheme val="minor"/>
      </rPr>
      <t>0,</t>
    </r>
    <r>
      <rPr>
        <b/>
        <vertAlign val="subscript"/>
        <sz val="14"/>
        <color rgb="FFFF0000"/>
        <rFont val="Calibri"/>
        <family val="2"/>
        <scheme val="minor"/>
      </rPr>
      <t>H</t>
    </r>
  </si>
  <si>
    <r>
      <rPr>
        <b/>
        <i/>
        <sz val="11"/>
        <color theme="1"/>
        <rFont val="Calibri"/>
        <family val="2"/>
        <scheme val="minor"/>
      </rPr>
      <t>V</t>
    </r>
    <r>
      <rPr>
        <b/>
        <vertAlign val="subscript"/>
        <sz val="14"/>
        <color theme="1"/>
        <rFont val="Calibri"/>
        <family val="2"/>
        <scheme val="minor"/>
      </rPr>
      <t>0,</t>
    </r>
    <r>
      <rPr>
        <b/>
        <vertAlign val="subscript"/>
        <sz val="14"/>
        <color rgb="FF0070C0"/>
        <rFont val="Calibri"/>
        <family val="2"/>
        <scheme val="minor"/>
      </rPr>
      <t>D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</si>
  <si>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vertAlign val="subscript"/>
        <sz val="14"/>
        <color rgb="FFFF0000"/>
        <rFont val="Calibri"/>
        <family val="2"/>
        <scheme val="minor"/>
      </rPr>
      <t>H</t>
    </r>
    <r>
      <rPr>
        <b/>
        <vertAlign val="subscript"/>
        <sz val="14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(calc)</t>
    </r>
  </si>
  <si>
    <r>
      <rPr>
        <b/>
        <i/>
        <sz val="11"/>
        <color theme="1"/>
        <rFont val="Symbol"/>
        <family val="1"/>
        <charset val="2"/>
      </rPr>
      <t>D</t>
    </r>
    <r>
      <rPr>
        <b/>
        <vertAlign val="subscript"/>
        <sz val="14"/>
        <color rgb="FF0070C0"/>
        <rFont val="Calibri"/>
        <family val="2"/>
        <scheme val="minor"/>
      </rPr>
      <t>D</t>
    </r>
    <r>
      <rPr>
        <b/>
        <vertAlign val="subscript"/>
        <sz val="14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(calc)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</si>
</sst>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1"/>
      <color theme="1"/>
      <name val="Calibri"/>
      <family val="1"/>
      <charset val="2"/>
      <scheme val="minor"/>
    </font>
    <font>
      <b/>
      <i/>
      <sz val="11"/>
      <color theme="1"/>
      <name val="Symbol"/>
      <family val="1"/>
      <charset val="2"/>
    </font>
    <font>
      <b/>
      <vertAlign val="subscript"/>
      <sz val="14"/>
      <color rgb="FFFF0000"/>
      <name val="Calibri"/>
      <family val="2"/>
      <scheme val="minor"/>
    </font>
    <font>
      <b/>
      <vertAlign val="subscript"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="130" zoomScaleNormal="130" workbookViewId="0">
      <selection activeCell="E6" sqref="E6"/>
    </sheetView>
  </sheetViews>
  <sheetFormatPr defaultRowHeight="15"/>
  <cols>
    <col min="1" max="1" width="19.42578125" style="1" bestFit="1" customWidth="1"/>
    <col min="2" max="2" width="13.5703125" style="1" customWidth="1"/>
    <col min="3" max="3" width="11.42578125" style="1" customWidth="1"/>
    <col min="4" max="4" width="10.85546875" style="1" customWidth="1"/>
    <col min="5" max="5" width="11" style="1" customWidth="1"/>
    <col min="6" max="6" width="10.7109375" style="1" customWidth="1"/>
    <col min="7" max="7" width="11.140625" style="1" customWidth="1"/>
    <col min="8" max="8" width="9.85546875" style="1" customWidth="1"/>
    <col min="9" max="9" width="11.28515625" style="1" customWidth="1"/>
    <col min="10" max="10" width="10.140625" style="1" customWidth="1"/>
    <col min="11" max="11" width="10.5703125" style="1" customWidth="1"/>
    <col min="12" max="12" width="11.28515625" style="1" customWidth="1"/>
    <col min="13" max="13" width="11.140625" style="1" customWidth="1"/>
    <col min="14" max="14" width="10.85546875" style="1" customWidth="1"/>
    <col min="15" max="15" width="10" style="1" customWidth="1"/>
    <col min="16" max="16" width="11.140625" style="1" customWidth="1"/>
    <col min="17" max="17" width="10.28515625" style="1" customWidth="1"/>
    <col min="18" max="16384" width="9.140625" style="1"/>
  </cols>
  <sheetData>
    <row r="1" spans="1:17" ht="20.25">
      <c r="A1" s="2" t="s">
        <v>5</v>
      </c>
      <c r="B1" s="7" t="s">
        <v>10</v>
      </c>
      <c r="C1" s="2" t="s">
        <v>24</v>
      </c>
      <c r="D1" s="2" t="s">
        <v>25</v>
      </c>
      <c r="E1" s="8" t="s">
        <v>26</v>
      </c>
      <c r="F1" s="8" t="s">
        <v>27</v>
      </c>
      <c r="I1" s="8" t="s">
        <v>28</v>
      </c>
      <c r="J1" s="8" t="s">
        <v>29</v>
      </c>
    </row>
    <row r="2" spans="1:17" ht="16.5">
      <c r="A2" s="3" t="s">
        <v>11</v>
      </c>
      <c r="B2" s="1" t="s">
        <v>2</v>
      </c>
      <c r="C2" s="1" t="s">
        <v>3</v>
      </c>
      <c r="D2" s="1" t="s">
        <v>3</v>
      </c>
      <c r="E2" s="1" t="s">
        <v>7</v>
      </c>
      <c r="F2" s="1" t="s">
        <v>7</v>
      </c>
      <c r="I2" s="1" t="s">
        <v>8</v>
      </c>
      <c r="J2" s="1" t="s">
        <v>8</v>
      </c>
    </row>
    <row r="3" spans="1:17">
      <c r="A3" s="1" t="s">
        <v>0</v>
      </c>
      <c r="B3" s="1">
        <v>-115.7791605</v>
      </c>
      <c r="C3" s="1">
        <v>134050.79999999999</v>
      </c>
      <c r="D3" s="1">
        <v>125505.2</v>
      </c>
      <c r="E3" s="4">
        <v>291.10000000000002</v>
      </c>
      <c r="F3" s="4">
        <v>231</v>
      </c>
      <c r="I3" s="5">
        <f>9.12175*2/3</f>
        <v>6.0811666666666673</v>
      </c>
      <c r="J3" s="5">
        <f>2.60602*2/3</f>
        <v>1.7373466666666666</v>
      </c>
    </row>
    <row r="4" spans="1:17">
      <c r="A4" s="1" t="s">
        <v>1</v>
      </c>
      <c r="B4" s="1">
        <v>-115.77759020000001</v>
      </c>
      <c r="C4" s="1">
        <v>132606.9</v>
      </c>
      <c r="D4" s="1">
        <v>124337.5</v>
      </c>
      <c r="E4" s="4">
        <v>-294.89999999999998</v>
      </c>
      <c r="F4" s="4">
        <v>-234.7</v>
      </c>
    </row>
    <row r="7" spans="1:17" ht="20.25">
      <c r="A7" s="2" t="s">
        <v>4</v>
      </c>
      <c r="B7" s="2" t="s">
        <v>9</v>
      </c>
      <c r="C7" s="2" t="s">
        <v>30</v>
      </c>
      <c r="D7" s="2" t="s">
        <v>31</v>
      </c>
    </row>
    <row r="8" spans="1:17" ht="16.5">
      <c r="A8" s="3" t="s">
        <v>11</v>
      </c>
      <c r="B8" s="1" t="s">
        <v>8</v>
      </c>
      <c r="C8" s="1" t="s">
        <v>8</v>
      </c>
      <c r="D8" s="1" t="s">
        <v>8</v>
      </c>
    </row>
    <row r="9" spans="1:17">
      <c r="A9" s="3" t="s">
        <v>14</v>
      </c>
      <c r="B9" s="4">
        <f>(B4-B3)*6.02214129*10^23*(4.35974434*10^-18)/(6.022141*10^23*6.62607*10^-34*299792458*100)</f>
        <v>344.64100781363317</v>
      </c>
      <c r="C9" s="4">
        <f>B9+(C4-C3)/(6.022141*10^23*6.62607*10^-34*299792458*100)+0.5*E3</f>
        <v>369.49039525035994</v>
      </c>
      <c r="D9" s="4">
        <f>B9+(D4-D3)/(6.022141*10^23*6.62607*10^-34*299792458*100)+0.5*F3</f>
        <v>362.52891189969563</v>
      </c>
      <c r="E9" s="4"/>
      <c r="F9" s="4"/>
    </row>
    <row r="11" spans="1:17">
      <c r="A11" s="1" t="s">
        <v>12</v>
      </c>
      <c r="B11" s="3" t="s">
        <v>16</v>
      </c>
      <c r="C11" s="3" t="s">
        <v>16</v>
      </c>
      <c r="D11" s="14" t="s">
        <v>17</v>
      </c>
      <c r="E11" s="3" t="s">
        <v>17</v>
      </c>
      <c r="F11" s="12" t="s">
        <v>18</v>
      </c>
      <c r="G11" s="9" t="s">
        <v>18</v>
      </c>
      <c r="H11" s="12" t="s">
        <v>19</v>
      </c>
      <c r="I11" s="9" t="s">
        <v>19</v>
      </c>
      <c r="J11" s="12" t="s">
        <v>20</v>
      </c>
      <c r="K11" s="9" t="s">
        <v>20</v>
      </c>
      <c r="L11" s="12" t="s">
        <v>21</v>
      </c>
      <c r="M11" s="9" t="s">
        <v>21</v>
      </c>
      <c r="N11" s="12" t="s">
        <v>22</v>
      </c>
      <c r="O11" s="9" t="s">
        <v>22</v>
      </c>
      <c r="P11" s="14" t="s">
        <v>23</v>
      </c>
      <c r="Q11" s="3" t="s">
        <v>23</v>
      </c>
    </row>
    <row r="12" spans="1:17" ht="20.25">
      <c r="A12" s="2" t="s">
        <v>15</v>
      </c>
      <c r="B12" s="8" t="s">
        <v>32</v>
      </c>
      <c r="C12" s="8" t="s">
        <v>33</v>
      </c>
      <c r="D12" s="10" t="s">
        <v>32</v>
      </c>
      <c r="E12" s="8" t="s">
        <v>33</v>
      </c>
      <c r="F12" s="10" t="s">
        <v>32</v>
      </c>
      <c r="G12" s="8" t="s">
        <v>33</v>
      </c>
      <c r="H12" s="10" t="s">
        <v>32</v>
      </c>
      <c r="I12" s="8" t="s">
        <v>33</v>
      </c>
      <c r="J12" s="10" t="s">
        <v>32</v>
      </c>
      <c r="K12" s="8" t="s">
        <v>33</v>
      </c>
      <c r="L12" s="10" t="s">
        <v>32</v>
      </c>
      <c r="M12" s="8" t="s">
        <v>33</v>
      </c>
      <c r="N12" s="10" t="s">
        <v>32</v>
      </c>
      <c r="O12" s="8" t="s">
        <v>33</v>
      </c>
      <c r="P12" s="10" t="s">
        <v>32</v>
      </c>
      <c r="Q12" s="8" t="s">
        <v>33</v>
      </c>
    </row>
    <row r="13" spans="1:17" ht="16.5">
      <c r="A13" s="3" t="s">
        <v>11</v>
      </c>
      <c r="B13" s="1" t="s">
        <v>8</v>
      </c>
      <c r="C13" s="1" t="s">
        <v>8</v>
      </c>
      <c r="D13" s="11" t="s">
        <v>8</v>
      </c>
      <c r="E13" s="1" t="s">
        <v>8</v>
      </c>
      <c r="F13" s="11" t="s">
        <v>8</v>
      </c>
      <c r="G13" s="1" t="s">
        <v>8</v>
      </c>
      <c r="H13" s="11" t="s">
        <v>8</v>
      </c>
      <c r="I13" s="1" t="s">
        <v>8</v>
      </c>
      <c r="J13" s="11" t="s">
        <v>8</v>
      </c>
      <c r="K13" s="1" t="s">
        <v>8</v>
      </c>
      <c r="L13" s="11" t="s">
        <v>8</v>
      </c>
      <c r="M13" s="1" t="s">
        <v>8</v>
      </c>
      <c r="N13" s="11" t="s">
        <v>8</v>
      </c>
      <c r="O13" s="1" t="s">
        <v>8</v>
      </c>
      <c r="P13" s="11" t="s">
        <v>8</v>
      </c>
      <c r="Q13" s="1" t="s">
        <v>8</v>
      </c>
    </row>
    <row r="14" spans="1:17">
      <c r="A14" s="3" t="s">
        <v>13</v>
      </c>
      <c r="B14" s="9">
        <f>E3/(PI()*EXP(1))^0.5*EXP(-2*PI()/ABS(E4)*(C9-SQRT(0.5*E3*C9)))</f>
        <v>5.3114156715199057</v>
      </c>
      <c r="C14" s="9">
        <f>F3/(PI()*EXP(1))^0.5*EXP(-2*PI()/-F4*(D9-SQRT(0.5*F3*D9)))</f>
        <v>1.153535509660955</v>
      </c>
      <c r="D14" s="12">
        <f>10^(-0.00315*C9+1.76759)</f>
        <v>4.015089725759589</v>
      </c>
      <c r="E14" s="9">
        <f>10^(-0.0057*D9+1.95577)</f>
        <v>0.77509547621798625</v>
      </c>
      <c r="F14" s="12">
        <f>10^(-0.00407*C9+2.12162)</f>
        <v>4.1475735032940779</v>
      </c>
      <c r="G14" s="9">
        <f>10^(-0.00589*D9+1.97918)</f>
        <v>0.69804707063725846</v>
      </c>
      <c r="H14" s="12">
        <f>EXP(-0.33295*(C9-0.5*E3)^0.5+1.85065)*E3/SQRT(PI()*EXP(1))</f>
        <v>4.3469551415929155</v>
      </c>
      <c r="I14" s="9">
        <f>EXP(-0.5298*(D9-0.5*F3)^0.5+3.85515)*F3/SQRT(PI()*EXP(1))</f>
        <v>0.90325974616812987</v>
      </c>
      <c r="J14" s="12">
        <f>1/10^0.1384*J3*B14/C14</f>
        <v>5.8165545829409435</v>
      </c>
      <c r="K14" s="9">
        <f>10^0.1384*I3*C14/B14</f>
        <v>1.8163836489669625</v>
      </c>
      <c r="L14" s="12">
        <f>J3*(SQRT(2)*EXP(-LN(F3/J3/SQRT(PI()*EXP(1)))*(2^(-0.5)-1)))</f>
        <v>7.516564898975636</v>
      </c>
      <c r="M14" s="9">
        <f>I3/(SQRT(2)*EXP(LN(E3/I3/SQRT(PI()*EXP(1)))*(SQRT(2)-1)))</f>
        <v>1.3504504693966595</v>
      </c>
      <c r="N14" s="12">
        <f>10^((LOG(J3)+1.03292)/1.45897)</f>
        <v>7.4541945727962728</v>
      </c>
      <c r="O14" s="9">
        <f>10^(1.45897*LOG(I3)-1.03292)</f>
        <v>1.2909023062143505</v>
      </c>
      <c r="P14" s="11">
        <f>10^((LOG(J3)+1.12094)/1.37949)</f>
        <v>9.6932790205782116</v>
      </c>
      <c r="Q14" s="5">
        <f>10^(1.37949*LOG(I3)-1.12094)</f>
        <v>0.91319199822687136</v>
      </c>
    </row>
    <row r="15" spans="1:17">
      <c r="A15" s="1" t="s">
        <v>6</v>
      </c>
      <c r="B15" s="6">
        <f>B14/$I3</f>
        <v>0.87342050673169702</v>
      </c>
      <c r="C15" s="6">
        <f>C14/$J3</f>
        <v>0.66396392371947743</v>
      </c>
      <c r="D15" s="13">
        <f>D14/$I3</f>
        <v>0.66024990694103469</v>
      </c>
      <c r="E15" s="6">
        <f>E14/$J3</f>
        <v>0.4461374871746876</v>
      </c>
      <c r="F15" s="13">
        <f>F14/$I3</f>
        <v>0.68203582151901954</v>
      </c>
      <c r="G15" s="6">
        <f>G14/$J3</f>
        <v>0.40178916737242526</v>
      </c>
      <c r="H15" s="13">
        <f>H14/$I3</f>
        <v>0.71482256281846934</v>
      </c>
      <c r="I15" s="6">
        <f>I14/$J3</f>
        <v>0.51990760594784191</v>
      </c>
      <c r="J15" s="13">
        <f>J14/$I3</f>
        <v>0.95648662530889517</v>
      </c>
      <c r="K15" s="6">
        <f>K14/$J3</f>
        <v>1.045492925399822</v>
      </c>
      <c r="L15" s="13">
        <f>L14/$I3</f>
        <v>1.2360399428249462</v>
      </c>
      <c r="M15" s="6">
        <f>M14/$J3</f>
        <v>0.77730627704123123</v>
      </c>
      <c r="N15" s="13">
        <f>N14/$I3</f>
        <v>1.2257836335346186</v>
      </c>
      <c r="O15" s="6">
        <f>O14/$J3</f>
        <v>0.74303092812853544</v>
      </c>
      <c r="P15" s="13">
        <f>P14/$I3</f>
        <v>1.5939834495428307</v>
      </c>
      <c r="Q15" s="6">
        <f>Q14/$J3</f>
        <v>0.52562451452418135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A51D-27A4-476C-9A90-6AE8BBCCD1D3}">
  <dimension ref="A1:Q15"/>
  <sheetViews>
    <sheetView zoomScale="130" zoomScaleNormal="130" workbookViewId="0">
      <selection activeCell="G14" sqref="G14"/>
    </sheetView>
  </sheetViews>
  <sheetFormatPr defaultRowHeight="15"/>
  <cols>
    <col min="1" max="1" width="19.42578125" style="1" bestFit="1" customWidth="1"/>
    <col min="2" max="2" width="13.5703125" style="1" customWidth="1"/>
    <col min="3" max="3" width="11.42578125" style="1" customWidth="1"/>
    <col min="4" max="4" width="10.85546875" style="1" customWidth="1"/>
    <col min="5" max="5" width="11" style="1" customWidth="1"/>
    <col min="6" max="6" width="10.7109375" style="1" customWidth="1"/>
    <col min="7" max="7" width="11.140625" style="1" customWidth="1"/>
    <col min="8" max="8" width="9.85546875" style="1" customWidth="1"/>
    <col min="9" max="9" width="11.28515625" style="1" customWidth="1"/>
    <col min="10" max="10" width="10.140625" style="1" customWidth="1"/>
    <col min="11" max="11" width="10.5703125" style="1" customWidth="1"/>
    <col min="12" max="12" width="11.28515625" style="1" customWidth="1"/>
    <col min="13" max="13" width="11.140625" style="1" customWidth="1"/>
    <col min="14" max="14" width="10.85546875" style="1" customWidth="1"/>
    <col min="15" max="15" width="10" style="1" customWidth="1"/>
    <col min="16" max="16" width="11.140625" style="1" customWidth="1"/>
    <col min="17" max="17" width="10.28515625" style="1" customWidth="1"/>
    <col min="18" max="16384" width="9.140625" style="1"/>
  </cols>
  <sheetData>
    <row r="1" spans="1:17" ht="20.25">
      <c r="A1" s="2" t="s">
        <v>5</v>
      </c>
      <c r="B1" s="7" t="s">
        <v>10</v>
      </c>
      <c r="C1" s="2" t="s">
        <v>24</v>
      </c>
      <c r="D1" s="2" t="s">
        <v>25</v>
      </c>
      <c r="E1" s="8" t="s">
        <v>26</v>
      </c>
      <c r="F1" s="8" t="s">
        <v>27</v>
      </c>
      <c r="I1" s="8" t="s">
        <v>28</v>
      </c>
      <c r="J1" s="8" t="s">
        <v>29</v>
      </c>
    </row>
    <row r="2" spans="1:17" ht="16.5">
      <c r="A2" s="3" t="s">
        <v>11</v>
      </c>
      <c r="B2" s="1" t="s">
        <v>2</v>
      </c>
      <c r="C2" s="1" t="s">
        <v>3</v>
      </c>
      <c r="D2" s="1" t="s">
        <v>3</v>
      </c>
      <c r="E2" s="1" t="s">
        <v>7</v>
      </c>
      <c r="F2" s="1" t="s">
        <v>7</v>
      </c>
      <c r="I2" s="1" t="s">
        <v>8</v>
      </c>
      <c r="J2" s="1" t="s">
        <v>8</v>
      </c>
    </row>
    <row r="3" spans="1:17">
      <c r="A3" s="1" t="s">
        <v>0</v>
      </c>
      <c r="E3" s="4"/>
      <c r="F3" s="4"/>
      <c r="I3" s="5"/>
      <c r="J3" s="5"/>
    </row>
    <row r="4" spans="1:17">
      <c r="A4" s="1" t="s">
        <v>1</v>
      </c>
      <c r="E4" s="4"/>
      <c r="F4" s="4"/>
    </row>
    <row r="7" spans="1:17" ht="20.25">
      <c r="A7" s="2" t="s">
        <v>4</v>
      </c>
      <c r="B7" s="2" t="s">
        <v>9</v>
      </c>
      <c r="C7" s="2" t="s">
        <v>30</v>
      </c>
      <c r="D7" s="2" t="s">
        <v>31</v>
      </c>
    </row>
    <row r="8" spans="1:17" ht="16.5">
      <c r="A8" s="3" t="s">
        <v>11</v>
      </c>
      <c r="B8" s="1" t="s">
        <v>8</v>
      </c>
      <c r="C8" s="1" t="s">
        <v>8</v>
      </c>
      <c r="D8" s="1" t="s">
        <v>8</v>
      </c>
    </row>
    <row r="9" spans="1:17">
      <c r="A9" s="3" t="s">
        <v>14</v>
      </c>
      <c r="B9" s="4">
        <f>(B4-B3)*6.02214129*10^23*(4.35974434*10^-18)/(6.022141*10^23*6.62607*10^-34*299792458*100)</f>
        <v>0</v>
      </c>
      <c r="C9" s="4">
        <f>B9+(C4-C3)/(6.022141*10^23*6.62607*10^-34*299792458*100)+0.5*E3</f>
        <v>0</v>
      </c>
      <c r="D9" s="4">
        <f>B9+(D4-D3)/(6.022141*10^23*6.62607*10^-34*299792458*100)+0.5*F3</f>
        <v>0</v>
      </c>
      <c r="E9" s="4"/>
      <c r="F9" s="4"/>
    </row>
    <row r="11" spans="1:17">
      <c r="A11" s="1" t="s">
        <v>12</v>
      </c>
      <c r="B11" s="3" t="s">
        <v>16</v>
      </c>
      <c r="C11" s="3" t="s">
        <v>16</v>
      </c>
      <c r="D11" s="14" t="s">
        <v>17</v>
      </c>
      <c r="E11" s="3" t="s">
        <v>17</v>
      </c>
      <c r="F11" s="12" t="s">
        <v>18</v>
      </c>
      <c r="G11" s="9" t="s">
        <v>18</v>
      </c>
      <c r="H11" s="12" t="s">
        <v>19</v>
      </c>
      <c r="I11" s="9" t="s">
        <v>19</v>
      </c>
      <c r="J11" s="12" t="s">
        <v>20</v>
      </c>
      <c r="K11" s="9" t="s">
        <v>20</v>
      </c>
      <c r="L11" s="12" t="s">
        <v>21</v>
      </c>
      <c r="M11" s="9" t="s">
        <v>21</v>
      </c>
      <c r="N11" s="12" t="s">
        <v>22</v>
      </c>
      <c r="O11" s="9" t="s">
        <v>22</v>
      </c>
      <c r="P11" s="14" t="s">
        <v>23</v>
      </c>
      <c r="Q11" s="3" t="s">
        <v>23</v>
      </c>
    </row>
    <row r="12" spans="1:17" ht="20.25">
      <c r="A12" s="2" t="s">
        <v>15</v>
      </c>
      <c r="B12" s="8" t="s">
        <v>32</v>
      </c>
      <c r="C12" s="8" t="s">
        <v>33</v>
      </c>
      <c r="D12" s="10" t="s">
        <v>32</v>
      </c>
      <c r="E12" s="8" t="s">
        <v>33</v>
      </c>
      <c r="F12" s="10" t="s">
        <v>32</v>
      </c>
      <c r="G12" s="8" t="s">
        <v>33</v>
      </c>
      <c r="H12" s="10" t="s">
        <v>32</v>
      </c>
      <c r="I12" s="8" t="s">
        <v>33</v>
      </c>
      <c r="J12" s="10" t="s">
        <v>32</v>
      </c>
      <c r="K12" s="8" t="s">
        <v>33</v>
      </c>
      <c r="L12" s="10" t="s">
        <v>32</v>
      </c>
      <c r="M12" s="8" t="s">
        <v>33</v>
      </c>
      <c r="N12" s="10" t="s">
        <v>32</v>
      </c>
      <c r="O12" s="8" t="s">
        <v>33</v>
      </c>
      <c r="P12" s="10" t="s">
        <v>32</v>
      </c>
      <c r="Q12" s="8" t="s">
        <v>33</v>
      </c>
    </row>
    <row r="13" spans="1:17" ht="16.5">
      <c r="A13" s="3" t="s">
        <v>11</v>
      </c>
      <c r="B13" s="1" t="s">
        <v>8</v>
      </c>
      <c r="C13" s="1" t="s">
        <v>8</v>
      </c>
      <c r="D13" s="11" t="s">
        <v>8</v>
      </c>
      <c r="E13" s="1" t="s">
        <v>8</v>
      </c>
      <c r="F13" s="11" t="s">
        <v>8</v>
      </c>
      <c r="G13" s="1" t="s">
        <v>8</v>
      </c>
      <c r="H13" s="11" t="s">
        <v>8</v>
      </c>
      <c r="I13" s="1" t="s">
        <v>8</v>
      </c>
      <c r="J13" s="11" t="s">
        <v>8</v>
      </c>
      <c r="K13" s="1" t="s">
        <v>8</v>
      </c>
      <c r="L13" s="11" t="s">
        <v>8</v>
      </c>
      <c r="M13" s="1" t="s">
        <v>8</v>
      </c>
      <c r="N13" s="11" t="s">
        <v>8</v>
      </c>
      <c r="O13" s="1" t="s">
        <v>8</v>
      </c>
      <c r="P13" s="11" t="s">
        <v>8</v>
      </c>
      <c r="Q13" s="1" t="s">
        <v>8</v>
      </c>
    </row>
    <row r="14" spans="1:17">
      <c r="A14" s="3" t="s">
        <v>13</v>
      </c>
      <c r="B14" s="9" t="e">
        <f>E3/(PI()*EXP(1))^0.5*EXP(-2*PI()/ABS(E4)*(C9-SQRT(0.5*E3*C9)))</f>
        <v>#DIV/0!</v>
      </c>
      <c r="C14" s="9" t="e">
        <f>F3/(PI()*EXP(1))^0.5*EXP(-2*PI()/-F4*(D9-SQRT(0.5*F3*D9)))</f>
        <v>#DIV/0!</v>
      </c>
      <c r="D14" s="12">
        <f>10^(-0.00315*C9+1.76759)</f>
        <v>58.558507609938211</v>
      </c>
      <c r="E14" s="9">
        <f>10^(-0.0057*D9+1.95577)</f>
        <v>90.317103256768192</v>
      </c>
      <c r="F14" s="12">
        <f>10^(-0.00407*C9+2.12162)</f>
        <v>132.3183266551614</v>
      </c>
      <c r="G14" s="9">
        <f>10^(-0.00589*D9+1.97918)</f>
        <v>95.319114683524546</v>
      </c>
      <c r="H14" s="12">
        <f>EXP(-0.33295*(C9-0.5*E3)^0.5+1.85065)*E3/SQRT(PI()*EXP(1))</f>
        <v>0</v>
      </c>
      <c r="I14" s="9">
        <f>EXP(-0.5298*(D9-0.5*F3)^0.5+3.85515)*F3/SQRT(PI()*EXP(1))</f>
        <v>0</v>
      </c>
      <c r="J14" s="12" t="e">
        <f>1/10^0.1384*J3*B14/C14</f>
        <v>#DIV/0!</v>
      </c>
      <c r="K14" s="9" t="e">
        <f>10^0.1384*I3*C14/B14</f>
        <v>#DIV/0!</v>
      </c>
      <c r="L14" s="12" t="e">
        <f>J3*(SQRT(2)*EXP(-LN(F3/J3/SQRT(PI()*EXP(1)))*(2^(-0.5)-1)))</f>
        <v>#DIV/0!</v>
      </c>
      <c r="M14" s="9" t="e">
        <f>I3/(SQRT(2)*EXP(LN(E3/I3/SQRT(PI()*EXP(1)))*(SQRT(2)-1)))</f>
        <v>#DIV/0!</v>
      </c>
      <c r="N14" s="12" t="e">
        <f>10^((LOG(J3)+1.03292)/1.45897)</f>
        <v>#NUM!</v>
      </c>
      <c r="O14" s="9" t="e">
        <f>10^(1.45897*LOG(I3)-1.03292)</f>
        <v>#NUM!</v>
      </c>
      <c r="P14" s="11" t="e">
        <f>10^((LOG(J3)+1.12094)/1.37949)</f>
        <v>#NUM!</v>
      </c>
      <c r="Q14" s="5" t="e">
        <f>10^(1.37949*LOG(I3)-1.12094)</f>
        <v>#NUM!</v>
      </c>
    </row>
    <row r="15" spans="1:17">
      <c r="A15" s="1" t="s">
        <v>6</v>
      </c>
      <c r="B15" s="6" t="e">
        <f>B14/$I3</f>
        <v>#DIV/0!</v>
      </c>
      <c r="C15" s="6" t="e">
        <f>C14/$J3</f>
        <v>#DIV/0!</v>
      </c>
      <c r="D15" s="13" t="e">
        <f>D14/$I3</f>
        <v>#DIV/0!</v>
      </c>
      <c r="E15" s="6" t="e">
        <f>E14/$J3</f>
        <v>#DIV/0!</v>
      </c>
      <c r="F15" s="13" t="e">
        <f>F14/$I3</f>
        <v>#DIV/0!</v>
      </c>
      <c r="G15" s="6" t="e">
        <f>G14/$J3</f>
        <v>#DIV/0!</v>
      </c>
      <c r="H15" s="13" t="e">
        <f>H14/$I3</f>
        <v>#DIV/0!</v>
      </c>
      <c r="I15" s="6" t="e">
        <f>I14/$J3</f>
        <v>#DIV/0!</v>
      </c>
      <c r="J15" s="13" t="e">
        <f>J14/$I3</f>
        <v>#DIV/0!</v>
      </c>
      <c r="K15" s="6" t="e">
        <f>K14/$J3</f>
        <v>#DIV/0!</v>
      </c>
      <c r="L15" s="13" t="e">
        <f>L14/$I3</f>
        <v>#DIV/0!</v>
      </c>
      <c r="M15" s="6" t="e">
        <f>M14/$J3</f>
        <v>#DIV/0!</v>
      </c>
      <c r="N15" s="13" t="e">
        <f>N14/$I3</f>
        <v>#NUM!</v>
      </c>
      <c r="O15" s="6" t="e">
        <f>O14/$J3</f>
        <v>#NUM!</v>
      </c>
      <c r="P15" s="13" t="e">
        <f>P14/$I3</f>
        <v>#NUM!</v>
      </c>
      <c r="Q15" s="6" t="e">
        <f>Q14/$J3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CH3OH</vt:lpstr>
      <vt:lpstr>New alcohol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2021-07-12T13:41:28Z</dcterms:modified>
</cp:coreProperties>
</file>