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OneDrive\DST-Inspre Faculty\Papers\JACS\model\Final\"/>
    </mc:Choice>
  </mc:AlternateContent>
  <bookViews>
    <workbookView xWindow="0" yWindow="0" windowWidth="28800" windowHeight="12435"/>
  </bookViews>
  <sheets>
    <sheet name="Dataset3" sheetId="10" r:id="rId1"/>
  </sheets>
  <calcPr calcId="152511"/>
</workbook>
</file>

<file path=xl/calcChain.xml><?xml version="1.0" encoding="utf-8"?>
<calcChain xmlns="http://schemas.openxmlformats.org/spreadsheetml/2006/main">
  <c r="O264" i="10" l="1"/>
  <c r="O265" i="10"/>
  <c r="O266" i="10"/>
  <c r="O267" i="10"/>
  <c r="O268" i="10"/>
  <c r="O269" i="10"/>
  <c r="O270" i="10"/>
  <c r="O271" i="10"/>
  <c r="O272" i="10"/>
  <c r="O273" i="10"/>
  <c r="O274" i="10"/>
  <c r="O275" i="10"/>
  <c r="O276" i="10"/>
  <c r="O277" i="10"/>
  <c r="O278" i="10"/>
  <c r="O279" i="10"/>
  <c r="O280" i="10"/>
  <c r="O281" i="10"/>
  <c r="O282" i="10"/>
  <c r="O283" i="10"/>
  <c r="O284" i="10"/>
  <c r="O285" i="10"/>
  <c r="O286" i="10"/>
  <c r="O287" i="10"/>
  <c r="O288" i="10"/>
  <c r="O289" i="10"/>
  <c r="O290" i="10"/>
  <c r="O291" i="10"/>
  <c r="O292" i="10"/>
  <c r="O293" i="10"/>
  <c r="O294" i="10"/>
  <c r="O295" i="10"/>
  <c r="O296" i="10"/>
  <c r="O297" i="10"/>
  <c r="O298" i="10"/>
  <c r="O299" i="10"/>
  <c r="O300" i="10"/>
  <c r="O301" i="10"/>
  <c r="O302" i="10"/>
  <c r="O303" i="10"/>
  <c r="O304" i="10"/>
  <c r="O305" i="10"/>
  <c r="O306" i="10"/>
  <c r="O307" i="10"/>
  <c r="O308" i="10"/>
  <c r="O309" i="10"/>
  <c r="O310" i="10"/>
  <c r="O311" i="10"/>
  <c r="O312" i="10"/>
  <c r="O313" i="10"/>
  <c r="O314" i="10"/>
  <c r="O315" i="10"/>
  <c r="O316" i="10"/>
  <c r="O317" i="10"/>
  <c r="O318" i="10"/>
  <c r="O319" i="10"/>
  <c r="O320" i="10"/>
  <c r="O321" i="10"/>
  <c r="O322" i="10"/>
  <c r="O323" i="10"/>
  <c r="O324" i="10"/>
  <c r="O325" i="10"/>
  <c r="O326" i="10"/>
  <c r="O327" i="10"/>
  <c r="O328" i="10"/>
  <c r="O329" i="10"/>
  <c r="O330" i="10"/>
  <c r="O331" i="10"/>
  <c r="O332" i="10"/>
  <c r="O333" i="10"/>
  <c r="O334" i="10"/>
  <c r="O260" i="10"/>
  <c r="O261" i="10"/>
  <c r="O262" i="10"/>
  <c r="O263" i="10"/>
  <c r="O259" i="10"/>
  <c r="BV348" i="10" l="1"/>
  <c r="BS348" i="10"/>
  <c r="BP348" i="10"/>
  <c r="BI348" i="10"/>
  <c r="BH348" i="10"/>
  <c r="BJ348" i="10" s="1"/>
  <c r="BF348" i="10"/>
  <c r="BE348" i="10"/>
  <c r="BC348" i="10"/>
  <c r="BB348" i="10"/>
  <c r="BA348" i="10"/>
  <c r="AX348" i="10"/>
  <c r="AU348" i="10"/>
  <c r="AP348" i="10"/>
  <c r="AL348" i="10"/>
  <c r="AI348" i="10"/>
  <c r="AF348" i="10"/>
  <c r="AC348" i="10"/>
  <c r="V348" i="10"/>
  <c r="U348" i="10"/>
  <c r="S348" i="10"/>
  <c r="T348" i="10" s="1"/>
  <c r="R348" i="10"/>
  <c r="P348" i="10"/>
  <c r="O348" i="10"/>
  <c r="N348" i="10"/>
  <c r="K348" i="10"/>
  <c r="H348" i="10"/>
  <c r="BV347" i="10"/>
  <c r="BS347" i="10"/>
  <c r="BP347" i="10"/>
  <c r="BI347" i="10"/>
  <c r="BH347" i="10"/>
  <c r="BF347" i="10"/>
  <c r="BE347" i="10"/>
  <c r="BC347" i="10"/>
  <c r="BB347" i="10"/>
  <c r="BD347" i="10" s="1"/>
  <c r="BA347" i="10"/>
  <c r="AX347" i="10"/>
  <c r="AU347" i="10"/>
  <c r="AP347" i="10"/>
  <c r="AL347" i="10"/>
  <c r="AI347" i="10"/>
  <c r="AF347" i="10"/>
  <c r="AC347" i="10"/>
  <c r="V347" i="10"/>
  <c r="U347" i="10"/>
  <c r="S347" i="10"/>
  <c r="Y347" i="10" s="1"/>
  <c r="R347" i="10"/>
  <c r="P347" i="10"/>
  <c r="O347" i="10"/>
  <c r="N347" i="10"/>
  <c r="K347" i="10"/>
  <c r="H347" i="10"/>
  <c r="BV346" i="10"/>
  <c r="BS346" i="10"/>
  <c r="BP346" i="10"/>
  <c r="BI346" i="10"/>
  <c r="BH346" i="10"/>
  <c r="BF346" i="10"/>
  <c r="BE346" i="10"/>
  <c r="BC346" i="10"/>
  <c r="BB346" i="10"/>
  <c r="BA346" i="10"/>
  <c r="AX346" i="10"/>
  <c r="AU346" i="10"/>
  <c r="AP346" i="10"/>
  <c r="AL346" i="10"/>
  <c r="AI346" i="10"/>
  <c r="AF346" i="10"/>
  <c r="AC346" i="10"/>
  <c r="V346" i="10"/>
  <c r="U346" i="10"/>
  <c r="S346" i="10"/>
  <c r="T346" i="10" s="1"/>
  <c r="R346" i="10"/>
  <c r="P346" i="10"/>
  <c r="O346" i="10"/>
  <c r="N346" i="10"/>
  <c r="K346" i="10"/>
  <c r="H346" i="10"/>
  <c r="BV345" i="10"/>
  <c r="BS345" i="10"/>
  <c r="BP345" i="10"/>
  <c r="BI345" i="10"/>
  <c r="BH345" i="10"/>
  <c r="BJ345" i="10" s="1"/>
  <c r="BF345" i="10"/>
  <c r="BE345" i="10"/>
  <c r="BC345" i="10"/>
  <c r="BB345" i="10"/>
  <c r="BA345" i="10"/>
  <c r="AX345" i="10"/>
  <c r="AU345" i="10"/>
  <c r="AP345" i="10"/>
  <c r="AL345" i="10"/>
  <c r="AI345" i="10"/>
  <c r="AF345" i="10"/>
  <c r="AC345" i="10"/>
  <c r="V345" i="10"/>
  <c r="U345" i="10"/>
  <c r="S345" i="10"/>
  <c r="T345" i="10" s="1"/>
  <c r="R345" i="10"/>
  <c r="P345" i="10"/>
  <c r="Q345" i="10" s="1"/>
  <c r="O345" i="10"/>
  <c r="N345" i="10"/>
  <c r="K345" i="10"/>
  <c r="H345" i="10"/>
  <c r="BV344" i="10"/>
  <c r="BS344" i="10"/>
  <c r="BP344" i="10"/>
  <c r="BI344" i="10"/>
  <c r="BH344" i="10"/>
  <c r="BF344" i="10"/>
  <c r="BE344" i="10"/>
  <c r="BC344" i="10"/>
  <c r="BB344" i="10"/>
  <c r="BA344" i="10"/>
  <c r="AX344" i="10"/>
  <c r="AU344" i="10"/>
  <c r="AP344" i="10"/>
  <c r="AL344" i="10"/>
  <c r="AI344" i="10"/>
  <c r="AF344" i="10"/>
  <c r="AC344" i="10"/>
  <c r="V344" i="10"/>
  <c r="U344" i="10"/>
  <c r="T344" i="10"/>
  <c r="S344" i="10"/>
  <c r="R344" i="10"/>
  <c r="P344" i="10"/>
  <c r="O344" i="10"/>
  <c r="N344" i="10"/>
  <c r="K344" i="10"/>
  <c r="H344" i="10"/>
  <c r="BV343" i="10"/>
  <c r="BS343" i="10"/>
  <c r="BP343" i="10"/>
  <c r="BI343" i="10"/>
  <c r="BH343" i="10"/>
  <c r="BF343" i="10"/>
  <c r="BE343" i="10"/>
  <c r="BC343" i="10"/>
  <c r="BB343" i="10"/>
  <c r="BA343" i="10"/>
  <c r="AX343" i="10"/>
  <c r="AU343" i="10"/>
  <c r="AP343" i="10"/>
  <c r="AL343" i="10"/>
  <c r="AI343" i="10"/>
  <c r="AF343" i="10"/>
  <c r="AC343" i="10"/>
  <c r="V343" i="10"/>
  <c r="U343" i="10"/>
  <c r="S343" i="10"/>
  <c r="T343" i="10" s="1"/>
  <c r="R343" i="10"/>
  <c r="P343" i="10"/>
  <c r="Q343" i="10" s="1"/>
  <c r="O343" i="10"/>
  <c r="N343" i="10"/>
  <c r="K343" i="10"/>
  <c r="H343" i="10"/>
  <c r="BV342" i="10"/>
  <c r="BS342" i="10"/>
  <c r="BP342" i="10"/>
  <c r="BI342" i="10"/>
  <c r="BH342" i="10"/>
  <c r="BF342" i="10"/>
  <c r="BE342" i="10"/>
  <c r="BC342" i="10"/>
  <c r="BB342" i="10"/>
  <c r="BA342" i="10"/>
  <c r="AX342" i="10"/>
  <c r="AU342" i="10"/>
  <c r="AP342" i="10"/>
  <c r="AL342" i="10"/>
  <c r="AI342" i="10"/>
  <c r="AF342" i="10"/>
  <c r="AC342" i="10"/>
  <c r="V342" i="10"/>
  <c r="U342" i="10"/>
  <c r="S342" i="10"/>
  <c r="T342" i="10" s="1"/>
  <c r="R342" i="10"/>
  <c r="P342" i="10"/>
  <c r="Q342" i="10" s="1"/>
  <c r="O342" i="10"/>
  <c r="N342" i="10"/>
  <c r="K342" i="10"/>
  <c r="H342" i="10"/>
  <c r="BV341" i="10"/>
  <c r="BS341" i="10"/>
  <c r="BP341" i="10"/>
  <c r="BI341" i="10"/>
  <c r="BH341" i="10"/>
  <c r="BF341" i="10"/>
  <c r="BE341" i="10"/>
  <c r="BC341" i="10"/>
  <c r="BB341" i="10"/>
  <c r="BD341" i="10" s="1"/>
  <c r="BA341" i="10"/>
  <c r="AX341" i="10"/>
  <c r="AU341" i="10"/>
  <c r="AP341" i="10"/>
  <c r="AL341" i="10"/>
  <c r="AI341" i="10"/>
  <c r="AF341" i="10"/>
  <c r="AC341" i="10"/>
  <c r="V341" i="10"/>
  <c r="W341" i="10" s="1"/>
  <c r="U341" i="10"/>
  <c r="S341" i="10"/>
  <c r="T341" i="10" s="1"/>
  <c r="R341" i="10"/>
  <c r="X341" i="10" s="1"/>
  <c r="P341" i="10"/>
  <c r="O341" i="10"/>
  <c r="N341" i="10"/>
  <c r="K341" i="10"/>
  <c r="H341" i="10"/>
  <c r="BV340" i="10"/>
  <c r="BS340" i="10"/>
  <c r="BP340" i="10"/>
  <c r="BI340" i="10"/>
  <c r="BH340" i="10"/>
  <c r="BF340" i="10"/>
  <c r="BE340" i="10"/>
  <c r="BC340" i="10"/>
  <c r="BB340" i="10"/>
  <c r="BD340" i="10" s="1"/>
  <c r="BA340" i="10"/>
  <c r="AX340" i="10"/>
  <c r="AU340" i="10"/>
  <c r="AP340" i="10"/>
  <c r="AL340" i="10"/>
  <c r="AI340" i="10"/>
  <c r="AF340" i="10"/>
  <c r="AC340" i="10"/>
  <c r="V340" i="10"/>
  <c r="U340" i="10"/>
  <c r="S340" i="10"/>
  <c r="R340" i="10"/>
  <c r="P340" i="10"/>
  <c r="O340" i="10"/>
  <c r="N340" i="10"/>
  <c r="K340" i="10"/>
  <c r="H340" i="10"/>
  <c r="BV339" i="10"/>
  <c r="BS339" i="10"/>
  <c r="BP339" i="10"/>
  <c r="BI339" i="10"/>
  <c r="BH339" i="10"/>
  <c r="BF339" i="10"/>
  <c r="BE339" i="10"/>
  <c r="BC339" i="10"/>
  <c r="BB339" i="10"/>
  <c r="BA339" i="10"/>
  <c r="AX339" i="10"/>
  <c r="AU339" i="10"/>
  <c r="AP339" i="10"/>
  <c r="AL339" i="10"/>
  <c r="AI339" i="10"/>
  <c r="AF339" i="10"/>
  <c r="AC339" i="10"/>
  <c r="V339" i="10"/>
  <c r="W339" i="10" s="1"/>
  <c r="U339" i="10"/>
  <c r="S339" i="10"/>
  <c r="T339" i="10" s="1"/>
  <c r="R339" i="10"/>
  <c r="X339" i="10" s="1"/>
  <c r="P339" i="10"/>
  <c r="O339" i="10"/>
  <c r="N339" i="10"/>
  <c r="K339" i="10"/>
  <c r="H339" i="10"/>
  <c r="BV338" i="10"/>
  <c r="BS338" i="10"/>
  <c r="BP338" i="10"/>
  <c r="BI338" i="10"/>
  <c r="BH338" i="10"/>
  <c r="BF338" i="10"/>
  <c r="BE338" i="10"/>
  <c r="BC338" i="10"/>
  <c r="BB338" i="10"/>
  <c r="BA338" i="10"/>
  <c r="AX338" i="10"/>
  <c r="AU338" i="10"/>
  <c r="AP338" i="10"/>
  <c r="AL338" i="10"/>
  <c r="AI338" i="10"/>
  <c r="AF338" i="10"/>
  <c r="AC338" i="10"/>
  <c r="V338" i="10"/>
  <c r="W338" i="10" s="1"/>
  <c r="U338" i="10"/>
  <c r="S338" i="10"/>
  <c r="R338" i="10"/>
  <c r="X338" i="10" s="1"/>
  <c r="P338" i="10"/>
  <c r="O338" i="10"/>
  <c r="N338" i="10"/>
  <c r="K338" i="10"/>
  <c r="H338" i="10"/>
  <c r="BV337" i="10"/>
  <c r="BS337" i="10"/>
  <c r="BP337" i="10"/>
  <c r="BI337" i="10"/>
  <c r="BH337" i="10"/>
  <c r="BJ337" i="10" s="1"/>
  <c r="BF337" i="10"/>
  <c r="BE337" i="10"/>
  <c r="BC337" i="10"/>
  <c r="BB337" i="10"/>
  <c r="BD337" i="10" s="1"/>
  <c r="BA337" i="10"/>
  <c r="AX337" i="10"/>
  <c r="AU337" i="10"/>
  <c r="AP337" i="10"/>
  <c r="AL337" i="10"/>
  <c r="AI337" i="10"/>
  <c r="AF337" i="10"/>
  <c r="AC337" i="10"/>
  <c r="V337" i="10"/>
  <c r="U337" i="10"/>
  <c r="S337" i="10"/>
  <c r="Y337" i="10" s="1"/>
  <c r="R337" i="10"/>
  <c r="T337" i="10" s="1"/>
  <c r="P337" i="10"/>
  <c r="O337" i="10"/>
  <c r="N337" i="10"/>
  <c r="K337" i="10"/>
  <c r="H337" i="10"/>
  <c r="BV336" i="10"/>
  <c r="BS336" i="10"/>
  <c r="BP336" i="10"/>
  <c r="BI336" i="10"/>
  <c r="BH336" i="10"/>
  <c r="BF336" i="10"/>
  <c r="BL336" i="10" s="1"/>
  <c r="BE336" i="10"/>
  <c r="BC336" i="10"/>
  <c r="BB336" i="10"/>
  <c r="BA336" i="10"/>
  <c r="AX336" i="10"/>
  <c r="AU336" i="10"/>
  <c r="AP336" i="10"/>
  <c r="AL336" i="10"/>
  <c r="AI336" i="10"/>
  <c r="AF336" i="10"/>
  <c r="AC336" i="10"/>
  <c r="V336" i="10"/>
  <c r="W336" i="10" s="1"/>
  <c r="U336" i="10"/>
  <c r="T336" i="10"/>
  <c r="S336" i="10"/>
  <c r="R336" i="10"/>
  <c r="X336" i="10" s="1"/>
  <c r="P336" i="10"/>
  <c r="O336" i="10"/>
  <c r="N336" i="10"/>
  <c r="K336" i="10"/>
  <c r="H336" i="10"/>
  <c r="BV335" i="10"/>
  <c r="BS335" i="10"/>
  <c r="BP335" i="10"/>
  <c r="BI335" i="10"/>
  <c r="BH335" i="10"/>
  <c r="BF335" i="10"/>
  <c r="BE335" i="10"/>
  <c r="BC335" i="10"/>
  <c r="BB335" i="10"/>
  <c r="BD335" i="10" s="1"/>
  <c r="BA335" i="10"/>
  <c r="AX335" i="10"/>
  <c r="AU335" i="10"/>
  <c r="AP335" i="10"/>
  <c r="AL335" i="10"/>
  <c r="AI335" i="10"/>
  <c r="AF335" i="10"/>
  <c r="AC335" i="10"/>
  <c r="V335" i="10"/>
  <c r="U335" i="10"/>
  <c r="S335" i="10"/>
  <c r="Y335" i="10" s="1"/>
  <c r="R335" i="10"/>
  <c r="P335" i="10"/>
  <c r="O335" i="10"/>
  <c r="N335" i="10"/>
  <c r="K335" i="10"/>
  <c r="H335" i="10"/>
  <c r="W340" i="10" l="1"/>
  <c r="Q344" i="10"/>
  <c r="T347" i="10"/>
  <c r="Y336" i="10"/>
  <c r="Z336" i="10" s="1"/>
  <c r="Q339" i="10"/>
  <c r="X340" i="10"/>
  <c r="BD342" i="10"/>
  <c r="Q348" i="10"/>
  <c r="Q341" i="10"/>
  <c r="BD345" i="10"/>
  <c r="T335" i="10"/>
  <c r="Q336" i="10"/>
  <c r="Q337" i="10"/>
  <c r="BJ336" i="10"/>
  <c r="Y339" i="10"/>
  <c r="Z339" i="10" s="1"/>
  <c r="BL340" i="10"/>
  <c r="Y341" i="10"/>
  <c r="X342" i="10"/>
  <c r="W343" i="10"/>
  <c r="X344" i="10"/>
  <c r="W345" i="10"/>
  <c r="Q346" i="10"/>
  <c r="BD346" i="10"/>
  <c r="Q335" i="10"/>
  <c r="T338" i="10"/>
  <c r="BK338" i="10"/>
  <c r="BJ338" i="10"/>
  <c r="BD339" i="10"/>
  <c r="T340" i="10"/>
  <c r="BJ340" i="10"/>
  <c r="Y343" i="10"/>
  <c r="BL344" i="10"/>
  <c r="Y345" i="10"/>
  <c r="X346" i="10"/>
  <c r="W347" i="10"/>
  <c r="X348" i="10"/>
  <c r="BG348" i="10"/>
  <c r="X335" i="10"/>
  <c r="Z335" i="10" s="1"/>
  <c r="X337" i="10"/>
  <c r="BK342" i="10"/>
  <c r="BJ342" i="10"/>
  <c r="BD343" i="10"/>
  <c r="BJ344" i="10"/>
  <c r="BL335" i="10"/>
  <c r="BK346" i="10"/>
  <c r="BJ346" i="10"/>
  <c r="BK335" i="10"/>
  <c r="BJ335" i="10"/>
  <c r="BD336" i="10"/>
  <c r="Y338" i="10"/>
  <c r="Z338" i="10" s="1"/>
  <c r="BL339" i="10"/>
  <c r="Y340" i="10"/>
  <c r="W342" i="10"/>
  <c r="X343" i="10"/>
  <c r="W344" i="10"/>
  <c r="X345" i="10"/>
  <c r="Q347" i="10"/>
  <c r="Y342" i="10"/>
  <c r="Z342" i="10" s="1"/>
  <c r="BL343" i="10"/>
  <c r="Y344" i="10"/>
  <c r="W346" i="10"/>
  <c r="X347" i="10"/>
  <c r="Z347" i="10" s="1"/>
  <c r="W348" i="10"/>
  <c r="BK339" i="10"/>
  <c r="BJ339" i="10"/>
  <c r="W335" i="10"/>
  <c r="W337" i="10"/>
  <c r="Q338" i="10"/>
  <c r="BD338" i="10"/>
  <c r="Q340" i="10"/>
  <c r="BJ341" i="10"/>
  <c r="BK343" i="10"/>
  <c r="BM343" i="10" s="1"/>
  <c r="BJ343" i="10"/>
  <c r="BD344" i="10"/>
  <c r="Y346" i="10"/>
  <c r="BL347" i="10"/>
  <c r="Y348" i="10"/>
  <c r="BK347" i="10"/>
  <c r="BJ347" i="10"/>
  <c r="BD348" i="10"/>
  <c r="BL348" i="10"/>
  <c r="BM342" i="10"/>
  <c r="BK336" i="10"/>
  <c r="BM336" i="10" s="1"/>
  <c r="BL337" i="10"/>
  <c r="BK340" i="10"/>
  <c r="BM340" i="10" s="1"/>
  <c r="BL341" i="10"/>
  <c r="BK344" i="10"/>
  <c r="BM344" i="10" s="1"/>
  <c r="BL345" i="10"/>
  <c r="BK337" i="10"/>
  <c r="BM337" i="10" s="1"/>
  <c r="BL338" i="10"/>
  <c r="BM338" i="10" s="1"/>
  <c r="BK341" i="10"/>
  <c r="BL342" i="10"/>
  <c r="BK345" i="10"/>
  <c r="BL346" i="10"/>
  <c r="BM346" i="10" s="1"/>
  <c r="BK348" i="10"/>
  <c r="Z341" i="10"/>
  <c r="Z345" i="10"/>
  <c r="BM347" i="10"/>
  <c r="BM335" i="10"/>
  <c r="Z337" i="10"/>
  <c r="BG335" i="10"/>
  <c r="BG336" i="10"/>
  <c r="BG337" i="10"/>
  <c r="BG338" i="10"/>
  <c r="BG339" i="10"/>
  <c r="BG340" i="10"/>
  <c r="BG341" i="10"/>
  <c r="BG342" i="10"/>
  <c r="BG343" i="10"/>
  <c r="BG344" i="10"/>
  <c r="BG345" i="10"/>
  <c r="BG346" i="10"/>
  <c r="BG347" i="10"/>
  <c r="Z340" i="10" l="1"/>
  <c r="BM348" i="10"/>
  <c r="Z346" i="10"/>
  <c r="BM339" i="10"/>
  <c r="Z343" i="10"/>
  <c r="BM345" i="10"/>
  <c r="Z348" i="10"/>
  <c r="Z344" i="10"/>
  <c r="BM341" i="10"/>
  <c r="O491" i="10" l="1"/>
  <c r="AH698" i="10"/>
  <c r="AE698" i="10"/>
  <c r="AG698" i="10"/>
  <c r="AD698" i="10"/>
  <c r="AG21" i="10"/>
  <c r="AG237" i="10"/>
  <c r="AD237" i="10"/>
  <c r="AE237" i="10"/>
  <c r="AP601" i="10"/>
  <c r="AP602" i="10"/>
  <c r="AP603" i="10"/>
  <c r="AP604" i="10"/>
  <c r="AP605" i="10"/>
  <c r="AP606" i="10"/>
  <c r="AP607" i="10"/>
  <c r="AP608" i="10"/>
  <c r="AP609" i="10"/>
  <c r="AP610" i="10"/>
  <c r="AP611" i="10"/>
  <c r="AP612" i="10"/>
  <c r="AP613" i="10"/>
  <c r="AP614" i="10"/>
  <c r="AP615" i="10"/>
  <c r="AP616" i="10"/>
  <c r="AP617" i="10"/>
  <c r="AP618" i="10"/>
  <c r="AP619" i="10"/>
  <c r="AP620" i="10"/>
  <c r="AP621" i="10"/>
  <c r="AP622" i="10"/>
  <c r="AP623" i="10"/>
  <c r="AP624" i="10"/>
  <c r="AP625" i="10"/>
  <c r="AP626" i="10"/>
  <c r="AP627" i="10"/>
  <c r="AP628" i="10"/>
  <c r="AP629" i="10"/>
  <c r="AP630" i="10"/>
  <c r="AP631" i="10"/>
  <c r="AP632" i="10"/>
  <c r="AP633" i="10"/>
  <c r="AP634" i="10"/>
  <c r="AP635" i="10"/>
  <c r="AP636" i="10"/>
  <c r="AP637" i="10"/>
  <c r="AP638" i="10"/>
  <c r="AP639" i="10"/>
  <c r="AP640" i="10"/>
  <c r="AP641" i="10"/>
  <c r="AP642" i="10"/>
  <c r="AP643" i="10"/>
  <c r="AP644" i="10"/>
  <c r="AP645" i="10"/>
  <c r="AP646" i="10"/>
  <c r="AP647" i="10"/>
  <c r="AP648" i="10"/>
  <c r="AP649" i="10"/>
  <c r="AP650" i="10"/>
  <c r="AP651" i="10"/>
  <c r="AP652" i="10"/>
  <c r="AP653" i="10"/>
  <c r="AP654" i="10"/>
  <c r="AP655" i="10"/>
  <c r="AP656" i="10"/>
  <c r="AP657" i="10"/>
  <c r="AP658" i="10"/>
  <c r="AP659" i="10"/>
  <c r="AP660" i="10"/>
  <c r="AP661" i="10"/>
  <c r="AP662" i="10"/>
  <c r="AP663" i="10"/>
  <c r="AP664" i="10"/>
  <c r="AP665" i="10"/>
  <c r="AP666" i="10"/>
  <c r="AP667" i="10"/>
  <c r="AP668" i="10"/>
  <c r="AP669" i="10"/>
  <c r="AP670" i="10"/>
  <c r="AP671" i="10"/>
  <c r="AP672" i="10"/>
  <c r="AP673" i="10"/>
  <c r="AP674" i="10"/>
  <c r="AP675" i="10"/>
  <c r="AP676" i="10"/>
  <c r="AP677" i="10"/>
  <c r="AP678" i="10"/>
  <c r="AP679" i="10"/>
  <c r="AP680" i="10"/>
  <c r="AP681" i="10"/>
  <c r="AP682" i="10"/>
  <c r="AP683" i="10"/>
  <c r="AP684" i="10"/>
  <c r="AP685" i="10"/>
  <c r="AP686" i="10"/>
  <c r="AP687" i="10"/>
  <c r="AP688" i="10"/>
  <c r="AP689" i="10"/>
  <c r="AP690" i="10"/>
  <c r="AP691" i="10"/>
  <c r="AP692" i="10"/>
  <c r="AP693" i="10"/>
  <c r="AP694" i="10"/>
  <c r="AP695" i="10"/>
  <c r="AP696" i="10"/>
  <c r="AP697" i="10"/>
  <c r="AP698" i="10"/>
  <c r="AP699" i="10"/>
  <c r="AP700" i="10"/>
  <c r="AP701" i="10"/>
  <c r="AP702" i="10"/>
  <c r="AP703" i="10"/>
  <c r="AP704" i="10"/>
  <c r="AP705" i="10"/>
  <c r="AP706" i="10"/>
  <c r="AP707" i="10"/>
  <c r="AP708" i="10"/>
  <c r="AP709" i="10"/>
  <c r="AP710" i="10"/>
  <c r="AP711" i="10"/>
  <c r="AP712" i="10"/>
  <c r="AP713" i="10"/>
  <c r="AP714" i="10"/>
  <c r="AP715" i="10"/>
  <c r="AP716" i="10"/>
  <c r="AP717" i="10"/>
  <c r="AP718" i="10"/>
  <c r="AP719" i="10"/>
  <c r="AP720" i="10"/>
  <c r="AP721" i="10"/>
  <c r="AP722" i="10"/>
  <c r="AP723" i="10"/>
  <c r="AP724" i="10"/>
  <c r="AP725" i="10"/>
  <c r="AP726" i="10"/>
  <c r="AP727" i="10"/>
  <c r="AP728" i="10"/>
  <c r="AP729" i="10"/>
  <c r="AP730" i="10"/>
  <c r="AP731" i="10"/>
  <c r="AP732" i="10"/>
  <c r="AP733" i="10"/>
  <c r="AP734" i="10"/>
  <c r="AP735" i="10"/>
  <c r="AP736" i="10"/>
  <c r="AP737" i="10"/>
  <c r="AP738" i="10"/>
  <c r="AP739" i="10"/>
  <c r="AP740" i="10"/>
  <c r="AP741" i="10"/>
  <c r="AP742" i="10"/>
  <c r="AP743" i="10"/>
  <c r="AP744" i="10"/>
  <c r="AP745" i="10"/>
  <c r="AP746" i="10"/>
  <c r="AP747" i="10"/>
  <c r="AP748" i="10"/>
  <c r="AP749" i="10"/>
  <c r="AP750" i="10"/>
  <c r="AP751" i="10"/>
  <c r="AP752" i="10"/>
  <c r="AP753" i="10"/>
  <c r="AL350" i="10"/>
  <c r="AL351" i="10"/>
  <c r="AL352" i="10"/>
  <c r="AL353" i="10"/>
  <c r="AL354" i="10"/>
  <c r="AL355" i="10"/>
  <c r="AL356" i="10"/>
  <c r="AL357" i="10"/>
  <c r="AL358" i="10"/>
  <c r="AL359" i="10"/>
  <c r="AL360" i="10"/>
  <c r="AL361" i="10"/>
  <c r="AL362" i="10"/>
  <c r="AL363" i="10"/>
  <c r="AL364" i="10"/>
  <c r="AL365" i="10"/>
  <c r="AL366" i="10"/>
  <c r="AL367" i="10"/>
  <c r="AL368" i="10"/>
  <c r="AL369" i="10"/>
  <c r="AL370" i="10"/>
  <c r="AL371" i="10"/>
  <c r="AL372" i="10"/>
  <c r="AL373" i="10"/>
  <c r="AL374" i="10"/>
  <c r="AL375" i="10"/>
  <c r="AL376" i="10"/>
  <c r="AL377" i="10"/>
  <c r="AL378" i="10"/>
  <c r="AL379" i="10"/>
  <c r="AL380" i="10"/>
  <c r="AL381" i="10"/>
  <c r="AL382" i="10"/>
  <c r="AL383" i="10"/>
  <c r="AL384" i="10"/>
  <c r="AL385" i="10"/>
  <c r="AL386" i="10"/>
  <c r="AL387" i="10"/>
  <c r="AL388" i="10"/>
  <c r="AL389" i="10"/>
  <c r="AL390" i="10"/>
  <c r="AL391" i="10"/>
  <c r="AL392" i="10"/>
  <c r="AL393" i="10"/>
  <c r="AL394" i="10"/>
  <c r="AL395" i="10"/>
  <c r="AL396" i="10"/>
  <c r="AL397" i="10"/>
  <c r="AL398" i="10"/>
  <c r="AL399" i="10"/>
  <c r="AL400" i="10"/>
  <c r="AL401" i="10"/>
  <c r="AL402" i="10"/>
  <c r="AL403" i="10"/>
  <c r="AL404" i="10"/>
  <c r="AL405" i="10"/>
  <c r="AL406" i="10"/>
  <c r="AL407" i="10"/>
  <c r="AL408" i="10"/>
  <c r="AL409" i="10"/>
  <c r="AL410" i="10"/>
  <c r="AL411" i="10"/>
  <c r="AL412" i="10"/>
  <c r="AL413" i="10"/>
  <c r="AL414" i="10"/>
  <c r="AL415" i="10"/>
  <c r="AL416" i="10"/>
  <c r="AL417" i="10"/>
  <c r="AL418" i="10"/>
  <c r="AL419" i="10"/>
  <c r="AL420" i="10"/>
  <c r="AL421" i="10"/>
  <c r="AL422" i="10"/>
  <c r="AL423" i="10"/>
  <c r="AL424" i="10"/>
  <c r="AL425" i="10"/>
  <c r="AL426" i="10"/>
  <c r="AL427" i="10"/>
  <c r="AL428" i="10"/>
  <c r="AL429" i="10"/>
  <c r="AL430" i="10"/>
  <c r="AL431" i="10"/>
  <c r="AL432" i="10"/>
  <c r="AL433" i="10"/>
  <c r="AL434" i="10"/>
  <c r="AL435" i="10"/>
  <c r="AL436" i="10"/>
  <c r="AL437" i="10"/>
  <c r="AL438" i="10"/>
  <c r="AL439" i="10"/>
  <c r="AL440" i="10"/>
  <c r="AL441" i="10"/>
  <c r="AL442" i="10"/>
  <c r="AL443" i="10"/>
  <c r="AL444" i="10"/>
  <c r="AL445" i="10"/>
  <c r="AL446" i="10"/>
  <c r="AL447" i="10"/>
  <c r="AL448" i="10"/>
  <c r="AL449" i="10"/>
  <c r="AL450" i="10"/>
  <c r="AL451" i="10"/>
  <c r="AL452" i="10"/>
  <c r="AL453" i="10"/>
  <c r="AL454" i="10"/>
  <c r="AL455" i="10"/>
  <c r="AL456" i="10"/>
  <c r="AL457" i="10"/>
  <c r="AL458" i="10"/>
  <c r="AL459" i="10"/>
  <c r="AL460" i="10"/>
  <c r="AL461" i="10"/>
  <c r="AL462" i="10"/>
  <c r="AL463" i="10"/>
  <c r="AL464" i="10"/>
  <c r="AL465" i="10"/>
  <c r="AL466" i="10"/>
  <c r="AL467" i="10"/>
  <c r="AL468" i="10"/>
  <c r="AL469" i="10"/>
  <c r="AL470" i="10"/>
  <c r="AL471" i="10"/>
  <c r="AL472" i="10"/>
  <c r="AL473" i="10"/>
  <c r="AL474" i="10"/>
  <c r="AL475" i="10"/>
  <c r="AL476" i="10"/>
  <c r="AL477" i="10"/>
  <c r="AL478" i="10"/>
  <c r="AL479" i="10"/>
  <c r="AL480" i="10"/>
  <c r="AL481" i="10"/>
  <c r="AL482" i="10"/>
  <c r="AL483" i="10"/>
  <c r="AL484" i="10"/>
  <c r="AL485" i="10"/>
  <c r="AL486" i="10"/>
  <c r="AL487" i="10"/>
  <c r="AL488" i="10"/>
  <c r="AL489" i="10"/>
  <c r="AL490" i="10"/>
  <c r="AL491" i="10"/>
  <c r="AL492" i="10"/>
  <c r="AL493" i="10"/>
  <c r="AL494" i="10"/>
  <c r="AL495" i="10"/>
  <c r="AL496" i="10"/>
  <c r="AL497" i="10"/>
  <c r="AL498" i="10"/>
  <c r="AL499" i="10"/>
  <c r="AL500" i="10"/>
  <c r="AL501" i="10"/>
  <c r="AL502" i="10"/>
  <c r="AL503" i="10"/>
  <c r="AL504" i="10"/>
  <c r="AL505" i="10"/>
  <c r="AL506" i="10"/>
  <c r="AL507" i="10"/>
  <c r="AL508" i="10"/>
  <c r="AL509" i="10"/>
  <c r="AL510" i="10"/>
  <c r="AL511" i="10"/>
  <c r="AL512" i="10"/>
  <c r="AL513" i="10"/>
  <c r="AL514" i="10"/>
  <c r="AL515" i="10"/>
  <c r="AL516" i="10"/>
  <c r="AL517" i="10"/>
  <c r="AL518" i="10"/>
  <c r="AL519" i="10"/>
  <c r="AL520" i="10"/>
  <c r="AL521" i="10"/>
  <c r="AL522" i="10"/>
  <c r="AL523" i="10"/>
  <c r="AL524" i="10"/>
  <c r="AL525" i="10"/>
  <c r="AL526" i="10"/>
  <c r="AL527" i="10"/>
  <c r="AL528" i="10"/>
  <c r="AL529" i="10"/>
  <c r="AL530" i="10"/>
  <c r="AL531" i="10"/>
  <c r="AL532" i="10"/>
  <c r="AL533" i="10"/>
  <c r="AL534" i="10"/>
  <c r="AL535" i="10"/>
  <c r="AL536" i="10"/>
  <c r="AL537" i="10"/>
  <c r="AL538" i="10"/>
  <c r="AL539" i="10"/>
  <c r="AL540" i="10"/>
  <c r="AL541" i="10"/>
  <c r="AL542" i="10"/>
  <c r="AL543" i="10"/>
  <c r="AL544" i="10"/>
  <c r="AL545" i="10"/>
  <c r="AL546" i="10"/>
  <c r="AL547" i="10"/>
  <c r="AL548" i="10"/>
  <c r="AL549" i="10"/>
  <c r="AL550" i="10"/>
  <c r="AL551" i="10"/>
  <c r="AL552" i="10"/>
  <c r="AL553" i="10"/>
  <c r="AL554" i="10"/>
  <c r="AL555" i="10"/>
  <c r="AL556" i="10"/>
  <c r="AL557" i="10"/>
  <c r="AL558" i="10"/>
  <c r="AL559" i="10"/>
  <c r="AL560" i="10"/>
  <c r="AL561" i="10"/>
  <c r="AL562" i="10"/>
  <c r="AL563" i="10"/>
  <c r="AL564" i="10"/>
  <c r="AL565" i="10"/>
  <c r="AL566" i="10"/>
  <c r="AL567" i="10"/>
  <c r="AL568" i="10"/>
  <c r="AL569" i="10"/>
  <c r="AL570" i="10"/>
  <c r="AL571" i="10"/>
  <c r="AL572" i="10"/>
  <c r="AL573" i="10"/>
  <c r="AL574" i="10"/>
  <c r="AL575" i="10"/>
  <c r="AL576" i="10"/>
  <c r="AL577" i="10"/>
  <c r="AL578" i="10"/>
  <c r="AL579" i="10"/>
  <c r="AL580" i="10"/>
  <c r="AL581" i="10"/>
  <c r="AL582" i="10"/>
  <c r="AL583" i="10"/>
  <c r="AL584" i="10"/>
  <c r="AL585" i="10"/>
  <c r="AL586" i="10"/>
  <c r="AL587" i="10"/>
  <c r="AL588" i="10"/>
  <c r="AL589" i="10"/>
  <c r="AL590" i="10"/>
  <c r="AL591" i="10"/>
  <c r="AL592" i="10"/>
  <c r="AL593" i="10"/>
  <c r="AL594" i="10"/>
  <c r="AL595" i="10"/>
  <c r="AL596" i="10"/>
  <c r="AL597" i="10"/>
  <c r="AL598" i="10"/>
  <c r="AL599" i="10"/>
  <c r="AL600" i="10"/>
  <c r="AL601" i="10"/>
  <c r="AL602" i="10"/>
  <c r="AL603" i="10"/>
  <c r="AL604" i="10"/>
  <c r="AL605" i="10"/>
  <c r="AL606" i="10"/>
  <c r="AL607" i="10"/>
  <c r="AL608" i="10"/>
  <c r="AL609" i="10"/>
  <c r="AL610" i="10"/>
  <c r="AL611" i="10"/>
  <c r="AL612" i="10"/>
  <c r="AL613" i="10"/>
  <c r="AL614" i="10"/>
  <c r="AL615" i="10"/>
  <c r="AL616" i="10"/>
  <c r="AL617" i="10"/>
  <c r="AL618" i="10"/>
  <c r="AL619" i="10"/>
  <c r="AL620" i="10"/>
  <c r="AL621" i="10"/>
  <c r="AL622" i="10"/>
  <c r="AL623" i="10"/>
  <c r="AL624" i="10"/>
  <c r="AL625" i="10"/>
  <c r="AL626" i="10"/>
  <c r="AL627" i="10"/>
  <c r="AL628" i="10"/>
  <c r="AL629" i="10"/>
  <c r="AL630" i="10"/>
  <c r="AL631" i="10"/>
  <c r="AL632" i="10"/>
  <c r="AL633" i="10"/>
  <c r="AL634" i="10"/>
  <c r="AL635" i="10"/>
  <c r="AL636" i="10"/>
  <c r="AL637" i="10"/>
  <c r="AL638" i="10"/>
  <c r="AL639" i="10"/>
  <c r="AL640" i="10"/>
  <c r="AL641" i="10"/>
  <c r="AL642" i="10"/>
  <c r="AL643" i="10"/>
  <c r="AL644" i="10"/>
  <c r="AL645" i="10"/>
  <c r="AL646" i="10"/>
  <c r="AL647" i="10"/>
  <c r="AL648" i="10"/>
  <c r="AL649" i="10"/>
  <c r="AL650" i="10"/>
  <c r="AL651" i="10"/>
  <c r="AL652" i="10"/>
  <c r="AL653" i="10"/>
  <c r="AL654" i="10"/>
  <c r="AL655" i="10"/>
  <c r="AL656" i="10"/>
  <c r="AL657" i="10"/>
  <c r="AL658" i="10"/>
  <c r="AL659" i="10"/>
  <c r="AL660" i="10"/>
  <c r="AL661" i="10"/>
  <c r="AL662" i="10"/>
  <c r="AL663" i="10"/>
  <c r="AL664" i="10"/>
  <c r="AL665" i="10"/>
  <c r="AL666" i="10"/>
  <c r="AL667" i="10"/>
  <c r="AL668" i="10"/>
  <c r="AL669" i="10"/>
  <c r="AL670" i="10"/>
  <c r="AL671" i="10"/>
  <c r="AL672" i="10"/>
  <c r="AL673" i="10"/>
  <c r="AL674" i="10"/>
  <c r="AL675" i="10"/>
  <c r="AL676" i="10"/>
  <c r="AL677" i="10"/>
  <c r="AL678" i="10"/>
  <c r="AL679" i="10"/>
  <c r="AL680" i="10"/>
  <c r="AL681" i="10"/>
  <c r="AL682" i="10"/>
  <c r="AL683" i="10"/>
  <c r="AL684" i="10"/>
  <c r="AL685" i="10"/>
  <c r="AL686" i="10"/>
  <c r="AL687" i="10"/>
  <c r="AL688" i="10"/>
  <c r="AL689" i="10"/>
  <c r="AL690" i="10"/>
  <c r="AL691" i="10"/>
  <c r="AL692" i="10"/>
  <c r="AL693" i="10"/>
  <c r="AL694" i="10"/>
  <c r="AL695" i="10"/>
  <c r="AL696" i="10"/>
  <c r="AL697" i="10"/>
  <c r="AL698" i="10"/>
  <c r="AL699" i="10"/>
  <c r="AL700" i="10"/>
  <c r="AL701" i="10"/>
  <c r="AL702" i="10"/>
  <c r="AL703" i="10"/>
  <c r="AL704" i="10"/>
  <c r="AL705" i="10"/>
  <c r="AL706" i="10"/>
  <c r="AL707" i="10"/>
  <c r="AL708" i="10"/>
  <c r="AL709" i="10"/>
  <c r="AL710" i="10"/>
  <c r="AL711" i="10"/>
  <c r="AL712" i="10"/>
  <c r="AL713" i="10"/>
  <c r="AL714" i="10"/>
  <c r="AL715" i="10"/>
  <c r="AL716" i="10"/>
  <c r="AL717" i="10"/>
  <c r="AL718" i="10"/>
  <c r="AL719" i="10"/>
  <c r="AL720" i="10"/>
  <c r="AL721" i="10"/>
  <c r="AL722" i="10"/>
  <c r="AL723" i="10"/>
  <c r="AL724" i="10"/>
  <c r="AL725" i="10"/>
  <c r="AL726" i="10"/>
  <c r="AL727" i="10"/>
  <c r="AL728" i="10"/>
  <c r="AL729" i="10"/>
  <c r="AL730" i="10"/>
  <c r="AL731" i="10"/>
  <c r="AL732" i="10"/>
  <c r="AL733" i="10"/>
  <c r="AL734" i="10"/>
  <c r="AL735" i="10"/>
  <c r="AL736" i="10"/>
  <c r="AL737" i="10"/>
  <c r="AL738" i="10"/>
  <c r="AL739" i="10"/>
  <c r="AL740" i="10"/>
  <c r="AL741" i="10"/>
  <c r="AL742" i="10"/>
  <c r="AL743" i="10"/>
  <c r="AL744" i="10"/>
  <c r="AL745" i="10"/>
  <c r="AL746" i="10"/>
  <c r="AL747" i="10"/>
  <c r="AL748" i="10"/>
  <c r="AL749" i="10"/>
  <c r="AL750" i="10"/>
  <c r="AL751" i="10"/>
  <c r="AL752" i="10"/>
  <c r="AL753" i="10"/>
  <c r="AI698" i="10"/>
  <c r="AC350" i="10"/>
  <c r="AC351" i="10"/>
  <c r="AC352" i="10"/>
  <c r="AC353" i="10"/>
  <c r="AC354" i="10"/>
  <c r="AC355" i="10"/>
  <c r="AC356" i="10"/>
  <c r="AC357" i="10"/>
  <c r="AC358" i="10"/>
  <c r="AC359" i="10"/>
  <c r="AC360" i="10"/>
  <c r="AC361" i="10"/>
  <c r="AC362" i="10"/>
  <c r="AC363" i="10"/>
  <c r="AC364" i="10"/>
  <c r="AC365" i="10"/>
  <c r="AC366" i="10"/>
  <c r="AC367" i="10"/>
  <c r="AC368" i="10"/>
  <c r="AC369" i="10"/>
  <c r="AC370" i="10"/>
  <c r="AC371" i="10"/>
  <c r="AC372" i="10"/>
  <c r="AC373" i="10"/>
  <c r="AC374" i="10"/>
  <c r="AC375" i="10"/>
  <c r="AC376" i="10"/>
  <c r="AC377" i="10"/>
  <c r="AC378" i="10"/>
  <c r="AC379" i="10"/>
  <c r="AC380" i="10"/>
  <c r="AC381" i="10"/>
  <c r="AC382" i="10"/>
  <c r="AC383" i="10"/>
  <c r="AC384" i="10"/>
  <c r="AC385" i="10"/>
  <c r="AC386" i="10"/>
  <c r="AC387" i="10"/>
  <c r="AC388" i="10"/>
  <c r="AC389" i="10"/>
  <c r="AC390" i="10"/>
  <c r="AC391" i="10"/>
  <c r="AC392" i="10"/>
  <c r="AC393" i="10"/>
  <c r="AC394" i="10"/>
  <c r="AC395" i="10"/>
  <c r="AC396" i="10"/>
  <c r="AC397" i="10"/>
  <c r="AC398" i="10"/>
  <c r="AC399" i="10"/>
  <c r="AC400" i="10"/>
  <c r="AC401" i="10"/>
  <c r="AC402" i="10"/>
  <c r="AC403" i="10"/>
  <c r="AC404" i="10"/>
  <c r="AC405" i="10"/>
  <c r="AC406" i="10"/>
  <c r="AC407" i="10"/>
  <c r="AC408" i="10"/>
  <c r="AC409" i="10"/>
  <c r="AC410" i="10"/>
  <c r="AC411" i="10"/>
  <c r="AC412" i="10"/>
  <c r="AC413" i="10"/>
  <c r="AC414" i="10"/>
  <c r="AC415" i="10"/>
  <c r="AC416" i="10"/>
  <c r="AC417" i="10"/>
  <c r="AC418" i="10"/>
  <c r="AC419" i="10"/>
  <c r="AC420" i="10"/>
  <c r="AC421" i="10"/>
  <c r="AC422" i="10"/>
  <c r="AC423" i="10"/>
  <c r="AC424" i="10"/>
  <c r="AC425" i="10"/>
  <c r="AC426" i="10"/>
  <c r="AC427" i="10"/>
  <c r="AC428" i="10"/>
  <c r="AC429" i="10"/>
  <c r="AC430" i="10"/>
  <c r="AC431" i="10"/>
  <c r="AC432" i="10"/>
  <c r="AC433" i="10"/>
  <c r="AC434" i="10"/>
  <c r="AC435" i="10"/>
  <c r="AC436" i="10"/>
  <c r="AC437" i="10"/>
  <c r="AC438" i="10"/>
  <c r="AC439" i="10"/>
  <c r="AC440" i="10"/>
  <c r="AC441" i="10"/>
  <c r="AC442" i="10"/>
  <c r="AC443" i="10"/>
  <c r="AC444" i="10"/>
  <c r="AC445" i="10"/>
  <c r="AC446" i="10"/>
  <c r="AC447" i="10"/>
  <c r="AC448" i="10"/>
  <c r="AC449" i="10"/>
  <c r="AC450" i="10"/>
  <c r="AC451" i="10"/>
  <c r="AC452" i="10"/>
  <c r="AC453" i="10"/>
  <c r="AC454" i="10"/>
  <c r="AC455" i="10"/>
  <c r="AC456" i="10"/>
  <c r="AC457" i="10"/>
  <c r="AC458" i="10"/>
  <c r="AC459" i="10"/>
  <c r="AC460" i="10"/>
  <c r="AC461" i="10"/>
  <c r="AC462" i="10"/>
  <c r="AC463" i="10"/>
  <c r="AC464" i="10"/>
  <c r="AC465" i="10"/>
  <c r="AC466" i="10"/>
  <c r="AC467" i="10"/>
  <c r="AC468" i="10"/>
  <c r="AC469" i="10"/>
  <c r="AC470" i="10"/>
  <c r="AC471" i="10"/>
  <c r="AC472" i="10"/>
  <c r="AC473" i="10"/>
  <c r="AC474" i="10"/>
  <c r="AC475" i="10"/>
  <c r="AC476" i="10"/>
  <c r="AC477" i="10"/>
  <c r="AC478" i="10"/>
  <c r="AC479" i="10"/>
  <c r="AC480" i="10"/>
  <c r="AC481" i="10"/>
  <c r="AC482" i="10"/>
  <c r="AC483" i="10"/>
  <c r="AC484" i="10"/>
  <c r="AC485" i="10"/>
  <c r="AC486" i="10"/>
  <c r="AC487" i="10"/>
  <c r="AC488" i="10"/>
  <c r="AC489" i="10"/>
  <c r="AC490" i="10"/>
  <c r="AC491" i="10"/>
  <c r="AC492" i="10"/>
  <c r="AC493" i="10"/>
  <c r="AC494" i="10"/>
  <c r="AC495" i="10"/>
  <c r="AC496" i="10"/>
  <c r="AC497" i="10"/>
  <c r="AC498" i="10"/>
  <c r="AC499" i="10"/>
  <c r="AC500" i="10"/>
  <c r="AC501" i="10"/>
  <c r="AC502" i="10"/>
  <c r="AC503" i="10"/>
  <c r="AC504" i="10"/>
  <c r="AC505" i="10"/>
  <c r="AC506" i="10"/>
  <c r="AC507" i="10"/>
  <c r="AC508" i="10"/>
  <c r="AC509" i="10"/>
  <c r="AC510" i="10"/>
  <c r="AC511" i="10"/>
  <c r="AC512" i="10"/>
  <c r="AC513" i="10"/>
  <c r="AC514" i="10"/>
  <c r="AC515" i="10"/>
  <c r="AC516" i="10"/>
  <c r="AC517" i="10"/>
  <c r="AC518" i="10"/>
  <c r="AC519" i="10"/>
  <c r="AC520" i="10"/>
  <c r="AC521" i="10"/>
  <c r="AC522" i="10"/>
  <c r="AC523" i="10"/>
  <c r="AC524" i="10"/>
  <c r="AC525" i="10"/>
  <c r="AC526" i="10"/>
  <c r="AC527" i="10"/>
  <c r="AC528" i="10"/>
  <c r="AC529" i="10"/>
  <c r="AC530" i="10"/>
  <c r="AC531" i="10"/>
  <c r="AC532" i="10"/>
  <c r="AC533" i="10"/>
  <c r="AC534" i="10"/>
  <c r="AC535" i="10"/>
  <c r="AC536" i="10"/>
  <c r="AC537" i="10"/>
  <c r="AC538" i="10"/>
  <c r="AC539" i="10"/>
  <c r="AC540" i="10"/>
  <c r="AC541" i="10"/>
  <c r="AC542" i="10"/>
  <c r="AC543" i="10"/>
  <c r="AC544" i="10"/>
  <c r="AC545" i="10"/>
  <c r="AC546" i="10"/>
  <c r="AC547" i="10"/>
  <c r="AC548" i="10"/>
  <c r="AC549" i="10"/>
  <c r="AC550" i="10"/>
  <c r="AC551" i="10"/>
  <c r="AC552" i="10"/>
  <c r="AC553" i="10"/>
  <c r="AC554" i="10"/>
  <c r="AC555" i="10"/>
  <c r="AC556" i="10"/>
  <c r="AC557" i="10"/>
  <c r="AC558" i="10"/>
  <c r="AC559" i="10"/>
  <c r="AC560" i="10"/>
  <c r="AC561" i="10"/>
  <c r="AC562" i="10"/>
  <c r="AC563" i="10"/>
  <c r="AC564" i="10"/>
  <c r="AC565" i="10"/>
  <c r="AC566" i="10"/>
  <c r="AC567" i="10"/>
  <c r="AC568" i="10"/>
  <c r="AC569" i="10"/>
  <c r="AC570" i="10"/>
  <c r="AC571" i="10"/>
  <c r="AC572" i="10"/>
  <c r="AC573" i="10"/>
  <c r="AC574" i="10"/>
  <c r="AC575" i="10"/>
  <c r="AC576" i="10"/>
  <c r="AC577" i="10"/>
  <c r="AC578" i="10"/>
  <c r="AC579" i="10"/>
  <c r="AC580" i="10"/>
  <c r="AC581" i="10"/>
  <c r="AC582" i="10"/>
  <c r="AC583" i="10"/>
  <c r="AC584" i="10"/>
  <c r="AC585" i="10"/>
  <c r="AC586" i="10"/>
  <c r="AC587" i="10"/>
  <c r="AC588" i="10"/>
  <c r="AC589" i="10"/>
  <c r="AC590" i="10"/>
  <c r="AC591" i="10"/>
  <c r="AC592" i="10"/>
  <c r="AC593" i="10"/>
  <c r="AC594" i="10"/>
  <c r="AC595" i="10"/>
  <c r="AC596" i="10"/>
  <c r="AC597" i="10"/>
  <c r="AC598" i="10"/>
  <c r="AC599" i="10"/>
  <c r="AC600" i="10"/>
  <c r="AC601" i="10"/>
  <c r="AC602" i="10"/>
  <c r="AC603" i="10"/>
  <c r="AC604" i="10"/>
  <c r="AC605" i="10"/>
  <c r="AC606" i="10"/>
  <c r="AC607" i="10"/>
  <c r="AC608" i="10"/>
  <c r="AC609" i="10"/>
  <c r="AC610" i="10"/>
  <c r="AC611" i="10"/>
  <c r="AC612" i="10"/>
  <c r="AC613" i="10"/>
  <c r="AC614" i="10"/>
  <c r="AC615" i="10"/>
  <c r="AC616" i="10"/>
  <c r="AC617" i="10"/>
  <c r="AC618" i="10"/>
  <c r="AC619" i="10"/>
  <c r="AC620" i="10"/>
  <c r="AC621" i="10"/>
  <c r="AC622" i="10"/>
  <c r="AC623" i="10"/>
  <c r="AC624" i="10"/>
  <c r="AC625" i="10"/>
  <c r="AC626" i="10"/>
  <c r="AC627" i="10"/>
  <c r="AC628" i="10"/>
  <c r="AC629" i="10"/>
  <c r="AC630" i="10"/>
  <c r="AC631" i="10"/>
  <c r="AC632" i="10"/>
  <c r="AC633" i="10"/>
  <c r="AC634" i="10"/>
  <c r="AC635" i="10"/>
  <c r="AC636" i="10"/>
  <c r="AC637" i="10"/>
  <c r="AC638" i="10"/>
  <c r="AC639" i="10"/>
  <c r="AC640" i="10"/>
  <c r="AC641" i="10"/>
  <c r="AC642" i="10"/>
  <c r="AC643" i="10"/>
  <c r="AC644" i="10"/>
  <c r="AC645" i="10"/>
  <c r="AC646" i="10"/>
  <c r="AC647" i="10"/>
  <c r="AC648" i="10"/>
  <c r="AC649" i="10"/>
  <c r="AC650" i="10"/>
  <c r="AC651" i="10"/>
  <c r="AC652" i="10"/>
  <c r="AC653" i="10"/>
  <c r="AC654" i="10"/>
  <c r="AC655" i="10"/>
  <c r="AC656" i="10"/>
  <c r="AC657" i="10"/>
  <c r="AC658" i="10"/>
  <c r="AC659" i="10"/>
  <c r="AC660" i="10"/>
  <c r="AC661" i="10"/>
  <c r="AC662" i="10"/>
  <c r="AC663" i="10"/>
  <c r="AC664" i="10"/>
  <c r="AC665" i="10"/>
  <c r="AC666" i="10"/>
  <c r="AC667" i="10"/>
  <c r="AC668" i="10"/>
  <c r="AC669" i="10"/>
  <c r="AC670" i="10"/>
  <c r="AC671" i="10"/>
  <c r="AC672" i="10"/>
  <c r="AC673" i="10"/>
  <c r="AC674" i="10"/>
  <c r="AC675" i="10"/>
  <c r="AC676" i="10"/>
  <c r="AC677" i="10"/>
  <c r="AC678" i="10"/>
  <c r="AC679" i="10"/>
  <c r="AC680" i="10"/>
  <c r="AC681" i="10"/>
  <c r="AC682" i="10"/>
  <c r="AC683" i="10"/>
  <c r="AC684" i="10"/>
  <c r="AC685" i="10"/>
  <c r="AC686" i="10"/>
  <c r="AC687" i="10"/>
  <c r="AC688" i="10"/>
  <c r="AC689" i="10"/>
  <c r="AC690" i="10"/>
  <c r="AC691" i="10"/>
  <c r="AC692" i="10"/>
  <c r="AC693" i="10"/>
  <c r="AC694" i="10"/>
  <c r="AC695" i="10"/>
  <c r="AC696" i="10"/>
  <c r="AC697" i="10"/>
  <c r="AC698" i="10"/>
  <c r="AC699" i="10"/>
  <c r="AC700" i="10"/>
  <c r="AC701" i="10"/>
  <c r="AC702" i="10"/>
  <c r="AC703" i="10"/>
  <c r="AC704" i="10"/>
  <c r="AC705" i="10"/>
  <c r="AC706" i="10"/>
  <c r="AC707" i="10"/>
  <c r="AC708" i="10"/>
  <c r="AC709" i="10"/>
  <c r="AC710" i="10"/>
  <c r="AC711" i="10"/>
  <c r="AC712" i="10"/>
  <c r="AC713" i="10"/>
  <c r="AC714" i="10"/>
  <c r="AC715" i="10"/>
  <c r="AC716" i="10"/>
  <c r="AC717" i="10"/>
  <c r="AC718" i="10"/>
  <c r="AC719" i="10"/>
  <c r="AC720" i="10"/>
  <c r="AC721" i="10"/>
  <c r="AC722" i="10"/>
  <c r="AC723" i="10"/>
  <c r="AC724" i="10"/>
  <c r="AC725" i="10"/>
  <c r="AC726" i="10"/>
  <c r="AC727" i="10"/>
  <c r="AC728" i="10"/>
  <c r="AC729" i="10"/>
  <c r="AC730" i="10"/>
  <c r="AC731" i="10"/>
  <c r="AC732" i="10"/>
  <c r="AC733" i="10"/>
  <c r="AC734" i="10"/>
  <c r="AC735" i="10"/>
  <c r="AC736" i="10"/>
  <c r="AC737" i="10"/>
  <c r="AC738" i="10"/>
  <c r="AC739" i="10"/>
  <c r="AC740" i="10"/>
  <c r="AC741" i="10"/>
  <c r="AC742" i="10"/>
  <c r="AC743" i="10"/>
  <c r="AC744" i="10"/>
  <c r="AC745" i="10"/>
  <c r="AC746" i="10"/>
  <c r="AC747" i="10"/>
  <c r="AC748" i="10"/>
  <c r="AC749" i="10"/>
  <c r="AC750" i="10"/>
  <c r="AC751" i="10"/>
  <c r="AC752" i="10"/>
  <c r="AC753" i="10"/>
  <c r="P410" i="10"/>
  <c r="P411" i="10"/>
  <c r="P412" i="10"/>
  <c r="P413" i="10"/>
  <c r="P414" i="10"/>
  <c r="P415" i="10"/>
  <c r="P416" i="10"/>
  <c r="P417" i="10"/>
  <c r="P418" i="10"/>
  <c r="P419" i="10"/>
  <c r="P420" i="10"/>
  <c r="P421" i="10"/>
  <c r="P422" i="10"/>
  <c r="P423" i="10"/>
  <c r="P424" i="10"/>
  <c r="P425" i="10"/>
  <c r="P426" i="10"/>
  <c r="P427" i="10"/>
  <c r="P428" i="10"/>
  <c r="P429" i="10"/>
  <c r="P430" i="10"/>
  <c r="P431" i="10"/>
  <c r="P432" i="10"/>
  <c r="P433" i="10"/>
  <c r="P434" i="10"/>
  <c r="P435" i="10"/>
  <c r="P436" i="10"/>
  <c r="P437" i="10"/>
  <c r="P438" i="10"/>
  <c r="P439" i="10"/>
  <c r="P440" i="10"/>
  <c r="P441" i="10"/>
  <c r="P442" i="10"/>
  <c r="P443" i="10"/>
  <c r="P444" i="10"/>
  <c r="P445" i="10"/>
  <c r="P446" i="10"/>
  <c r="P447" i="10"/>
  <c r="P448" i="10"/>
  <c r="P449" i="10"/>
  <c r="P450" i="10"/>
  <c r="P451" i="10"/>
  <c r="P452" i="10"/>
  <c r="P453" i="10"/>
  <c r="P454" i="10"/>
  <c r="P455" i="10"/>
  <c r="P456" i="10"/>
  <c r="P457" i="10"/>
  <c r="P458" i="10"/>
  <c r="P459" i="10"/>
  <c r="P460" i="10"/>
  <c r="P461" i="10"/>
  <c r="P462" i="10"/>
  <c r="P463" i="10"/>
  <c r="P464" i="10"/>
  <c r="P465" i="10"/>
  <c r="P466" i="10"/>
  <c r="P467" i="10"/>
  <c r="P468" i="10"/>
  <c r="P469" i="10"/>
  <c r="P470" i="10"/>
  <c r="P471" i="10"/>
  <c r="P472" i="10"/>
  <c r="P473" i="10"/>
  <c r="P474" i="10"/>
  <c r="P475" i="10"/>
  <c r="P476" i="10"/>
  <c r="P477" i="10"/>
  <c r="P478" i="10"/>
  <c r="P479" i="10"/>
  <c r="P480" i="10"/>
  <c r="P481" i="10"/>
  <c r="P482" i="10"/>
  <c r="P483" i="10"/>
  <c r="P484" i="10"/>
  <c r="P485" i="10"/>
  <c r="P486" i="10"/>
  <c r="P487" i="10"/>
  <c r="P488" i="10"/>
  <c r="P489" i="10"/>
  <c r="P490" i="10"/>
  <c r="P491" i="10"/>
  <c r="Q491" i="10" s="1"/>
  <c r="P492" i="10"/>
  <c r="P493" i="10"/>
  <c r="P494" i="10"/>
  <c r="P495" i="10"/>
  <c r="P496" i="10"/>
  <c r="P497" i="10"/>
  <c r="P498" i="10"/>
  <c r="P499" i="10"/>
  <c r="P500" i="10"/>
  <c r="P501" i="10"/>
  <c r="P502" i="10"/>
  <c r="P503" i="10"/>
  <c r="P504" i="10"/>
  <c r="P505" i="10"/>
  <c r="P506" i="10"/>
  <c r="P507" i="10"/>
  <c r="P508" i="10"/>
  <c r="P509" i="10"/>
  <c r="P510" i="10"/>
  <c r="P511" i="10"/>
  <c r="P512" i="10"/>
  <c r="P513" i="10"/>
  <c r="P514" i="10"/>
  <c r="P515" i="10"/>
  <c r="P516" i="10"/>
  <c r="P517" i="10"/>
  <c r="P518" i="10"/>
  <c r="P519" i="10"/>
  <c r="P520" i="10"/>
  <c r="P521" i="10"/>
  <c r="P522" i="10"/>
  <c r="P523" i="10"/>
  <c r="P524" i="10"/>
  <c r="P525" i="10"/>
  <c r="P526" i="10"/>
  <c r="P527" i="10"/>
  <c r="P528" i="10"/>
  <c r="P529" i="10"/>
  <c r="P530" i="10"/>
  <c r="P531" i="10"/>
  <c r="P532" i="10"/>
  <c r="P533" i="10"/>
  <c r="P534" i="10"/>
  <c r="P535" i="10"/>
  <c r="P536" i="10"/>
  <c r="P537" i="10"/>
  <c r="P538" i="10"/>
  <c r="P539" i="10"/>
  <c r="P540" i="10"/>
  <c r="P541" i="10"/>
  <c r="P542" i="10"/>
  <c r="P543" i="10"/>
  <c r="P544" i="10"/>
  <c r="P545" i="10"/>
  <c r="P546" i="10"/>
  <c r="P547" i="10"/>
  <c r="P548" i="10"/>
  <c r="P549" i="10"/>
  <c r="P550" i="10"/>
  <c r="P551" i="10"/>
  <c r="P552" i="10"/>
  <c r="P553" i="10"/>
  <c r="P554" i="10"/>
  <c r="P555" i="10"/>
  <c r="P556" i="10"/>
  <c r="P557" i="10"/>
  <c r="P558" i="10"/>
  <c r="P559" i="10"/>
  <c r="P560" i="10"/>
  <c r="P561" i="10"/>
  <c r="P562" i="10"/>
  <c r="P563" i="10"/>
  <c r="P564" i="10"/>
  <c r="P565" i="10"/>
  <c r="P566" i="10"/>
  <c r="P567" i="10"/>
  <c r="P568" i="10"/>
  <c r="P569" i="10"/>
  <c r="P570" i="10"/>
  <c r="P571" i="10"/>
  <c r="P572" i="10"/>
  <c r="P573" i="10"/>
  <c r="P574" i="10"/>
  <c r="P575" i="10"/>
  <c r="P576" i="10"/>
  <c r="P577" i="10"/>
  <c r="P578" i="10"/>
  <c r="P579" i="10"/>
  <c r="P580" i="10"/>
  <c r="P581" i="10"/>
  <c r="P582" i="10"/>
  <c r="P583" i="10"/>
  <c r="P584" i="10"/>
  <c r="P585" i="10"/>
  <c r="P586" i="10"/>
  <c r="P587" i="10"/>
  <c r="P588" i="10"/>
  <c r="P589" i="10"/>
  <c r="P590" i="10"/>
  <c r="P591" i="10"/>
  <c r="P592" i="10"/>
  <c r="P593" i="10"/>
  <c r="P594" i="10"/>
  <c r="P595" i="10"/>
  <c r="P596" i="10"/>
  <c r="P597" i="10"/>
  <c r="P598" i="10"/>
  <c r="P599" i="10"/>
  <c r="P600" i="10"/>
  <c r="P601" i="10"/>
  <c r="P602" i="10"/>
  <c r="P603" i="10"/>
  <c r="P604" i="10"/>
  <c r="P605" i="10"/>
  <c r="P606" i="10"/>
  <c r="P607" i="10"/>
  <c r="P608" i="10"/>
  <c r="P609" i="10"/>
  <c r="P610" i="10"/>
  <c r="P611" i="10"/>
  <c r="P612" i="10"/>
  <c r="P613" i="10"/>
  <c r="P614" i="10"/>
  <c r="P615" i="10"/>
  <c r="P616" i="10"/>
  <c r="P617" i="10"/>
  <c r="P618" i="10"/>
  <c r="P619" i="10"/>
  <c r="P620" i="10"/>
  <c r="P621" i="10"/>
  <c r="P622" i="10"/>
  <c r="P623" i="10"/>
  <c r="P624" i="10"/>
  <c r="P625" i="10"/>
  <c r="P626" i="10"/>
  <c r="P627" i="10"/>
  <c r="P628" i="10"/>
  <c r="P629" i="10"/>
  <c r="P630" i="10"/>
  <c r="P631" i="10"/>
  <c r="P632" i="10"/>
  <c r="P633" i="10"/>
  <c r="P634" i="10"/>
  <c r="P635" i="10"/>
  <c r="P636" i="10"/>
  <c r="P637" i="10"/>
  <c r="P638" i="10"/>
  <c r="P639" i="10"/>
  <c r="P640" i="10"/>
  <c r="P641" i="10"/>
  <c r="P642" i="10"/>
  <c r="P643" i="10"/>
  <c r="P644" i="10"/>
  <c r="P645" i="10"/>
  <c r="P646" i="10"/>
  <c r="P647" i="10"/>
  <c r="P648" i="10"/>
  <c r="P649" i="10"/>
  <c r="P650" i="10"/>
  <c r="P651" i="10"/>
  <c r="P652" i="10"/>
  <c r="P653" i="10"/>
  <c r="P654" i="10"/>
  <c r="P655" i="10"/>
  <c r="P656" i="10"/>
  <c r="P657" i="10"/>
  <c r="P658" i="10"/>
  <c r="P659" i="10"/>
  <c r="P660" i="10"/>
  <c r="P661" i="10"/>
  <c r="P662" i="10"/>
  <c r="P663" i="10"/>
  <c r="P664" i="10"/>
  <c r="P665" i="10"/>
  <c r="P666" i="10"/>
  <c r="P667" i="10"/>
  <c r="P668" i="10"/>
  <c r="P669" i="10"/>
  <c r="P670" i="10"/>
  <c r="P671" i="10"/>
  <c r="P672" i="10"/>
  <c r="P673" i="10"/>
  <c r="P674" i="10"/>
  <c r="P675" i="10"/>
  <c r="P676" i="10"/>
  <c r="P677" i="10"/>
  <c r="P678" i="10"/>
  <c r="P679" i="10"/>
  <c r="P680" i="10"/>
  <c r="P681" i="10"/>
  <c r="P682" i="10"/>
  <c r="P683" i="10"/>
  <c r="P684" i="10"/>
  <c r="P685" i="10"/>
  <c r="P686" i="10"/>
  <c r="P687" i="10"/>
  <c r="P688" i="10"/>
  <c r="P689" i="10"/>
  <c r="P690" i="10"/>
  <c r="P691" i="10"/>
  <c r="P692" i="10"/>
  <c r="P693" i="10"/>
  <c r="P694" i="10"/>
  <c r="P695" i="10"/>
  <c r="P696" i="10"/>
  <c r="P697" i="10"/>
  <c r="P698" i="10"/>
  <c r="P699" i="10"/>
  <c r="P700" i="10"/>
  <c r="P701" i="10"/>
  <c r="P702" i="10"/>
  <c r="P703" i="10"/>
  <c r="P704" i="10"/>
  <c r="P705" i="10"/>
  <c r="P706" i="10"/>
  <c r="P707" i="10"/>
  <c r="P708" i="10"/>
  <c r="P709" i="10"/>
  <c r="P710" i="10"/>
  <c r="P711" i="10"/>
  <c r="P712" i="10"/>
  <c r="P713" i="10"/>
  <c r="P714" i="10"/>
  <c r="P715" i="10"/>
  <c r="P716" i="10"/>
  <c r="P717" i="10"/>
  <c r="P718" i="10"/>
  <c r="P719" i="10"/>
  <c r="P720" i="10"/>
  <c r="P721" i="10"/>
  <c r="P722" i="10"/>
  <c r="P723" i="10"/>
  <c r="P724" i="10"/>
  <c r="P725" i="10"/>
  <c r="P726" i="10"/>
  <c r="P727" i="10"/>
  <c r="P728" i="10"/>
  <c r="P729" i="10"/>
  <c r="P730" i="10"/>
  <c r="P731" i="10"/>
  <c r="P732" i="10"/>
  <c r="P733" i="10"/>
  <c r="P734" i="10"/>
  <c r="P735" i="10"/>
  <c r="P736" i="10"/>
  <c r="P737" i="10"/>
  <c r="P738" i="10"/>
  <c r="P739" i="10"/>
  <c r="P740" i="10"/>
  <c r="P741" i="10"/>
  <c r="P742" i="10"/>
  <c r="P743" i="10"/>
  <c r="P744" i="10"/>
  <c r="P745" i="10"/>
  <c r="P746" i="10"/>
  <c r="P747" i="10"/>
  <c r="P748" i="10"/>
  <c r="P749" i="10"/>
  <c r="P750" i="10"/>
  <c r="P751" i="10"/>
  <c r="P752" i="10"/>
  <c r="P753" i="10"/>
  <c r="O509" i="10"/>
  <c r="Q509" i="10" s="1"/>
  <c r="O510" i="10"/>
  <c r="O511" i="10"/>
  <c r="O512" i="10"/>
  <c r="O513" i="10"/>
  <c r="Q513" i="10" s="1"/>
  <c r="O514" i="10"/>
  <c r="O515" i="10"/>
  <c r="O516" i="10"/>
  <c r="O517" i="10"/>
  <c r="Q517" i="10" s="1"/>
  <c r="O518" i="10"/>
  <c r="O519" i="10"/>
  <c r="O520" i="10"/>
  <c r="O521" i="10"/>
  <c r="O522" i="10"/>
  <c r="O523" i="10"/>
  <c r="O524" i="10"/>
  <c r="O525" i="10"/>
  <c r="Q525" i="10" s="1"/>
  <c r="O526" i="10"/>
  <c r="O527" i="10"/>
  <c r="O528" i="10"/>
  <c r="Q528" i="10" s="1"/>
  <c r="O529" i="10"/>
  <c r="O530" i="10"/>
  <c r="O531" i="10"/>
  <c r="O532" i="10"/>
  <c r="O533" i="10"/>
  <c r="Q533" i="10" s="1"/>
  <c r="O534" i="10"/>
  <c r="O535" i="10"/>
  <c r="O536" i="10"/>
  <c r="O537" i="10"/>
  <c r="O538" i="10"/>
  <c r="O539" i="10"/>
  <c r="O540" i="10"/>
  <c r="O541" i="10"/>
  <c r="Q541" i="10" s="1"/>
  <c r="O542" i="10"/>
  <c r="O543" i="10"/>
  <c r="O544" i="10"/>
  <c r="O545" i="10"/>
  <c r="O546" i="10"/>
  <c r="O547" i="10"/>
  <c r="O548" i="10"/>
  <c r="O549" i="10"/>
  <c r="Q549" i="10" s="1"/>
  <c r="O550" i="10"/>
  <c r="O551" i="10"/>
  <c r="O552" i="10"/>
  <c r="O553" i="10"/>
  <c r="O554" i="10"/>
  <c r="O555" i="10"/>
  <c r="O556" i="10"/>
  <c r="O557" i="10"/>
  <c r="Q557" i="10" s="1"/>
  <c r="O558" i="10"/>
  <c r="O559" i="10"/>
  <c r="O560" i="10"/>
  <c r="O561" i="10"/>
  <c r="O562" i="10"/>
  <c r="O563" i="10"/>
  <c r="O564" i="10"/>
  <c r="O565" i="10"/>
  <c r="Q565" i="10" s="1"/>
  <c r="O566" i="10"/>
  <c r="O567" i="10"/>
  <c r="O568" i="10"/>
  <c r="O569" i="10"/>
  <c r="O570" i="10"/>
  <c r="O571" i="10"/>
  <c r="O572" i="10"/>
  <c r="O573" i="10"/>
  <c r="Q573" i="10" s="1"/>
  <c r="O574" i="10"/>
  <c r="O575" i="10"/>
  <c r="O576" i="10"/>
  <c r="O577" i="10"/>
  <c r="Q577" i="10" s="1"/>
  <c r="O578" i="10"/>
  <c r="O579" i="10"/>
  <c r="O580" i="10"/>
  <c r="O581" i="10"/>
  <c r="Q581" i="10" s="1"/>
  <c r="O582" i="10"/>
  <c r="O583" i="10"/>
  <c r="O584" i="10"/>
  <c r="O585" i="10"/>
  <c r="O586" i="10"/>
  <c r="O587" i="10"/>
  <c r="O588" i="10"/>
  <c r="O589" i="10"/>
  <c r="Q589" i="10" s="1"/>
  <c r="O590" i="10"/>
  <c r="O591" i="10"/>
  <c r="O592" i="10"/>
  <c r="O593" i="10"/>
  <c r="O594" i="10"/>
  <c r="O595" i="10"/>
  <c r="O596" i="10"/>
  <c r="O597" i="10"/>
  <c r="Q597" i="10" s="1"/>
  <c r="O598" i="10"/>
  <c r="O599" i="10"/>
  <c r="O600" i="10"/>
  <c r="O601" i="10"/>
  <c r="O602" i="10"/>
  <c r="O603" i="10"/>
  <c r="O604" i="10"/>
  <c r="O605" i="10"/>
  <c r="Q605" i="10" s="1"/>
  <c r="O606" i="10"/>
  <c r="O607" i="10"/>
  <c r="O608" i="10"/>
  <c r="O609" i="10"/>
  <c r="O610" i="10"/>
  <c r="O611" i="10"/>
  <c r="O612" i="10"/>
  <c r="O613" i="10"/>
  <c r="Q613" i="10" s="1"/>
  <c r="O614" i="10"/>
  <c r="O615" i="10"/>
  <c r="O616" i="10"/>
  <c r="O617" i="10"/>
  <c r="O618" i="10"/>
  <c r="O619" i="10"/>
  <c r="O620" i="10"/>
  <c r="O621" i="10"/>
  <c r="Q621" i="10" s="1"/>
  <c r="O622" i="10"/>
  <c r="O623" i="10"/>
  <c r="O624" i="10"/>
  <c r="O625" i="10"/>
  <c r="O626" i="10"/>
  <c r="O627" i="10"/>
  <c r="O628" i="10"/>
  <c r="O629" i="10"/>
  <c r="Q629" i="10" s="1"/>
  <c r="O630" i="10"/>
  <c r="O631" i="10"/>
  <c r="O632" i="10"/>
  <c r="O633" i="10"/>
  <c r="Q633" i="10" s="1"/>
  <c r="O634" i="10"/>
  <c r="O635" i="10"/>
  <c r="O636" i="10"/>
  <c r="O637" i="10"/>
  <c r="Q637" i="10" s="1"/>
  <c r="O638" i="10"/>
  <c r="O639" i="10"/>
  <c r="O640" i="10"/>
  <c r="O641" i="10"/>
  <c r="O642" i="10"/>
  <c r="O643" i="10"/>
  <c r="O644" i="10"/>
  <c r="O645" i="10"/>
  <c r="Q645" i="10" s="1"/>
  <c r="O646" i="10"/>
  <c r="O647" i="10"/>
  <c r="O648" i="10"/>
  <c r="O649" i="10"/>
  <c r="O650" i="10"/>
  <c r="O651" i="10"/>
  <c r="O652" i="10"/>
  <c r="O653" i="10"/>
  <c r="Q653" i="10" s="1"/>
  <c r="O654" i="10"/>
  <c r="O655" i="10"/>
  <c r="O656" i="10"/>
  <c r="O657" i="10"/>
  <c r="Q657" i="10" s="1"/>
  <c r="O658" i="10"/>
  <c r="O659" i="10"/>
  <c r="O660" i="10"/>
  <c r="O661" i="10"/>
  <c r="Q661" i="10" s="1"/>
  <c r="O662" i="10"/>
  <c r="O663" i="10"/>
  <c r="O664" i="10"/>
  <c r="O665" i="10"/>
  <c r="Q665" i="10" s="1"/>
  <c r="O666" i="10"/>
  <c r="O667" i="10"/>
  <c r="O668" i="10"/>
  <c r="O669" i="10"/>
  <c r="Q669" i="10" s="1"/>
  <c r="O670" i="10"/>
  <c r="O671" i="10"/>
  <c r="O672" i="10"/>
  <c r="O673" i="10"/>
  <c r="O674" i="10"/>
  <c r="O675" i="10"/>
  <c r="O676" i="10"/>
  <c r="O677" i="10"/>
  <c r="O678" i="10"/>
  <c r="O679" i="10"/>
  <c r="O680" i="10"/>
  <c r="O681" i="10"/>
  <c r="Q681" i="10" s="1"/>
  <c r="O682" i="10"/>
  <c r="O683" i="10"/>
  <c r="O684" i="10"/>
  <c r="O685" i="10"/>
  <c r="Q685" i="10" s="1"/>
  <c r="O686" i="10"/>
  <c r="O687" i="10"/>
  <c r="O688" i="10"/>
  <c r="O689" i="10"/>
  <c r="O690" i="10"/>
  <c r="O691" i="10"/>
  <c r="O692" i="10"/>
  <c r="O693" i="10"/>
  <c r="Q693" i="10" s="1"/>
  <c r="O694" i="10"/>
  <c r="O695" i="10"/>
  <c r="O696" i="10"/>
  <c r="O697" i="10"/>
  <c r="Q697" i="10" s="1"/>
  <c r="O698" i="10"/>
  <c r="O699" i="10"/>
  <c r="O700" i="10"/>
  <c r="Q700" i="10" s="1"/>
  <c r="O701" i="10"/>
  <c r="Q701" i="10" s="1"/>
  <c r="O702" i="10"/>
  <c r="O703" i="10"/>
  <c r="O704" i="10"/>
  <c r="O705" i="10"/>
  <c r="O706" i="10"/>
  <c r="O707" i="10"/>
  <c r="O708" i="10"/>
  <c r="O709" i="10"/>
  <c r="Q709" i="10" s="1"/>
  <c r="O710" i="10"/>
  <c r="O711" i="10"/>
  <c r="O712" i="10"/>
  <c r="O713" i="10"/>
  <c r="O714" i="10"/>
  <c r="O715" i="10"/>
  <c r="O716" i="10"/>
  <c r="O717" i="10"/>
  <c r="Q717" i="10" s="1"/>
  <c r="O718" i="10"/>
  <c r="O719" i="10"/>
  <c r="O720" i="10"/>
  <c r="O721" i="10"/>
  <c r="O722" i="10"/>
  <c r="O723" i="10"/>
  <c r="O724" i="10"/>
  <c r="O725" i="10"/>
  <c r="Q725" i="10" s="1"/>
  <c r="O726" i="10"/>
  <c r="O727" i="10"/>
  <c r="O728" i="10"/>
  <c r="O729" i="10"/>
  <c r="O730" i="10"/>
  <c r="O731" i="10"/>
  <c r="O732" i="10"/>
  <c r="O733" i="10"/>
  <c r="Q733" i="10" s="1"/>
  <c r="O734" i="10"/>
  <c r="O735" i="10"/>
  <c r="O736" i="10"/>
  <c r="O737" i="10"/>
  <c r="Q737" i="10" s="1"/>
  <c r="O738" i="10"/>
  <c r="O739" i="10"/>
  <c r="O740" i="10"/>
  <c r="O741" i="10"/>
  <c r="Q741" i="10" s="1"/>
  <c r="O742" i="10"/>
  <c r="O743" i="10"/>
  <c r="O744" i="10"/>
  <c r="O745" i="10"/>
  <c r="O746" i="10"/>
  <c r="O747" i="10"/>
  <c r="O748" i="10"/>
  <c r="O749" i="10"/>
  <c r="Q749" i="10" s="1"/>
  <c r="O750" i="10"/>
  <c r="O751" i="10"/>
  <c r="O752" i="10"/>
  <c r="O753" i="10"/>
  <c r="R350" i="10"/>
  <c r="S350" i="10"/>
  <c r="U350" i="10"/>
  <c r="V350" i="10"/>
  <c r="W350" i="10" s="1"/>
  <c r="R351" i="10"/>
  <c r="S351" i="10"/>
  <c r="U351" i="10"/>
  <c r="V351" i="10"/>
  <c r="R352" i="10"/>
  <c r="S352" i="10"/>
  <c r="U352" i="10"/>
  <c r="V352" i="10"/>
  <c r="W352" i="10" s="1"/>
  <c r="R353" i="10"/>
  <c r="S353" i="10"/>
  <c r="U353" i="10"/>
  <c r="V353" i="10"/>
  <c r="W353" i="10" s="1"/>
  <c r="X353" i="10"/>
  <c r="R354" i="10"/>
  <c r="S354" i="10"/>
  <c r="U354" i="10"/>
  <c r="V354" i="10"/>
  <c r="R355" i="10"/>
  <c r="S355" i="10"/>
  <c r="U355" i="10"/>
  <c r="V355" i="10"/>
  <c r="R356" i="10"/>
  <c r="S356" i="10"/>
  <c r="U356" i="10"/>
  <c r="V356" i="10"/>
  <c r="R357" i="10"/>
  <c r="S357" i="10"/>
  <c r="U357" i="10"/>
  <c r="X357" i="10" s="1"/>
  <c r="V357" i="10"/>
  <c r="R358" i="10"/>
  <c r="S358" i="10"/>
  <c r="U358" i="10"/>
  <c r="V358" i="10"/>
  <c r="W358" i="10" s="1"/>
  <c r="R359" i="10"/>
  <c r="S359" i="10"/>
  <c r="U359" i="10"/>
  <c r="X359" i="10" s="1"/>
  <c r="V359" i="10"/>
  <c r="R360" i="10"/>
  <c r="S360" i="10"/>
  <c r="U360" i="10"/>
  <c r="V360" i="10"/>
  <c r="W360" i="10" s="1"/>
  <c r="R361" i="10"/>
  <c r="S361" i="10"/>
  <c r="U361" i="10"/>
  <c r="X361" i="10" s="1"/>
  <c r="V361" i="10"/>
  <c r="R362" i="10"/>
  <c r="S362" i="10"/>
  <c r="T362" i="10" s="1"/>
  <c r="U362" i="10"/>
  <c r="X362" i="10" s="1"/>
  <c r="V362" i="10"/>
  <c r="W362" i="10" s="1"/>
  <c r="R363" i="10"/>
  <c r="S363" i="10"/>
  <c r="U363" i="10"/>
  <c r="V363" i="10"/>
  <c r="R364" i="10"/>
  <c r="S364" i="10"/>
  <c r="T364" i="10" s="1"/>
  <c r="U364" i="10"/>
  <c r="V364" i="10"/>
  <c r="W364" i="10" s="1"/>
  <c r="R365" i="10"/>
  <c r="S365" i="10"/>
  <c r="U365" i="10"/>
  <c r="X365" i="10" s="1"/>
  <c r="V365" i="10"/>
  <c r="R366" i="10"/>
  <c r="S366" i="10"/>
  <c r="T366" i="10" s="1"/>
  <c r="U366" i="10"/>
  <c r="V366" i="10"/>
  <c r="W366" i="10" s="1"/>
  <c r="R367" i="10"/>
  <c r="S367" i="10"/>
  <c r="T367" i="10" s="1"/>
  <c r="U367" i="10"/>
  <c r="X367" i="10" s="1"/>
  <c r="V367" i="10"/>
  <c r="R368" i="10"/>
  <c r="S368" i="10"/>
  <c r="U368" i="10"/>
  <c r="V368" i="10"/>
  <c r="W368" i="10" s="1"/>
  <c r="R369" i="10"/>
  <c r="S369" i="10"/>
  <c r="U369" i="10"/>
  <c r="X369" i="10" s="1"/>
  <c r="V369" i="10"/>
  <c r="R370" i="10"/>
  <c r="S370" i="10"/>
  <c r="T370" i="10" s="1"/>
  <c r="U370" i="10"/>
  <c r="V370" i="10"/>
  <c r="W370" i="10" s="1"/>
  <c r="R371" i="10"/>
  <c r="S371" i="10"/>
  <c r="U371" i="10"/>
  <c r="V371" i="10"/>
  <c r="R372" i="10"/>
  <c r="S372" i="10"/>
  <c r="U372" i="10"/>
  <c r="V372" i="10"/>
  <c r="W372" i="10" s="1"/>
  <c r="R373" i="10"/>
  <c r="S373" i="10"/>
  <c r="T373" i="10" s="1"/>
  <c r="U373" i="10"/>
  <c r="X373" i="10" s="1"/>
  <c r="V373" i="10"/>
  <c r="R374" i="10"/>
  <c r="S374" i="10"/>
  <c r="U374" i="10"/>
  <c r="X374" i="10" s="1"/>
  <c r="V374" i="10"/>
  <c r="W374" i="10" s="1"/>
  <c r="R375" i="10"/>
  <c r="S375" i="10"/>
  <c r="U375" i="10"/>
  <c r="X375" i="10" s="1"/>
  <c r="V375" i="10"/>
  <c r="R376" i="10"/>
  <c r="S376" i="10"/>
  <c r="U376" i="10"/>
  <c r="V376" i="10"/>
  <c r="W376" i="10" s="1"/>
  <c r="R377" i="10"/>
  <c r="S377" i="10"/>
  <c r="T377" i="10" s="1"/>
  <c r="U377" i="10"/>
  <c r="X377" i="10" s="1"/>
  <c r="V377" i="10"/>
  <c r="R378" i="10"/>
  <c r="S378" i="10"/>
  <c r="U378" i="10"/>
  <c r="X378" i="10" s="1"/>
  <c r="V378" i="10"/>
  <c r="W378" i="10" s="1"/>
  <c r="R379" i="10"/>
  <c r="S379" i="10"/>
  <c r="U379" i="10"/>
  <c r="X379" i="10" s="1"/>
  <c r="V379" i="10"/>
  <c r="R380" i="10"/>
  <c r="S380" i="10"/>
  <c r="T380" i="10" s="1"/>
  <c r="U380" i="10"/>
  <c r="V380" i="10"/>
  <c r="W380" i="10" s="1"/>
  <c r="R381" i="10"/>
  <c r="S381" i="10"/>
  <c r="U381" i="10"/>
  <c r="V381" i="10"/>
  <c r="R382" i="10"/>
  <c r="S382" i="10"/>
  <c r="U382" i="10"/>
  <c r="V382" i="10"/>
  <c r="W382" i="10" s="1"/>
  <c r="R383" i="10"/>
  <c r="S383" i="10"/>
  <c r="U383" i="10"/>
  <c r="X383" i="10" s="1"/>
  <c r="V383" i="10"/>
  <c r="R384" i="10"/>
  <c r="S384" i="10"/>
  <c r="U384" i="10"/>
  <c r="V384" i="10"/>
  <c r="W384" i="10" s="1"/>
  <c r="R385" i="10"/>
  <c r="S385" i="10"/>
  <c r="U385" i="10"/>
  <c r="X385" i="10" s="1"/>
  <c r="V385" i="10"/>
  <c r="R386" i="10"/>
  <c r="S386" i="10"/>
  <c r="U386" i="10"/>
  <c r="X386" i="10" s="1"/>
  <c r="V386" i="10"/>
  <c r="W386" i="10" s="1"/>
  <c r="R387" i="10"/>
  <c r="S387" i="10"/>
  <c r="U387" i="10"/>
  <c r="X387" i="10" s="1"/>
  <c r="V387" i="10"/>
  <c r="R388" i="10"/>
  <c r="S388" i="10"/>
  <c r="U388" i="10"/>
  <c r="V388" i="10"/>
  <c r="W388" i="10" s="1"/>
  <c r="R389" i="10"/>
  <c r="S389" i="10"/>
  <c r="U389" i="10"/>
  <c r="X389" i="10" s="1"/>
  <c r="V389" i="10"/>
  <c r="R390" i="10"/>
  <c r="S390" i="10"/>
  <c r="U390" i="10"/>
  <c r="V390" i="10"/>
  <c r="W390" i="10" s="1"/>
  <c r="R391" i="10"/>
  <c r="S391" i="10"/>
  <c r="T391" i="10" s="1"/>
  <c r="U391" i="10"/>
  <c r="X391" i="10" s="1"/>
  <c r="V391" i="10"/>
  <c r="R392" i="10"/>
  <c r="S392" i="10"/>
  <c r="U392" i="10"/>
  <c r="V392" i="10"/>
  <c r="R393" i="10"/>
  <c r="S393" i="10"/>
  <c r="U393" i="10"/>
  <c r="X393" i="10" s="1"/>
  <c r="V393" i="10"/>
  <c r="R394" i="10"/>
  <c r="S394" i="10"/>
  <c r="T394" i="10" s="1"/>
  <c r="U394" i="10"/>
  <c r="X394" i="10" s="1"/>
  <c r="V394" i="10"/>
  <c r="W394" i="10" s="1"/>
  <c r="R395" i="10"/>
  <c r="S395" i="10"/>
  <c r="U395" i="10"/>
  <c r="V395" i="10"/>
  <c r="W395" i="10" s="1"/>
  <c r="R396" i="10"/>
  <c r="S396" i="10"/>
  <c r="T396" i="10" s="1"/>
  <c r="U396" i="10"/>
  <c r="X396" i="10" s="1"/>
  <c r="V396" i="10"/>
  <c r="R397" i="10"/>
  <c r="S397" i="10"/>
  <c r="U397" i="10"/>
  <c r="V397" i="10"/>
  <c r="W397" i="10" s="1"/>
  <c r="R398" i="10"/>
  <c r="S398" i="10"/>
  <c r="U398" i="10"/>
  <c r="X398" i="10" s="1"/>
  <c r="V398" i="10"/>
  <c r="W398" i="10" s="1"/>
  <c r="R399" i="10"/>
  <c r="S399" i="10"/>
  <c r="U399" i="10"/>
  <c r="V399" i="10"/>
  <c r="W399" i="10" s="1"/>
  <c r="R400" i="10"/>
  <c r="S400" i="10"/>
  <c r="U400" i="10"/>
  <c r="V400" i="10"/>
  <c r="W400" i="10" s="1"/>
  <c r="R401" i="10"/>
  <c r="S401" i="10"/>
  <c r="U401" i="10"/>
  <c r="X401" i="10" s="1"/>
  <c r="V401" i="10"/>
  <c r="W401" i="10" s="1"/>
  <c r="R402" i="10"/>
  <c r="S402" i="10"/>
  <c r="U402" i="10"/>
  <c r="V402" i="10"/>
  <c r="W402" i="10" s="1"/>
  <c r="R403" i="10"/>
  <c r="S403" i="10"/>
  <c r="U403" i="10"/>
  <c r="V403" i="10"/>
  <c r="W403" i="10" s="1"/>
  <c r="R404" i="10"/>
  <c r="S404" i="10"/>
  <c r="U404" i="10"/>
  <c r="V404" i="10"/>
  <c r="R405" i="10"/>
  <c r="S405" i="10"/>
  <c r="T405" i="10" s="1"/>
  <c r="U405" i="10"/>
  <c r="X405" i="10" s="1"/>
  <c r="V405" i="10"/>
  <c r="W405" i="10" s="1"/>
  <c r="R406" i="10"/>
  <c r="S406" i="10"/>
  <c r="U406" i="10"/>
  <c r="V406" i="10"/>
  <c r="R407" i="10"/>
  <c r="S407" i="10"/>
  <c r="U407" i="10"/>
  <c r="V407" i="10"/>
  <c r="R408" i="10"/>
  <c r="S408" i="10"/>
  <c r="U408" i="10"/>
  <c r="V408" i="10"/>
  <c r="R409" i="10"/>
  <c r="S409" i="10"/>
  <c r="U409" i="10"/>
  <c r="V409" i="10"/>
  <c r="W409" i="10" s="1"/>
  <c r="R410" i="10"/>
  <c r="S410" i="10"/>
  <c r="U410" i="10"/>
  <c r="V410" i="10"/>
  <c r="R411" i="10"/>
  <c r="S411" i="10"/>
  <c r="U411" i="10"/>
  <c r="V411" i="10"/>
  <c r="W411" i="10" s="1"/>
  <c r="R412" i="10"/>
  <c r="S412" i="10"/>
  <c r="U412" i="10"/>
  <c r="V412" i="10"/>
  <c r="R413" i="10"/>
  <c r="S413" i="10"/>
  <c r="U413" i="10"/>
  <c r="V413" i="10"/>
  <c r="R414" i="10"/>
  <c r="S414" i="10"/>
  <c r="U414" i="10"/>
  <c r="V414" i="10"/>
  <c r="R415" i="10"/>
  <c r="S415" i="10"/>
  <c r="U415" i="10"/>
  <c r="V415" i="10"/>
  <c r="R416" i="10"/>
  <c r="S416" i="10"/>
  <c r="U416" i="10"/>
  <c r="V416" i="10"/>
  <c r="W416" i="10" s="1"/>
  <c r="R417" i="10"/>
  <c r="S417" i="10"/>
  <c r="U417" i="10"/>
  <c r="V417" i="10"/>
  <c r="Y417" i="10" s="1"/>
  <c r="R418" i="10"/>
  <c r="S418" i="10"/>
  <c r="U418" i="10"/>
  <c r="V418" i="10"/>
  <c r="W418" i="10" s="1"/>
  <c r="R419" i="10"/>
  <c r="S419" i="10"/>
  <c r="U419" i="10"/>
  <c r="V419" i="10"/>
  <c r="R420" i="10"/>
  <c r="S420" i="10"/>
  <c r="U420" i="10"/>
  <c r="V420" i="10"/>
  <c r="W420" i="10" s="1"/>
  <c r="R421" i="10"/>
  <c r="S421" i="10"/>
  <c r="U421" i="10"/>
  <c r="V421" i="10"/>
  <c r="R422" i="10"/>
  <c r="S422" i="10"/>
  <c r="U422" i="10"/>
  <c r="V422" i="10"/>
  <c r="W422" i="10" s="1"/>
  <c r="R423" i="10"/>
  <c r="S423" i="10"/>
  <c r="U423" i="10"/>
  <c r="V423" i="10"/>
  <c r="R424" i="10"/>
  <c r="S424" i="10"/>
  <c r="U424" i="10"/>
  <c r="V424" i="10"/>
  <c r="W424" i="10" s="1"/>
  <c r="R425" i="10"/>
  <c r="S425" i="10"/>
  <c r="U425" i="10"/>
  <c r="V425" i="10"/>
  <c r="R426" i="10"/>
  <c r="S426" i="10"/>
  <c r="U426" i="10"/>
  <c r="V426" i="10"/>
  <c r="W426" i="10" s="1"/>
  <c r="R427" i="10"/>
  <c r="S427" i="10"/>
  <c r="U427" i="10"/>
  <c r="V427" i="10"/>
  <c r="R428" i="10"/>
  <c r="S428" i="10"/>
  <c r="U428" i="10"/>
  <c r="V428" i="10"/>
  <c r="R429" i="10"/>
  <c r="S429" i="10"/>
  <c r="U429" i="10"/>
  <c r="V429" i="10"/>
  <c r="X429" i="10"/>
  <c r="R430" i="10"/>
  <c r="S430" i="10"/>
  <c r="U430" i="10"/>
  <c r="V430" i="10"/>
  <c r="R431" i="10"/>
  <c r="S431" i="10"/>
  <c r="U431" i="10"/>
  <c r="V431" i="10"/>
  <c r="W431" i="10" s="1"/>
  <c r="R432" i="10"/>
  <c r="S432" i="10"/>
  <c r="U432" i="10"/>
  <c r="X432" i="10" s="1"/>
  <c r="V432" i="10"/>
  <c r="R433" i="10"/>
  <c r="S433" i="10"/>
  <c r="U433" i="10"/>
  <c r="V433" i="10"/>
  <c r="R434" i="10"/>
  <c r="S434" i="10"/>
  <c r="U434" i="10"/>
  <c r="X434" i="10" s="1"/>
  <c r="V434" i="10"/>
  <c r="R435" i="10"/>
  <c r="S435" i="10"/>
  <c r="U435" i="10"/>
  <c r="V435" i="10"/>
  <c r="W435" i="10" s="1"/>
  <c r="R436" i="10"/>
  <c r="S436" i="10"/>
  <c r="U436" i="10"/>
  <c r="V436" i="10"/>
  <c r="R437" i="10"/>
  <c r="S437" i="10"/>
  <c r="U437" i="10"/>
  <c r="V437" i="10"/>
  <c r="W437" i="10" s="1"/>
  <c r="R438" i="10"/>
  <c r="S438" i="10"/>
  <c r="U438" i="10"/>
  <c r="X438" i="10" s="1"/>
  <c r="V438" i="10"/>
  <c r="R439" i="10"/>
  <c r="S439" i="10"/>
  <c r="U439" i="10"/>
  <c r="V439" i="10"/>
  <c r="W439" i="10" s="1"/>
  <c r="R440" i="10"/>
  <c r="S440" i="10"/>
  <c r="U440" i="10"/>
  <c r="V440" i="10"/>
  <c r="R441" i="10"/>
  <c r="S441" i="10"/>
  <c r="U441" i="10"/>
  <c r="V441" i="10"/>
  <c r="W441" i="10" s="1"/>
  <c r="R442" i="10"/>
  <c r="S442" i="10"/>
  <c r="U442" i="10"/>
  <c r="V442" i="10"/>
  <c r="R443" i="10"/>
  <c r="S443" i="10"/>
  <c r="U443" i="10"/>
  <c r="V443" i="10"/>
  <c r="W443" i="10" s="1"/>
  <c r="R444" i="10"/>
  <c r="S444" i="10"/>
  <c r="U444" i="10"/>
  <c r="V444" i="10"/>
  <c r="R445" i="10"/>
  <c r="S445" i="10"/>
  <c r="U445" i="10"/>
  <c r="V445" i="10"/>
  <c r="W445" i="10" s="1"/>
  <c r="R446" i="10"/>
  <c r="S446" i="10"/>
  <c r="U446" i="10"/>
  <c r="V446" i="10"/>
  <c r="R447" i="10"/>
  <c r="S447" i="10"/>
  <c r="U447" i="10"/>
  <c r="V447" i="10"/>
  <c r="W447" i="10" s="1"/>
  <c r="R448" i="10"/>
  <c r="S448" i="10"/>
  <c r="U448" i="10"/>
  <c r="V448" i="10"/>
  <c r="W448" i="10" s="1"/>
  <c r="R449" i="10"/>
  <c r="S449" i="10"/>
  <c r="U449" i="10"/>
  <c r="V449" i="10"/>
  <c r="W449" i="10" s="1"/>
  <c r="R450" i="10"/>
  <c r="S450" i="10"/>
  <c r="U450" i="10"/>
  <c r="X450" i="10" s="1"/>
  <c r="V450" i="10"/>
  <c r="W450" i="10" s="1"/>
  <c r="R451" i="10"/>
  <c r="S451" i="10"/>
  <c r="U451" i="10"/>
  <c r="V451" i="10"/>
  <c r="W451" i="10" s="1"/>
  <c r="R452" i="10"/>
  <c r="S452" i="10"/>
  <c r="U452" i="10"/>
  <c r="V452" i="10"/>
  <c r="W452" i="10" s="1"/>
  <c r="R453" i="10"/>
  <c r="S453" i="10"/>
  <c r="U453" i="10"/>
  <c r="V453" i="10"/>
  <c r="W453" i="10" s="1"/>
  <c r="R454" i="10"/>
  <c r="S454" i="10"/>
  <c r="U454" i="10"/>
  <c r="V454" i="10"/>
  <c r="W454" i="10" s="1"/>
  <c r="R455" i="10"/>
  <c r="S455" i="10"/>
  <c r="U455" i="10"/>
  <c r="V455" i="10"/>
  <c r="W455" i="10" s="1"/>
  <c r="R456" i="10"/>
  <c r="S456" i="10"/>
  <c r="U456" i="10"/>
  <c r="V456" i="10"/>
  <c r="W456" i="10" s="1"/>
  <c r="R457" i="10"/>
  <c r="S457" i="10"/>
  <c r="U457" i="10"/>
  <c r="V457" i="10"/>
  <c r="W457" i="10" s="1"/>
  <c r="R458" i="10"/>
  <c r="S458" i="10"/>
  <c r="U458" i="10"/>
  <c r="V458" i="10"/>
  <c r="W458" i="10" s="1"/>
  <c r="R459" i="10"/>
  <c r="S459" i="10"/>
  <c r="U459" i="10"/>
  <c r="V459" i="10"/>
  <c r="W459" i="10" s="1"/>
  <c r="R460" i="10"/>
  <c r="S460" i="10"/>
  <c r="U460" i="10"/>
  <c r="V460" i="10"/>
  <c r="W460" i="10" s="1"/>
  <c r="R461" i="10"/>
  <c r="S461" i="10"/>
  <c r="U461" i="10"/>
  <c r="V461" i="10"/>
  <c r="W461" i="10" s="1"/>
  <c r="R462" i="10"/>
  <c r="S462" i="10"/>
  <c r="U462" i="10"/>
  <c r="V462" i="10"/>
  <c r="W462" i="10" s="1"/>
  <c r="R463" i="10"/>
  <c r="S463" i="10"/>
  <c r="U463" i="10"/>
  <c r="V463" i="10"/>
  <c r="W463" i="10" s="1"/>
  <c r="R464" i="10"/>
  <c r="S464" i="10"/>
  <c r="U464" i="10"/>
  <c r="V464" i="10"/>
  <c r="W464" i="10" s="1"/>
  <c r="R465" i="10"/>
  <c r="S465" i="10"/>
  <c r="U465" i="10"/>
  <c r="V465" i="10"/>
  <c r="W465" i="10" s="1"/>
  <c r="R466" i="10"/>
  <c r="S466" i="10"/>
  <c r="U466" i="10"/>
  <c r="X466" i="10" s="1"/>
  <c r="V466" i="10"/>
  <c r="W466" i="10" s="1"/>
  <c r="R467" i="10"/>
  <c r="S467" i="10"/>
  <c r="U467" i="10"/>
  <c r="V467" i="10"/>
  <c r="R468" i="10"/>
  <c r="S468" i="10"/>
  <c r="U468" i="10"/>
  <c r="V468" i="10"/>
  <c r="R469" i="10"/>
  <c r="S469" i="10"/>
  <c r="U469" i="10"/>
  <c r="V469" i="10"/>
  <c r="R470" i="10"/>
  <c r="S470" i="10"/>
  <c r="U470" i="10"/>
  <c r="X470" i="10" s="1"/>
  <c r="V470" i="10"/>
  <c r="R471" i="10"/>
  <c r="S471" i="10"/>
  <c r="T471" i="10" s="1"/>
  <c r="U471" i="10"/>
  <c r="X471" i="10" s="1"/>
  <c r="V471" i="10"/>
  <c r="R472" i="10"/>
  <c r="S472" i="10"/>
  <c r="Y472" i="10" s="1"/>
  <c r="U472" i="10"/>
  <c r="V472" i="10"/>
  <c r="R473" i="10"/>
  <c r="S473" i="10"/>
  <c r="U473" i="10"/>
  <c r="V473" i="10"/>
  <c r="R474" i="10"/>
  <c r="S474" i="10"/>
  <c r="U474" i="10"/>
  <c r="X474" i="10" s="1"/>
  <c r="V474" i="10"/>
  <c r="R475" i="10"/>
  <c r="S475" i="10"/>
  <c r="U475" i="10"/>
  <c r="V475" i="10"/>
  <c r="R476" i="10"/>
  <c r="S476" i="10"/>
  <c r="U476" i="10"/>
  <c r="V476" i="10"/>
  <c r="R477" i="10"/>
  <c r="S477" i="10"/>
  <c r="U477" i="10"/>
  <c r="V477" i="10"/>
  <c r="R478" i="10"/>
  <c r="S478" i="10"/>
  <c r="U478" i="10"/>
  <c r="V478" i="10"/>
  <c r="R479" i="10"/>
  <c r="S479" i="10"/>
  <c r="T479" i="10" s="1"/>
  <c r="U479" i="10"/>
  <c r="V479" i="10"/>
  <c r="R480" i="10"/>
  <c r="S480" i="10"/>
  <c r="U480" i="10"/>
  <c r="V480" i="10"/>
  <c r="R481" i="10"/>
  <c r="S481" i="10"/>
  <c r="U481" i="10"/>
  <c r="V481" i="10"/>
  <c r="R482" i="10"/>
  <c r="S482" i="10"/>
  <c r="U482" i="10"/>
  <c r="V482" i="10"/>
  <c r="R483" i="10"/>
  <c r="S483" i="10"/>
  <c r="U483" i="10"/>
  <c r="V483" i="10"/>
  <c r="R484" i="10"/>
  <c r="S484" i="10"/>
  <c r="U484" i="10"/>
  <c r="V484" i="10"/>
  <c r="R485" i="10"/>
  <c r="S485" i="10"/>
  <c r="U485" i="10"/>
  <c r="V485" i="10"/>
  <c r="X485" i="10"/>
  <c r="R486" i="10"/>
  <c r="S486" i="10"/>
  <c r="U486" i="10"/>
  <c r="V486" i="10"/>
  <c r="R487" i="10"/>
  <c r="S487" i="10"/>
  <c r="U487" i="10"/>
  <c r="V487" i="10"/>
  <c r="W487" i="10" s="1"/>
  <c r="R488" i="10"/>
  <c r="S488" i="10"/>
  <c r="U488" i="10"/>
  <c r="V488" i="10"/>
  <c r="R489" i="10"/>
  <c r="S489" i="10"/>
  <c r="U489" i="10"/>
  <c r="V489" i="10"/>
  <c r="W489" i="10" s="1"/>
  <c r="R490" i="10"/>
  <c r="S490" i="10"/>
  <c r="U490" i="10"/>
  <c r="V490" i="10"/>
  <c r="R491" i="10"/>
  <c r="S491" i="10"/>
  <c r="U491" i="10"/>
  <c r="V491" i="10"/>
  <c r="W491" i="10" s="1"/>
  <c r="R492" i="10"/>
  <c r="S492" i="10"/>
  <c r="T492" i="10" s="1"/>
  <c r="U492" i="10"/>
  <c r="V492" i="10"/>
  <c r="R493" i="10"/>
  <c r="S493" i="10"/>
  <c r="U493" i="10"/>
  <c r="X493" i="10" s="1"/>
  <c r="V493" i="10"/>
  <c r="R494" i="10"/>
  <c r="S494" i="10"/>
  <c r="U494" i="10"/>
  <c r="V494" i="10"/>
  <c r="W494" i="10" s="1"/>
  <c r="R495" i="10"/>
  <c r="S495" i="10"/>
  <c r="U495" i="10"/>
  <c r="V495" i="10"/>
  <c r="W495" i="10" s="1"/>
  <c r="R496" i="10"/>
  <c r="S496" i="10"/>
  <c r="U496" i="10"/>
  <c r="V496" i="10"/>
  <c r="W496" i="10" s="1"/>
  <c r="R497" i="10"/>
  <c r="S497" i="10"/>
  <c r="U497" i="10"/>
  <c r="V497" i="10"/>
  <c r="W497" i="10" s="1"/>
  <c r="R498" i="10"/>
  <c r="S498" i="10"/>
  <c r="U498" i="10"/>
  <c r="X498" i="10" s="1"/>
  <c r="V498" i="10"/>
  <c r="W498" i="10" s="1"/>
  <c r="R499" i="10"/>
  <c r="S499" i="10"/>
  <c r="U499" i="10"/>
  <c r="V499" i="10"/>
  <c r="W499" i="10" s="1"/>
  <c r="R500" i="10"/>
  <c r="S500" i="10"/>
  <c r="U500" i="10"/>
  <c r="V500" i="10"/>
  <c r="W500" i="10" s="1"/>
  <c r="R501" i="10"/>
  <c r="S501" i="10"/>
  <c r="U501" i="10"/>
  <c r="V501" i="10"/>
  <c r="W501" i="10" s="1"/>
  <c r="R502" i="10"/>
  <c r="S502" i="10"/>
  <c r="U502" i="10"/>
  <c r="V502" i="10"/>
  <c r="W502" i="10" s="1"/>
  <c r="R503" i="10"/>
  <c r="S503" i="10"/>
  <c r="U503" i="10"/>
  <c r="V503" i="10"/>
  <c r="R504" i="10"/>
  <c r="S504" i="10"/>
  <c r="U504" i="10"/>
  <c r="V504" i="10"/>
  <c r="R505" i="10"/>
  <c r="S505" i="10"/>
  <c r="U505" i="10"/>
  <c r="X505" i="10" s="1"/>
  <c r="V505" i="10"/>
  <c r="R506" i="10"/>
  <c r="S506" i="10"/>
  <c r="U506" i="10"/>
  <c r="X506" i="10" s="1"/>
  <c r="V506" i="10"/>
  <c r="R507" i="10"/>
  <c r="S507" i="10"/>
  <c r="U507" i="10"/>
  <c r="X507" i="10" s="1"/>
  <c r="V507" i="10"/>
  <c r="R508" i="10"/>
  <c r="S508" i="10"/>
  <c r="T508" i="10"/>
  <c r="U508" i="10"/>
  <c r="V508" i="10"/>
  <c r="R509" i="10"/>
  <c r="S509" i="10"/>
  <c r="U509" i="10"/>
  <c r="V509" i="10"/>
  <c r="R510" i="10"/>
  <c r="S510" i="10"/>
  <c r="T510" i="10" s="1"/>
  <c r="U510" i="10"/>
  <c r="V510" i="10"/>
  <c r="R511" i="10"/>
  <c r="S511" i="10"/>
  <c r="U511" i="10"/>
  <c r="V511" i="10"/>
  <c r="W511" i="10" s="1"/>
  <c r="R512" i="10"/>
  <c r="S512" i="10"/>
  <c r="U512" i="10"/>
  <c r="V512" i="10"/>
  <c r="R513" i="10"/>
  <c r="S513" i="10"/>
  <c r="U513" i="10"/>
  <c r="V513" i="10"/>
  <c r="W513" i="10" s="1"/>
  <c r="R514" i="10"/>
  <c r="S514" i="10"/>
  <c r="U514" i="10"/>
  <c r="V514" i="10"/>
  <c r="W514" i="10" s="1"/>
  <c r="R515" i="10"/>
  <c r="S515" i="10"/>
  <c r="U515" i="10"/>
  <c r="V515" i="10"/>
  <c r="W515" i="10" s="1"/>
  <c r="R516" i="10"/>
  <c r="S516" i="10"/>
  <c r="U516" i="10"/>
  <c r="V516" i="10"/>
  <c r="W516" i="10" s="1"/>
  <c r="R517" i="10"/>
  <c r="S517" i="10"/>
  <c r="U517" i="10"/>
  <c r="V517" i="10"/>
  <c r="W517" i="10" s="1"/>
  <c r="R518" i="10"/>
  <c r="S518" i="10"/>
  <c r="U518" i="10"/>
  <c r="V518" i="10"/>
  <c r="W518" i="10" s="1"/>
  <c r="R519" i="10"/>
  <c r="S519" i="10"/>
  <c r="U519" i="10"/>
  <c r="V519" i="10"/>
  <c r="W519" i="10" s="1"/>
  <c r="R520" i="10"/>
  <c r="S520" i="10"/>
  <c r="U520" i="10"/>
  <c r="V520" i="10"/>
  <c r="W520" i="10" s="1"/>
  <c r="R521" i="10"/>
  <c r="S521" i="10"/>
  <c r="U521" i="10"/>
  <c r="V521" i="10"/>
  <c r="W521" i="10" s="1"/>
  <c r="R522" i="10"/>
  <c r="S522" i="10"/>
  <c r="U522" i="10"/>
  <c r="V522" i="10"/>
  <c r="W522" i="10" s="1"/>
  <c r="R523" i="10"/>
  <c r="S523" i="10"/>
  <c r="U523" i="10"/>
  <c r="V523" i="10"/>
  <c r="W523" i="10" s="1"/>
  <c r="R524" i="10"/>
  <c r="S524" i="10"/>
  <c r="U524" i="10"/>
  <c r="V524" i="10"/>
  <c r="W524" i="10" s="1"/>
  <c r="R525" i="10"/>
  <c r="S525" i="10"/>
  <c r="U525" i="10"/>
  <c r="V525" i="10"/>
  <c r="W525" i="10" s="1"/>
  <c r="R526" i="10"/>
  <c r="S526" i="10"/>
  <c r="U526" i="10"/>
  <c r="V526" i="10"/>
  <c r="W526" i="10" s="1"/>
  <c r="R527" i="10"/>
  <c r="S527" i="10"/>
  <c r="U527" i="10"/>
  <c r="V527" i="10"/>
  <c r="R528" i="10"/>
  <c r="S528" i="10"/>
  <c r="U528" i="10"/>
  <c r="V528" i="10"/>
  <c r="R529" i="10"/>
  <c r="S529" i="10"/>
  <c r="T529" i="10" s="1"/>
  <c r="U529" i="10"/>
  <c r="V529" i="10"/>
  <c r="R530" i="10"/>
  <c r="S530" i="10"/>
  <c r="U530" i="10"/>
  <c r="X530" i="10" s="1"/>
  <c r="V530" i="10"/>
  <c r="W530" i="10" s="1"/>
  <c r="R531" i="10"/>
  <c r="S531" i="10"/>
  <c r="U531" i="10"/>
  <c r="X531" i="10" s="1"/>
  <c r="V531" i="10"/>
  <c r="R532" i="10"/>
  <c r="S532" i="10"/>
  <c r="U532" i="10"/>
  <c r="V532" i="10"/>
  <c r="W532" i="10" s="1"/>
  <c r="R533" i="10"/>
  <c r="S533" i="10"/>
  <c r="U533" i="10"/>
  <c r="V533" i="10"/>
  <c r="R534" i="10"/>
  <c r="S534" i="10"/>
  <c r="U534" i="10"/>
  <c r="V534" i="10"/>
  <c r="W534" i="10" s="1"/>
  <c r="R535" i="10"/>
  <c r="S535" i="10"/>
  <c r="U535" i="10"/>
  <c r="V535" i="10"/>
  <c r="R536" i="10"/>
  <c r="S536" i="10"/>
  <c r="U536" i="10"/>
  <c r="V536" i="10"/>
  <c r="W536" i="10" s="1"/>
  <c r="R537" i="10"/>
  <c r="S537" i="10"/>
  <c r="U537" i="10"/>
  <c r="V537" i="10"/>
  <c r="R538" i="10"/>
  <c r="S538" i="10"/>
  <c r="U538" i="10"/>
  <c r="V538" i="10"/>
  <c r="W538" i="10" s="1"/>
  <c r="R539" i="10"/>
  <c r="S539" i="10"/>
  <c r="U539" i="10"/>
  <c r="V539" i="10"/>
  <c r="R540" i="10"/>
  <c r="S540" i="10"/>
  <c r="U540" i="10"/>
  <c r="V540" i="10"/>
  <c r="R541" i="10"/>
  <c r="S541" i="10"/>
  <c r="U541" i="10"/>
  <c r="V541" i="10"/>
  <c r="R542" i="10"/>
  <c r="S542" i="10"/>
  <c r="U542" i="10"/>
  <c r="V542" i="10"/>
  <c r="W542" i="10" s="1"/>
  <c r="R543" i="10"/>
  <c r="S543" i="10"/>
  <c r="U543" i="10"/>
  <c r="V543" i="10"/>
  <c r="R544" i="10"/>
  <c r="S544" i="10"/>
  <c r="U544" i="10"/>
  <c r="V544" i="10"/>
  <c r="W544" i="10" s="1"/>
  <c r="R545" i="10"/>
  <c r="S545" i="10"/>
  <c r="U545" i="10"/>
  <c r="V545" i="10"/>
  <c r="R546" i="10"/>
  <c r="S546" i="10"/>
  <c r="U546" i="10"/>
  <c r="V546" i="10"/>
  <c r="W546" i="10" s="1"/>
  <c r="Q547" i="10"/>
  <c r="R547" i="10"/>
  <c r="S547" i="10"/>
  <c r="U547" i="10"/>
  <c r="V547" i="10"/>
  <c r="R548" i="10"/>
  <c r="S548" i="10"/>
  <c r="U548" i="10"/>
  <c r="V548" i="10"/>
  <c r="R549" i="10"/>
  <c r="S549" i="10"/>
  <c r="U549" i="10"/>
  <c r="V549" i="10"/>
  <c r="R550" i="10"/>
  <c r="S550" i="10"/>
  <c r="U550" i="10"/>
  <c r="V550" i="10"/>
  <c r="R551" i="10"/>
  <c r="S551" i="10"/>
  <c r="U551" i="10"/>
  <c r="V551" i="10"/>
  <c r="R552" i="10"/>
  <c r="S552" i="10"/>
  <c r="U552" i="10"/>
  <c r="V552" i="10"/>
  <c r="R553" i="10"/>
  <c r="S553" i="10"/>
  <c r="U553" i="10"/>
  <c r="V553" i="10"/>
  <c r="R554" i="10"/>
  <c r="S554" i="10"/>
  <c r="T554" i="10"/>
  <c r="U554" i="10"/>
  <c r="X554" i="10" s="1"/>
  <c r="V554" i="10"/>
  <c r="R555" i="10"/>
  <c r="S555" i="10"/>
  <c r="U555" i="10"/>
  <c r="V555" i="10"/>
  <c r="R556" i="10"/>
  <c r="S556" i="10"/>
  <c r="T556" i="10" s="1"/>
  <c r="U556" i="10"/>
  <c r="V556" i="10"/>
  <c r="R557" i="10"/>
  <c r="S557" i="10"/>
  <c r="U557" i="10"/>
  <c r="V557" i="10"/>
  <c r="R558" i="10"/>
  <c r="S558" i="10"/>
  <c r="T558" i="10" s="1"/>
  <c r="U558" i="10"/>
  <c r="V558" i="10"/>
  <c r="R559" i="10"/>
  <c r="S559" i="10"/>
  <c r="U559" i="10"/>
  <c r="V559" i="10"/>
  <c r="Q560" i="10"/>
  <c r="R560" i="10"/>
  <c r="S560" i="10"/>
  <c r="U560" i="10"/>
  <c r="V560" i="10"/>
  <c r="R561" i="10"/>
  <c r="S561" i="10"/>
  <c r="U561" i="10"/>
  <c r="V561" i="10"/>
  <c r="R562" i="10"/>
  <c r="S562" i="10"/>
  <c r="U562" i="10"/>
  <c r="V562" i="10"/>
  <c r="R563" i="10"/>
  <c r="S563" i="10"/>
  <c r="U563" i="10"/>
  <c r="V563" i="10"/>
  <c r="W563" i="10" s="1"/>
  <c r="R564" i="10"/>
  <c r="S564" i="10"/>
  <c r="U564" i="10"/>
  <c r="V564" i="10"/>
  <c r="R565" i="10"/>
  <c r="S565" i="10"/>
  <c r="U565" i="10"/>
  <c r="V565" i="10"/>
  <c r="W565" i="10" s="1"/>
  <c r="R566" i="10"/>
  <c r="S566" i="10"/>
  <c r="U566" i="10"/>
  <c r="V566" i="10"/>
  <c r="R567" i="10"/>
  <c r="S567" i="10"/>
  <c r="U567" i="10"/>
  <c r="V567" i="10"/>
  <c r="W567" i="10" s="1"/>
  <c r="R568" i="10"/>
  <c r="S568" i="10"/>
  <c r="U568" i="10"/>
  <c r="V568" i="10"/>
  <c r="R569" i="10"/>
  <c r="T569" i="10" s="1"/>
  <c r="S569" i="10"/>
  <c r="U569" i="10"/>
  <c r="V569" i="10"/>
  <c r="R570" i="10"/>
  <c r="T570" i="10" s="1"/>
  <c r="S570" i="10"/>
  <c r="U570" i="10"/>
  <c r="V570" i="10"/>
  <c r="R571" i="10"/>
  <c r="S571" i="10"/>
  <c r="U571" i="10"/>
  <c r="V571" i="10"/>
  <c r="R572" i="10"/>
  <c r="S572" i="10"/>
  <c r="U572" i="10"/>
  <c r="V572" i="10"/>
  <c r="W572" i="10" s="1"/>
  <c r="R573" i="10"/>
  <c r="S573" i="10"/>
  <c r="U573" i="10"/>
  <c r="V573" i="10"/>
  <c r="R574" i="10"/>
  <c r="S574" i="10"/>
  <c r="U574" i="10"/>
  <c r="V574" i="10"/>
  <c r="W574" i="10" s="1"/>
  <c r="R575" i="10"/>
  <c r="S575" i="10"/>
  <c r="U575" i="10"/>
  <c r="V575" i="10"/>
  <c r="W575" i="10" s="1"/>
  <c r="R576" i="10"/>
  <c r="S576" i="10"/>
  <c r="U576" i="10"/>
  <c r="V576" i="10"/>
  <c r="W576" i="10" s="1"/>
  <c r="R577" i="10"/>
  <c r="S577" i="10"/>
  <c r="U577" i="10"/>
  <c r="V577" i="10"/>
  <c r="W577" i="10" s="1"/>
  <c r="R578" i="10"/>
  <c r="S578" i="10"/>
  <c r="U578" i="10"/>
  <c r="V578" i="10"/>
  <c r="R579" i="10"/>
  <c r="S579" i="10"/>
  <c r="U579" i="10"/>
  <c r="V579" i="10"/>
  <c r="W579" i="10" s="1"/>
  <c r="R580" i="10"/>
  <c r="S580" i="10"/>
  <c r="U580" i="10"/>
  <c r="V580" i="10"/>
  <c r="R581" i="10"/>
  <c r="S581" i="10"/>
  <c r="U581" i="10"/>
  <c r="V581" i="10"/>
  <c r="W581" i="10" s="1"/>
  <c r="R582" i="10"/>
  <c r="S582" i="10"/>
  <c r="U582" i="10"/>
  <c r="V582" i="10"/>
  <c r="R583" i="10"/>
  <c r="S583" i="10"/>
  <c r="U583" i="10"/>
  <c r="V583" i="10"/>
  <c r="W583" i="10" s="1"/>
  <c r="R584" i="10"/>
  <c r="S584" i="10"/>
  <c r="U584" i="10"/>
  <c r="V584" i="10"/>
  <c r="R585" i="10"/>
  <c r="S585" i="10"/>
  <c r="U585" i="10"/>
  <c r="V585" i="10"/>
  <c r="W585" i="10" s="1"/>
  <c r="R586" i="10"/>
  <c r="S586" i="10"/>
  <c r="U586" i="10"/>
  <c r="V586" i="10"/>
  <c r="R587" i="10"/>
  <c r="S587" i="10"/>
  <c r="U587" i="10"/>
  <c r="V587" i="10"/>
  <c r="W587" i="10" s="1"/>
  <c r="R588" i="10"/>
  <c r="S588" i="10"/>
  <c r="U588" i="10"/>
  <c r="V588" i="10"/>
  <c r="R589" i="10"/>
  <c r="S589" i="10"/>
  <c r="U589" i="10"/>
  <c r="V589" i="10"/>
  <c r="W589" i="10" s="1"/>
  <c r="R590" i="10"/>
  <c r="S590" i="10"/>
  <c r="U590" i="10"/>
  <c r="V590" i="10"/>
  <c r="R591" i="10"/>
  <c r="S591" i="10"/>
  <c r="U591" i="10"/>
  <c r="V591" i="10"/>
  <c r="W591" i="10" s="1"/>
  <c r="R592" i="10"/>
  <c r="S592" i="10"/>
  <c r="U592" i="10"/>
  <c r="V592" i="10"/>
  <c r="R593" i="10"/>
  <c r="S593" i="10"/>
  <c r="U593" i="10"/>
  <c r="V593" i="10"/>
  <c r="W593" i="10" s="1"/>
  <c r="R594" i="10"/>
  <c r="S594" i="10"/>
  <c r="U594" i="10"/>
  <c r="V594" i="10"/>
  <c r="R595" i="10"/>
  <c r="S595" i="10"/>
  <c r="U595" i="10"/>
  <c r="V595" i="10"/>
  <c r="W595" i="10" s="1"/>
  <c r="R596" i="10"/>
  <c r="S596" i="10"/>
  <c r="U596" i="10"/>
  <c r="V596" i="10"/>
  <c r="R597" i="10"/>
  <c r="S597" i="10"/>
  <c r="U597" i="10"/>
  <c r="V597" i="10"/>
  <c r="R598" i="10"/>
  <c r="S598" i="10"/>
  <c r="U598" i="10"/>
  <c r="V598" i="10"/>
  <c r="R599" i="10"/>
  <c r="S599" i="10"/>
  <c r="U599" i="10"/>
  <c r="V599" i="10"/>
  <c r="R600" i="10"/>
  <c r="S600" i="10"/>
  <c r="U600" i="10"/>
  <c r="V600" i="10"/>
  <c r="R601" i="10"/>
  <c r="S601" i="10"/>
  <c r="U601" i="10"/>
  <c r="V601" i="10"/>
  <c r="W601" i="10" s="1"/>
  <c r="R602" i="10"/>
  <c r="S602" i="10"/>
  <c r="U602" i="10"/>
  <c r="V602" i="10"/>
  <c r="R603" i="10"/>
  <c r="S603" i="10"/>
  <c r="U603" i="10"/>
  <c r="V603" i="10"/>
  <c r="W603" i="10" s="1"/>
  <c r="R604" i="10"/>
  <c r="S604" i="10"/>
  <c r="U604" i="10"/>
  <c r="V604" i="10"/>
  <c r="R605" i="10"/>
  <c r="S605" i="10"/>
  <c r="U605" i="10"/>
  <c r="V605" i="10"/>
  <c r="W605" i="10" s="1"/>
  <c r="R606" i="10"/>
  <c r="S606" i="10"/>
  <c r="U606" i="10"/>
  <c r="V606" i="10"/>
  <c r="R607" i="10"/>
  <c r="S607" i="10"/>
  <c r="U607" i="10"/>
  <c r="V607" i="10"/>
  <c r="R608" i="10"/>
  <c r="S608" i="10"/>
  <c r="U608" i="10"/>
  <c r="V608" i="10"/>
  <c r="W608" i="10" s="1"/>
  <c r="R609" i="10"/>
  <c r="T609" i="10" s="1"/>
  <c r="S609" i="10"/>
  <c r="U609" i="10"/>
  <c r="V609" i="10"/>
  <c r="R610" i="10"/>
  <c r="S610" i="10"/>
  <c r="U610" i="10"/>
  <c r="V610" i="10"/>
  <c r="X610" i="10"/>
  <c r="R611" i="10"/>
  <c r="S611" i="10"/>
  <c r="U611" i="10"/>
  <c r="V611" i="10"/>
  <c r="R612" i="10"/>
  <c r="S612" i="10"/>
  <c r="U612" i="10"/>
  <c r="V612" i="10"/>
  <c r="W612" i="10" s="1"/>
  <c r="R613" i="10"/>
  <c r="S613" i="10"/>
  <c r="U613" i="10"/>
  <c r="V613" i="10"/>
  <c r="R614" i="10"/>
  <c r="S614" i="10"/>
  <c r="U614" i="10"/>
  <c r="V614" i="10"/>
  <c r="W614" i="10" s="1"/>
  <c r="R615" i="10"/>
  <c r="S615" i="10"/>
  <c r="U615" i="10"/>
  <c r="V615" i="10"/>
  <c r="W615" i="10" s="1"/>
  <c r="Q616" i="10"/>
  <c r="R616" i="10"/>
  <c r="S616" i="10"/>
  <c r="U616" i="10"/>
  <c r="V616" i="10"/>
  <c r="R617" i="10"/>
  <c r="S617" i="10"/>
  <c r="T617" i="10"/>
  <c r="U617" i="10"/>
  <c r="V617" i="10"/>
  <c r="W617" i="10" s="1"/>
  <c r="Y617" i="10"/>
  <c r="R618" i="10"/>
  <c r="S618" i="10"/>
  <c r="U618" i="10"/>
  <c r="V618" i="10"/>
  <c r="Q619" i="10"/>
  <c r="R619" i="10"/>
  <c r="S619" i="10"/>
  <c r="U619" i="10"/>
  <c r="V619" i="10"/>
  <c r="R620" i="10"/>
  <c r="S620" i="10"/>
  <c r="U620" i="10"/>
  <c r="V620" i="10"/>
  <c r="R621" i="10"/>
  <c r="S621" i="10"/>
  <c r="T621" i="10"/>
  <c r="U621" i="10"/>
  <c r="X621" i="10" s="1"/>
  <c r="V621" i="10"/>
  <c r="R622" i="10"/>
  <c r="S622" i="10"/>
  <c r="T622" i="10" s="1"/>
  <c r="U622" i="10"/>
  <c r="X622" i="10" s="1"/>
  <c r="V622" i="10"/>
  <c r="R623" i="10"/>
  <c r="S623" i="10"/>
  <c r="U623" i="10"/>
  <c r="V623" i="10"/>
  <c r="R624" i="10"/>
  <c r="S624" i="10"/>
  <c r="U624" i="10"/>
  <c r="V624" i="10"/>
  <c r="W624" i="10" s="1"/>
  <c r="R625" i="10"/>
  <c r="S625" i="10"/>
  <c r="U625" i="10"/>
  <c r="V625" i="10"/>
  <c r="R626" i="10"/>
  <c r="S626" i="10"/>
  <c r="U626" i="10"/>
  <c r="V626" i="10"/>
  <c r="R627" i="10"/>
  <c r="S627" i="10"/>
  <c r="U627" i="10"/>
  <c r="V627" i="10"/>
  <c r="W627" i="10" s="1"/>
  <c r="R628" i="10"/>
  <c r="S628" i="10"/>
  <c r="U628" i="10"/>
  <c r="V628" i="10"/>
  <c r="R629" i="10"/>
  <c r="S629" i="10"/>
  <c r="U629" i="10"/>
  <c r="V629" i="10"/>
  <c r="W629" i="10" s="1"/>
  <c r="R630" i="10"/>
  <c r="S630" i="10"/>
  <c r="T630" i="10" s="1"/>
  <c r="U630" i="10"/>
  <c r="V630" i="10"/>
  <c r="R631" i="10"/>
  <c r="S631" i="10"/>
  <c r="U631" i="10"/>
  <c r="V631" i="10"/>
  <c r="W631" i="10" s="1"/>
  <c r="R632" i="10"/>
  <c r="S632" i="10"/>
  <c r="U632" i="10"/>
  <c r="V632" i="10"/>
  <c r="R633" i="10"/>
  <c r="S633" i="10"/>
  <c r="U633" i="10"/>
  <c r="V633" i="10"/>
  <c r="R634" i="10"/>
  <c r="S634" i="10"/>
  <c r="U634" i="10"/>
  <c r="V634" i="10"/>
  <c r="R635" i="10"/>
  <c r="S635" i="10"/>
  <c r="U635" i="10"/>
  <c r="V635" i="10"/>
  <c r="W635" i="10" s="1"/>
  <c r="R636" i="10"/>
  <c r="S636" i="10"/>
  <c r="T636" i="10" s="1"/>
  <c r="U636" i="10"/>
  <c r="V636" i="10"/>
  <c r="R637" i="10"/>
  <c r="S637" i="10"/>
  <c r="U637" i="10"/>
  <c r="V637" i="10"/>
  <c r="W637" i="10" s="1"/>
  <c r="R638" i="10"/>
  <c r="S638" i="10"/>
  <c r="T638" i="10" s="1"/>
  <c r="U638" i="10"/>
  <c r="V638" i="10"/>
  <c r="W638" i="10" s="1"/>
  <c r="R639" i="10"/>
  <c r="S639" i="10"/>
  <c r="U639" i="10"/>
  <c r="V639" i="10"/>
  <c r="R640" i="10"/>
  <c r="S640" i="10"/>
  <c r="U640" i="10"/>
  <c r="V640" i="10"/>
  <c r="R641" i="10"/>
  <c r="S641" i="10"/>
  <c r="U641" i="10"/>
  <c r="V641" i="10"/>
  <c r="R642" i="10"/>
  <c r="T642" i="10" s="1"/>
  <c r="S642" i="10"/>
  <c r="U642" i="10"/>
  <c r="V642" i="10"/>
  <c r="Q643" i="10"/>
  <c r="R643" i="10"/>
  <c r="S643" i="10"/>
  <c r="U643" i="10"/>
  <c r="V643" i="10"/>
  <c r="W643" i="10" s="1"/>
  <c r="R644" i="10"/>
  <c r="S644" i="10"/>
  <c r="U644" i="10"/>
  <c r="V644" i="10"/>
  <c r="R645" i="10"/>
  <c r="S645" i="10"/>
  <c r="U645" i="10"/>
  <c r="V645" i="10"/>
  <c r="W645" i="10" s="1"/>
  <c r="R646" i="10"/>
  <c r="S646" i="10"/>
  <c r="U646" i="10"/>
  <c r="V646" i="10"/>
  <c r="R647" i="10"/>
  <c r="S647" i="10"/>
  <c r="U647" i="10"/>
  <c r="V647" i="10"/>
  <c r="W647" i="10" s="1"/>
  <c r="R648" i="10"/>
  <c r="S648" i="10"/>
  <c r="U648" i="10"/>
  <c r="V648" i="10"/>
  <c r="R649" i="10"/>
  <c r="S649" i="10"/>
  <c r="U649" i="10"/>
  <c r="V649" i="10"/>
  <c r="W649" i="10" s="1"/>
  <c r="R650" i="10"/>
  <c r="S650" i="10"/>
  <c r="U650" i="10"/>
  <c r="V650" i="10"/>
  <c r="R651" i="10"/>
  <c r="S651" i="10"/>
  <c r="U651" i="10"/>
  <c r="V651" i="10"/>
  <c r="R652" i="10"/>
  <c r="S652" i="10"/>
  <c r="U652" i="10"/>
  <c r="V652" i="10"/>
  <c r="R653" i="10"/>
  <c r="S653" i="10"/>
  <c r="U653" i="10"/>
  <c r="V653" i="10"/>
  <c r="W653" i="10" s="1"/>
  <c r="R654" i="10"/>
  <c r="S654" i="10"/>
  <c r="U654" i="10"/>
  <c r="V654" i="10"/>
  <c r="R655" i="10"/>
  <c r="S655" i="10"/>
  <c r="U655" i="10"/>
  <c r="V655" i="10"/>
  <c r="W655" i="10" s="1"/>
  <c r="R656" i="10"/>
  <c r="S656" i="10"/>
  <c r="U656" i="10"/>
  <c r="V656" i="10"/>
  <c r="R657" i="10"/>
  <c r="S657" i="10"/>
  <c r="U657" i="10"/>
  <c r="V657" i="10"/>
  <c r="W657" i="10" s="1"/>
  <c r="R658" i="10"/>
  <c r="S658" i="10"/>
  <c r="U658" i="10"/>
  <c r="V658" i="10"/>
  <c r="W658" i="10" s="1"/>
  <c r="R659" i="10"/>
  <c r="S659" i="10"/>
  <c r="U659" i="10"/>
  <c r="X659" i="10" s="1"/>
  <c r="V659" i="10"/>
  <c r="R660" i="10"/>
  <c r="S660" i="10"/>
  <c r="U660" i="10"/>
  <c r="V660" i="10"/>
  <c r="R661" i="10"/>
  <c r="S661" i="10"/>
  <c r="U661" i="10"/>
  <c r="V661" i="10"/>
  <c r="R662" i="10"/>
  <c r="S662" i="10"/>
  <c r="U662" i="10"/>
  <c r="X662" i="10" s="1"/>
  <c r="V662" i="10"/>
  <c r="R663" i="10"/>
  <c r="S663" i="10"/>
  <c r="T663" i="10" s="1"/>
  <c r="U663" i="10"/>
  <c r="V663" i="10"/>
  <c r="R664" i="10"/>
  <c r="S664" i="10"/>
  <c r="U664" i="10"/>
  <c r="V664" i="10"/>
  <c r="R665" i="10"/>
  <c r="S665" i="10"/>
  <c r="T665" i="10" s="1"/>
  <c r="U665" i="10"/>
  <c r="V665" i="10"/>
  <c r="R666" i="10"/>
  <c r="S666" i="10"/>
  <c r="U666" i="10"/>
  <c r="V666" i="10"/>
  <c r="R667" i="10"/>
  <c r="S667" i="10"/>
  <c r="U667" i="10"/>
  <c r="V667" i="10"/>
  <c r="R668" i="10"/>
  <c r="S668" i="10"/>
  <c r="U668" i="10"/>
  <c r="V668" i="10"/>
  <c r="R669" i="10"/>
  <c r="S669" i="10"/>
  <c r="T669" i="10" s="1"/>
  <c r="U669" i="10"/>
  <c r="V669" i="10"/>
  <c r="R670" i="10"/>
  <c r="S670" i="10"/>
  <c r="U670" i="10"/>
  <c r="V670" i="10"/>
  <c r="R671" i="10"/>
  <c r="S671" i="10"/>
  <c r="U671" i="10"/>
  <c r="V671" i="10"/>
  <c r="R672" i="10"/>
  <c r="S672" i="10"/>
  <c r="U672" i="10"/>
  <c r="V672" i="10"/>
  <c r="R673" i="10"/>
  <c r="S673" i="10"/>
  <c r="U673" i="10"/>
  <c r="V673" i="10"/>
  <c r="R674" i="10"/>
  <c r="S674" i="10"/>
  <c r="U674" i="10"/>
  <c r="V674" i="10"/>
  <c r="R675" i="10"/>
  <c r="S675" i="10"/>
  <c r="U675" i="10"/>
  <c r="X675" i="10" s="1"/>
  <c r="V675" i="10"/>
  <c r="R676" i="10"/>
  <c r="S676" i="10"/>
  <c r="U676" i="10"/>
  <c r="V676" i="10"/>
  <c r="Q677" i="10"/>
  <c r="R677" i="10"/>
  <c r="S677" i="10"/>
  <c r="U677" i="10"/>
  <c r="V677" i="10"/>
  <c r="R678" i="10"/>
  <c r="S678" i="10"/>
  <c r="U678" i="10"/>
  <c r="V678" i="10"/>
  <c r="R679" i="10"/>
  <c r="S679" i="10"/>
  <c r="T679" i="10" s="1"/>
  <c r="U679" i="10"/>
  <c r="V679" i="10"/>
  <c r="R680" i="10"/>
  <c r="S680" i="10"/>
  <c r="U680" i="10"/>
  <c r="V680" i="10"/>
  <c r="W680" i="10" s="1"/>
  <c r="R681" i="10"/>
  <c r="S681" i="10"/>
  <c r="U681" i="10"/>
  <c r="V681" i="10"/>
  <c r="R682" i="10"/>
  <c r="S682" i="10"/>
  <c r="U682" i="10"/>
  <c r="V682" i="10"/>
  <c r="Q683" i="10"/>
  <c r="R683" i="10"/>
  <c r="S683" i="10"/>
  <c r="U683" i="10"/>
  <c r="V683" i="10"/>
  <c r="R684" i="10"/>
  <c r="T684" i="10" s="1"/>
  <c r="S684" i="10"/>
  <c r="U684" i="10"/>
  <c r="V684" i="10"/>
  <c r="R685" i="10"/>
  <c r="S685" i="10"/>
  <c r="U685" i="10"/>
  <c r="V685" i="10"/>
  <c r="W685" i="10" s="1"/>
  <c r="R686" i="10"/>
  <c r="S686" i="10"/>
  <c r="T686" i="10" s="1"/>
  <c r="U686" i="10"/>
  <c r="V686" i="10"/>
  <c r="W686" i="10" s="1"/>
  <c r="R687" i="10"/>
  <c r="S687" i="10"/>
  <c r="U687" i="10"/>
  <c r="V687" i="10"/>
  <c r="R688" i="10"/>
  <c r="S688" i="10"/>
  <c r="U688" i="10"/>
  <c r="V688" i="10"/>
  <c r="W688" i="10" s="1"/>
  <c r="R689" i="10"/>
  <c r="S689" i="10"/>
  <c r="U689" i="10"/>
  <c r="V689" i="10"/>
  <c r="R690" i="10"/>
  <c r="S690" i="10"/>
  <c r="U690" i="10"/>
  <c r="X690" i="10" s="1"/>
  <c r="V690" i="10"/>
  <c r="W690" i="10" s="1"/>
  <c r="R691" i="10"/>
  <c r="S691" i="10"/>
  <c r="U691" i="10"/>
  <c r="V691" i="10"/>
  <c r="W691" i="10" s="1"/>
  <c r="R692" i="10"/>
  <c r="S692" i="10"/>
  <c r="U692" i="10"/>
  <c r="V692" i="10"/>
  <c r="R693" i="10"/>
  <c r="S693" i="10"/>
  <c r="U693" i="10"/>
  <c r="V693" i="10"/>
  <c r="R694" i="10"/>
  <c r="S694" i="10"/>
  <c r="U694" i="10"/>
  <c r="X694" i="10" s="1"/>
  <c r="V694" i="10"/>
  <c r="R695" i="10"/>
  <c r="S695" i="10"/>
  <c r="U695" i="10"/>
  <c r="V695" i="10"/>
  <c r="R696" i="10"/>
  <c r="S696" i="10"/>
  <c r="U696" i="10"/>
  <c r="V696" i="10"/>
  <c r="R697" i="10"/>
  <c r="S697" i="10"/>
  <c r="U697" i="10"/>
  <c r="X697" i="10" s="1"/>
  <c r="V697" i="10"/>
  <c r="R698" i="10"/>
  <c r="S698" i="10"/>
  <c r="T698" i="10" s="1"/>
  <c r="U698" i="10"/>
  <c r="V698" i="10"/>
  <c r="W698" i="10" s="1"/>
  <c r="Q699" i="10"/>
  <c r="R699" i="10"/>
  <c r="S699" i="10"/>
  <c r="U699" i="10"/>
  <c r="V699" i="10"/>
  <c r="R700" i="10"/>
  <c r="S700" i="10"/>
  <c r="U700" i="10"/>
  <c r="V700" i="10"/>
  <c r="R701" i="10"/>
  <c r="S701" i="10"/>
  <c r="T701" i="10" s="1"/>
  <c r="U701" i="10"/>
  <c r="V701" i="10"/>
  <c r="R702" i="10"/>
  <c r="S702" i="10"/>
  <c r="U702" i="10"/>
  <c r="V702" i="10"/>
  <c r="R703" i="10"/>
  <c r="S703" i="10"/>
  <c r="U703" i="10"/>
  <c r="V703" i="10"/>
  <c r="R704" i="10"/>
  <c r="S704" i="10"/>
  <c r="U704" i="10"/>
  <c r="V704" i="10"/>
  <c r="R705" i="10"/>
  <c r="S705" i="10"/>
  <c r="U705" i="10"/>
  <c r="X705" i="10" s="1"/>
  <c r="V705" i="10"/>
  <c r="R706" i="10"/>
  <c r="S706" i="10"/>
  <c r="U706" i="10"/>
  <c r="V706" i="10"/>
  <c r="R707" i="10"/>
  <c r="S707" i="10"/>
  <c r="U707" i="10"/>
  <c r="V707" i="10"/>
  <c r="R708" i="10"/>
  <c r="S708" i="10"/>
  <c r="U708" i="10"/>
  <c r="V708" i="10"/>
  <c r="R709" i="10"/>
  <c r="S709" i="10"/>
  <c r="T709" i="10" s="1"/>
  <c r="U709" i="10"/>
  <c r="V709" i="10"/>
  <c r="R710" i="10"/>
  <c r="S710" i="10"/>
  <c r="U710" i="10"/>
  <c r="X710" i="10" s="1"/>
  <c r="V710" i="10"/>
  <c r="R711" i="10"/>
  <c r="S711" i="10"/>
  <c r="U711" i="10"/>
  <c r="V711" i="10"/>
  <c r="R712" i="10"/>
  <c r="S712" i="10"/>
  <c r="U712" i="10"/>
  <c r="V712" i="10"/>
  <c r="R713" i="10"/>
  <c r="S713" i="10"/>
  <c r="T713" i="10" s="1"/>
  <c r="U713" i="10"/>
  <c r="V713" i="10"/>
  <c r="R714" i="10"/>
  <c r="S714" i="10"/>
  <c r="U714" i="10"/>
  <c r="V714" i="10"/>
  <c r="Q715" i="10"/>
  <c r="R715" i="10"/>
  <c r="S715" i="10"/>
  <c r="U715" i="10"/>
  <c r="V715" i="10"/>
  <c r="X715" i="10"/>
  <c r="R716" i="10"/>
  <c r="S716" i="10"/>
  <c r="T716" i="10" s="1"/>
  <c r="U716" i="10"/>
  <c r="V716" i="10"/>
  <c r="W716" i="10" s="1"/>
  <c r="R717" i="10"/>
  <c r="S717" i="10"/>
  <c r="U717" i="10"/>
  <c r="V717" i="10"/>
  <c r="R718" i="10"/>
  <c r="S718" i="10"/>
  <c r="U718" i="10"/>
  <c r="V718" i="10"/>
  <c r="R719" i="10"/>
  <c r="S719" i="10"/>
  <c r="T719" i="10" s="1"/>
  <c r="U719" i="10"/>
  <c r="V719" i="10"/>
  <c r="R720" i="10"/>
  <c r="S720" i="10"/>
  <c r="U720" i="10"/>
  <c r="V720" i="10"/>
  <c r="W720" i="10" s="1"/>
  <c r="R721" i="10"/>
  <c r="S721" i="10"/>
  <c r="T721" i="10" s="1"/>
  <c r="U721" i="10"/>
  <c r="V721" i="10"/>
  <c r="R722" i="10"/>
  <c r="S722" i="10"/>
  <c r="U722" i="10"/>
  <c r="X722" i="10" s="1"/>
  <c r="V722" i="10"/>
  <c r="W722" i="10" s="1"/>
  <c r="R723" i="10"/>
  <c r="S723" i="10"/>
  <c r="U723" i="10"/>
  <c r="X723" i="10" s="1"/>
  <c r="V723" i="10"/>
  <c r="R724" i="10"/>
  <c r="S724" i="10"/>
  <c r="U724" i="10"/>
  <c r="V724" i="10"/>
  <c r="W724" i="10" s="1"/>
  <c r="R725" i="10"/>
  <c r="S725" i="10"/>
  <c r="U725" i="10"/>
  <c r="V725" i="10"/>
  <c r="R726" i="10"/>
  <c r="S726" i="10"/>
  <c r="T726" i="10" s="1"/>
  <c r="U726" i="10"/>
  <c r="V726" i="10"/>
  <c r="W726" i="10" s="1"/>
  <c r="R727" i="10"/>
  <c r="S727" i="10"/>
  <c r="U727" i="10"/>
  <c r="V727" i="10"/>
  <c r="R728" i="10"/>
  <c r="S728" i="10"/>
  <c r="U728" i="10"/>
  <c r="V728" i="10"/>
  <c r="W728" i="10" s="1"/>
  <c r="R729" i="10"/>
  <c r="S729" i="10"/>
  <c r="T729" i="10" s="1"/>
  <c r="U729" i="10"/>
  <c r="V729" i="10"/>
  <c r="R730" i="10"/>
  <c r="S730" i="10"/>
  <c r="U730" i="10"/>
  <c r="V730" i="10"/>
  <c r="W730" i="10" s="1"/>
  <c r="R731" i="10"/>
  <c r="S731" i="10"/>
  <c r="U731" i="10"/>
  <c r="V731" i="10"/>
  <c r="R732" i="10"/>
  <c r="S732" i="10"/>
  <c r="U732" i="10"/>
  <c r="V732" i="10"/>
  <c r="W732" i="10" s="1"/>
  <c r="R733" i="10"/>
  <c r="S733" i="10"/>
  <c r="T733" i="10" s="1"/>
  <c r="U733" i="10"/>
  <c r="V733" i="10"/>
  <c r="R734" i="10"/>
  <c r="S734" i="10"/>
  <c r="U734" i="10"/>
  <c r="X734" i="10" s="1"/>
  <c r="V734" i="10"/>
  <c r="W734" i="10" s="1"/>
  <c r="R735" i="10"/>
  <c r="S735" i="10"/>
  <c r="U735" i="10"/>
  <c r="V735" i="10"/>
  <c r="R736" i="10"/>
  <c r="S736" i="10"/>
  <c r="U736" i="10"/>
  <c r="V736" i="10"/>
  <c r="R737" i="10"/>
  <c r="S737" i="10"/>
  <c r="U737" i="10"/>
  <c r="V737" i="10"/>
  <c r="R738" i="10"/>
  <c r="S738" i="10"/>
  <c r="U738" i="10"/>
  <c r="V738" i="10"/>
  <c r="R739" i="10"/>
  <c r="S739" i="10"/>
  <c r="U739" i="10"/>
  <c r="V739" i="10"/>
  <c r="R740" i="10"/>
  <c r="S740" i="10"/>
  <c r="U740" i="10"/>
  <c r="V740" i="10"/>
  <c r="R741" i="10"/>
  <c r="S741" i="10"/>
  <c r="T741" i="10" s="1"/>
  <c r="U741" i="10"/>
  <c r="V741" i="10"/>
  <c r="R742" i="10"/>
  <c r="S742" i="10"/>
  <c r="U742" i="10"/>
  <c r="V742" i="10"/>
  <c r="R743" i="10"/>
  <c r="S743" i="10"/>
  <c r="T743" i="10" s="1"/>
  <c r="U743" i="10"/>
  <c r="V743" i="10"/>
  <c r="R744" i="10"/>
  <c r="S744" i="10"/>
  <c r="U744" i="10"/>
  <c r="V744" i="10"/>
  <c r="R745" i="10"/>
  <c r="S745" i="10"/>
  <c r="T745" i="10" s="1"/>
  <c r="U745" i="10"/>
  <c r="V745" i="10"/>
  <c r="R746" i="10"/>
  <c r="S746" i="10"/>
  <c r="U746" i="10"/>
  <c r="V746" i="10"/>
  <c r="Q747" i="10"/>
  <c r="R747" i="10"/>
  <c r="S747" i="10"/>
  <c r="U747" i="10"/>
  <c r="V747" i="10"/>
  <c r="R748" i="10"/>
  <c r="S748" i="10"/>
  <c r="U748" i="10"/>
  <c r="V748" i="10"/>
  <c r="R749" i="10"/>
  <c r="S749" i="10"/>
  <c r="U749" i="10"/>
  <c r="V749" i="10"/>
  <c r="W749" i="10" s="1"/>
  <c r="R750" i="10"/>
  <c r="S750" i="10"/>
  <c r="T750" i="10" s="1"/>
  <c r="U750" i="10"/>
  <c r="V750" i="10"/>
  <c r="W750" i="10" s="1"/>
  <c r="R751" i="10"/>
  <c r="S751" i="10"/>
  <c r="U751" i="10"/>
  <c r="V751" i="10"/>
  <c r="R752" i="10"/>
  <c r="S752" i="10"/>
  <c r="U752" i="10"/>
  <c r="V752" i="10"/>
  <c r="W752" i="10" s="1"/>
  <c r="R753" i="10"/>
  <c r="S753" i="10"/>
  <c r="U753" i="10"/>
  <c r="V753" i="10"/>
  <c r="N350" i="10"/>
  <c r="N351" i="10"/>
  <c r="N352" i="10"/>
  <c r="N353" i="10"/>
  <c r="N354" i="10"/>
  <c r="N355" i="10"/>
  <c r="N356" i="10"/>
  <c r="N357" i="10"/>
  <c r="N358" i="10"/>
  <c r="N359" i="10"/>
  <c r="N360" i="10"/>
  <c r="N361" i="10"/>
  <c r="N362" i="10"/>
  <c r="N363" i="10"/>
  <c r="N364" i="10"/>
  <c r="N365" i="10"/>
  <c r="N366" i="10"/>
  <c r="N367" i="10"/>
  <c r="N368" i="10"/>
  <c r="N369" i="10"/>
  <c r="N370" i="10"/>
  <c r="N371" i="10"/>
  <c r="N372" i="10"/>
  <c r="N373" i="10"/>
  <c r="N374" i="10"/>
  <c r="N375" i="10"/>
  <c r="N376" i="10"/>
  <c r="N377" i="10"/>
  <c r="N378" i="10"/>
  <c r="N379" i="10"/>
  <c r="N380" i="10"/>
  <c r="N381" i="10"/>
  <c r="N382" i="10"/>
  <c r="N383" i="10"/>
  <c r="N384" i="10"/>
  <c r="N385" i="10"/>
  <c r="N386" i="10"/>
  <c r="N387" i="10"/>
  <c r="N388" i="10"/>
  <c r="N389" i="10"/>
  <c r="N390" i="10"/>
  <c r="N391" i="10"/>
  <c r="N392" i="10"/>
  <c r="N393" i="10"/>
  <c r="N394" i="10"/>
  <c r="N395" i="10"/>
  <c r="N396" i="10"/>
  <c r="N397" i="10"/>
  <c r="N398" i="10"/>
  <c r="N399" i="10"/>
  <c r="N400" i="10"/>
  <c r="N401" i="10"/>
  <c r="N402" i="10"/>
  <c r="N403" i="10"/>
  <c r="N404" i="10"/>
  <c r="N405" i="10"/>
  <c r="N406" i="10"/>
  <c r="N407" i="10"/>
  <c r="N408" i="10"/>
  <c r="N409" i="10"/>
  <c r="N410" i="10"/>
  <c r="N411" i="10"/>
  <c r="N412" i="10"/>
  <c r="N413" i="10"/>
  <c r="N414" i="10"/>
  <c r="N415" i="10"/>
  <c r="N416" i="10"/>
  <c r="N417" i="10"/>
  <c r="N418" i="10"/>
  <c r="N419" i="10"/>
  <c r="N420" i="10"/>
  <c r="N421" i="10"/>
  <c r="N422" i="10"/>
  <c r="N423" i="10"/>
  <c r="N424" i="10"/>
  <c r="N425" i="10"/>
  <c r="N426" i="10"/>
  <c r="N427" i="10"/>
  <c r="N428" i="10"/>
  <c r="N429" i="10"/>
  <c r="N430" i="10"/>
  <c r="N431" i="10"/>
  <c r="N432" i="10"/>
  <c r="N433" i="10"/>
  <c r="N434" i="10"/>
  <c r="N435" i="10"/>
  <c r="N436" i="10"/>
  <c r="N437" i="10"/>
  <c r="N438" i="10"/>
  <c r="N439" i="10"/>
  <c r="N440" i="10"/>
  <c r="N441" i="10"/>
  <c r="N442" i="10"/>
  <c r="N443" i="10"/>
  <c r="N444" i="10"/>
  <c r="N445" i="10"/>
  <c r="N446" i="10"/>
  <c r="N447" i="10"/>
  <c r="N448" i="10"/>
  <c r="N449" i="10"/>
  <c r="N450" i="10"/>
  <c r="N451" i="10"/>
  <c r="N452" i="10"/>
  <c r="N453" i="10"/>
  <c r="N454" i="10"/>
  <c r="N455" i="10"/>
  <c r="N456" i="10"/>
  <c r="N457" i="10"/>
  <c r="N458" i="10"/>
  <c r="N459" i="10"/>
  <c r="N460" i="10"/>
  <c r="N461" i="10"/>
  <c r="N462" i="10"/>
  <c r="N463" i="10"/>
  <c r="N464" i="10"/>
  <c r="N465" i="10"/>
  <c r="N466" i="10"/>
  <c r="N467" i="10"/>
  <c r="N468" i="10"/>
  <c r="N469" i="10"/>
  <c r="N470" i="10"/>
  <c r="N471" i="10"/>
  <c r="N472" i="10"/>
  <c r="N473" i="10"/>
  <c r="N474" i="10"/>
  <c r="N475" i="10"/>
  <c r="N476" i="10"/>
  <c r="N477" i="10"/>
  <c r="N478" i="10"/>
  <c r="N479" i="10"/>
  <c r="N480" i="10"/>
  <c r="N481" i="10"/>
  <c r="N482" i="10"/>
  <c r="N483" i="10"/>
  <c r="N484" i="10"/>
  <c r="N485" i="10"/>
  <c r="N486" i="10"/>
  <c r="N487" i="10"/>
  <c r="N488" i="10"/>
  <c r="N489" i="10"/>
  <c r="N490" i="10"/>
  <c r="N491" i="10"/>
  <c r="N492" i="10"/>
  <c r="N493" i="10"/>
  <c r="N494" i="10"/>
  <c r="N495" i="10"/>
  <c r="N496" i="10"/>
  <c r="N497" i="10"/>
  <c r="N498" i="10"/>
  <c r="N499" i="10"/>
  <c r="N500" i="10"/>
  <c r="N501" i="10"/>
  <c r="N502" i="10"/>
  <c r="N503" i="10"/>
  <c r="N504" i="10"/>
  <c r="N505" i="10"/>
  <c r="N506" i="10"/>
  <c r="N507" i="10"/>
  <c r="N508" i="10"/>
  <c r="N509" i="10"/>
  <c r="N510" i="10"/>
  <c r="N511" i="10"/>
  <c r="N512" i="10"/>
  <c r="N513" i="10"/>
  <c r="N514" i="10"/>
  <c r="N515" i="10"/>
  <c r="N516" i="10"/>
  <c r="N517" i="10"/>
  <c r="N518" i="10"/>
  <c r="N519" i="10"/>
  <c r="N520" i="10"/>
  <c r="N521" i="10"/>
  <c r="N522" i="10"/>
  <c r="N523" i="10"/>
  <c r="N524" i="10"/>
  <c r="N525" i="10"/>
  <c r="N526" i="10"/>
  <c r="N527" i="10"/>
  <c r="N528" i="10"/>
  <c r="N529" i="10"/>
  <c r="N530" i="10"/>
  <c r="N531" i="10"/>
  <c r="N532" i="10"/>
  <c r="N533" i="10"/>
  <c r="N534" i="10"/>
  <c r="N535" i="10"/>
  <c r="N536" i="10"/>
  <c r="N537" i="10"/>
  <c r="N538" i="10"/>
  <c r="N539" i="10"/>
  <c r="N540" i="10"/>
  <c r="N541" i="10"/>
  <c r="N542" i="10"/>
  <c r="N543" i="10"/>
  <c r="N544" i="10"/>
  <c r="N545" i="10"/>
  <c r="N546" i="10"/>
  <c r="N547" i="10"/>
  <c r="N548" i="10"/>
  <c r="N549" i="10"/>
  <c r="N550" i="10"/>
  <c r="N551" i="10"/>
  <c r="N552" i="10"/>
  <c r="N553" i="10"/>
  <c r="N554" i="10"/>
  <c r="N555" i="10"/>
  <c r="N556" i="10"/>
  <c r="N557" i="10"/>
  <c r="N558" i="10"/>
  <c r="N559" i="10"/>
  <c r="N560" i="10"/>
  <c r="N561" i="10"/>
  <c r="N562" i="10"/>
  <c r="N563" i="10"/>
  <c r="N564" i="10"/>
  <c r="N565" i="10"/>
  <c r="N566" i="10"/>
  <c r="N567" i="10"/>
  <c r="N568" i="10"/>
  <c r="N569" i="10"/>
  <c r="N570" i="10"/>
  <c r="N571" i="10"/>
  <c r="N572" i="10"/>
  <c r="N573" i="10"/>
  <c r="N574" i="10"/>
  <c r="N575" i="10"/>
  <c r="N576" i="10"/>
  <c r="N577" i="10"/>
  <c r="N578" i="10"/>
  <c r="N579" i="10"/>
  <c r="N580" i="10"/>
  <c r="N581" i="10"/>
  <c r="N582" i="10"/>
  <c r="N583" i="10"/>
  <c r="N584" i="10"/>
  <c r="N585" i="10"/>
  <c r="N586" i="10"/>
  <c r="N587" i="10"/>
  <c r="N588" i="10"/>
  <c r="N589" i="10"/>
  <c r="N590" i="10"/>
  <c r="N591" i="10"/>
  <c r="N592" i="10"/>
  <c r="N593" i="10"/>
  <c r="N594" i="10"/>
  <c r="N595" i="10"/>
  <c r="N596" i="10"/>
  <c r="N597" i="10"/>
  <c r="N598" i="10"/>
  <c r="N599" i="10"/>
  <c r="N600" i="10"/>
  <c r="N601" i="10"/>
  <c r="N602" i="10"/>
  <c r="N603" i="10"/>
  <c r="N604" i="10"/>
  <c r="N605" i="10"/>
  <c r="N606" i="10"/>
  <c r="N607" i="10"/>
  <c r="N608" i="10"/>
  <c r="N609" i="10"/>
  <c r="N610" i="10"/>
  <c r="N611" i="10"/>
  <c r="N612" i="10"/>
  <c r="N613" i="10"/>
  <c r="N614" i="10"/>
  <c r="N615" i="10"/>
  <c r="N616" i="10"/>
  <c r="N617" i="10"/>
  <c r="N618" i="10"/>
  <c r="N619" i="10"/>
  <c r="N620" i="10"/>
  <c r="N621" i="10"/>
  <c r="N622" i="10"/>
  <c r="N623" i="10"/>
  <c r="N624" i="10"/>
  <c r="N625" i="10"/>
  <c r="N626" i="10"/>
  <c r="N627" i="10"/>
  <c r="N628" i="10"/>
  <c r="N629" i="10"/>
  <c r="N630" i="10"/>
  <c r="N631" i="10"/>
  <c r="N632" i="10"/>
  <c r="N633" i="10"/>
  <c r="N634" i="10"/>
  <c r="N635" i="10"/>
  <c r="N636" i="10"/>
  <c r="N637" i="10"/>
  <c r="N638" i="10"/>
  <c r="N639" i="10"/>
  <c r="N640" i="10"/>
  <c r="N641" i="10"/>
  <c r="N642" i="10"/>
  <c r="N643" i="10"/>
  <c r="N644" i="10"/>
  <c r="N645" i="10"/>
  <c r="N646" i="10"/>
  <c r="N647" i="10"/>
  <c r="N648" i="10"/>
  <c r="N649" i="10"/>
  <c r="N650" i="10"/>
  <c r="N651" i="10"/>
  <c r="N652" i="10"/>
  <c r="N653" i="10"/>
  <c r="N654" i="10"/>
  <c r="N655" i="10"/>
  <c r="N656" i="10"/>
  <c r="N657" i="10"/>
  <c r="N658" i="10"/>
  <c r="N659" i="10"/>
  <c r="N660" i="10"/>
  <c r="N661" i="10"/>
  <c r="N662" i="10"/>
  <c r="N663" i="10"/>
  <c r="N664" i="10"/>
  <c r="N665" i="10"/>
  <c r="N666" i="10"/>
  <c r="N667" i="10"/>
  <c r="N668" i="10"/>
  <c r="N669" i="10"/>
  <c r="N670" i="10"/>
  <c r="N671" i="10"/>
  <c r="N672" i="10"/>
  <c r="N673" i="10"/>
  <c r="N674" i="10"/>
  <c r="N675" i="10"/>
  <c r="N676" i="10"/>
  <c r="N677" i="10"/>
  <c r="N678" i="10"/>
  <c r="N679" i="10"/>
  <c r="N680" i="10"/>
  <c r="N681" i="10"/>
  <c r="N682" i="10"/>
  <c r="N683" i="10"/>
  <c r="N684" i="10"/>
  <c r="N685" i="10"/>
  <c r="N686" i="10"/>
  <c r="N687" i="10"/>
  <c r="N688" i="10"/>
  <c r="N689" i="10"/>
  <c r="N690" i="10"/>
  <c r="N691" i="10"/>
  <c r="N692" i="10"/>
  <c r="N693" i="10"/>
  <c r="N694" i="10"/>
  <c r="N695" i="10"/>
  <c r="N696" i="10"/>
  <c r="N697" i="10"/>
  <c r="N698" i="10"/>
  <c r="N699" i="10"/>
  <c r="N700" i="10"/>
  <c r="N701" i="10"/>
  <c r="N702" i="10"/>
  <c r="N703" i="10"/>
  <c r="N704" i="10"/>
  <c r="N705" i="10"/>
  <c r="N706" i="10"/>
  <c r="N707" i="10"/>
  <c r="N708" i="10"/>
  <c r="N709" i="10"/>
  <c r="N710" i="10"/>
  <c r="N711" i="10"/>
  <c r="N712" i="10"/>
  <c r="N713" i="10"/>
  <c r="N714" i="10"/>
  <c r="N715" i="10"/>
  <c r="N716" i="10"/>
  <c r="N717" i="10"/>
  <c r="N718" i="10"/>
  <c r="N719" i="10"/>
  <c r="N720" i="10"/>
  <c r="N721" i="10"/>
  <c r="N722" i="10"/>
  <c r="N723" i="10"/>
  <c r="N724" i="10"/>
  <c r="N725" i="10"/>
  <c r="N726" i="10"/>
  <c r="N727" i="10"/>
  <c r="N728" i="10"/>
  <c r="N729" i="10"/>
  <c r="N730" i="10"/>
  <c r="N731" i="10"/>
  <c r="N732" i="10"/>
  <c r="N733" i="10"/>
  <c r="N734" i="10"/>
  <c r="N735" i="10"/>
  <c r="N736" i="10"/>
  <c r="N737" i="10"/>
  <c r="N738" i="10"/>
  <c r="N739" i="10"/>
  <c r="N740" i="10"/>
  <c r="N741" i="10"/>
  <c r="N742" i="10"/>
  <c r="N743" i="10"/>
  <c r="N744" i="10"/>
  <c r="N745" i="10"/>
  <c r="N746" i="10"/>
  <c r="N747" i="10"/>
  <c r="N748" i="10"/>
  <c r="N749" i="10"/>
  <c r="N750" i="10"/>
  <c r="N751" i="10"/>
  <c r="N752" i="10"/>
  <c r="N753" i="10"/>
  <c r="K350" i="10"/>
  <c r="K351" i="10"/>
  <c r="K352" i="10"/>
  <c r="K353" i="10"/>
  <c r="K354" i="10"/>
  <c r="K355" i="10"/>
  <c r="K356" i="10"/>
  <c r="K357" i="10"/>
  <c r="K358" i="10"/>
  <c r="K359" i="10"/>
  <c r="K360" i="10"/>
  <c r="K361" i="10"/>
  <c r="K362" i="10"/>
  <c r="K363" i="10"/>
  <c r="K364" i="10"/>
  <c r="K365" i="10"/>
  <c r="K366" i="10"/>
  <c r="K367" i="10"/>
  <c r="K368" i="10"/>
  <c r="K369" i="10"/>
  <c r="K370" i="10"/>
  <c r="K371" i="10"/>
  <c r="K372" i="10"/>
  <c r="K373" i="10"/>
  <c r="K374" i="10"/>
  <c r="K375" i="10"/>
  <c r="K376" i="10"/>
  <c r="K377" i="10"/>
  <c r="K378" i="10"/>
  <c r="K379" i="10"/>
  <c r="K380" i="10"/>
  <c r="K381" i="10"/>
  <c r="K382" i="10"/>
  <c r="K383" i="10"/>
  <c r="K384" i="10"/>
  <c r="K385" i="10"/>
  <c r="K386" i="10"/>
  <c r="K387" i="10"/>
  <c r="K388" i="10"/>
  <c r="K389" i="10"/>
  <c r="K390" i="10"/>
  <c r="K391" i="10"/>
  <c r="K392" i="10"/>
  <c r="K393" i="10"/>
  <c r="K394" i="10"/>
  <c r="K395" i="10"/>
  <c r="K396" i="10"/>
  <c r="K397" i="10"/>
  <c r="K398" i="10"/>
  <c r="K399" i="10"/>
  <c r="K400" i="10"/>
  <c r="K401" i="10"/>
  <c r="K402" i="10"/>
  <c r="K403" i="10"/>
  <c r="K404" i="10"/>
  <c r="K405" i="10"/>
  <c r="K406" i="10"/>
  <c r="K407" i="10"/>
  <c r="K408" i="10"/>
  <c r="K409" i="10"/>
  <c r="K410" i="10"/>
  <c r="K411" i="10"/>
  <c r="K412" i="10"/>
  <c r="K413" i="10"/>
  <c r="K414" i="10"/>
  <c r="K415" i="10"/>
  <c r="K416" i="10"/>
  <c r="K417" i="10"/>
  <c r="K418" i="10"/>
  <c r="K419" i="10"/>
  <c r="K420" i="10"/>
  <c r="K421" i="10"/>
  <c r="K422" i="10"/>
  <c r="K423" i="10"/>
  <c r="K424" i="10"/>
  <c r="K425" i="10"/>
  <c r="K426" i="10"/>
  <c r="K427" i="10"/>
  <c r="K428" i="10"/>
  <c r="K429" i="10"/>
  <c r="K430" i="10"/>
  <c r="K431" i="10"/>
  <c r="K432" i="10"/>
  <c r="K433" i="10"/>
  <c r="K434" i="10"/>
  <c r="K435" i="10"/>
  <c r="K436" i="10"/>
  <c r="K437" i="10"/>
  <c r="K438" i="10"/>
  <c r="K439" i="10"/>
  <c r="K440" i="10"/>
  <c r="K441" i="10"/>
  <c r="K442" i="10"/>
  <c r="K443" i="10"/>
  <c r="K444" i="10"/>
  <c r="K445" i="10"/>
  <c r="K446" i="10"/>
  <c r="K447" i="10"/>
  <c r="K448" i="10"/>
  <c r="K449" i="10"/>
  <c r="K450" i="10"/>
  <c r="K451" i="10"/>
  <c r="K452" i="10"/>
  <c r="K453" i="10"/>
  <c r="K454" i="10"/>
  <c r="K455" i="10"/>
  <c r="K456" i="10"/>
  <c r="K457" i="10"/>
  <c r="K458" i="10"/>
  <c r="K459" i="10"/>
  <c r="K460" i="10"/>
  <c r="K461" i="10"/>
  <c r="K462" i="10"/>
  <c r="K463" i="10"/>
  <c r="K464" i="10"/>
  <c r="K465" i="10"/>
  <c r="K466" i="10"/>
  <c r="K467" i="10"/>
  <c r="K468" i="10"/>
  <c r="K469" i="10"/>
  <c r="K470" i="10"/>
  <c r="K471" i="10"/>
  <c r="K472" i="10"/>
  <c r="K473" i="10"/>
  <c r="K474" i="10"/>
  <c r="K475" i="10"/>
  <c r="K476" i="10"/>
  <c r="K477" i="10"/>
  <c r="K478" i="10"/>
  <c r="K479" i="10"/>
  <c r="K480" i="10"/>
  <c r="K481" i="10"/>
  <c r="K482" i="10"/>
  <c r="K483" i="10"/>
  <c r="K484" i="10"/>
  <c r="K485" i="10"/>
  <c r="K486" i="10"/>
  <c r="K487" i="10"/>
  <c r="K488" i="10"/>
  <c r="K489" i="10"/>
  <c r="K490" i="10"/>
  <c r="K491" i="10"/>
  <c r="K492" i="10"/>
  <c r="K493" i="10"/>
  <c r="K494" i="10"/>
  <c r="K495" i="10"/>
  <c r="K496" i="10"/>
  <c r="K497" i="10"/>
  <c r="K498" i="10"/>
  <c r="K499" i="10"/>
  <c r="K500" i="10"/>
  <c r="K501" i="10"/>
  <c r="K502" i="10"/>
  <c r="K503" i="10"/>
  <c r="K504" i="10"/>
  <c r="K505" i="10"/>
  <c r="K506" i="10"/>
  <c r="K507" i="10"/>
  <c r="K508" i="10"/>
  <c r="K509" i="10"/>
  <c r="K510" i="10"/>
  <c r="K511" i="10"/>
  <c r="K512" i="10"/>
  <c r="K513" i="10"/>
  <c r="K514" i="10"/>
  <c r="K515" i="10"/>
  <c r="K516" i="10"/>
  <c r="K517" i="10"/>
  <c r="K518" i="10"/>
  <c r="K519" i="10"/>
  <c r="K520" i="10"/>
  <c r="K521" i="10"/>
  <c r="K522" i="10"/>
  <c r="K523" i="10"/>
  <c r="K524" i="10"/>
  <c r="K525" i="10"/>
  <c r="K526" i="10"/>
  <c r="K527" i="10"/>
  <c r="K528" i="10"/>
  <c r="K529" i="10"/>
  <c r="K530" i="10"/>
  <c r="K531" i="10"/>
  <c r="K532" i="10"/>
  <c r="K533" i="10"/>
  <c r="K534" i="10"/>
  <c r="K535" i="10"/>
  <c r="K536" i="10"/>
  <c r="K537" i="10"/>
  <c r="K538" i="10"/>
  <c r="K539" i="10"/>
  <c r="K540" i="10"/>
  <c r="K541" i="10"/>
  <c r="K542" i="10"/>
  <c r="K543" i="10"/>
  <c r="K544" i="10"/>
  <c r="K545" i="10"/>
  <c r="K546" i="10"/>
  <c r="K547" i="10"/>
  <c r="K548" i="10"/>
  <c r="K549" i="10"/>
  <c r="K550" i="10"/>
  <c r="K551" i="10"/>
  <c r="K552" i="10"/>
  <c r="K553" i="10"/>
  <c r="K554" i="10"/>
  <c r="K555" i="10"/>
  <c r="K556" i="10"/>
  <c r="K557" i="10"/>
  <c r="K558" i="10"/>
  <c r="K559" i="10"/>
  <c r="K560" i="10"/>
  <c r="K561" i="10"/>
  <c r="K562" i="10"/>
  <c r="K563" i="10"/>
  <c r="K564" i="10"/>
  <c r="K565" i="10"/>
  <c r="K566" i="10"/>
  <c r="K567" i="10"/>
  <c r="K568" i="10"/>
  <c r="K569" i="10"/>
  <c r="K570" i="10"/>
  <c r="K571" i="10"/>
  <c r="K572" i="10"/>
  <c r="K573" i="10"/>
  <c r="K574" i="10"/>
  <c r="K575" i="10"/>
  <c r="K576" i="10"/>
  <c r="K577" i="10"/>
  <c r="K578" i="10"/>
  <c r="K579" i="10"/>
  <c r="K580" i="10"/>
  <c r="K581" i="10"/>
  <c r="K582" i="10"/>
  <c r="K583" i="10"/>
  <c r="K584" i="10"/>
  <c r="K585" i="10"/>
  <c r="K586" i="10"/>
  <c r="K587" i="10"/>
  <c r="K588" i="10"/>
  <c r="K589" i="10"/>
  <c r="K590" i="10"/>
  <c r="K591" i="10"/>
  <c r="K592" i="10"/>
  <c r="K593" i="10"/>
  <c r="K594" i="10"/>
  <c r="K595" i="10"/>
  <c r="K596" i="10"/>
  <c r="K597" i="10"/>
  <c r="K598" i="10"/>
  <c r="K599" i="10"/>
  <c r="K600" i="10"/>
  <c r="K601" i="10"/>
  <c r="K602" i="10"/>
  <c r="K603" i="10"/>
  <c r="K604" i="10"/>
  <c r="K605" i="10"/>
  <c r="K606" i="10"/>
  <c r="K607" i="10"/>
  <c r="K608" i="10"/>
  <c r="K609" i="10"/>
  <c r="K610" i="10"/>
  <c r="K611" i="10"/>
  <c r="K612" i="10"/>
  <c r="K613" i="10"/>
  <c r="K614" i="10"/>
  <c r="K615" i="10"/>
  <c r="K616" i="10"/>
  <c r="K617" i="10"/>
  <c r="K618" i="10"/>
  <c r="K619" i="10"/>
  <c r="K620" i="10"/>
  <c r="K621" i="10"/>
  <c r="K622" i="10"/>
  <c r="K623" i="10"/>
  <c r="K624" i="10"/>
  <c r="K625" i="10"/>
  <c r="K626" i="10"/>
  <c r="K627" i="10"/>
  <c r="K628" i="10"/>
  <c r="K629" i="10"/>
  <c r="K630" i="10"/>
  <c r="K631" i="10"/>
  <c r="K632" i="10"/>
  <c r="K633" i="10"/>
  <c r="K634" i="10"/>
  <c r="K635" i="10"/>
  <c r="K636" i="10"/>
  <c r="K637" i="10"/>
  <c r="K638" i="10"/>
  <c r="K639" i="10"/>
  <c r="K640" i="10"/>
  <c r="K641" i="10"/>
  <c r="K642" i="10"/>
  <c r="K643" i="10"/>
  <c r="K644" i="10"/>
  <c r="K645" i="10"/>
  <c r="K646" i="10"/>
  <c r="K647" i="10"/>
  <c r="K648" i="10"/>
  <c r="K649" i="10"/>
  <c r="K650" i="10"/>
  <c r="K651" i="10"/>
  <c r="K652" i="10"/>
  <c r="K653" i="10"/>
  <c r="K654" i="10"/>
  <c r="K655" i="10"/>
  <c r="K656" i="10"/>
  <c r="K657" i="10"/>
  <c r="K658" i="10"/>
  <c r="K659" i="10"/>
  <c r="K660" i="10"/>
  <c r="K661" i="10"/>
  <c r="K662" i="10"/>
  <c r="K663" i="10"/>
  <c r="K664" i="10"/>
  <c r="K665" i="10"/>
  <c r="K666" i="10"/>
  <c r="K667" i="10"/>
  <c r="K668" i="10"/>
  <c r="K669" i="10"/>
  <c r="K670" i="10"/>
  <c r="K671" i="10"/>
  <c r="K672" i="10"/>
  <c r="K673" i="10"/>
  <c r="K674" i="10"/>
  <c r="K675" i="10"/>
  <c r="K676" i="10"/>
  <c r="K677" i="10"/>
  <c r="K678" i="10"/>
  <c r="K679" i="10"/>
  <c r="K680" i="10"/>
  <c r="K681" i="10"/>
  <c r="K682" i="10"/>
  <c r="K683" i="10"/>
  <c r="K684" i="10"/>
  <c r="K685" i="10"/>
  <c r="K686" i="10"/>
  <c r="K687" i="10"/>
  <c r="K688" i="10"/>
  <c r="K689" i="10"/>
  <c r="K690" i="10"/>
  <c r="K691" i="10"/>
  <c r="K692" i="10"/>
  <c r="K693" i="10"/>
  <c r="K694" i="10"/>
  <c r="K695" i="10"/>
  <c r="K696" i="10"/>
  <c r="K697" i="10"/>
  <c r="K698" i="10"/>
  <c r="K699" i="10"/>
  <c r="K700" i="10"/>
  <c r="K701" i="10"/>
  <c r="K702" i="10"/>
  <c r="K703" i="10"/>
  <c r="K704" i="10"/>
  <c r="K705" i="10"/>
  <c r="K706" i="10"/>
  <c r="K707" i="10"/>
  <c r="K708" i="10"/>
  <c r="K709" i="10"/>
  <c r="K710" i="10"/>
  <c r="K711" i="10"/>
  <c r="K712" i="10"/>
  <c r="K713" i="10"/>
  <c r="K714" i="10"/>
  <c r="K715" i="10"/>
  <c r="K716" i="10"/>
  <c r="K717" i="10"/>
  <c r="K718" i="10"/>
  <c r="K719" i="10"/>
  <c r="K720" i="10"/>
  <c r="K721" i="10"/>
  <c r="K722" i="10"/>
  <c r="K723" i="10"/>
  <c r="K724" i="10"/>
  <c r="K725" i="10"/>
  <c r="K726" i="10"/>
  <c r="K727" i="10"/>
  <c r="K728" i="10"/>
  <c r="K729" i="10"/>
  <c r="K730" i="10"/>
  <c r="K731" i="10"/>
  <c r="K732" i="10"/>
  <c r="K733" i="10"/>
  <c r="K734" i="10"/>
  <c r="K735" i="10"/>
  <c r="K736" i="10"/>
  <c r="K737" i="10"/>
  <c r="K738" i="10"/>
  <c r="K739" i="10"/>
  <c r="K740" i="10"/>
  <c r="K741" i="10"/>
  <c r="K742" i="10"/>
  <c r="K743" i="10"/>
  <c r="K744" i="10"/>
  <c r="K745" i="10"/>
  <c r="K746" i="10"/>
  <c r="K747" i="10"/>
  <c r="K748" i="10"/>
  <c r="K749" i="10"/>
  <c r="K750" i="10"/>
  <c r="K751" i="10"/>
  <c r="K752" i="10"/>
  <c r="K753" i="10"/>
  <c r="H618" i="10"/>
  <c r="H619" i="10"/>
  <c r="H620" i="10"/>
  <c r="H621" i="10"/>
  <c r="H622" i="10"/>
  <c r="H623" i="10"/>
  <c r="H624" i="10"/>
  <c r="H625" i="10"/>
  <c r="H626" i="10"/>
  <c r="H627" i="10"/>
  <c r="H628" i="10"/>
  <c r="H629" i="10"/>
  <c r="H630" i="10"/>
  <c r="H631" i="10"/>
  <c r="H632" i="10"/>
  <c r="H633" i="10"/>
  <c r="H634" i="10"/>
  <c r="H635" i="10"/>
  <c r="H636" i="10"/>
  <c r="H637" i="10"/>
  <c r="H638" i="10"/>
  <c r="H639" i="10"/>
  <c r="H640" i="10"/>
  <c r="H641" i="10"/>
  <c r="H642" i="10"/>
  <c r="H643" i="10"/>
  <c r="H644" i="10"/>
  <c r="H645" i="10"/>
  <c r="H646" i="10"/>
  <c r="H647" i="10"/>
  <c r="H648" i="10"/>
  <c r="H649" i="10"/>
  <c r="H650" i="10"/>
  <c r="H651" i="10"/>
  <c r="H652" i="10"/>
  <c r="H653" i="10"/>
  <c r="H654" i="10"/>
  <c r="H655" i="10"/>
  <c r="H656" i="10"/>
  <c r="H657" i="10"/>
  <c r="H658" i="10"/>
  <c r="H659" i="10"/>
  <c r="H660" i="10"/>
  <c r="H661" i="10"/>
  <c r="H662" i="10"/>
  <c r="H663" i="10"/>
  <c r="H664" i="10"/>
  <c r="H665" i="10"/>
  <c r="H666" i="10"/>
  <c r="H667" i="10"/>
  <c r="H668" i="10"/>
  <c r="H669" i="10"/>
  <c r="H670" i="10"/>
  <c r="H671" i="10"/>
  <c r="H672" i="10"/>
  <c r="H673" i="10"/>
  <c r="H674" i="10"/>
  <c r="H675" i="10"/>
  <c r="H676" i="10"/>
  <c r="H677" i="10"/>
  <c r="H678" i="10"/>
  <c r="H679" i="10"/>
  <c r="H680" i="10"/>
  <c r="H681" i="10"/>
  <c r="H682" i="10"/>
  <c r="H683" i="10"/>
  <c r="H684" i="10"/>
  <c r="H685" i="10"/>
  <c r="H686" i="10"/>
  <c r="H687" i="10"/>
  <c r="H688" i="10"/>
  <c r="H689" i="10"/>
  <c r="H690" i="10"/>
  <c r="H691" i="10"/>
  <c r="H692" i="10"/>
  <c r="H693" i="10"/>
  <c r="H694" i="10"/>
  <c r="H695" i="10"/>
  <c r="H696" i="10"/>
  <c r="H697" i="10"/>
  <c r="H698" i="10"/>
  <c r="H699" i="10"/>
  <c r="H700" i="10"/>
  <c r="H701" i="10"/>
  <c r="H702" i="10"/>
  <c r="H703" i="10"/>
  <c r="H704" i="10"/>
  <c r="H705" i="10"/>
  <c r="H706" i="10"/>
  <c r="H707" i="10"/>
  <c r="H708" i="10"/>
  <c r="H709" i="10"/>
  <c r="H710" i="10"/>
  <c r="H711" i="10"/>
  <c r="H712" i="10"/>
  <c r="H713" i="10"/>
  <c r="H714" i="10"/>
  <c r="H715" i="10"/>
  <c r="H716" i="10"/>
  <c r="H717" i="10"/>
  <c r="H718" i="10"/>
  <c r="H719" i="10"/>
  <c r="H720" i="10"/>
  <c r="H721" i="10"/>
  <c r="H722" i="10"/>
  <c r="H723" i="10"/>
  <c r="H724" i="10"/>
  <c r="H725" i="10"/>
  <c r="H726" i="10"/>
  <c r="H727" i="10"/>
  <c r="H728" i="10"/>
  <c r="H729" i="10"/>
  <c r="H730" i="10"/>
  <c r="H731" i="10"/>
  <c r="H732" i="10"/>
  <c r="H733" i="10"/>
  <c r="H734" i="10"/>
  <c r="H735" i="10"/>
  <c r="H736" i="10"/>
  <c r="H737" i="10"/>
  <c r="H738" i="10"/>
  <c r="H739" i="10"/>
  <c r="H740" i="10"/>
  <c r="H741" i="10"/>
  <c r="H742" i="10"/>
  <c r="H743" i="10"/>
  <c r="H744" i="10"/>
  <c r="H745" i="10"/>
  <c r="H746" i="10"/>
  <c r="H747" i="10"/>
  <c r="H748" i="10"/>
  <c r="H749" i="10"/>
  <c r="H750" i="10"/>
  <c r="H751" i="10"/>
  <c r="H752" i="10"/>
  <c r="H753" i="10"/>
  <c r="H502" i="10"/>
  <c r="H503" i="10"/>
  <c r="H504" i="10"/>
  <c r="H505" i="10"/>
  <c r="H506" i="10"/>
  <c r="H507" i="10"/>
  <c r="H508" i="10"/>
  <c r="H509" i="10"/>
  <c r="H510" i="10"/>
  <c r="H511" i="10"/>
  <c r="H512" i="10"/>
  <c r="H513" i="10"/>
  <c r="H514" i="10"/>
  <c r="H515" i="10"/>
  <c r="H516" i="10"/>
  <c r="H517" i="10"/>
  <c r="H518" i="10"/>
  <c r="H519" i="10"/>
  <c r="H520" i="10"/>
  <c r="H521" i="10"/>
  <c r="H522" i="10"/>
  <c r="H523" i="10"/>
  <c r="H524" i="10"/>
  <c r="H525" i="10"/>
  <c r="H526" i="10"/>
  <c r="H527" i="10"/>
  <c r="H528" i="10"/>
  <c r="H529" i="10"/>
  <c r="H530" i="10"/>
  <c r="H531" i="10"/>
  <c r="H532" i="10"/>
  <c r="H533" i="10"/>
  <c r="H534" i="10"/>
  <c r="H535" i="10"/>
  <c r="H536" i="10"/>
  <c r="H537" i="10"/>
  <c r="H538" i="10"/>
  <c r="H539" i="10"/>
  <c r="H540" i="10"/>
  <c r="H541" i="10"/>
  <c r="H542" i="10"/>
  <c r="H543" i="10"/>
  <c r="H544" i="10"/>
  <c r="H545" i="10"/>
  <c r="H546" i="10"/>
  <c r="H547" i="10"/>
  <c r="H548" i="10"/>
  <c r="H549" i="10"/>
  <c r="H550" i="10"/>
  <c r="H551" i="10"/>
  <c r="H552" i="10"/>
  <c r="H553" i="10"/>
  <c r="H554" i="10"/>
  <c r="H555" i="10"/>
  <c r="H556" i="10"/>
  <c r="H557" i="10"/>
  <c r="H558" i="10"/>
  <c r="H559" i="10"/>
  <c r="H560" i="10"/>
  <c r="H561" i="10"/>
  <c r="H562" i="10"/>
  <c r="H563" i="10"/>
  <c r="H564" i="10"/>
  <c r="H565" i="10"/>
  <c r="H566" i="10"/>
  <c r="H567" i="10"/>
  <c r="H568" i="10"/>
  <c r="H569" i="10"/>
  <c r="H570" i="10"/>
  <c r="H571" i="10"/>
  <c r="H572" i="10"/>
  <c r="H573" i="10"/>
  <c r="H574" i="10"/>
  <c r="H575" i="10"/>
  <c r="H576" i="10"/>
  <c r="H577" i="10"/>
  <c r="H578" i="10"/>
  <c r="H579" i="10"/>
  <c r="H580" i="10"/>
  <c r="H581" i="10"/>
  <c r="H582" i="10"/>
  <c r="H583" i="10"/>
  <c r="H584" i="10"/>
  <c r="H585" i="10"/>
  <c r="H586" i="10"/>
  <c r="H587" i="10"/>
  <c r="H588" i="10"/>
  <c r="H589" i="10"/>
  <c r="H590" i="10"/>
  <c r="H591" i="10"/>
  <c r="H592" i="10"/>
  <c r="H593" i="10"/>
  <c r="H594" i="10"/>
  <c r="H595" i="10"/>
  <c r="H596" i="10"/>
  <c r="H597" i="10"/>
  <c r="H598" i="10"/>
  <c r="H599" i="10"/>
  <c r="H600" i="10"/>
  <c r="H601" i="10"/>
  <c r="H602" i="10"/>
  <c r="H603" i="10"/>
  <c r="H604" i="10"/>
  <c r="H605" i="10"/>
  <c r="H606" i="10"/>
  <c r="H607" i="10"/>
  <c r="H608" i="10"/>
  <c r="H609" i="10"/>
  <c r="H610" i="10"/>
  <c r="H611" i="10"/>
  <c r="H612" i="10"/>
  <c r="H613" i="10"/>
  <c r="H614" i="10"/>
  <c r="H615" i="10"/>
  <c r="H616" i="10"/>
  <c r="H617" i="10"/>
  <c r="H484" i="10"/>
  <c r="H485" i="10"/>
  <c r="H486" i="10"/>
  <c r="H487" i="10"/>
  <c r="H488" i="10"/>
  <c r="H489" i="10"/>
  <c r="H490" i="10"/>
  <c r="H491" i="10"/>
  <c r="H492" i="10"/>
  <c r="H493" i="10"/>
  <c r="H494" i="10"/>
  <c r="H495" i="10"/>
  <c r="H496" i="10"/>
  <c r="H497" i="10"/>
  <c r="H498" i="10"/>
  <c r="H499" i="10"/>
  <c r="H500" i="10"/>
  <c r="H501" i="10"/>
  <c r="H459" i="10"/>
  <c r="H460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6" i="10"/>
  <c r="H477" i="10"/>
  <c r="H478" i="10"/>
  <c r="H479" i="10"/>
  <c r="H480" i="10"/>
  <c r="H481" i="10"/>
  <c r="H482" i="10"/>
  <c r="H483" i="10"/>
  <c r="H454" i="10"/>
  <c r="H455" i="10"/>
  <c r="H456" i="10"/>
  <c r="H457" i="10"/>
  <c r="H458" i="10"/>
  <c r="H449" i="10"/>
  <c r="H450" i="10"/>
  <c r="H451" i="10"/>
  <c r="H452" i="10"/>
  <c r="H453" i="10"/>
  <c r="H407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1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8" i="10"/>
  <c r="H439" i="10"/>
  <c r="H440" i="10"/>
  <c r="H441" i="10"/>
  <c r="H442" i="10"/>
  <c r="H443" i="10"/>
  <c r="H444" i="10"/>
  <c r="H445" i="10"/>
  <c r="H446" i="10"/>
  <c r="H447" i="10"/>
  <c r="H448" i="10"/>
  <c r="H393" i="10"/>
  <c r="H394" i="10"/>
  <c r="H395" i="10"/>
  <c r="H396" i="10"/>
  <c r="H397" i="10"/>
  <c r="H398" i="10"/>
  <c r="H399" i="10"/>
  <c r="H400" i="10"/>
  <c r="H401" i="10"/>
  <c r="H402" i="10"/>
  <c r="H403" i="10"/>
  <c r="H404" i="10"/>
  <c r="H405" i="10"/>
  <c r="H406" i="10"/>
  <c r="H388" i="10"/>
  <c r="H389" i="10"/>
  <c r="H390" i="10"/>
  <c r="H391" i="10"/>
  <c r="H392" i="10"/>
  <c r="H376" i="10"/>
  <c r="H377" i="10"/>
  <c r="H378" i="10"/>
  <c r="H379" i="10"/>
  <c r="H380" i="10"/>
  <c r="H381" i="10"/>
  <c r="H382" i="10"/>
  <c r="H383" i="10"/>
  <c r="H384" i="10"/>
  <c r="H385" i="10"/>
  <c r="H386" i="10"/>
  <c r="H387" i="10"/>
  <c r="H372" i="10"/>
  <c r="H373" i="10"/>
  <c r="H374" i="10"/>
  <c r="H375" i="10"/>
  <c r="H363" i="10"/>
  <c r="H364" i="10"/>
  <c r="H365" i="10"/>
  <c r="H366" i="10"/>
  <c r="H367" i="10"/>
  <c r="H368" i="10"/>
  <c r="H369" i="10"/>
  <c r="H370" i="10"/>
  <c r="H371" i="10"/>
  <c r="H351" i="10"/>
  <c r="H352" i="10"/>
  <c r="H353" i="10"/>
  <c r="H354" i="10"/>
  <c r="H355" i="10"/>
  <c r="H356" i="10"/>
  <c r="H357" i="10"/>
  <c r="H358" i="10"/>
  <c r="H359" i="10"/>
  <c r="H360" i="10"/>
  <c r="H361" i="10"/>
  <c r="H362" i="10"/>
  <c r="H350" i="10"/>
  <c r="BV753" i="10"/>
  <c r="BS753" i="10"/>
  <c r="BP753" i="10"/>
  <c r="BI753" i="10"/>
  <c r="BH753" i="10"/>
  <c r="BJ753" i="10" s="1"/>
  <c r="BF753" i="10"/>
  <c r="BE753" i="10"/>
  <c r="BC753" i="10"/>
  <c r="BB753" i="10"/>
  <c r="BA753" i="10"/>
  <c r="AX753" i="10"/>
  <c r="AU753" i="10"/>
  <c r="AH753" i="10"/>
  <c r="AG753" i="10"/>
  <c r="AE753" i="10"/>
  <c r="AD753" i="10"/>
  <c r="BV752" i="10"/>
  <c r="BS752" i="10"/>
  <c r="BP752" i="10"/>
  <c r="BI752" i="10"/>
  <c r="BH752" i="10"/>
  <c r="BJ752" i="10" s="1"/>
  <c r="BF752" i="10"/>
  <c r="BE752" i="10"/>
  <c r="BC752" i="10"/>
  <c r="BB752" i="10"/>
  <c r="BA752" i="10"/>
  <c r="AX752" i="10"/>
  <c r="AU752" i="10"/>
  <c r="AH752" i="10"/>
  <c r="AG752" i="10"/>
  <c r="AE752" i="10"/>
  <c r="AD752" i="10"/>
  <c r="BV751" i="10"/>
  <c r="BS751" i="10"/>
  <c r="BP751" i="10"/>
  <c r="BI751" i="10"/>
  <c r="BH751" i="10"/>
  <c r="BJ751" i="10" s="1"/>
  <c r="BF751" i="10"/>
  <c r="BE751" i="10"/>
  <c r="BC751" i="10"/>
  <c r="BB751" i="10"/>
  <c r="BA751" i="10"/>
  <c r="AX751" i="10"/>
  <c r="AU751" i="10"/>
  <c r="AH751" i="10"/>
  <c r="AG751" i="10"/>
  <c r="AE751" i="10"/>
  <c r="AD751" i="10"/>
  <c r="BV750" i="10"/>
  <c r="BS750" i="10"/>
  <c r="BP750" i="10"/>
  <c r="BI750" i="10"/>
  <c r="BH750" i="10"/>
  <c r="BJ750" i="10" s="1"/>
  <c r="BF750" i="10"/>
  <c r="BE750" i="10"/>
  <c r="BC750" i="10"/>
  <c r="BB750" i="10"/>
  <c r="BA750" i="10"/>
  <c r="AX750" i="10"/>
  <c r="AU750" i="10"/>
  <c r="AH750" i="10"/>
  <c r="AG750" i="10"/>
  <c r="AE750" i="10"/>
  <c r="AD750" i="10"/>
  <c r="BV749" i="10"/>
  <c r="BS749" i="10"/>
  <c r="BP749" i="10"/>
  <c r="BI749" i="10"/>
  <c r="BH749" i="10"/>
  <c r="BJ749" i="10" s="1"/>
  <c r="BF749" i="10"/>
  <c r="BE749" i="10"/>
  <c r="BC749" i="10"/>
  <c r="BB749" i="10"/>
  <c r="BA749" i="10"/>
  <c r="AX749" i="10"/>
  <c r="AU749" i="10"/>
  <c r="AH749" i="10"/>
  <c r="AG749" i="10"/>
  <c r="AE749" i="10"/>
  <c r="AD749" i="10"/>
  <c r="BV748" i="10"/>
  <c r="BS748" i="10"/>
  <c r="BP748" i="10"/>
  <c r="BI748" i="10"/>
  <c r="BH748" i="10"/>
  <c r="BJ748" i="10" s="1"/>
  <c r="BF748" i="10"/>
  <c r="BE748" i="10"/>
  <c r="BC748" i="10"/>
  <c r="BB748" i="10"/>
  <c r="BA748" i="10"/>
  <c r="AX748" i="10"/>
  <c r="AU748" i="10"/>
  <c r="AH748" i="10"/>
  <c r="AG748" i="10"/>
  <c r="AE748" i="10"/>
  <c r="AD748" i="10"/>
  <c r="BV747" i="10"/>
  <c r="BS747" i="10"/>
  <c r="BP747" i="10"/>
  <c r="BI747" i="10"/>
  <c r="BH747" i="10"/>
  <c r="BJ747" i="10" s="1"/>
  <c r="BF747" i="10"/>
  <c r="BE747" i="10"/>
  <c r="BC747" i="10"/>
  <c r="BB747" i="10"/>
  <c r="BA747" i="10"/>
  <c r="AX747" i="10"/>
  <c r="AU747" i="10"/>
  <c r="AH747" i="10"/>
  <c r="AG747" i="10"/>
  <c r="AE747" i="10"/>
  <c r="AD747" i="10"/>
  <c r="BV746" i="10"/>
  <c r="BS746" i="10"/>
  <c r="BP746" i="10"/>
  <c r="BI746" i="10"/>
  <c r="BH746" i="10"/>
  <c r="BJ746" i="10" s="1"/>
  <c r="BF746" i="10"/>
  <c r="BE746" i="10"/>
  <c r="BC746" i="10"/>
  <c r="BB746" i="10"/>
  <c r="BA746" i="10"/>
  <c r="AX746" i="10"/>
  <c r="AU746" i="10"/>
  <c r="AH746" i="10"/>
  <c r="AG746" i="10"/>
  <c r="AE746" i="10"/>
  <c r="AD746" i="10"/>
  <c r="BV745" i="10"/>
  <c r="BS745" i="10"/>
  <c r="BP745" i="10"/>
  <c r="BI745" i="10"/>
  <c r="BH745" i="10"/>
  <c r="BJ745" i="10" s="1"/>
  <c r="BF745" i="10"/>
  <c r="BE745" i="10"/>
  <c r="BC745" i="10"/>
  <c r="BB745" i="10"/>
  <c r="BA745" i="10"/>
  <c r="AX745" i="10"/>
  <c r="AU745" i="10"/>
  <c r="AH745" i="10"/>
  <c r="AG745" i="10"/>
  <c r="AE745" i="10"/>
  <c r="AD745" i="10"/>
  <c r="BV744" i="10"/>
  <c r="BS744" i="10"/>
  <c r="BP744" i="10"/>
  <c r="BI744" i="10"/>
  <c r="BH744" i="10"/>
  <c r="BJ744" i="10" s="1"/>
  <c r="BF744" i="10"/>
  <c r="BE744" i="10"/>
  <c r="BC744" i="10"/>
  <c r="BB744" i="10"/>
  <c r="BA744" i="10"/>
  <c r="AX744" i="10"/>
  <c r="AU744" i="10"/>
  <c r="AH744" i="10"/>
  <c r="AG744" i="10"/>
  <c r="AE744" i="10"/>
  <c r="AD744" i="10"/>
  <c r="BV743" i="10"/>
  <c r="BS743" i="10"/>
  <c r="BP743" i="10"/>
  <c r="BI743" i="10"/>
  <c r="BH743" i="10"/>
  <c r="BJ743" i="10" s="1"/>
  <c r="BF743" i="10"/>
  <c r="BE743" i="10"/>
  <c r="BC743" i="10"/>
  <c r="BB743" i="10"/>
  <c r="BA743" i="10"/>
  <c r="AX743" i="10"/>
  <c r="AU743" i="10"/>
  <c r="AH743" i="10"/>
  <c r="AG743" i="10"/>
  <c r="AE743" i="10"/>
  <c r="AD743" i="10"/>
  <c r="BV742" i="10"/>
  <c r="BS742" i="10"/>
  <c r="BP742" i="10"/>
  <c r="BI742" i="10"/>
  <c r="BH742" i="10"/>
  <c r="BJ742" i="10" s="1"/>
  <c r="BF742" i="10"/>
  <c r="BE742" i="10"/>
  <c r="BC742" i="10"/>
  <c r="BB742" i="10"/>
  <c r="BA742" i="10"/>
  <c r="AX742" i="10"/>
  <c r="AU742" i="10"/>
  <c r="AH742" i="10"/>
  <c r="AG742" i="10"/>
  <c r="AE742" i="10"/>
  <c r="AD742" i="10"/>
  <c r="BV741" i="10"/>
  <c r="BS741" i="10"/>
  <c r="BP741" i="10"/>
  <c r="BI741" i="10"/>
  <c r="BH741" i="10"/>
  <c r="BJ741" i="10" s="1"/>
  <c r="BF741" i="10"/>
  <c r="BE741" i="10"/>
  <c r="BC741" i="10"/>
  <c r="BB741" i="10"/>
  <c r="BA741" i="10"/>
  <c r="AX741" i="10"/>
  <c r="AU741" i="10"/>
  <c r="AH741" i="10"/>
  <c r="AG741" i="10"/>
  <c r="AE741" i="10"/>
  <c r="AD741" i="10"/>
  <c r="BV740" i="10"/>
  <c r="BS740" i="10"/>
  <c r="BP740" i="10"/>
  <c r="BI740" i="10"/>
  <c r="BH740" i="10"/>
  <c r="BJ740" i="10" s="1"/>
  <c r="BF740" i="10"/>
  <c r="BE740" i="10"/>
  <c r="BC740" i="10"/>
  <c r="BB740" i="10"/>
  <c r="BA740" i="10"/>
  <c r="AX740" i="10"/>
  <c r="AU740" i="10"/>
  <c r="AH740" i="10"/>
  <c r="AG740" i="10"/>
  <c r="AE740" i="10"/>
  <c r="AD740" i="10"/>
  <c r="BV739" i="10"/>
  <c r="BS739" i="10"/>
  <c r="BP739" i="10"/>
  <c r="BI739" i="10"/>
  <c r="BH739" i="10"/>
  <c r="BJ739" i="10" s="1"/>
  <c r="BF739" i="10"/>
  <c r="BE739" i="10"/>
  <c r="BC739" i="10"/>
  <c r="BB739" i="10"/>
  <c r="BA739" i="10"/>
  <c r="AX739" i="10"/>
  <c r="AU739" i="10"/>
  <c r="AH739" i="10"/>
  <c r="AG739" i="10"/>
  <c r="AE739" i="10"/>
  <c r="AD739" i="10"/>
  <c r="BV738" i="10"/>
  <c r="BS738" i="10"/>
  <c r="BP738" i="10"/>
  <c r="BI738" i="10"/>
  <c r="BH738" i="10"/>
  <c r="BJ738" i="10" s="1"/>
  <c r="BF738" i="10"/>
  <c r="BE738" i="10"/>
  <c r="BC738" i="10"/>
  <c r="BB738" i="10"/>
  <c r="BA738" i="10"/>
  <c r="AX738" i="10"/>
  <c r="AU738" i="10"/>
  <c r="AH738" i="10"/>
  <c r="AG738" i="10"/>
  <c r="AE738" i="10"/>
  <c r="AD738" i="10"/>
  <c r="BV737" i="10"/>
  <c r="BS737" i="10"/>
  <c r="BP737" i="10"/>
  <c r="BI737" i="10"/>
  <c r="BH737" i="10"/>
  <c r="BJ737" i="10" s="1"/>
  <c r="BF737" i="10"/>
  <c r="BE737" i="10"/>
  <c r="BC737" i="10"/>
  <c r="BB737" i="10"/>
  <c r="BA737" i="10"/>
  <c r="AX737" i="10"/>
  <c r="AU737" i="10"/>
  <c r="AH737" i="10"/>
  <c r="AG737" i="10"/>
  <c r="AE737" i="10"/>
  <c r="AD737" i="10"/>
  <c r="BV736" i="10"/>
  <c r="BS736" i="10"/>
  <c r="BP736" i="10"/>
  <c r="BI736" i="10"/>
  <c r="BH736" i="10"/>
  <c r="BJ736" i="10" s="1"/>
  <c r="BF736" i="10"/>
  <c r="BE736" i="10"/>
  <c r="BC736" i="10"/>
  <c r="BB736" i="10"/>
  <c r="BA736" i="10"/>
  <c r="AX736" i="10"/>
  <c r="AU736" i="10"/>
  <c r="AH736" i="10"/>
  <c r="AG736" i="10"/>
  <c r="AE736" i="10"/>
  <c r="AD736" i="10"/>
  <c r="BV735" i="10"/>
  <c r="BS735" i="10"/>
  <c r="BP735" i="10"/>
  <c r="BI735" i="10"/>
  <c r="BH735" i="10"/>
  <c r="BJ735" i="10" s="1"/>
  <c r="BF735" i="10"/>
  <c r="BE735" i="10"/>
  <c r="BC735" i="10"/>
  <c r="BB735" i="10"/>
  <c r="BA735" i="10"/>
  <c r="AX735" i="10"/>
  <c r="AU735" i="10"/>
  <c r="AH735" i="10"/>
  <c r="AG735" i="10"/>
  <c r="AE735" i="10"/>
  <c r="AD735" i="10"/>
  <c r="BV734" i="10"/>
  <c r="BS734" i="10"/>
  <c r="BP734" i="10"/>
  <c r="BI734" i="10"/>
  <c r="BH734" i="10"/>
  <c r="BJ734" i="10" s="1"/>
  <c r="BF734" i="10"/>
  <c r="BE734" i="10"/>
  <c r="BC734" i="10"/>
  <c r="BB734" i="10"/>
  <c r="BA734" i="10"/>
  <c r="AX734" i="10"/>
  <c r="AU734" i="10"/>
  <c r="AH734" i="10"/>
  <c r="AG734" i="10"/>
  <c r="AE734" i="10"/>
  <c r="AD734" i="10"/>
  <c r="BV733" i="10"/>
  <c r="BS733" i="10"/>
  <c r="BP733" i="10"/>
  <c r="BI733" i="10"/>
  <c r="BH733" i="10"/>
  <c r="BJ733" i="10" s="1"/>
  <c r="BF733" i="10"/>
  <c r="BE733" i="10"/>
  <c r="BC733" i="10"/>
  <c r="BB733" i="10"/>
  <c r="BA733" i="10"/>
  <c r="AX733" i="10"/>
  <c r="AU733" i="10"/>
  <c r="AH733" i="10"/>
  <c r="AG733" i="10"/>
  <c r="AE733" i="10"/>
  <c r="AD733" i="10"/>
  <c r="BV732" i="10"/>
  <c r="BS732" i="10"/>
  <c r="BP732" i="10"/>
  <c r="BI732" i="10"/>
  <c r="BH732" i="10"/>
  <c r="BJ732" i="10" s="1"/>
  <c r="BF732" i="10"/>
  <c r="BE732" i="10"/>
  <c r="BC732" i="10"/>
  <c r="BB732" i="10"/>
  <c r="BA732" i="10"/>
  <c r="AX732" i="10"/>
  <c r="AU732" i="10"/>
  <c r="AH732" i="10"/>
  <c r="AG732" i="10"/>
  <c r="AE732" i="10"/>
  <c r="AD732" i="10"/>
  <c r="BV731" i="10"/>
  <c r="BS731" i="10"/>
  <c r="BP731" i="10"/>
  <c r="BI731" i="10"/>
  <c r="BH731" i="10"/>
  <c r="BJ731" i="10" s="1"/>
  <c r="BF731" i="10"/>
  <c r="BE731" i="10"/>
  <c r="BC731" i="10"/>
  <c r="BB731" i="10"/>
  <c r="BA731" i="10"/>
  <c r="AX731" i="10"/>
  <c r="AU731" i="10"/>
  <c r="AH731" i="10"/>
  <c r="AG731" i="10"/>
  <c r="AE731" i="10"/>
  <c r="AD731" i="10"/>
  <c r="BV730" i="10"/>
  <c r="BS730" i="10"/>
  <c r="BP730" i="10"/>
  <c r="BI730" i="10"/>
  <c r="BH730" i="10"/>
  <c r="BJ730" i="10" s="1"/>
  <c r="BF730" i="10"/>
  <c r="BE730" i="10"/>
  <c r="BC730" i="10"/>
  <c r="BB730" i="10"/>
  <c r="BA730" i="10"/>
  <c r="AX730" i="10"/>
  <c r="AU730" i="10"/>
  <c r="AH730" i="10"/>
  <c r="AG730" i="10"/>
  <c r="AE730" i="10"/>
  <c r="AD730" i="10"/>
  <c r="BV729" i="10"/>
  <c r="BS729" i="10"/>
  <c r="BP729" i="10"/>
  <c r="BI729" i="10"/>
  <c r="BH729" i="10"/>
  <c r="BJ729" i="10" s="1"/>
  <c r="BF729" i="10"/>
  <c r="BE729" i="10"/>
  <c r="BC729" i="10"/>
  <c r="BB729" i="10"/>
  <c r="BA729" i="10"/>
  <c r="AX729" i="10"/>
  <c r="AU729" i="10"/>
  <c r="AH729" i="10"/>
  <c r="AG729" i="10"/>
  <c r="AE729" i="10"/>
  <c r="AD729" i="10"/>
  <c r="BV728" i="10"/>
  <c r="BS728" i="10"/>
  <c r="BP728" i="10"/>
  <c r="BI728" i="10"/>
  <c r="BH728" i="10"/>
  <c r="BJ728" i="10" s="1"/>
  <c r="BF728" i="10"/>
  <c r="BE728" i="10"/>
  <c r="BC728" i="10"/>
  <c r="BB728" i="10"/>
  <c r="BA728" i="10"/>
  <c r="AX728" i="10"/>
  <c r="AU728" i="10"/>
  <c r="AH728" i="10"/>
  <c r="AG728" i="10"/>
  <c r="AE728" i="10"/>
  <c r="AD728" i="10"/>
  <c r="BV727" i="10"/>
  <c r="BS727" i="10"/>
  <c r="BP727" i="10"/>
  <c r="BI727" i="10"/>
  <c r="BH727" i="10"/>
  <c r="BJ727" i="10" s="1"/>
  <c r="BF727" i="10"/>
  <c r="BE727" i="10"/>
  <c r="BC727" i="10"/>
  <c r="BB727" i="10"/>
  <c r="BA727" i="10"/>
  <c r="AX727" i="10"/>
  <c r="AU727" i="10"/>
  <c r="AH727" i="10"/>
  <c r="AG727" i="10"/>
  <c r="AE727" i="10"/>
  <c r="AD727" i="10"/>
  <c r="BV726" i="10"/>
  <c r="BS726" i="10"/>
  <c r="BP726" i="10"/>
  <c r="BI726" i="10"/>
  <c r="BH726" i="10"/>
  <c r="BJ726" i="10" s="1"/>
  <c r="BF726" i="10"/>
  <c r="BE726" i="10"/>
  <c r="BC726" i="10"/>
  <c r="BB726" i="10"/>
  <c r="BA726" i="10"/>
  <c r="AX726" i="10"/>
  <c r="AU726" i="10"/>
  <c r="AH726" i="10"/>
  <c r="AG726" i="10"/>
  <c r="AE726" i="10"/>
  <c r="AD726" i="10"/>
  <c r="BV725" i="10"/>
  <c r="BS725" i="10"/>
  <c r="BP725" i="10"/>
  <c r="BI725" i="10"/>
  <c r="BH725" i="10"/>
  <c r="BJ725" i="10" s="1"/>
  <c r="BF725" i="10"/>
  <c r="BE725" i="10"/>
  <c r="BC725" i="10"/>
  <c r="BB725" i="10"/>
  <c r="BA725" i="10"/>
  <c r="AX725" i="10"/>
  <c r="AU725" i="10"/>
  <c r="AH725" i="10"/>
  <c r="AG725" i="10"/>
  <c r="AE725" i="10"/>
  <c r="AD725" i="10"/>
  <c r="BV724" i="10"/>
  <c r="BS724" i="10"/>
  <c r="BP724" i="10"/>
  <c r="BI724" i="10"/>
  <c r="BH724" i="10"/>
  <c r="BJ724" i="10" s="1"/>
  <c r="BF724" i="10"/>
  <c r="BE724" i="10"/>
  <c r="BC724" i="10"/>
  <c r="BB724" i="10"/>
  <c r="BA724" i="10"/>
  <c r="AX724" i="10"/>
  <c r="AU724" i="10"/>
  <c r="AH724" i="10"/>
  <c r="AG724" i="10"/>
  <c r="AE724" i="10"/>
  <c r="AD724" i="10"/>
  <c r="BV723" i="10"/>
  <c r="BS723" i="10"/>
  <c r="BP723" i="10"/>
  <c r="BI723" i="10"/>
  <c r="BH723" i="10"/>
  <c r="BJ723" i="10" s="1"/>
  <c r="BF723" i="10"/>
  <c r="BE723" i="10"/>
  <c r="BC723" i="10"/>
  <c r="BB723" i="10"/>
  <c r="BA723" i="10"/>
  <c r="AX723" i="10"/>
  <c r="AU723" i="10"/>
  <c r="AH723" i="10"/>
  <c r="AG723" i="10"/>
  <c r="AE723" i="10"/>
  <c r="AD723" i="10"/>
  <c r="BV722" i="10"/>
  <c r="BS722" i="10"/>
  <c r="BP722" i="10"/>
  <c r="BI722" i="10"/>
  <c r="BH722" i="10"/>
  <c r="BJ722" i="10" s="1"/>
  <c r="BF722" i="10"/>
  <c r="BE722" i="10"/>
  <c r="BC722" i="10"/>
  <c r="BB722" i="10"/>
  <c r="BA722" i="10"/>
  <c r="AX722" i="10"/>
  <c r="AU722" i="10"/>
  <c r="AH722" i="10"/>
  <c r="AG722" i="10"/>
  <c r="AE722" i="10"/>
  <c r="AD722" i="10"/>
  <c r="BV721" i="10"/>
  <c r="BS721" i="10"/>
  <c r="BP721" i="10"/>
  <c r="BI721" i="10"/>
  <c r="BH721" i="10"/>
  <c r="BJ721" i="10" s="1"/>
  <c r="BF721" i="10"/>
  <c r="BE721" i="10"/>
  <c r="BC721" i="10"/>
  <c r="BB721" i="10"/>
  <c r="BA721" i="10"/>
  <c r="AX721" i="10"/>
  <c r="AU721" i="10"/>
  <c r="AH721" i="10"/>
  <c r="AG721" i="10"/>
  <c r="AE721" i="10"/>
  <c r="AD721" i="10"/>
  <c r="BV720" i="10"/>
  <c r="BS720" i="10"/>
  <c r="BP720" i="10"/>
  <c r="BI720" i="10"/>
  <c r="BH720" i="10"/>
  <c r="BJ720" i="10" s="1"/>
  <c r="BF720" i="10"/>
  <c r="BE720" i="10"/>
  <c r="BC720" i="10"/>
  <c r="BB720" i="10"/>
  <c r="BA720" i="10"/>
  <c r="AX720" i="10"/>
  <c r="AU720" i="10"/>
  <c r="AH720" i="10"/>
  <c r="AG720" i="10"/>
  <c r="AE720" i="10"/>
  <c r="AD720" i="10"/>
  <c r="BV719" i="10"/>
  <c r="BS719" i="10"/>
  <c r="BP719" i="10"/>
  <c r="BI719" i="10"/>
  <c r="BH719" i="10"/>
  <c r="BJ719" i="10" s="1"/>
  <c r="BF719" i="10"/>
  <c r="BE719" i="10"/>
  <c r="BC719" i="10"/>
  <c r="BB719" i="10"/>
  <c r="BA719" i="10"/>
  <c r="AX719" i="10"/>
  <c r="AU719" i="10"/>
  <c r="AH719" i="10"/>
  <c r="AG719" i="10"/>
  <c r="AE719" i="10"/>
  <c r="AD719" i="10"/>
  <c r="BV718" i="10"/>
  <c r="BS718" i="10"/>
  <c r="BP718" i="10"/>
  <c r="BI718" i="10"/>
  <c r="BH718" i="10"/>
  <c r="BJ718" i="10" s="1"/>
  <c r="BF718" i="10"/>
  <c r="BE718" i="10"/>
  <c r="BC718" i="10"/>
  <c r="BB718" i="10"/>
  <c r="BA718" i="10"/>
  <c r="AX718" i="10"/>
  <c r="AU718" i="10"/>
  <c r="AH718" i="10"/>
  <c r="AG718" i="10"/>
  <c r="AE718" i="10"/>
  <c r="AD718" i="10"/>
  <c r="BV717" i="10"/>
  <c r="BS717" i="10"/>
  <c r="BP717" i="10"/>
  <c r="BI717" i="10"/>
  <c r="BH717" i="10"/>
  <c r="BJ717" i="10" s="1"/>
  <c r="BF717" i="10"/>
  <c r="BE717" i="10"/>
  <c r="BC717" i="10"/>
  <c r="BB717" i="10"/>
  <c r="BA717" i="10"/>
  <c r="AX717" i="10"/>
  <c r="AU717" i="10"/>
  <c r="AH717" i="10"/>
  <c r="AG717" i="10"/>
  <c r="AE717" i="10"/>
  <c r="AD717" i="10"/>
  <c r="BV716" i="10"/>
  <c r="BS716" i="10"/>
  <c r="BP716" i="10"/>
  <c r="BI716" i="10"/>
  <c r="BH716" i="10"/>
  <c r="BJ716" i="10" s="1"/>
  <c r="BF716" i="10"/>
  <c r="BE716" i="10"/>
  <c r="BC716" i="10"/>
  <c r="BB716" i="10"/>
  <c r="BA716" i="10"/>
  <c r="AX716" i="10"/>
  <c r="AU716" i="10"/>
  <c r="AH716" i="10"/>
  <c r="AG716" i="10"/>
  <c r="AE716" i="10"/>
  <c r="AD716" i="10"/>
  <c r="BV715" i="10"/>
  <c r="BS715" i="10"/>
  <c r="BP715" i="10"/>
  <c r="BI715" i="10"/>
  <c r="BH715" i="10"/>
  <c r="BJ715" i="10" s="1"/>
  <c r="BF715" i="10"/>
  <c r="BE715" i="10"/>
  <c r="BC715" i="10"/>
  <c r="BB715" i="10"/>
  <c r="BA715" i="10"/>
  <c r="AX715" i="10"/>
  <c r="AU715" i="10"/>
  <c r="AH715" i="10"/>
  <c r="AG715" i="10"/>
  <c r="AE715" i="10"/>
  <c r="AD715" i="10"/>
  <c r="BV714" i="10"/>
  <c r="BS714" i="10"/>
  <c r="BP714" i="10"/>
  <c r="BI714" i="10"/>
  <c r="BH714" i="10"/>
  <c r="BJ714" i="10" s="1"/>
  <c r="BF714" i="10"/>
  <c r="BE714" i="10"/>
  <c r="BC714" i="10"/>
  <c r="BB714" i="10"/>
  <c r="BA714" i="10"/>
  <c r="AX714" i="10"/>
  <c r="AU714" i="10"/>
  <c r="AH714" i="10"/>
  <c r="AG714" i="10"/>
  <c r="AE714" i="10"/>
  <c r="AD714" i="10"/>
  <c r="BV713" i="10"/>
  <c r="BS713" i="10"/>
  <c r="BP713" i="10"/>
  <c r="BI713" i="10"/>
  <c r="BH713" i="10"/>
  <c r="BJ713" i="10" s="1"/>
  <c r="BF713" i="10"/>
  <c r="BE713" i="10"/>
  <c r="BC713" i="10"/>
  <c r="BB713" i="10"/>
  <c r="BA713" i="10"/>
  <c r="AX713" i="10"/>
  <c r="AU713" i="10"/>
  <c r="AH713" i="10"/>
  <c r="AG713" i="10"/>
  <c r="AE713" i="10"/>
  <c r="AD713" i="10"/>
  <c r="BV712" i="10"/>
  <c r="BS712" i="10"/>
  <c r="BP712" i="10"/>
  <c r="BI712" i="10"/>
  <c r="BH712" i="10"/>
  <c r="BJ712" i="10" s="1"/>
  <c r="BF712" i="10"/>
  <c r="BE712" i="10"/>
  <c r="BC712" i="10"/>
  <c r="BB712" i="10"/>
  <c r="BA712" i="10"/>
  <c r="AX712" i="10"/>
  <c r="AU712" i="10"/>
  <c r="AH712" i="10"/>
  <c r="AG712" i="10"/>
  <c r="AE712" i="10"/>
  <c r="AD712" i="10"/>
  <c r="BV711" i="10"/>
  <c r="BS711" i="10"/>
  <c r="BP711" i="10"/>
  <c r="BI711" i="10"/>
  <c r="BH711" i="10"/>
  <c r="BJ711" i="10" s="1"/>
  <c r="BF711" i="10"/>
  <c r="BE711" i="10"/>
  <c r="BC711" i="10"/>
  <c r="BB711" i="10"/>
  <c r="BA711" i="10"/>
  <c r="AX711" i="10"/>
  <c r="AU711" i="10"/>
  <c r="AH711" i="10"/>
  <c r="AG711" i="10"/>
  <c r="AE711" i="10"/>
  <c r="AD711" i="10"/>
  <c r="BV710" i="10"/>
  <c r="BS710" i="10"/>
  <c r="BP710" i="10"/>
  <c r="BI710" i="10"/>
  <c r="BH710" i="10"/>
  <c r="BJ710" i="10" s="1"/>
  <c r="BF710" i="10"/>
  <c r="BE710" i="10"/>
  <c r="BC710" i="10"/>
  <c r="BB710" i="10"/>
  <c r="BA710" i="10"/>
  <c r="AX710" i="10"/>
  <c r="AU710" i="10"/>
  <c r="AH710" i="10"/>
  <c r="AG710" i="10"/>
  <c r="AE710" i="10"/>
  <c r="AD710" i="10"/>
  <c r="BV709" i="10"/>
  <c r="BS709" i="10"/>
  <c r="BP709" i="10"/>
  <c r="BI709" i="10"/>
  <c r="BH709" i="10"/>
  <c r="BJ709" i="10" s="1"/>
  <c r="BF709" i="10"/>
  <c r="BE709" i="10"/>
  <c r="BC709" i="10"/>
  <c r="BB709" i="10"/>
  <c r="BA709" i="10"/>
  <c r="AX709" i="10"/>
  <c r="AU709" i="10"/>
  <c r="AH709" i="10"/>
  <c r="AG709" i="10"/>
  <c r="AE709" i="10"/>
  <c r="AD709" i="10"/>
  <c r="BV708" i="10"/>
  <c r="BS708" i="10"/>
  <c r="BP708" i="10"/>
  <c r="BI708" i="10"/>
  <c r="BH708" i="10"/>
  <c r="BJ708" i="10" s="1"/>
  <c r="BF708" i="10"/>
  <c r="BE708" i="10"/>
  <c r="BC708" i="10"/>
  <c r="BB708" i="10"/>
  <c r="BA708" i="10"/>
  <c r="AX708" i="10"/>
  <c r="AU708" i="10"/>
  <c r="AH708" i="10"/>
  <c r="AG708" i="10"/>
  <c r="AE708" i="10"/>
  <c r="AD708" i="10"/>
  <c r="BV707" i="10"/>
  <c r="BS707" i="10"/>
  <c r="BP707" i="10"/>
  <c r="BI707" i="10"/>
  <c r="BH707" i="10"/>
  <c r="BJ707" i="10" s="1"/>
  <c r="BF707" i="10"/>
  <c r="BE707" i="10"/>
  <c r="BC707" i="10"/>
  <c r="BB707" i="10"/>
  <c r="BA707" i="10"/>
  <c r="AX707" i="10"/>
  <c r="AU707" i="10"/>
  <c r="AH707" i="10"/>
  <c r="AG707" i="10"/>
  <c r="AE707" i="10"/>
  <c r="AD707" i="10"/>
  <c r="BV706" i="10"/>
  <c r="BS706" i="10"/>
  <c r="BP706" i="10"/>
  <c r="BI706" i="10"/>
  <c r="BH706" i="10"/>
  <c r="BJ706" i="10" s="1"/>
  <c r="BF706" i="10"/>
  <c r="BE706" i="10"/>
  <c r="BC706" i="10"/>
  <c r="BB706" i="10"/>
  <c r="BA706" i="10"/>
  <c r="AX706" i="10"/>
  <c r="AU706" i="10"/>
  <c r="AH706" i="10"/>
  <c r="AG706" i="10"/>
  <c r="AE706" i="10"/>
  <c r="AD706" i="10"/>
  <c r="BV705" i="10"/>
  <c r="BS705" i="10"/>
  <c r="BP705" i="10"/>
  <c r="BI705" i="10"/>
  <c r="BH705" i="10"/>
  <c r="BJ705" i="10" s="1"/>
  <c r="BF705" i="10"/>
  <c r="BE705" i="10"/>
  <c r="BC705" i="10"/>
  <c r="BB705" i="10"/>
  <c r="BA705" i="10"/>
  <c r="AX705" i="10"/>
  <c r="AU705" i="10"/>
  <c r="AH705" i="10"/>
  <c r="AG705" i="10"/>
  <c r="AE705" i="10"/>
  <c r="AD705" i="10"/>
  <c r="BV704" i="10"/>
  <c r="BS704" i="10"/>
  <c r="BP704" i="10"/>
  <c r="BI704" i="10"/>
  <c r="BH704" i="10"/>
  <c r="BJ704" i="10" s="1"/>
  <c r="BF704" i="10"/>
  <c r="BE704" i="10"/>
  <c r="BC704" i="10"/>
  <c r="BB704" i="10"/>
  <c r="BA704" i="10"/>
  <c r="AX704" i="10"/>
  <c r="AU704" i="10"/>
  <c r="AH704" i="10"/>
  <c r="AG704" i="10"/>
  <c r="AE704" i="10"/>
  <c r="AD704" i="10"/>
  <c r="BV703" i="10"/>
  <c r="BS703" i="10"/>
  <c r="BP703" i="10"/>
  <c r="BI703" i="10"/>
  <c r="BH703" i="10"/>
  <c r="BJ703" i="10" s="1"/>
  <c r="BF703" i="10"/>
  <c r="BE703" i="10"/>
  <c r="BC703" i="10"/>
  <c r="BB703" i="10"/>
  <c r="BA703" i="10"/>
  <c r="AX703" i="10"/>
  <c r="AU703" i="10"/>
  <c r="AH703" i="10"/>
  <c r="AG703" i="10"/>
  <c r="AE703" i="10"/>
  <c r="AD703" i="10"/>
  <c r="BV702" i="10"/>
  <c r="BS702" i="10"/>
  <c r="BP702" i="10"/>
  <c r="BI702" i="10"/>
  <c r="BH702" i="10"/>
  <c r="BJ702" i="10" s="1"/>
  <c r="BF702" i="10"/>
  <c r="BE702" i="10"/>
  <c r="BC702" i="10"/>
  <c r="BB702" i="10"/>
  <c r="BA702" i="10"/>
  <c r="AX702" i="10"/>
  <c r="AU702" i="10"/>
  <c r="AH702" i="10"/>
  <c r="AG702" i="10"/>
  <c r="AE702" i="10"/>
  <c r="AD702" i="10"/>
  <c r="BV701" i="10"/>
  <c r="BS701" i="10"/>
  <c r="BP701" i="10"/>
  <c r="BI701" i="10"/>
  <c r="BH701" i="10"/>
  <c r="BJ701" i="10" s="1"/>
  <c r="BF701" i="10"/>
  <c r="BE701" i="10"/>
  <c r="BC701" i="10"/>
  <c r="BB701" i="10"/>
  <c r="BA701" i="10"/>
  <c r="AX701" i="10"/>
  <c r="AU701" i="10"/>
  <c r="AH701" i="10"/>
  <c r="AG701" i="10"/>
  <c r="AE701" i="10"/>
  <c r="AD701" i="10"/>
  <c r="BV700" i="10"/>
  <c r="BS700" i="10"/>
  <c r="BP700" i="10"/>
  <c r="BI700" i="10"/>
  <c r="BH700" i="10"/>
  <c r="BJ700" i="10" s="1"/>
  <c r="BF700" i="10"/>
  <c r="BE700" i="10"/>
  <c r="BC700" i="10"/>
  <c r="BB700" i="10"/>
  <c r="BA700" i="10"/>
  <c r="AX700" i="10"/>
  <c r="AU700" i="10"/>
  <c r="AH700" i="10"/>
  <c r="AG700" i="10"/>
  <c r="AE700" i="10"/>
  <c r="AD700" i="10"/>
  <c r="BV699" i="10"/>
  <c r="BS699" i="10"/>
  <c r="BP699" i="10"/>
  <c r="BI699" i="10"/>
  <c r="BH699" i="10"/>
  <c r="BJ699" i="10" s="1"/>
  <c r="BF699" i="10"/>
  <c r="BE699" i="10"/>
  <c r="BC699" i="10"/>
  <c r="BB699" i="10"/>
  <c r="BA699" i="10"/>
  <c r="AX699" i="10"/>
  <c r="AU699" i="10"/>
  <c r="AH699" i="10"/>
  <c r="AG699" i="10"/>
  <c r="AE699" i="10"/>
  <c r="AD699" i="10"/>
  <c r="BV698" i="10"/>
  <c r="BS698" i="10"/>
  <c r="BP698" i="10"/>
  <c r="BI698" i="10"/>
  <c r="BH698" i="10"/>
  <c r="BJ698" i="10" s="1"/>
  <c r="BF698" i="10"/>
  <c r="BE698" i="10"/>
  <c r="BC698" i="10"/>
  <c r="BB698" i="10"/>
  <c r="BA698" i="10"/>
  <c r="AX698" i="10"/>
  <c r="AU698" i="10"/>
  <c r="BV697" i="10"/>
  <c r="BS697" i="10"/>
  <c r="BP697" i="10"/>
  <c r="BI697" i="10"/>
  <c r="BH697" i="10"/>
  <c r="BF697" i="10"/>
  <c r="BE697" i="10"/>
  <c r="BC697" i="10"/>
  <c r="BB697" i="10"/>
  <c r="BA697" i="10"/>
  <c r="AX697" i="10"/>
  <c r="AU697" i="10"/>
  <c r="AH697" i="10"/>
  <c r="AG697" i="10"/>
  <c r="AE697" i="10"/>
  <c r="AD697" i="10"/>
  <c r="BV696" i="10"/>
  <c r="BS696" i="10"/>
  <c r="BP696" i="10"/>
  <c r="BI696" i="10"/>
  <c r="BH696" i="10"/>
  <c r="BF696" i="10"/>
  <c r="BE696" i="10"/>
  <c r="BC696" i="10"/>
  <c r="BB696" i="10"/>
  <c r="BA696" i="10"/>
  <c r="AX696" i="10"/>
  <c r="AU696" i="10"/>
  <c r="AH696" i="10"/>
  <c r="AG696" i="10"/>
  <c r="AE696" i="10"/>
  <c r="AD696" i="10"/>
  <c r="BV695" i="10"/>
  <c r="BS695" i="10"/>
  <c r="BP695" i="10"/>
  <c r="BI695" i="10"/>
  <c r="BH695" i="10"/>
  <c r="BF695" i="10"/>
  <c r="BE695" i="10"/>
  <c r="BC695" i="10"/>
  <c r="BB695" i="10"/>
  <c r="BA695" i="10"/>
  <c r="AX695" i="10"/>
  <c r="AU695" i="10"/>
  <c r="AH695" i="10"/>
  <c r="AG695" i="10"/>
  <c r="AE695" i="10"/>
  <c r="AD695" i="10"/>
  <c r="BV694" i="10"/>
  <c r="BS694" i="10"/>
  <c r="BP694" i="10"/>
  <c r="BI694" i="10"/>
  <c r="BH694" i="10"/>
  <c r="BF694" i="10"/>
  <c r="BE694" i="10"/>
  <c r="BC694" i="10"/>
  <c r="BB694" i="10"/>
  <c r="BA694" i="10"/>
  <c r="AX694" i="10"/>
  <c r="AU694" i="10"/>
  <c r="AH694" i="10"/>
  <c r="AG694" i="10"/>
  <c r="AE694" i="10"/>
  <c r="AD694" i="10"/>
  <c r="BV693" i="10"/>
  <c r="BS693" i="10"/>
  <c r="BP693" i="10"/>
  <c r="BI693" i="10"/>
  <c r="BH693" i="10"/>
  <c r="BF693" i="10"/>
  <c r="BE693" i="10"/>
  <c r="BC693" i="10"/>
  <c r="BB693" i="10"/>
  <c r="BA693" i="10"/>
  <c r="AX693" i="10"/>
  <c r="AU693" i="10"/>
  <c r="AH693" i="10"/>
  <c r="AG693" i="10"/>
  <c r="AE693" i="10"/>
  <c r="AD693" i="10"/>
  <c r="BV692" i="10"/>
  <c r="BS692" i="10"/>
  <c r="BP692" i="10"/>
  <c r="BI692" i="10"/>
  <c r="BH692" i="10"/>
  <c r="BF692" i="10"/>
  <c r="BE692" i="10"/>
  <c r="BC692" i="10"/>
  <c r="BB692" i="10"/>
  <c r="BA692" i="10"/>
  <c r="AX692" i="10"/>
  <c r="AU692" i="10"/>
  <c r="AH692" i="10"/>
  <c r="AG692" i="10"/>
  <c r="AE692" i="10"/>
  <c r="AD692" i="10"/>
  <c r="BV691" i="10"/>
  <c r="BS691" i="10"/>
  <c r="BP691" i="10"/>
  <c r="BI691" i="10"/>
  <c r="BH691" i="10"/>
  <c r="BF691" i="10"/>
  <c r="BE691" i="10"/>
  <c r="BC691" i="10"/>
  <c r="BB691" i="10"/>
  <c r="BA691" i="10"/>
  <c r="AX691" i="10"/>
  <c r="AU691" i="10"/>
  <c r="AH691" i="10"/>
  <c r="AG691" i="10"/>
  <c r="AE691" i="10"/>
  <c r="AD691" i="10"/>
  <c r="BV690" i="10"/>
  <c r="BS690" i="10"/>
  <c r="BP690" i="10"/>
  <c r="BI690" i="10"/>
  <c r="BH690" i="10"/>
  <c r="BF690" i="10"/>
  <c r="BE690" i="10"/>
  <c r="BC690" i="10"/>
  <c r="BB690" i="10"/>
  <c r="BA690" i="10"/>
  <c r="AX690" i="10"/>
  <c r="AU690" i="10"/>
  <c r="AH690" i="10"/>
  <c r="AG690" i="10"/>
  <c r="AE690" i="10"/>
  <c r="AD690" i="10"/>
  <c r="BV689" i="10"/>
  <c r="BS689" i="10"/>
  <c r="BP689" i="10"/>
  <c r="BI689" i="10"/>
  <c r="BH689" i="10"/>
  <c r="BF689" i="10"/>
  <c r="BE689" i="10"/>
  <c r="BC689" i="10"/>
  <c r="BB689" i="10"/>
  <c r="BA689" i="10"/>
  <c r="AX689" i="10"/>
  <c r="AU689" i="10"/>
  <c r="AH689" i="10"/>
  <c r="AG689" i="10"/>
  <c r="AE689" i="10"/>
  <c r="AD689" i="10"/>
  <c r="BV688" i="10"/>
  <c r="BS688" i="10"/>
  <c r="BP688" i="10"/>
  <c r="BI688" i="10"/>
  <c r="BH688" i="10"/>
  <c r="BF688" i="10"/>
  <c r="BE688" i="10"/>
  <c r="BC688" i="10"/>
  <c r="BB688" i="10"/>
  <c r="BA688" i="10"/>
  <c r="AX688" i="10"/>
  <c r="AU688" i="10"/>
  <c r="AH688" i="10"/>
  <c r="AG688" i="10"/>
  <c r="AE688" i="10"/>
  <c r="AD688" i="10"/>
  <c r="BV687" i="10"/>
  <c r="BS687" i="10"/>
  <c r="BP687" i="10"/>
  <c r="BI687" i="10"/>
  <c r="BH687" i="10"/>
  <c r="BF687" i="10"/>
  <c r="BE687" i="10"/>
  <c r="BC687" i="10"/>
  <c r="BB687" i="10"/>
  <c r="BA687" i="10"/>
  <c r="AX687" i="10"/>
  <c r="AU687" i="10"/>
  <c r="AH687" i="10"/>
  <c r="AG687" i="10"/>
  <c r="AE687" i="10"/>
  <c r="AD687" i="10"/>
  <c r="BV686" i="10"/>
  <c r="BS686" i="10"/>
  <c r="BP686" i="10"/>
  <c r="BI686" i="10"/>
  <c r="BH686" i="10"/>
  <c r="BF686" i="10"/>
  <c r="BE686" i="10"/>
  <c r="BC686" i="10"/>
  <c r="BB686" i="10"/>
  <c r="BA686" i="10"/>
  <c r="AX686" i="10"/>
  <c r="AU686" i="10"/>
  <c r="AH686" i="10"/>
  <c r="AG686" i="10"/>
  <c r="AE686" i="10"/>
  <c r="AD686" i="10"/>
  <c r="BV685" i="10"/>
  <c r="BS685" i="10"/>
  <c r="BP685" i="10"/>
  <c r="BI685" i="10"/>
  <c r="BH685" i="10"/>
  <c r="BF685" i="10"/>
  <c r="BE685" i="10"/>
  <c r="BC685" i="10"/>
  <c r="BB685" i="10"/>
  <c r="BA685" i="10"/>
  <c r="AX685" i="10"/>
  <c r="AU685" i="10"/>
  <c r="AH685" i="10"/>
  <c r="AG685" i="10"/>
  <c r="AE685" i="10"/>
  <c r="AD685" i="10"/>
  <c r="BV684" i="10"/>
  <c r="BS684" i="10"/>
  <c r="BP684" i="10"/>
  <c r="BI684" i="10"/>
  <c r="BH684" i="10"/>
  <c r="BF684" i="10"/>
  <c r="BE684" i="10"/>
  <c r="BC684" i="10"/>
  <c r="BB684" i="10"/>
  <c r="BA684" i="10"/>
  <c r="AX684" i="10"/>
  <c r="AU684" i="10"/>
  <c r="AH684" i="10"/>
  <c r="AG684" i="10"/>
  <c r="AE684" i="10"/>
  <c r="AD684" i="10"/>
  <c r="BV683" i="10"/>
  <c r="BS683" i="10"/>
  <c r="BP683" i="10"/>
  <c r="BI683" i="10"/>
  <c r="BH683" i="10"/>
  <c r="BF683" i="10"/>
  <c r="BE683" i="10"/>
  <c r="BC683" i="10"/>
  <c r="BB683" i="10"/>
  <c r="BA683" i="10"/>
  <c r="AX683" i="10"/>
  <c r="AU683" i="10"/>
  <c r="AH683" i="10"/>
  <c r="AG683" i="10"/>
  <c r="AE683" i="10"/>
  <c r="AD683" i="10"/>
  <c r="BV682" i="10"/>
  <c r="BS682" i="10"/>
  <c r="BP682" i="10"/>
  <c r="BI682" i="10"/>
  <c r="BH682" i="10"/>
  <c r="BF682" i="10"/>
  <c r="BE682" i="10"/>
  <c r="BC682" i="10"/>
  <c r="BB682" i="10"/>
  <c r="BA682" i="10"/>
  <c r="AX682" i="10"/>
  <c r="AU682" i="10"/>
  <c r="AH682" i="10"/>
  <c r="AG682" i="10"/>
  <c r="AE682" i="10"/>
  <c r="AD682" i="10"/>
  <c r="BV681" i="10"/>
  <c r="BS681" i="10"/>
  <c r="BP681" i="10"/>
  <c r="BI681" i="10"/>
  <c r="BH681" i="10"/>
  <c r="BF681" i="10"/>
  <c r="BE681" i="10"/>
  <c r="BC681" i="10"/>
  <c r="BB681" i="10"/>
  <c r="BA681" i="10"/>
  <c r="AX681" i="10"/>
  <c r="AU681" i="10"/>
  <c r="AH681" i="10"/>
  <c r="AG681" i="10"/>
  <c r="AE681" i="10"/>
  <c r="AD681" i="10"/>
  <c r="BV680" i="10"/>
  <c r="BS680" i="10"/>
  <c r="BP680" i="10"/>
  <c r="BI680" i="10"/>
  <c r="BH680" i="10"/>
  <c r="BF680" i="10"/>
  <c r="BE680" i="10"/>
  <c r="BC680" i="10"/>
  <c r="BB680" i="10"/>
  <c r="BA680" i="10"/>
  <c r="AX680" i="10"/>
  <c r="AU680" i="10"/>
  <c r="AH680" i="10"/>
  <c r="AG680" i="10"/>
  <c r="AE680" i="10"/>
  <c r="AD680" i="10"/>
  <c r="BV679" i="10"/>
  <c r="BS679" i="10"/>
  <c r="BP679" i="10"/>
  <c r="BI679" i="10"/>
  <c r="BH679" i="10"/>
  <c r="BF679" i="10"/>
  <c r="BE679" i="10"/>
  <c r="BC679" i="10"/>
  <c r="BB679" i="10"/>
  <c r="BA679" i="10"/>
  <c r="AX679" i="10"/>
  <c r="AU679" i="10"/>
  <c r="AH679" i="10"/>
  <c r="AG679" i="10"/>
  <c r="AE679" i="10"/>
  <c r="AD679" i="10"/>
  <c r="BV678" i="10"/>
  <c r="BS678" i="10"/>
  <c r="BP678" i="10"/>
  <c r="BI678" i="10"/>
  <c r="BH678" i="10"/>
  <c r="BF678" i="10"/>
  <c r="BE678" i="10"/>
  <c r="BC678" i="10"/>
  <c r="BB678" i="10"/>
  <c r="BA678" i="10"/>
  <c r="AX678" i="10"/>
  <c r="AU678" i="10"/>
  <c r="AH678" i="10"/>
  <c r="AG678" i="10"/>
  <c r="AE678" i="10"/>
  <c r="AD678" i="10"/>
  <c r="BV677" i="10"/>
  <c r="BS677" i="10"/>
  <c r="BP677" i="10"/>
  <c r="BI677" i="10"/>
  <c r="BH677" i="10"/>
  <c r="BF677" i="10"/>
  <c r="BE677" i="10"/>
  <c r="BC677" i="10"/>
  <c r="BB677" i="10"/>
  <c r="BA677" i="10"/>
  <c r="AX677" i="10"/>
  <c r="AU677" i="10"/>
  <c r="AH677" i="10"/>
  <c r="AG677" i="10"/>
  <c r="AE677" i="10"/>
  <c r="AD677" i="10"/>
  <c r="BV676" i="10"/>
  <c r="BS676" i="10"/>
  <c r="BP676" i="10"/>
  <c r="BI676" i="10"/>
  <c r="BH676" i="10"/>
  <c r="BF676" i="10"/>
  <c r="BE676" i="10"/>
  <c r="BC676" i="10"/>
  <c r="BB676" i="10"/>
  <c r="BA676" i="10"/>
  <c r="AX676" i="10"/>
  <c r="AU676" i="10"/>
  <c r="AH676" i="10"/>
  <c r="AG676" i="10"/>
  <c r="AE676" i="10"/>
  <c r="AD676" i="10"/>
  <c r="BV675" i="10"/>
  <c r="BS675" i="10"/>
  <c r="BP675" i="10"/>
  <c r="BI675" i="10"/>
  <c r="BH675" i="10"/>
  <c r="BF675" i="10"/>
  <c r="BE675" i="10"/>
  <c r="BC675" i="10"/>
  <c r="BB675" i="10"/>
  <c r="BA675" i="10"/>
  <c r="AX675" i="10"/>
  <c r="AU675" i="10"/>
  <c r="AH675" i="10"/>
  <c r="AG675" i="10"/>
  <c r="AE675" i="10"/>
  <c r="AD675" i="10"/>
  <c r="BV674" i="10"/>
  <c r="BS674" i="10"/>
  <c r="BP674" i="10"/>
  <c r="BI674" i="10"/>
  <c r="BH674" i="10"/>
  <c r="BF674" i="10"/>
  <c r="BE674" i="10"/>
  <c r="BC674" i="10"/>
  <c r="BB674" i="10"/>
  <c r="BA674" i="10"/>
  <c r="AX674" i="10"/>
  <c r="AU674" i="10"/>
  <c r="AH674" i="10"/>
  <c r="AG674" i="10"/>
  <c r="AE674" i="10"/>
  <c r="AD674" i="10"/>
  <c r="BV673" i="10"/>
  <c r="BS673" i="10"/>
  <c r="BP673" i="10"/>
  <c r="BI673" i="10"/>
  <c r="BH673" i="10"/>
  <c r="BF673" i="10"/>
  <c r="BE673" i="10"/>
  <c r="BC673" i="10"/>
  <c r="BB673" i="10"/>
  <c r="BA673" i="10"/>
  <c r="AX673" i="10"/>
  <c r="AU673" i="10"/>
  <c r="AH673" i="10"/>
  <c r="AG673" i="10"/>
  <c r="AE673" i="10"/>
  <c r="AD673" i="10"/>
  <c r="BV672" i="10"/>
  <c r="BS672" i="10"/>
  <c r="BP672" i="10"/>
  <c r="BI672" i="10"/>
  <c r="BH672" i="10"/>
  <c r="BF672" i="10"/>
  <c r="BE672" i="10"/>
  <c r="BC672" i="10"/>
  <c r="BB672" i="10"/>
  <c r="BA672" i="10"/>
  <c r="AX672" i="10"/>
  <c r="AU672" i="10"/>
  <c r="AH672" i="10"/>
  <c r="AG672" i="10"/>
  <c r="AE672" i="10"/>
  <c r="AD672" i="10"/>
  <c r="BV671" i="10"/>
  <c r="BS671" i="10"/>
  <c r="BP671" i="10"/>
  <c r="BI671" i="10"/>
  <c r="BH671" i="10"/>
  <c r="BF671" i="10"/>
  <c r="BE671" i="10"/>
  <c r="BC671" i="10"/>
  <c r="BB671" i="10"/>
  <c r="BA671" i="10"/>
  <c r="AX671" i="10"/>
  <c r="AU671" i="10"/>
  <c r="AH671" i="10"/>
  <c r="AG671" i="10"/>
  <c r="AE671" i="10"/>
  <c r="AD671" i="10"/>
  <c r="BV670" i="10"/>
  <c r="BS670" i="10"/>
  <c r="BP670" i="10"/>
  <c r="BI670" i="10"/>
  <c r="BH670" i="10"/>
  <c r="BF670" i="10"/>
  <c r="BE670" i="10"/>
  <c r="BC670" i="10"/>
  <c r="BB670" i="10"/>
  <c r="BA670" i="10"/>
  <c r="AX670" i="10"/>
  <c r="AU670" i="10"/>
  <c r="AH670" i="10"/>
  <c r="AG670" i="10"/>
  <c r="AE670" i="10"/>
  <c r="AD670" i="10"/>
  <c r="BV669" i="10"/>
  <c r="BS669" i="10"/>
  <c r="BP669" i="10"/>
  <c r="BI669" i="10"/>
  <c r="BH669" i="10"/>
  <c r="BF669" i="10"/>
  <c r="BE669" i="10"/>
  <c r="BC669" i="10"/>
  <c r="BB669" i="10"/>
  <c r="BA669" i="10"/>
  <c r="AX669" i="10"/>
  <c r="AU669" i="10"/>
  <c r="AH669" i="10"/>
  <c r="AG669" i="10"/>
  <c r="AE669" i="10"/>
  <c r="AD669" i="10"/>
  <c r="BV668" i="10"/>
  <c r="BS668" i="10"/>
  <c r="BP668" i="10"/>
  <c r="BI668" i="10"/>
  <c r="BH668" i="10"/>
  <c r="BF668" i="10"/>
  <c r="BE668" i="10"/>
  <c r="BC668" i="10"/>
  <c r="BB668" i="10"/>
  <c r="BA668" i="10"/>
  <c r="AX668" i="10"/>
  <c r="AU668" i="10"/>
  <c r="AH668" i="10"/>
  <c r="AG668" i="10"/>
  <c r="AE668" i="10"/>
  <c r="AD668" i="10"/>
  <c r="BV667" i="10"/>
  <c r="BS667" i="10"/>
  <c r="BP667" i="10"/>
  <c r="BI667" i="10"/>
  <c r="BH667" i="10"/>
  <c r="BF667" i="10"/>
  <c r="BE667" i="10"/>
  <c r="BC667" i="10"/>
  <c r="BB667" i="10"/>
  <c r="BA667" i="10"/>
  <c r="AX667" i="10"/>
  <c r="AU667" i="10"/>
  <c r="AH667" i="10"/>
  <c r="AG667" i="10"/>
  <c r="AE667" i="10"/>
  <c r="AD667" i="10"/>
  <c r="BV666" i="10"/>
  <c r="BS666" i="10"/>
  <c r="BP666" i="10"/>
  <c r="BI666" i="10"/>
  <c r="BH666" i="10"/>
  <c r="BF666" i="10"/>
  <c r="BE666" i="10"/>
  <c r="BC666" i="10"/>
  <c r="BB666" i="10"/>
  <c r="BA666" i="10"/>
  <c r="AX666" i="10"/>
  <c r="AU666" i="10"/>
  <c r="AH666" i="10"/>
  <c r="AG666" i="10"/>
  <c r="AE666" i="10"/>
  <c r="AD666" i="10"/>
  <c r="BV665" i="10"/>
  <c r="BS665" i="10"/>
  <c r="BP665" i="10"/>
  <c r="BI665" i="10"/>
  <c r="BH665" i="10"/>
  <c r="BF665" i="10"/>
  <c r="BE665" i="10"/>
  <c r="BC665" i="10"/>
  <c r="BB665" i="10"/>
  <c r="BA665" i="10"/>
  <c r="AX665" i="10"/>
  <c r="AU665" i="10"/>
  <c r="AH665" i="10"/>
  <c r="AG665" i="10"/>
  <c r="AE665" i="10"/>
  <c r="AD665" i="10"/>
  <c r="BV664" i="10"/>
  <c r="BS664" i="10"/>
  <c r="BP664" i="10"/>
  <c r="BI664" i="10"/>
  <c r="BH664" i="10"/>
  <c r="BF664" i="10"/>
  <c r="BE664" i="10"/>
  <c r="BC664" i="10"/>
  <c r="BB664" i="10"/>
  <c r="BA664" i="10"/>
  <c r="AX664" i="10"/>
  <c r="AU664" i="10"/>
  <c r="AH664" i="10"/>
  <c r="AG664" i="10"/>
  <c r="AE664" i="10"/>
  <c r="AD664" i="10"/>
  <c r="BV663" i="10"/>
  <c r="BS663" i="10"/>
  <c r="BP663" i="10"/>
  <c r="BI663" i="10"/>
  <c r="BH663" i="10"/>
  <c r="BF663" i="10"/>
  <c r="BE663" i="10"/>
  <c r="BC663" i="10"/>
  <c r="BB663" i="10"/>
  <c r="BA663" i="10"/>
  <c r="AX663" i="10"/>
  <c r="AU663" i="10"/>
  <c r="AH663" i="10"/>
  <c r="AG663" i="10"/>
  <c r="AE663" i="10"/>
  <c r="AD663" i="10"/>
  <c r="BV662" i="10"/>
  <c r="BS662" i="10"/>
  <c r="BP662" i="10"/>
  <c r="BI662" i="10"/>
  <c r="BH662" i="10"/>
  <c r="BF662" i="10"/>
  <c r="BE662" i="10"/>
  <c r="BC662" i="10"/>
  <c r="BB662" i="10"/>
  <c r="BA662" i="10"/>
  <c r="AX662" i="10"/>
  <c r="AU662" i="10"/>
  <c r="AH662" i="10"/>
  <c r="AG662" i="10"/>
  <c r="AE662" i="10"/>
  <c r="AD662" i="10"/>
  <c r="BV661" i="10"/>
  <c r="BS661" i="10"/>
  <c r="BP661" i="10"/>
  <c r="BI661" i="10"/>
  <c r="BH661" i="10"/>
  <c r="BF661" i="10"/>
  <c r="BE661" i="10"/>
  <c r="BC661" i="10"/>
  <c r="BB661" i="10"/>
  <c r="BA661" i="10"/>
  <c r="AX661" i="10"/>
  <c r="AU661" i="10"/>
  <c r="AH661" i="10"/>
  <c r="AG661" i="10"/>
  <c r="AE661" i="10"/>
  <c r="AD661" i="10"/>
  <c r="BV660" i="10"/>
  <c r="BS660" i="10"/>
  <c r="BP660" i="10"/>
  <c r="BI660" i="10"/>
  <c r="BH660" i="10"/>
  <c r="BF660" i="10"/>
  <c r="BE660" i="10"/>
  <c r="BC660" i="10"/>
  <c r="BB660" i="10"/>
  <c r="BA660" i="10"/>
  <c r="AX660" i="10"/>
  <c r="AU660" i="10"/>
  <c r="AH660" i="10"/>
  <c r="AG660" i="10"/>
  <c r="AE660" i="10"/>
  <c r="AD660" i="10"/>
  <c r="BV659" i="10"/>
  <c r="BS659" i="10"/>
  <c r="BP659" i="10"/>
  <c r="BI659" i="10"/>
  <c r="BH659" i="10"/>
  <c r="BF659" i="10"/>
  <c r="BE659" i="10"/>
  <c r="BC659" i="10"/>
  <c r="BB659" i="10"/>
  <c r="BA659" i="10"/>
  <c r="AX659" i="10"/>
  <c r="AU659" i="10"/>
  <c r="AH659" i="10"/>
  <c r="AG659" i="10"/>
  <c r="AE659" i="10"/>
  <c r="AD659" i="10"/>
  <c r="BV658" i="10"/>
  <c r="BS658" i="10"/>
  <c r="BP658" i="10"/>
  <c r="BI658" i="10"/>
  <c r="BH658" i="10"/>
  <c r="BF658" i="10"/>
  <c r="BE658" i="10"/>
  <c r="BC658" i="10"/>
  <c r="BB658" i="10"/>
  <c r="BA658" i="10"/>
  <c r="AX658" i="10"/>
  <c r="AU658" i="10"/>
  <c r="AH658" i="10"/>
  <c r="AG658" i="10"/>
  <c r="AE658" i="10"/>
  <c r="AD658" i="10"/>
  <c r="BV657" i="10"/>
  <c r="BS657" i="10"/>
  <c r="BP657" i="10"/>
  <c r="BI657" i="10"/>
  <c r="BH657" i="10"/>
  <c r="BF657" i="10"/>
  <c r="BE657" i="10"/>
  <c r="BC657" i="10"/>
  <c r="BB657" i="10"/>
  <c r="BA657" i="10"/>
  <c r="AX657" i="10"/>
  <c r="AU657" i="10"/>
  <c r="AH657" i="10"/>
  <c r="AG657" i="10"/>
  <c r="AE657" i="10"/>
  <c r="AD657" i="10"/>
  <c r="BV656" i="10"/>
  <c r="BS656" i="10"/>
  <c r="BP656" i="10"/>
  <c r="BI656" i="10"/>
  <c r="BH656" i="10"/>
  <c r="BF656" i="10"/>
  <c r="BE656" i="10"/>
  <c r="BC656" i="10"/>
  <c r="BB656" i="10"/>
  <c r="BA656" i="10"/>
  <c r="AX656" i="10"/>
  <c r="AU656" i="10"/>
  <c r="AH656" i="10"/>
  <c r="AG656" i="10"/>
  <c r="AE656" i="10"/>
  <c r="AD656" i="10"/>
  <c r="BV655" i="10"/>
  <c r="BS655" i="10"/>
  <c r="BP655" i="10"/>
  <c r="BI655" i="10"/>
  <c r="BH655" i="10"/>
  <c r="BF655" i="10"/>
  <c r="BE655" i="10"/>
  <c r="BC655" i="10"/>
  <c r="BB655" i="10"/>
  <c r="BA655" i="10"/>
  <c r="AX655" i="10"/>
  <c r="AU655" i="10"/>
  <c r="AH655" i="10"/>
  <c r="AG655" i="10"/>
  <c r="AE655" i="10"/>
  <c r="AD655" i="10"/>
  <c r="BV654" i="10"/>
  <c r="BS654" i="10"/>
  <c r="BP654" i="10"/>
  <c r="BI654" i="10"/>
  <c r="BH654" i="10"/>
  <c r="BF654" i="10"/>
  <c r="BE654" i="10"/>
  <c r="BC654" i="10"/>
  <c r="BB654" i="10"/>
  <c r="BA654" i="10"/>
  <c r="AX654" i="10"/>
  <c r="AU654" i="10"/>
  <c r="AH654" i="10"/>
  <c r="AG654" i="10"/>
  <c r="AE654" i="10"/>
  <c r="AD654" i="10"/>
  <c r="BV653" i="10"/>
  <c r="BS653" i="10"/>
  <c r="BP653" i="10"/>
  <c r="BI653" i="10"/>
  <c r="BH653" i="10"/>
  <c r="BF653" i="10"/>
  <c r="BE653" i="10"/>
  <c r="BC653" i="10"/>
  <c r="BB653" i="10"/>
  <c r="BA653" i="10"/>
  <c r="AX653" i="10"/>
  <c r="AU653" i="10"/>
  <c r="AH653" i="10"/>
  <c r="AG653" i="10"/>
  <c r="AE653" i="10"/>
  <c r="AD653" i="10"/>
  <c r="BV652" i="10"/>
  <c r="BS652" i="10"/>
  <c r="BP652" i="10"/>
  <c r="BI652" i="10"/>
  <c r="BH652" i="10"/>
  <c r="BF652" i="10"/>
  <c r="BE652" i="10"/>
  <c r="BC652" i="10"/>
  <c r="BB652" i="10"/>
  <c r="BA652" i="10"/>
  <c r="AX652" i="10"/>
  <c r="AU652" i="10"/>
  <c r="AH652" i="10"/>
  <c r="AG652" i="10"/>
  <c r="AE652" i="10"/>
  <c r="AD652" i="10"/>
  <c r="BV651" i="10"/>
  <c r="BS651" i="10"/>
  <c r="BP651" i="10"/>
  <c r="BI651" i="10"/>
  <c r="BH651" i="10"/>
  <c r="BF651" i="10"/>
  <c r="BE651" i="10"/>
  <c r="BC651" i="10"/>
  <c r="BB651" i="10"/>
  <c r="BA651" i="10"/>
  <c r="AX651" i="10"/>
  <c r="AU651" i="10"/>
  <c r="AH651" i="10"/>
  <c r="AG651" i="10"/>
  <c r="AE651" i="10"/>
  <c r="AD651" i="10"/>
  <c r="BV650" i="10"/>
  <c r="BS650" i="10"/>
  <c r="BP650" i="10"/>
  <c r="BI650" i="10"/>
  <c r="BH650" i="10"/>
  <c r="BF650" i="10"/>
  <c r="BE650" i="10"/>
  <c r="BC650" i="10"/>
  <c r="BB650" i="10"/>
  <c r="BA650" i="10"/>
  <c r="AX650" i="10"/>
  <c r="AU650" i="10"/>
  <c r="AH650" i="10"/>
  <c r="AG650" i="10"/>
  <c r="AE650" i="10"/>
  <c r="AD650" i="10"/>
  <c r="BV649" i="10"/>
  <c r="BS649" i="10"/>
  <c r="BP649" i="10"/>
  <c r="BI649" i="10"/>
  <c r="BH649" i="10"/>
  <c r="BF649" i="10"/>
  <c r="BE649" i="10"/>
  <c r="BC649" i="10"/>
  <c r="BB649" i="10"/>
  <c r="BA649" i="10"/>
  <c r="AX649" i="10"/>
  <c r="AU649" i="10"/>
  <c r="AH649" i="10"/>
  <c r="AG649" i="10"/>
  <c r="AE649" i="10"/>
  <c r="AD649" i="10"/>
  <c r="BV648" i="10"/>
  <c r="BS648" i="10"/>
  <c r="BP648" i="10"/>
  <c r="BI648" i="10"/>
  <c r="BH648" i="10"/>
  <c r="BF648" i="10"/>
  <c r="BE648" i="10"/>
  <c r="BC648" i="10"/>
  <c r="BB648" i="10"/>
  <c r="BA648" i="10"/>
  <c r="AX648" i="10"/>
  <c r="AU648" i="10"/>
  <c r="AH648" i="10"/>
  <c r="AG648" i="10"/>
  <c r="AE648" i="10"/>
  <c r="AD648" i="10"/>
  <c r="BV647" i="10"/>
  <c r="BS647" i="10"/>
  <c r="BP647" i="10"/>
  <c r="BI647" i="10"/>
  <c r="BH647" i="10"/>
  <c r="BF647" i="10"/>
  <c r="BE647" i="10"/>
  <c r="BC647" i="10"/>
  <c r="BB647" i="10"/>
  <c r="BA647" i="10"/>
  <c r="AX647" i="10"/>
  <c r="AU647" i="10"/>
  <c r="AH647" i="10"/>
  <c r="AG647" i="10"/>
  <c r="AE647" i="10"/>
  <c r="AD647" i="10"/>
  <c r="BV646" i="10"/>
  <c r="BS646" i="10"/>
  <c r="BP646" i="10"/>
  <c r="BI646" i="10"/>
  <c r="BH646" i="10"/>
  <c r="BF646" i="10"/>
  <c r="BE646" i="10"/>
  <c r="BC646" i="10"/>
  <c r="BB646" i="10"/>
  <c r="BA646" i="10"/>
  <c r="AX646" i="10"/>
  <c r="AU646" i="10"/>
  <c r="AH646" i="10"/>
  <c r="AG646" i="10"/>
  <c r="AE646" i="10"/>
  <c r="AD646" i="10"/>
  <c r="BV645" i="10"/>
  <c r="BS645" i="10"/>
  <c r="BP645" i="10"/>
  <c r="BI645" i="10"/>
  <c r="BH645" i="10"/>
  <c r="BF645" i="10"/>
  <c r="BE645" i="10"/>
  <c r="BC645" i="10"/>
  <c r="BB645" i="10"/>
  <c r="BA645" i="10"/>
  <c r="AX645" i="10"/>
  <c r="AU645" i="10"/>
  <c r="AH645" i="10"/>
  <c r="AG645" i="10"/>
  <c r="AE645" i="10"/>
  <c r="AD645" i="10"/>
  <c r="BV644" i="10"/>
  <c r="BS644" i="10"/>
  <c r="BP644" i="10"/>
  <c r="BI644" i="10"/>
  <c r="BH644" i="10"/>
  <c r="BF644" i="10"/>
  <c r="BE644" i="10"/>
  <c r="BC644" i="10"/>
  <c r="BB644" i="10"/>
  <c r="BA644" i="10"/>
  <c r="AX644" i="10"/>
  <c r="AU644" i="10"/>
  <c r="AH644" i="10"/>
  <c r="AG644" i="10"/>
  <c r="AE644" i="10"/>
  <c r="AD644" i="10"/>
  <c r="BV643" i="10"/>
  <c r="BS643" i="10"/>
  <c r="BP643" i="10"/>
  <c r="BI643" i="10"/>
  <c r="BH643" i="10"/>
  <c r="BF643" i="10"/>
  <c r="BE643" i="10"/>
  <c r="BC643" i="10"/>
  <c r="BB643" i="10"/>
  <c r="BA643" i="10"/>
  <c r="AX643" i="10"/>
  <c r="AU643" i="10"/>
  <c r="AH643" i="10"/>
  <c r="AG643" i="10"/>
  <c r="AE643" i="10"/>
  <c r="AD643" i="10"/>
  <c r="BV642" i="10"/>
  <c r="BS642" i="10"/>
  <c r="BP642" i="10"/>
  <c r="BI642" i="10"/>
  <c r="BH642" i="10"/>
  <c r="BF642" i="10"/>
  <c r="BE642" i="10"/>
  <c r="BC642" i="10"/>
  <c r="BB642" i="10"/>
  <c r="BA642" i="10"/>
  <c r="AX642" i="10"/>
  <c r="AU642" i="10"/>
  <c r="AH642" i="10"/>
  <c r="AG642" i="10"/>
  <c r="AE642" i="10"/>
  <c r="AD642" i="10"/>
  <c r="BV641" i="10"/>
  <c r="BS641" i="10"/>
  <c r="BP641" i="10"/>
  <c r="BI641" i="10"/>
  <c r="BH641" i="10"/>
  <c r="BF641" i="10"/>
  <c r="BE641" i="10"/>
  <c r="BC641" i="10"/>
  <c r="BB641" i="10"/>
  <c r="BA641" i="10"/>
  <c r="AX641" i="10"/>
  <c r="AU641" i="10"/>
  <c r="AH641" i="10"/>
  <c r="AG641" i="10"/>
  <c r="AE641" i="10"/>
  <c r="AD641" i="10"/>
  <c r="BV640" i="10"/>
  <c r="BS640" i="10"/>
  <c r="BP640" i="10"/>
  <c r="BI640" i="10"/>
  <c r="BH640" i="10"/>
  <c r="BF640" i="10"/>
  <c r="BE640" i="10"/>
  <c r="BC640" i="10"/>
  <c r="BB640" i="10"/>
  <c r="BA640" i="10"/>
  <c r="AX640" i="10"/>
  <c r="AU640" i="10"/>
  <c r="AH640" i="10"/>
  <c r="AG640" i="10"/>
  <c r="AE640" i="10"/>
  <c r="AD640" i="10"/>
  <c r="BV639" i="10"/>
  <c r="BS639" i="10"/>
  <c r="BP639" i="10"/>
  <c r="BI639" i="10"/>
  <c r="BH639" i="10"/>
  <c r="BF639" i="10"/>
  <c r="BE639" i="10"/>
  <c r="BC639" i="10"/>
  <c r="BB639" i="10"/>
  <c r="BA639" i="10"/>
  <c r="AX639" i="10"/>
  <c r="AU639" i="10"/>
  <c r="AH639" i="10"/>
  <c r="AG639" i="10"/>
  <c r="AE639" i="10"/>
  <c r="AD639" i="10"/>
  <c r="BV638" i="10"/>
  <c r="BS638" i="10"/>
  <c r="BP638" i="10"/>
  <c r="BI638" i="10"/>
  <c r="BH638" i="10"/>
  <c r="BF638" i="10"/>
  <c r="BE638" i="10"/>
  <c r="BC638" i="10"/>
  <c r="BB638" i="10"/>
  <c r="BA638" i="10"/>
  <c r="AX638" i="10"/>
  <c r="AU638" i="10"/>
  <c r="AH638" i="10"/>
  <c r="AG638" i="10"/>
  <c r="AE638" i="10"/>
  <c r="AD638" i="10"/>
  <c r="BV637" i="10"/>
  <c r="BS637" i="10"/>
  <c r="BP637" i="10"/>
  <c r="BI637" i="10"/>
  <c r="BH637" i="10"/>
  <c r="BF637" i="10"/>
  <c r="BE637" i="10"/>
  <c r="BC637" i="10"/>
  <c r="BB637" i="10"/>
  <c r="BA637" i="10"/>
  <c r="AX637" i="10"/>
  <c r="AU637" i="10"/>
  <c r="AH637" i="10"/>
  <c r="AG637" i="10"/>
  <c r="AE637" i="10"/>
  <c r="AD637" i="10"/>
  <c r="BV636" i="10"/>
  <c r="BS636" i="10"/>
  <c r="BP636" i="10"/>
  <c r="BI636" i="10"/>
  <c r="BH636" i="10"/>
  <c r="BF636" i="10"/>
  <c r="BE636" i="10"/>
  <c r="BC636" i="10"/>
  <c r="BB636" i="10"/>
  <c r="BA636" i="10"/>
  <c r="AX636" i="10"/>
  <c r="AU636" i="10"/>
  <c r="AH636" i="10"/>
  <c r="AG636" i="10"/>
  <c r="AE636" i="10"/>
  <c r="AD636" i="10"/>
  <c r="BV635" i="10"/>
  <c r="BS635" i="10"/>
  <c r="BP635" i="10"/>
  <c r="BI635" i="10"/>
  <c r="BH635" i="10"/>
  <c r="BF635" i="10"/>
  <c r="BE635" i="10"/>
  <c r="BC635" i="10"/>
  <c r="BB635" i="10"/>
  <c r="BA635" i="10"/>
  <c r="AX635" i="10"/>
  <c r="AU635" i="10"/>
  <c r="AH635" i="10"/>
  <c r="AG635" i="10"/>
  <c r="AE635" i="10"/>
  <c r="AD635" i="10"/>
  <c r="BV634" i="10"/>
  <c r="BS634" i="10"/>
  <c r="BP634" i="10"/>
  <c r="BI634" i="10"/>
  <c r="BH634" i="10"/>
  <c r="BF634" i="10"/>
  <c r="BE634" i="10"/>
  <c r="BC634" i="10"/>
  <c r="BB634" i="10"/>
  <c r="BA634" i="10"/>
  <c r="AX634" i="10"/>
  <c r="AU634" i="10"/>
  <c r="AH634" i="10"/>
  <c r="AG634" i="10"/>
  <c r="AE634" i="10"/>
  <c r="AD634" i="10"/>
  <c r="BV633" i="10"/>
  <c r="BS633" i="10"/>
  <c r="BP633" i="10"/>
  <c r="BI633" i="10"/>
  <c r="BH633" i="10"/>
  <c r="BF633" i="10"/>
  <c r="BE633" i="10"/>
  <c r="BC633" i="10"/>
  <c r="BB633" i="10"/>
  <c r="BA633" i="10"/>
  <c r="AX633" i="10"/>
  <c r="AU633" i="10"/>
  <c r="AH633" i="10"/>
  <c r="AG633" i="10"/>
  <c r="AE633" i="10"/>
  <c r="AD633" i="10"/>
  <c r="BV632" i="10"/>
  <c r="BS632" i="10"/>
  <c r="BP632" i="10"/>
  <c r="BI632" i="10"/>
  <c r="BH632" i="10"/>
  <c r="BF632" i="10"/>
  <c r="BE632" i="10"/>
  <c r="BC632" i="10"/>
  <c r="BB632" i="10"/>
  <c r="BA632" i="10"/>
  <c r="AX632" i="10"/>
  <c r="AU632" i="10"/>
  <c r="AH632" i="10"/>
  <c r="AG632" i="10"/>
  <c r="AE632" i="10"/>
  <c r="AD632" i="10"/>
  <c r="BV631" i="10"/>
  <c r="BS631" i="10"/>
  <c r="BP631" i="10"/>
  <c r="BI631" i="10"/>
  <c r="BH631" i="10"/>
  <c r="BF631" i="10"/>
  <c r="BE631" i="10"/>
  <c r="BC631" i="10"/>
  <c r="BB631" i="10"/>
  <c r="BA631" i="10"/>
  <c r="AX631" i="10"/>
  <c r="AU631" i="10"/>
  <c r="AH631" i="10"/>
  <c r="AG631" i="10"/>
  <c r="AE631" i="10"/>
  <c r="AD631" i="10"/>
  <c r="BV630" i="10"/>
  <c r="BS630" i="10"/>
  <c r="BP630" i="10"/>
  <c r="BI630" i="10"/>
  <c r="BH630" i="10"/>
  <c r="BF630" i="10"/>
  <c r="BE630" i="10"/>
  <c r="BC630" i="10"/>
  <c r="BB630" i="10"/>
  <c r="BA630" i="10"/>
  <c r="AX630" i="10"/>
  <c r="AU630" i="10"/>
  <c r="AH630" i="10"/>
  <c r="AG630" i="10"/>
  <c r="AE630" i="10"/>
  <c r="AD630" i="10"/>
  <c r="BV629" i="10"/>
  <c r="BS629" i="10"/>
  <c r="BP629" i="10"/>
  <c r="BI629" i="10"/>
  <c r="BH629" i="10"/>
  <c r="BF629" i="10"/>
  <c r="BE629" i="10"/>
  <c r="BC629" i="10"/>
  <c r="BB629" i="10"/>
  <c r="BA629" i="10"/>
  <c r="AX629" i="10"/>
  <c r="AU629" i="10"/>
  <c r="AH629" i="10"/>
  <c r="AG629" i="10"/>
  <c r="AE629" i="10"/>
  <c r="AD629" i="10"/>
  <c r="BV628" i="10"/>
  <c r="BS628" i="10"/>
  <c r="BP628" i="10"/>
  <c r="BI628" i="10"/>
  <c r="BH628" i="10"/>
  <c r="BF628" i="10"/>
  <c r="BE628" i="10"/>
  <c r="BC628" i="10"/>
  <c r="BB628" i="10"/>
  <c r="BA628" i="10"/>
  <c r="AX628" i="10"/>
  <c r="AU628" i="10"/>
  <c r="AH628" i="10"/>
  <c r="AG628" i="10"/>
  <c r="AE628" i="10"/>
  <c r="AD628" i="10"/>
  <c r="BV627" i="10"/>
  <c r="BS627" i="10"/>
  <c r="BP627" i="10"/>
  <c r="BI627" i="10"/>
  <c r="BH627" i="10"/>
  <c r="BF627" i="10"/>
  <c r="BE627" i="10"/>
  <c r="BC627" i="10"/>
  <c r="BB627" i="10"/>
  <c r="BA627" i="10"/>
  <c r="AX627" i="10"/>
  <c r="AU627" i="10"/>
  <c r="AH627" i="10"/>
  <c r="AG627" i="10"/>
  <c r="AE627" i="10"/>
  <c r="AD627" i="10"/>
  <c r="BV626" i="10"/>
  <c r="BS626" i="10"/>
  <c r="BP626" i="10"/>
  <c r="BI626" i="10"/>
  <c r="BH626" i="10"/>
  <c r="BF626" i="10"/>
  <c r="BE626" i="10"/>
  <c r="BC626" i="10"/>
  <c r="BB626" i="10"/>
  <c r="BA626" i="10"/>
  <c r="AX626" i="10"/>
  <c r="AU626" i="10"/>
  <c r="AH626" i="10"/>
  <c r="AG626" i="10"/>
  <c r="AE626" i="10"/>
  <c r="AD626" i="10"/>
  <c r="BV625" i="10"/>
  <c r="BS625" i="10"/>
  <c r="BP625" i="10"/>
  <c r="BI625" i="10"/>
  <c r="BH625" i="10"/>
  <c r="BF625" i="10"/>
  <c r="BE625" i="10"/>
  <c r="BC625" i="10"/>
  <c r="BB625" i="10"/>
  <c r="BA625" i="10"/>
  <c r="AX625" i="10"/>
  <c r="AU625" i="10"/>
  <c r="AH625" i="10"/>
  <c r="AG625" i="10"/>
  <c r="AE625" i="10"/>
  <c r="AD625" i="10"/>
  <c r="BV624" i="10"/>
  <c r="BS624" i="10"/>
  <c r="BP624" i="10"/>
  <c r="BI624" i="10"/>
  <c r="BH624" i="10"/>
  <c r="BF624" i="10"/>
  <c r="BE624" i="10"/>
  <c r="BC624" i="10"/>
  <c r="BB624" i="10"/>
  <c r="BA624" i="10"/>
  <c r="AX624" i="10"/>
  <c r="AU624" i="10"/>
  <c r="AH624" i="10"/>
  <c r="AG624" i="10"/>
  <c r="AE624" i="10"/>
  <c r="AD624" i="10"/>
  <c r="BV623" i="10"/>
  <c r="BS623" i="10"/>
  <c r="BP623" i="10"/>
  <c r="BI623" i="10"/>
  <c r="BH623" i="10"/>
  <c r="BF623" i="10"/>
  <c r="BE623" i="10"/>
  <c r="BC623" i="10"/>
  <c r="BB623" i="10"/>
  <c r="BA623" i="10"/>
  <c r="AX623" i="10"/>
  <c r="AU623" i="10"/>
  <c r="AH623" i="10"/>
  <c r="AG623" i="10"/>
  <c r="AE623" i="10"/>
  <c r="AD623" i="10"/>
  <c r="BV622" i="10"/>
  <c r="BS622" i="10"/>
  <c r="BP622" i="10"/>
  <c r="BI622" i="10"/>
  <c r="BH622" i="10"/>
  <c r="BF622" i="10"/>
  <c r="BE622" i="10"/>
  <c r="BC622" i="10"/>
  <c r="BB622" i="10"/>
  <c r="BA622" i="10"/>
  <c r="AX622" i="10"/>
  <c r="AU622" i="10"/>
  <c r="AH622" i="10"/>
  <c r="AG622" i="10"/>
  <c r="AE622" i="10"/>
  <c r="AD622" i="10"/>
  <c r="BV621" i="10"/>
  <c r="BS621" i="10"/>
  <c r="BP621" i="10"/>
  <c r="BI621" i="10"/>
  <c r="BH621" i="10"/>
  <c r="BF621" i="10"/>
  <c r="BE621" i="10"/>
  <c r="BC621" i="10"/>
  <c r="BB621" i="10"/>
  <c r="BA621" i="10"/>
  <c r="AX621" i="10"/>
  <c r="AU621" i="10"/>
  <c r="AH621" i="10"/>
  <c r="AG621" i="10"/>
  <c r="AE621" i="10"/>
  <c r="AD621" i="10"/>
  <c r="BV620" i="10"/>
  <c r="BS620" i="10"/>
  <c r="BP620" i="10"/>
  <c r="BI620" i="10"/>
  <c r="BH620" i="10"/>
  <c r="BF620" i="10"/>
  <c r="BE620" i="10"/>
  <c r="BC620" i="10"/>
  <c r="BB620" i="10"/>
  <c r="BA620" i="10"/>
  <c r="AX620" i="10"/>
  <c r="AU620" i="10"/>
  <c r="AH620" i="10"/>
  <c r="AG620" i="10"/>
  <c r="AE620" i="10"/>
  <c r="AD620" i="10"/>
  <c r="BV619" i="10"/>
  <c r="BS619" i="10"/>
  <c r="BP619" i="10"/>
  <c r="BI619" i="10"/>
  <c r="BH619" i="10"/>
  <c r="BF619" i="10"/>
  <c r="BE619" i="10"/>
  <c r="BC619" i="10"/>
  <c r="BB619" i="10"/>
  <c r="BA619" i="10"/>
  <c r="AX619" i="10"/>
  <c r="AU619" i="10"/>
  <c r="AH619" i="10"/>
  <c r="AG619" i="10"/>
  <c r="AE619" i="10"/>
  <c r="AD619" i="10"/>
  <c r="BV618" i="10"/>
  <c r="BS618" i="10"/>
  <c r="BP618" i="10"/>
  <c r="BI618" i="10"/>
  <c r="BH618" i="10"/>
  <c r="BF618" i="10"/>
  <c r="BE618" i="10"/>
  <c r="BC618" i="10"/>
  <c r="BB618" i="10"/>
  <c r="BA618" i="10"/>
  <c r="AX618" i="10"/>
  <c r="AU618" i="10"/>
  <c r="AH618" i="10"/>
  <c r="AG618" i="10"/>
  <c r="AE618" i="10"/>
  <c r="AD618" i="10"/>
  <c r="BV617" i="10"/>
  <c r="BS617" i="10"/>
  <c r="BP617" i="10"/>
  <c r="BI617" i="10"/>
  <c r="BH617" i="10"/>
  <c r="BF617" i="10"/>
  <c r="BE617" i="10"/>
  <c r="BC617" i="10"/>
  <c r="BB617" i="10"/>
  <c r="BA617" i="10"/>
  <c r="AX617" i="10"/>
  <c r="AU617" i="10"/>
  <c r="AH617" i="10"/>
  <c r="AG617" i="10"/>
  <c r="AE617" i="10"/>
  <c r="AD617" i="10"/>
  <c r="BV616" i="10"/>
  <c r="BS616" i="10"/>
  <c r="BP616" i="10"/>
  <c r="BI616" i="10"/>
  <c r="BH616" i="10"/>
  <c r="BF616" i="10"/>
  <c r="BE616" i="10"/>
  <c r="BC616" i="10"/>
  <c r="BB616" i="10"/>
  <c r="BA616" i="10"/>
  <c r="AX616" i="10"/>
  <c r="AU616" i="10"/>
  <c r="AH616" i="10"/>
  <c r="AG616" i="10"/>
  <c r="AE616" i="10"/>
  <c r="AD616" i="10"/>
  <c r="BV615" i="10"/>
  <c r="BS615" i="10"/>
  <c r="BP615" i="10"/>
  <c r="BI615" i="10"/>
  <c r="BH615" i="10"/>
  <c r="BF615" i="10"/>
  <c r="BE615" i="10"/>
  <c r="BC615" i="10"/>
  <c r="BB615" i="10"/>
  <c r="BA615" i="10"/>
  <c r="AX615" i="10"/>
  <c r="AU615" i="10"/>
  <c r="AH615" i="10"/>
  <c r="AG615" i="10"/>
  <c r="AE615" i="10"/>
  <c r="AD615" i="10"/>
  <c r="BV614" i="10"/>
  <c r="BS614" i="10"/>
  <c r="BP614" i="10"/>
  <c r="BI614" i="10"/>
  <c r="BH614" i="10"/>
  <c r="BF614" i="10"/>
  <c r="BE614" i="10"/>
  <c r="BC614" i="10"/>
  <c r="BB614" i="10"/>
  <c r="BA614" i="10"/>
  <c r="AX614" i="10"/>
  <c r="AU614" i="10"/>
  <c r="AH614" i="10"/>
  <c r="AG614" i="10"/>
  <c r="AE614" i="10"/>
  <c r="AD614" i="10"/>
  <c r="BV613" i="10"/>
  <c r="BS613" i="10"/>
  <c r="BP613" i="10"/>
  <c r="BI613" i="10"/>
  <c r="BH613" i="10"/>
  <c r="BF613" i="10"/>
  <c r="BE613" i="10"/>
  <c r="BC613" i="10"/>
  <c r="BB613" i="10"/>
  <c r="BA613" i="10"/>
  <c r="AX613" i="10"/>
  <c r="AU613" i="10"/>
  <c r="AH613" i="10"/>
  <c r="AG613" i="10"/>
  <c r="AE613" i="10"/>
  <c r="AD613" i="10"/>
  <c r="BV612" i="10"/>
  <c r="BS612" i="10"/>
  <c r="BP612" i="10"/>
  <c r="BI612" i="10"/>
  <c r="BH612" i="10"/>
  <c r="BF612" i="10"/>
  <c r="BE612" i="10"/>
  <c r="BC612" i="10"/>
  <c r="BB612" i="10"/>
  <c r="BA612" i="10"/>
  <c r="AX612" i="10"/>
  <c r="AU612" i="10"/>
  <c r="AH612" i="10"/>
  <c r="AG612" i="10"/>
  <c r="AE612" i="10"/>
  <c r="AD612" i="10"/>
  <c r="BV611" i="10"/>
  <c r="BS611" i="10"/>
  <c r="BP611" i="10"/>
  <c r="BI611" i="10"/>
  <c r="BH611" i="10"/>
  <c r="BF611" i="10"/>
  <c r="BE611" i="10"/>
  <c r="BC611" i="10"/>
  <c r="BB611" i="10"/>
  <c r="BA611" i="10"/>
  <c r="AX611" i="10"/>
  <c r="AU611" i="10"/>
  <c r="AH611" i="10"/>
  <c r="AG611" i="10"/>
  <c r="AE611" i="10"/>
  <c r="AD611" i="10"/>
  <c r="BV610" i="10"/>
  <c r="BS610" i="10"/>
  <c r="BP610" i="10"/>
  <c r="BI610" i="10"/>
  <c r="BH610" i="10"/>
  <c r="BF610" i="10"/>
  <c r="BE610" i="10"/>
  <c r="BC610" i="10"/>
  <c r="BB610" i="10"/>
  <c r="BA610" i="10"/>
  <c r="AX610" i="10"/>
  <c r="AU610" i="10"/>
  <c r="AH610" i="10"/>
  <c r="AG610" i="10"/>
  <c r="AE610" i="10"/>
  <c r="AD610" i="10"/>
  <c r="BV609" i="10"/>
  <c r="BS609" i="10"/>
  <c r="BP609" i="10"/>
  <c r="BI609" i="10"/>
  <c r="BH609" i="10"/>
  <c r="BF609" i="10"/>
  <c r="BE609" i="10"/>
  <c r="BC609" i="10"/>
  <c r="BB609" i="10"/>
  <c r="BA609" i="10"/>
  <c r="AX609" i="10"/>
  <c r="AU609" i="10"/>
  <c r="AH609" i="10"/>
  <c r="AG609" i="10"/>
  <c r="AE609" i="10"/>
  <c r="AD609" i="10"/>
  <c r="BV608" i="10"/>
  <c r="BS608" i="10"/>
  <c r="BP608" i="10"/>
  <c r="BI608" i="10"/>
  <c r="BH608" i="10"/>
  <c r="BF608" i="10"/>
  <c r="BE608" i="10"/>
  <c r="BC608" i="10"/>
  <c r="BB608" i="10"/>
  <c r="BA608" i="10"/>
  <c r="AX608" i="10"/>
  <c r="AU608" i="10"/>
  <c r="AH608" i="10"/>
  <c r="AG608" i="10"/>
  <c r="AE608" i="10"/>
  <c r="AD608" i="10"/>
  <c r="BV607" i="10"/>
  <c r="BS607" i="10"/>
  <c r="BP607" i="10"/>
  <c r="BI607" i="10"/>
  <c r="BH607" i="10"/>
  <c r="BF607" i="10"/>
  <c r="BE607" i="10"/>
  <c r="BC607" i="10"/>
  <c r="BB607" i="10"/>
  <c r="BA607" i="10"/>
  <c r="AX607" i="10"/>
  <c r="AU607" i="10"/>
  <c r="AH607" i="10"/>
  <c r="AG607" i="10"/>
  <c r="AE607" i="10"/>
  <c r="AD607" i="10"/>
  <c r="BV606" i="10"/>
  <c r="BS606" i="10"/>
  <c r="BP606" i="10"/>
  <c r="BI606" i="10"/>
  <c r="BH606" i="10"/>
  <c r="BF606" i="10"/>
  <c r="BE606" i="10"/>
  <c r="BC606" i="10"/>
  <c r="BB606" i="10"/>
  <c r="BA606" i="10"/>
  <c r="AX606" i="10"/>
  <c r="AU606" i="10"/>
  <c r="AH606" i="10"/>
  <c r="AG606" i="10"/>
  <c r="AE606" i="10"/>
  <c r="AD606" i="10"/>
  <c r="BV605" i="10"/>
  <c r="BS605" i="10"/>
  <c r="BP605" i="10"/>
  <c r="BI605" i="10"/>
  <c r="BH605" i="10"/>
  <c r="BF605" i="10"/>
  <c r="BE605" i="10"/>
  <c r="BC605" i="10"/>
  <c r="BB605" i="10"/>
  <c r="BA605" i="10"/>
  <c r="AX605" i="10"/>
  <c r="AU605" i="10"/>
  <c r="AH605" i="10"/>
  <c r="AG605" i="10"/>
  <c r="AE605" i="10"/>
  <c r="AD605" i="10"/>
  <c r="BV604" i="10"/>
  <c r="BS604" i="10"/>
  <c r="BP604" i="10"/>
  <c r="BI604" i="10"/>
  <c r="BH604" i="10"/>
  <c r="BF604" i="10"/>
  <c r="BE604" i="10"/>
  <c r="BC604" i="10"/>
  <c r="BB604" i="10"/>
  <c r="BA604" i="10"/>
  <c r="AX604" i="10"/>
  <c r="AU604" i="10"/>
  <c r="AH604" i="10"/>
  <c r="AG604" i="10"/>
  <c r="AE604" i="10"/>
  <c r="AD604" i="10"/>
  <c r="BV603" i="10"/>
  <c r="BS603" i="10"/>
  <c r="BP603" i="10"/>
  <c r="BI603" i="10"/>
  <c r="BH603" i="10"/>
  <c r="BF603" i="10"/>
  <c r="BE603" i="10"/>
  <c r="BC603" i="10"/>
  <c r="BB603" i="10"/>
  <c r="BA603" i="10"/>
  <c r="AX603" i="10"/>
  <c r="AU603" i="10"/>
  <c r="AH603" i="10"/>
  <c r="AG603" i="10"/>
  <c r="AE603" i="10"/>
  <c r="AD603" i="10"/>
  <c r="BV602" i="10"/>
  <c r="BS602" i="10"/>
  <c r="BP602" i="10"/>
  <c r="BI602" i="10"/>
  <c r="BH602" i="10"/>
  <c r="BF602" i="10"/>
  <c r="BE602" i="10"/>
  <c r="BC602" i="10"/>
  <c r="BB602" i="10"/>
  <c r="BA602" i="10"/>
  <c r="AX602" i="10"/>
  <c r="AU602" i="10"/>
  <c r="AH602" i="10"/>
  <c r="AG602" i="10"/>
  <c r="AE602" i="10"/>
  <c r="AD602" i="10"/>
  <c r="BV601" i="10"/>
  <c r="BS601" i="10"/>
  <c r="BP601" i="10"/>
  <c r="BI601" i="10"/>
  <c r="BH601" i="10"/>
  <c r="BF601" i="10"/>
  <c r="BE601" i="10"/>
  <c r="BC601" i="10"/>
  <c r="BB601" i="10"/>
  <c r="BA601" i="10"/>
  <c r="AX601" i="10"/>
  <c r="AU601" i="10"/>
  <c r="AH601" i="10"/>
  <c r="AG601" i="10"/>
  <c r="AE601" i="10"/>
  <c r="AD601" i="10"/>
  <c r="BV600" i="10"/>
  <c r="BS600" i="10"/>
  <c r="BP600" i="10"/>
  <c r="BI600" i="10"/>
  <c r="BH600" i="10"/>
  <c r="BF600" i="10"/>
  <c r="BE600" i="10"/>
  <c r="BC600" i="10"/>
  <c r="BB600" i="10"/>
  <c r="BA600" i="10"/>
  <c r="AX600" i="10"/>
  <c r="AU600" i="10"/>
  <c r="AP600" i="10"/>
  <c r="AH600" i="10"/>
  <c r="AG600" i="10"/>
  <c r="AE600" i="10"/>
  <c r="AD600" i="10"/>
  <c r="BV599" i="10"/>
  <c r="BS599" i="10"/>
  <c r="BP599" i="10"/>
  <c r="BI599" i="10"/>
  <c r="BH599" i="10"/>
  <c r="BF599" i="10"/>
  <c r="BE599" i="10"/>
  <c r="BC599" i="10"/>
  <c r="BB599" i="10"/>
  <c r="BA599" i="10"/>
  <c r="AX599" i="10"/>
  <c r="AU599" i="10"/>
  <c r="AP599" i="10"/>
  <c r="AH599" i="10"/>
  <c r="AG599" i="10"/>
  <c r="AE599" i="10"/>
  <c r="AD599" i="10"/>
  <c r="BV598" i="10"/>
  <c r="BS598" i="10"/>
  <c r="BP598" i="10"/>
  <c r="BI598" i="10"/>
  <c r="BH598" i="10"/>
  <c r="BF598" i="10"/>
  <c r="BE598" i="10"/>
  <c r="BC598" i="10"/>
  <c r="BB598" i="10"/>
  <c r="BA598" i="10"/>
  <c r="AX598" i="10"/>
  <c r="AU598" i="10"/>
  <c r="AP598" i="10"/>
  <c r="AH598" i="10"/>
  <c r="AG598" i="10"/>
  <c r="AE598" i="10"/>
  <c r="AD598" i="10"/>
  <c r="BV597" i="10"/>
  <c r="BS597" i="10"/>
  <c r="BP597" i="10"/>
  <c r="BI597" i="10"/>
  <c r="BH597" i="10"/>
  <c r="BF597" i="10"/>
  <c r="BE597" i="10"/>
  <c r="BC597" i="10"/>
  <c r="BB597" i="10"/>
  <c r="BA597" i="10"/>
  <c r="AX597" i="10"/>
  <c r="AU597" i="10"/>
  <c r="AP597" i="10"/>
  <c r="AH597" i="10"/>
  <c r="AG597" i="10"/>
  <c r="AE597" i="10"/>
  <c r="AD597" i="10"/>
  <c r="BV596" i="10"/>
  <c r="BS596" i="10"/>
  <c r="BP596" i="10"/>
  <c r="BI596" i="10"/>
  <c r="BH596" i="10"/>
  <c r="BJ596" i="10" s="1"/>
  <c r="BF596" i="10"/>
  <c r="BE596" i="10"/>
  <c r="BC596" i="10"/>
  <c r="BB596" i="10"/>
  <c r="BA596" i="10"/>
  <c r="AX596" i="10"/>
  <c r="AU596" i="10"/>
  <c r="AP596" i="10"/>
  <c r="AH596" i="10"/>
  <c r="AG596" i="10"/>
  <c r="AE596" i="10"/>
  <c r="AD596" i="10"/>
  <c r="BV595" i="10"/>
  <c r="BS595" i="10"/>
  <c r="BP595" i="10"/>
  <c r="BI595" i="10"/>
  <c r="BH595" i="10"/>
  <c r="BF595" i="10"/>
  <c r="BE595" i="10"/>
  <c r="BC595" i="10"/>
  <c r="BB595" i="10"/>
  <c r="BA595" i="10"/>
  <c r="AX595" i="10"/>
  <c r="AU595" i="10"/>
  <c r="AP595" i="10"/>
  <c r="AH595" i="10"/>
  <c r="AG595" i="10"/>
  <c r="AE595" i="10"/>
  <c r="AD595" i="10"/>
  <c r="BV594" i="10"/>
  <c r="BS594" i="10"/>
  <c r="BP594" i="10"/>
  <c r="BI594" i="10"/>
  <c r="BH594" i="10"/>
  <c r="BF594" i="10"/>
  <c r="BE594" i="10"/>
  <c r="BC594" i="10"/>
  <c r="BB594" i="10"/>
  <c r="BA594" i="10"/>
  <c r="AX594" i="10"/>
  <c r="AU594" i="10"/>
  <c r="AP594" i="10"/>
  <c r="AH594" i="10"/>
  <c r="AG594" i="10"/>
  <c r="AE594" i="10"/>
  <c r="AD594" i="10"/>
  <c r="BV593" i="10"/>
  <c r="BS593" i="10"/>
  <c r="BP593" i="10"/>
  <c r="BI593" i="10"/>
  <c r="BH593" i="10"/>
  <c r="BJ593" i="10" s="1"/>
  <c r="BF593" i="10"/>
  <c r="BE593" i="10"/>
  <c r="BC593" i="10"/>
  <c r="BB593" i="10"/>
  <c r="BA593" i="10"/>
  <c r="AX593" i="10"/>
  <c r="AU593" i="10"/>
  <c r="AP593" i="10"/>
  <c r="AH593" i="10"/>
  <c r="AG593" i="10"/>
  <c r="AE593" i="10"/>
  <c r="AD593" i="10"/>
  <c r="BV592" i="10"/>
  <c r="BS592" i="10"/>
  <c r="BP592" i="10"/>
  <c r="BI592" i="10"/>
  <c r="BH592" i="10"/>
  <c r="BF592" i="10"/>
  <c r="BE592" i="10"/>
  <c r="BC592" i="10"/>
  <c r="BB592" i="10"/>
  <c r="BA592" i="10"/>
  <c r="AX592" i="10"/>
  <c r="AU592" i="10"/>
  <c r="AP592" i="10"/>
  <c r="AH592" i="10"/>
  <c r="AG592" i="10"/>
  <c r="AE592" i="10"/>
  <c r="AD592" i="10"/>
  <c r="BV591" i="10"/>
  <c r="BS591" i="10"/>
  <c r="BP591" i="10"/>
  <c r="BI591" i="10"/>
  <c r="BH591" i="10"/>
  <c r="BF591" i="10"/>
  <c r="BE591" i="10"/>
  <c r="BC591" i="10"/>
  <c r="BB591" i="10"/>
  <c r="BA591" i="10"/>
  <c r="AX591" i="10"/>
  <c r="AU591" i="10"/>
  <c r="AP591" i="10"/>
  <c r="AH591" i="10"/>
  <c r="AG591" i="10"/>
  <c r="AE591" i="10"/>
  <c r="AD591" i="10"/>
  <c r="BV590" i="10"/>
  <c r="BS590" i="10"/>
  <c r="BP590" i="10"/>
  <c r="BI590" i="10"/>
  <c r="BH590" i="10"/>
  <c r="BF590" i="10"/>
  <c r="BE590" i="10"/>
  <c r="BC590" i="10"/>
  <c r="BB590" i="10"/>
  <c r="BA590" i="10"/>
  <c r="AX590" i="10"/>
  <c r="AU590" i="10"/>
  <c r="AP590" i="10"/>
  <c r="AH590" i="10"/>
  <c r="AG590" i="10"/>
  <c r="AE590" i="10"/>
  <c r="AD590" i="10"/>
  <c r="BV589" i="10"/>
  <c r="BS589" i="10"/>
  <c r="BP589" i="10"/>
  <c r="BI589" i="10"/>
  <c r="BH589" i="10"/>
  <c r="BF589" i="10"/>
  <c r="BE589" i="10"/>
  <c r="BC589" i="10"/>
  <c r="BB589" i="10"/>
  <c r="BA589" i="10"/>
  <c r="AX589" i="10"/>
  <c r="AU589" i="10"/>
  <c r="AP589" i="10"/>
  <c r="AH589" i="10"/>
  <c r="AG589" i="10"/>
  <c r="AE589" i="10"/>
  <c r="AD589" i="10"/>
  <c r="BV588" i="10"/>
  <c r="BS588" i="10"/>
  <c r="BP588" i="10"/>
  <c r="BI588" i="10"/>
  <c r="BH588" i="10"/>
  <c r="BJ588" i="10" s="1"/>
  <c r="BF588" i="10"/>
  <c r="BE588" i="10"/>
  <c r="BC588" i="10"/>
  <c r="BB588" i="10"/>
  <c r="BA588" i="10"/>
  <c r="AX588" i="10"/>
  <c r="AU588" i="10"/>
  <c r="AP588" i="10"/>
  <c r="AH588" i="10"/>
  <c r="AG588" i="10"/>
  <c r="AE588" i="10"/>
  <c r="AD588" i="10"/>
  <c r="BV587" i="10"/>
  <c r="BS587" i="10"/>
  <c r="BP587" i="10"/>
  <c r="BI587" i="10"/>
  <c r="BH587" i="10"/>
  <c r="BF587" i="10"/>
  <c r="BE587" i="10"/>
  <c r="BC587" i="10"/>
  <c r="BB587" i="10"/>
  <c r="BA587" i="10"/>
  <c r="AX587" i="10"/>
  <c r="AU587" i="10"/>
  <c r="AP587" i="10"/>
  <c r="AH587" i="10"/>
  <c r="AG587" i="10"/>
  <c r="AE587" i="10"/>
  <c r="AD587" i="10"/>
  <c r="BV586" i="10"/>
  <c r="BS586" i="10"/>
  <c r="BP586" i="10"/>
  <c r="BI586" i="10"/>
  <c r="BH586" i="10"/>
  <c r="BF586" i="10"/>
  <c r="BE586" i="10"/>
  <c r="BC586" i="10"/>
  <c r="BB586" i="10"/>
  <c r="BA586" i="10"/>
  <c r="AX586" i="10"/>
  <c r="AU586" i="10"/>
  <c r="AP586" i="10"/>
  <c r="AH586" i="10"/>
  <c r="AG586" i="10"/>
  <c r="AE586" i="10"/>
  <c r="AD586" i="10"/>
  <c r="BV585" i="10"/>
  <c r="BS585" i="10"/>
  <c r="BP585" i="10"/>
  <c r="BI585" i="10"/>
  <c r="BH585" i="10"/>
  <c r="BJ585" i="10" s="1"/>
  <c r="BF585" i="10"/>
  <c r="BE585" i="10"/>
  <c r="BC585" i="10"/>
  <c r="BB585" i="10"/>
  <c r="BA585" i="10"/>
  <c r="AX585" i="10"/>
  <c r="AU585" i="10"/>
  <c r="AP585" i="10"/>
  <c r="AH585" i="10"/>
  <c r="AG585" i="10"/>
  <c r="AE585" i="10"/>
  <c r="AD585" i="10"/>
  <c r="BV584" i="10"/>
  <c r="BS584" i="10"/>
  <c r="BP584" i="10"/>
  <c r="BI584" i="10"/>
  <c r="BH584" i="10"/>
  <c r="BF584" i="10"/>
  <c r="BE584" i="10"/>
  <c r="BC584" i="10"/>
  <c r="BB584" i="10"/>
  <c r="BA584" i="10"/>
  <c r="AX584" i="10"/>
  <c r="AU584" i="10"/>
  <c r="AP584" i="10"/>
  <c r="AH584" i="10"/>
  <c r="AG584" i="10"/>
  <c r="AE584" i="10"/>
  <c r="AD584" i="10"/>
  <c r="BV583" i="10"/>
  <c r="BS583" i="10"/>
  <c r="BP583" i="10"/>
  <c r="BI583" i="10"/>
  <c r="BH583" i="10"/>
  <c r="BF583" i="10"/>
  <c r="BE583" i="10"/>
  <c r="BC583" i="10"/>
  <c r="BB583" i="10"/>
  <c r="BA583" i="10"/>
  <c r="AX583" i="10"/>
  <c r="AU583" i="10"/>
  <c r="AP583" i="10"/>
  <c r="AH583" i="10"/>
  <c r="AG583" i="10"/>
  <c r="AE583" i="10"/>
  <c r="AD583" i="10"/>
  <c r="BV582" i="10"/>
  <c r="BS582" i="10"/>
  <c r="BP582" i="10"/>
  <c r="BI582" i="10"/>
  <c r="BH582" i="10"/>
  <c r="BF582" i="10"/>
  <c r="BE582" i="10"/>
  <c r="BC582" i="10"/>
  <c r="BB582" i="10"/>
  <c r="BA582" i="10"/>
  <c r="AX582" i="10"/>
  <c r="AU582" i="10"/>
  <c r="AP582" i="10"/>
  <c r="AH582" i="10"/>
  <c r="AG582" i="10"/>
  <c r="AE582" i="10"/>
  <c r="AD582" i="10"/>
  <c r="BV581" i="10"/>
  <c r="BS581" i="10"/>
  <c r="BP581" i="10"/>
  <c r="BI581" i="10"/>
  <c r="BH581" i="10"/>
  <c r="BF581" i="10"/>
  <c r="BE581" i="10"/>
  <c r="BC581" i="10"/>
  <c r="BB581" i="10"/>
  <c r="BA581" i="10"/>
  <c r="AX581" i="10"/>
  <c r="AU581" i="10"/>
  <c r="AP581" i="10"/>
  <c r="AH581" i="10"/>
  <c r="AG581" i="10"/>
  <c r="AE581" i="10"/>
  <c r="AD581" i="10"/>
  <c r="BV580" i="10"/>
  <c r="BS580" i="10"/>
  <c r="BP580" i="10"/>
  <c r="BI580" i="10"/>
  <c r="BH580" i="10"/>
  <c r="BJ580" i="10" s="1"/>
  <c r="BF580" i="10"/>
  <c r="BE580" i="10"/>
  <c r="BC580" i="10"/>
  <c r="BB580" i="10"/>
  <c r="BA580" i="10"/>
  <c r="AX580" i="10"/>
  <c r="AU580" i="10"/>
  <c r="AP580" i="10"/>
  <c r="AH580" i="10"/>
  <c r="AG580" i="10"/>
  <c r="AE580" i="10"/>
  <c r="AD580" i="10"/>
  <c r="BV579" i="10"/>
  <c r="BS579" i="10"/>
  <c r="BP579" i="10"/>
  <c r="BI579" i="10"/>
  <c r="BH579" i="10"/>
  <c r="BF579" i="10"/>
  <c r="BE579" i="10"/>
  <c r="BC579" i="10"/>
  <c r="BB579" i="10"/>
  <c r="BA579" i="10"/>
  <c r="AX579" i="10"/>
  <c r="AU579" i="10"/>
  <c r="AP579" i="10"/>
  <c r="AH579" i="10"/>
  <c r="AG579" i="10"/>
  <c r="AE579" i="10"/>
  <c r="AD579" i="10"/>
  <c r="BV578" i="10"/>
  <c r="BS578" i="10"/>
  <c r="BP578" i="10"/>
  <c r="BI578" i="10"/>
  <c r="BH578" i="10"/>
  <c r="BF578" i="10"/>
  <c r="BE578" i="10"/>
  <c r="BC578" i="10"/>
  <c r="BB578" i="10"/>
  <c r="BA578" i="10"/>
  <c r="AX578" i="10"/>
  <c r="AU578" i="10"/>
  <c r="AP578" i="10"/>
  <c r="AH578" i="10"/>
  <c r="AG578" i="10"/>
  <c r="AE578" i="10"/>
  <c r="AD578" i="10"/>
  <c r="BV577" i="10"/>
  <c r="BS577" i="10"/>
  <c r="BP577" i="10"/>
  <c r="BI577" i="10"/>
  <c r="BH577" i="10"/>
  <c r="BJ577" i="10" s="1"/>
  <c r="BF577" i="10"/>
  <c r="BE577" i="10"/>
  <c r="BC577" i="10"/>
  <c r="BB577" i="10"/>
  <c r="BA577" i="10"/>
  <c r="AX577" i="10"/>
  <c r="AU577" i="10"/>
  <c r="AP577" i="10"/>
  <c r="AH577" i="10"/>
  <c r="AG577" i="10"/>
  <c r="AE577" i="10"/>
  <c r="AD577" i="10"/>
  <c r="BV576" i="10"/>
  <c r="BS576" i="10"/>
  <c r="BP576" i="10"/>
  <c r="BI576" i="10"/>
  <c r="BH576" i="10"/>
  <c r="BF576" i="10"/>
  <c r="BE576" i="10"/>
  <c r="BC576" i="10"/>
  <c r="BB576" i="10"/>
  <c r="BA576" i="10"/>
  <c r="AX576" i="10"/>
  <c r="AU576" i="10"/>
  <c r="AP576" i="10"/>
  <c r="AH576" i="10"/>
  <c r="AG576" i="10"/>
  <c r="AE576" i="10"/>
  <c r="AD576" i="10"/>
  <c r="BV575" i="10"/>
  <c r="BS575" i="10"/>
  <c r="BP575" i="10"/>
  <c r="BI575" i="10"/>
  <c r="BH575" i="10"/>
  <c r="BF575" i="10"/>
  <c r="BE575" i="10"/>
  <c r="BC575" i="10"/>
  <c r="BB575" i="10"/>
  <c r="BA575" i="10"/>
  <c r="AX575" i="10"/>
  <c r="AU575" i="10"/>
  <c r="AP575" i="10"/>
  <c r="AH575" i="10"/>
  <c r="AG575" i="10"/>
  <c r="AE575" i="10"/>
  <c r="AD575" i="10"/>
  <c r="BV574" i="10"/>
  <c r="BS574" i="10"/>
  <c r="BP574" i="10"/>
  <c r="BI574" i="10"/>
  <c r="BH574" i="10"/>
  <c r="BF574" i="10"/>
  <c r="BE574" i="10"/>
  <c r="BC574" i="10"/>
  <c r="BB574" i="10"/>
  <c r="BA574" i="10"/>
  <c r="AX574" i="10"/>
  <c r="AU574" i="10"/>
  <c r="AP574" i="10"/>
  <c r="AH574" i="10"/>
  <c r="AG574" i="10"/>
  <c r="AE574" i="10"/>
  <c r="AD574" i="10"/>
  <c r="BV573" i="10"/>
  <c r="BS573" i="10"/>
  <c r="BP573" i="10"/>
  <c r="BI573" i="10"/>
  <c r="BH573" i="10"/>
  <c r="BF573" i="10"/>
  <c r="BE573" i="10"/>
  <c r="BC573" i="10"/>
  <c r="BB573" i="10"/>
  <c r="BA573" i="10"/>
  <c r="AX573" i="10"/>
  <c r="AU573" i="10"/>
  <c r="AP573" i="10"/>
  <c r="AH573" i="10"/>
  <c r="AG573" i="10"/>
  <c r="AE573" i="10"/>
  <c r="AD573" i="10"/>
  <c r="BV572" i="10"/>
  <c r="BS572" i="10"/>
  <c r="BP572" i="10"/>
  <c r="BI572" i="10"/>
  <c r="BH572" i="10"/>
  <c r="BJ572" i="10" s="1"/>
  <c r="BF572" i="10"/>
  <c r="BE572" i="10"/>
  <c r="BC572" i="10"/>
  <c r="BB572" i="10"/>
  <c r="BA572" i="10"/>
  <c r="AX572" i="10"/>
  <c r="AU572" i="10"/>
  <c r="AP572" i="10"/>
  <c r="AH572" i="10"/>
  <c r="AG572" i="10"/>
  <c r="AE572" i="10"/>
  <c r="AD572" i="10"/>
  <c r="BV571" i="10"/>
  <c r="BS571" i="10"/>
  <c r="BP571" i="10"/>
  <c r="BI571" i="10"/>
  <c r="BH571" i="10"/>
  <c r="BF571" i="10"/>
  <c r="BE571" i="10"/>
  <c r="BC571" i="10"/>
  <c r="BB571" i="10"/>
  <c r="BA571" i="10"/>
  <c r="AX571" i="10"/>
  <c r="AU571" i="10"/>
  <c r="AP571" i="10"/>
  <c r="AH571" i="10"/>
  <c r="AG571" i="10"/>
  <c r="AE571" i="10"/>
  <c r="AD571" i="10"/>
  <c r="BV570" i="10"/>
  <c r="BS570" i="10"/>
  <c r="BP570" i="10"/>
  <c r="BI570" i="10"/>
  <c r="BH570" i="10"/>
  <c r="BF570" i="10"/>
  <c r="BE570" i="10"/>
  <c r="BC570" i="10"/>
  <c r="BB570" i="10"/>
  <c r="BA570" i="10"/>
  <c r="AX570" i="10"/>
  <c r="AU570" i="10"/>
  <c r="AP570" i="10"/>
  <c r="AH570" i="10"/>
  <c r="AG570" i="10"/>
  <c r="AE570" i="10"/>
  <c r="AD570" i="10"/>
  <c r="BV569" i="10"/>
  <c r="BS569" i="10"/>
  <c r="BP569" i="10"/>
  <c r="BI569" i="10"/>
  <c r="BH569" i="10"/>
  <c r="BJ569" i="10" s="1"/>
  <c r="BF569" i="10"/>
  <c r="BE569" i="10"/>
  <c r="BC569" i="10"/>
  <c r="BB569" i="10"/>
  <c r="BA569" i="10"/>
  <c r="AX569" i="10"/>
  <c r="AU569" i="10"/>
  <c r="AP569" i="10"/>
  <c r="AH569" i="10"/>
  <c r="AG569" i="10"/>
  <c r="AE569" i="10"/>
  <c r="AD569" i="10"/>
  <c r="BV568" i="10"/>
  <c r="BS568" i="10"/>
  <c r="BP568" i="10"/>
  <c r="BI568" i="10"/>
  <c r="BH568" i="10"/>
  <c r="BF568" i="10"/>
  <c r="BE568" i="10"/>
  <c r="BC568" i="10"/>
  <c r="BB568" i="10"/>
  <c r="BA568" i="10"/>
  <c r="AX568" i="10"/>
  <c r="AU568" i="10"/>
  <c r="AP568" i="10"/>
  <c r="AH568" i="10"/>
  <c r="AG568" i="10"/>
  <c r="AE568" i="10"/>
  <c r="AD568" i="10"/>
  <c r="BV567" i="10"/>
  <c r="BS567" i="10"/>
  <c r="BP567" i="10"/>
  <c r="BI567" i="10"/>
  <c r="BH567" i="10"/>
  <c r="BF567" i="10"/>
  <c r="BE567" i="10"/>
  <c r="BC567" i="10"/>
  <c r="BB567" i="10"/>
  <c r="BA567" i="10"/>
  <c r="AX567" i="10"/>
  <c r="AU567" i="10"/>
  <c r="AP567" i="10"/>
  <c r="AH567" i="10"/>
  <c r="AG567" i="10"/>
  <c r="AE567" i="10"/>
  <c r="AD567" i="10"/>
  <c r="BV566" i="10"/>
  <c r="BS566" i="10"/>
  <c r="BP566" i="10"/>
  <c r="BI566" i="10"/>
  <c r="BH566" i="10"/>
  <c r="BF566" i="10"/>
  <c r="BE566" i="10"/>
  <c r="BC566" i="10"/>
  <c r="BB566" i="10"/>
  <c r="BA566" i="10"/>
  <c r="AX566" i="10"/>
  <c r="AU566" i="10"/>
  <c r="AP566" i="10"/>
  <c r="AH566" i="10"/>
  <c r="AG566" i="10"/>
  <c r="AE566" i="10"/>
  <c r="AD566" i="10"/>
  <c r="BV565" i="10"/>
  <c r="BS565" i="10"/>
  <c r="BP565" i="10"/>
  <c r="BI565" i="10"/>
  <c r="BH565" i="10"/>
  <c r="BF565" i="10"/>
  <c r="BE565" i="10"/>
  <c r="BC565" i="10"/>
  <c r="BB565" i="10"/>
  <c r="BA565" i="10"/>
  <c r="AX565" i="10"/>
  <c r="AU565" i="10"/>
  <c r="AP565" i="10"/>
  <c r="AH565" i="10"/>
  <c r="AG565" i="10"/>
  <c r="AE565" i="10"/>
  <c r="AD565" i="10"/>
  <c r="BV564" i="10"/>
  <c r="BS564" i="10"/>
  <c r="BP564" i="10"/>
  <c r="BI564" i="10"/>
  <c r="BH564" i="10"/>
  <c r="BJ564" i="10" s="1"/>
  <c r="BF564" i="10"/>
  <c r="BE564" i="10"/>
  <c r="BC564" i="10"/>
  <c r="BB564" i="10"/>
  <c r="BA564" i="10"/>
  <c r="AX564" i="10"/>
  <c r="AU564" i="10"/>
  <c r="AP564" i="10"/>
  <c r="AH564" i="10"/>
  <c r="AG564" i="10"/>
  <c r="AE564" i="10"/>
  <c r="AD564" i="10"/>
  <c r="BV563" i="10"/>
  <c r="BS563" i="10"/>
  <c r="BP563" i="10"/>
  <c r="BI563" i="10"/>
  <c r="BH563" i="10"/>
  <c r="BF563" i="10"/>
  <c r="BE563" i="10"/>
  <c r="BC563" i="10"/>
  <c r="BB563" i="10"/>
  <c r="BA563" i="10"/>
  <c r="AX563" i="10"/>
  <c r="AU563" i="10"/>
  <c r="AP563" i="10"/>
  <c r="AH563" i="10"/>
  <c r="AG563" i="10"/>
  <c r="AE563" i="10"/>
  <c r="AD563" i="10"/>
  <c r="BV562" i="10"/>
  <c r="BS562" i="10"/>
  <c r="BP562" i="10"/>
  <c r="BI562" i="10"/>
  <c r="BH562" i="10"/>
  <c r="BF562" i="10"/>
  <c r="BE562" i="10"/>
  <c r="BC562" i="10"/>
  <c r="BB562" i="10"/>
  <c r="BA562" i="10"/>
  <c r="AX562" i="10"/>
  <c r="AU562" i="10"/>
  <c r="AP562" i="10"/>
  <c r="AH562" i="10"/>
  <c r="AG562" i="10"/>
  <c r="AE562" i="10"/>
  <c r="AD562" i="10"/>
  <c r="BV561" i="10"/>
  <c r="BS561" i="10"/>
  <c r="BP561" i="10"/>
  <c r="BI561" i="10"/>
  <c r="BH561" i="10"/>
  <c r="BJ561" i="10" s="1"/>
  <c r="BF561" i="10"/>
  <c r="BE561" i="10"/>
  <c r="BC561" i="10"/>
  <c r="BB561" i="10"/>
  <c r="BA561" i="10"/>
  <c r="AX561" i="10"/>
  <c r="AU561" i="10"/>
  <c r="AP561" i="10"/>
  <c r="AH561" i="10"/>
  <c r="AG561" i="10"/>
  <c r="AE561" i="10"/>
  <c r="AD561" i="10"/>
  <c r="BV560" i="10"/>
  <c r="BS560" i="10"/>
  <c r="BP560" i="10"/>
  <c r="BI560" i="10"/>
  <c r="BH560" i="10"/>
  <c r="BF560" i="10"/>
  <c r="BE560" i="10"/>
  <c r="BC560" i="10"/>
  <c r="BB560" i="10"/>
  <c r="BA560" i="10"/>
  <c r="AX560" i="10"/>
  <c r="AU560" i="10"/>
  <c r="AP560" i="10"/>
  <c r="AH560" i="10"/>
  <c r="AG560" i="10"/>
  <c r="AE560" i="10"/>
  <c r="AD560" i="10"/>
  <c r="BV559" i="10"/>
  <c r="BS559" i="10"/>
  <c r="BP559" i="10"/>
  <c r="BI559" i="10"/>
  <c r="BH559" i="10"/>
  <c r="BF559" i="10"/>
  <c r="BE559" i="10"/>
  <c r="BC559" i="10"/>
  <c r="BB559" i="10"/>
  <c r="BA559" i="10"/>
  <c r="AX559" i="10"/>
  <c r="AU559" i="10"/>
  <c r="AP559" i="10"/>
  <c r="AH559" i="10"/>
  <c r="AG559" i="10"/>
  <c r="AE559" i="10"/>
  <c r="AD559" i="10"/>
  <c r="BV558" i="10"/>
  <c r="BS558" i="10"/>
  <c r="BP558" i="10"/>
  <c r="BI558" i="10"/>
  <c r="BH558" i="10"/>
  <c r="BF558" i="10"/>
  <c r="BE558" i="10"/>
  <c r="BC558" i="10"/>
  <c r="BB558" i="10"/>
  <c r="BA558" i="10"/>
  <c r="AX558" i="10"/>
  <c r="AU558" i="10"/>
  <c r="AP558" i="10"/>
  <c r="AH558" i="10"/>
  <c r="AG558" i="10"/>
  <c r="AE558" i="10"/>
  <c r="AD558" i="10"/>
  <c r="BV557" i="10"/>
  <c r="BS557" i="10"/>
  <c r="BP557" i="10"/>
  <c r="BI557" i="10"/>
  <c r="BH557" i="10"/>
  <c r="BF557" i="10"/>
  <c r="BE557" i="10"/>
  <c r="BC557" i="10"/>
  <c r="BB557" i="10"/>
  <c r="BA557" i="10"/>
  <c r="AX557" i="10"/>
  <c r="AU557" i="10"/>
  <c r="AP557" i="10"/>
  <c r="AH557" i="10"/>
  <c r="AG557" i="10"/>
  <c r="AE557" i="10"/>
  <c r="AD557" i="10"/>
  <c r="BV556" i="10"/>
  <c r="BS556" i="10"/>
  <c r="BP556" i="10"/>
  <c r="BI556" i="10"/>
  <c r="BH556" i="10"/>
  <c r="BJ556" i="10" s="1"/>
  <c r="BF556" i="10"/>
  <c r="BE556" i="10"/>
  <c r="BC556" i="10"/>
  <c r="BB556" i="10"/>
  <c r="BA556" i="10"/>
  <c r="AX556" i="10"/>
  <c r="AU556" i="10"/>
  <c r="AP556" i="10"/>
  <c r="AH556" i="10"/>
  <c r="AG556" i="10"/>
  <c r="AE556" i="10"/>
  <c r="AD556" i="10"/>
  <c r="BV555" i="10"/>
  <c r="BS555" i="10"/>
  <c r="BP555" i="10"/>
  <c r="BI555" i="10"/>
  <c r="BH555" i="10"/>
  <c r="BF555" i="10"/>
  <c r="BE555" i="10"/>
  <c r="BC555" i="10"/>
  <c r="BB555" i="10"/>
  <c r="BA555" i="10"/>
  <c r="AX555" i="10"/>
  <c r="AU555" i="10"/>
  <c r="AP555" i="10"/>
  <c r="AH555" i="10"/>
  <c r="AG555" i="10"/>
  <c r="AE555" i="10"/>
  <c r="AD555" i="10"/>
  <c r="BV554" i="10"/>
  <c r="BS554" i="10"/>
  <c r="BP554" i="10"/>
  <c r="BI554" i="10"/>
  <c r="BH554" i="10"/>
  <c r="BF554" i="10"/>
  <c r="BE554" i="10"/>
  <c r="BC554" i="10"/>
  <c r="BB554" i="10"/>
  <c r="BA554" i="10"/>
  <c r="AX554" i="10"/>
  <c r="AU554" i="10"/>
  <c r="AP554" i="10"/>
  <c r="AH554" i="10"/>
  <c r="AG554" i="10"/>
  <c r="AE554" i="10"/>
  <c r="AD554" i="10"/>
  <c r="BV553" i="10"/>
  <c r="BS553" i="10"/>
  <c r="BP553" i="10"/>
  <c r="BI553" i="10"/>
  <c r="BH553" i="10"/>
  <c r="BJ553" i="10" s="1"/>
  <c r="BF553" i="10"/>
  <c r="BE553" i="10"/>
  <c r="BC553" i="10"/>
  <c r="BB553" i="10"/>
  <c r="BA553" i="10"/>
  <c r="AX553" i="10"/>
  <c r="AU553" i="10"/>
  <c r="AP553" i="10"/>
  <c r="AH553" i="10"/>
  <c r="AG553" i="10"/>
  <c r="AE553" i="10"/>
  <c r="AD553" i="10"/>
  <c r="BV552" i="10"/>
  <c r="BS552" i="10"/>
  <c r="BP552" i="10"/>
  <c r="BI552" i="10"/>
  <c r="BH552" i="10"/>
  <c r="BF552" i="10"/>
  <c r="BE552" i="10"/>
  <c r="BC552" i="10"/>
  <c r="BB552" i="10"/>
  <c r="BA552" i="10"/>
  <c r="AX552" i="10"/>
  <c r="AU552" i="10"/>
  <c r="AP552" i="10"/>
  <c r="AH552" i="10"/>
  <c r="AG552" i="10"/>
  <c r="AE552" i="10"/>
  <c r="AD552" i="10"/>
  <c r="BV551" i="10"/>
  <c r="BS551" i="10"/>
  <c r="BP551" i="10"/>
  <c r="BI551" i="10"/>
  <c r="BH551" i="10"/>
  <c r="BF551" i="10"/>
  <c r="BE551" i="10"/>
  <c r="BC551" i="10"/>
  <c r="BB551" i="10"/>
  <c r="BA551" i="10"/>
  <c r="AX551" i="10"/>
  <c r="AU551" i="10"/>
  <c r="AP551" i="10"/>
  <c r="AH551" i="10"/>
  <c r="AG551" i="10"/>
  <c r="AE551" i="10"/>
  <c r="AD551" i="10"/>
  <c r="BV550" i="10"/>
  <c r="BS550" i="10"/>
  <c r="BP550" i="10"/>
  <c r="BI550" i="10"/>
  <c r="BH550" i="10"/>
  <c r="BF550" i="10"/>
  <c r="BE550" i="10"/>
  <c r="BC550" i="10"/>
  <c r="BB550" i="10"/>
  <c r="BA550" i="10"/>
  <c r="AX550" i="10"/>
  <c r="AU550" i="10"/>
  <c r="AP550" i="10"/>
  <c r="AH550" i="10"/>
  <c r="AG550" i="10"/>
  <c r="AE550" i="10"/>
  <c r="AD550" i="10"/>
  <c r="BV549" i="10"/>
  <c r="BS549" i="10"/>
  <c r="BP549" i="10"/>
  <c r="BI549" i="10"/>
  <c r="BH549" i="10"/>
  <c r="BF549" i="10"/>
  <c r="BE549" i="10"/>
  <c r="BC549" i="10"/>
  <c r="BB549" i="10"/>
  <c r="BA549" i="10"/>
  <c r="AX549" i="10"/>
  <c r="AU549" i="10"/>
  <c r="AP549" i="10"/>
  <c r="AH549" i="10"/>
  <c r="AG549" i="10"/>
  <c r="AE549" i="10"/>
  <c r="AD549" i="10"/>
  <c r="BV548" i="10"/>
  <c r="BS548" i="10"/>
  <c r="BP548" i="10"/>
  <c r="BI548" i="10"/>
  <c r="BH548" i="10"/>
  <c r="BJ548" i="10" s="1"/>
  <c r="BF548" i="10"/>
  <c r="BE548" i="10"/>
  <c r="BC548" i="10"/>
  <c r="BB548" i="10"/>
  <c r="BA548" i="10"/>
  <c r="AX548" i="10"/>
  <c r="AU548" i="10"/>
  <c r="AP548" i="10"/>
  <c r="AH548" i="10"/>
  <c r="AG548" i="10"/>
  <c r="AE548" i="10"/>
  <c r="AD548" i="10"/>
  <c r="BV547" i="10"/>
  <c r="BS547" i="10"/>
  <c r="BP547" i="10"/>
  <c r="BI547" i="10"/>
  <c r="BH547" i="10"/>
  <c r="BF547" i="10"/>
  <c r="BE547" i="10"/>
  <c r="BC547" i="10"/>
  <c r="BB547" i="10"/>
  <c r="BA547" i="10"/>
  <c r="AX547" i="10"/>
  <c r="AU547" i="10"/>
  <c r="AP547" i="10"/>
  <c r="AH547" i="10"/>
  <c r="AG547" i="10"/>
  <c r="AE547" i="10"/>
  <c r="AD547" i="10"/>
  <c r="BV546" i="10"/>
  <c r="BS546" i="10"/>
  <c r="BP546" i="10"/>
  <c r="BI546" i="10"/>
  <c r="BH546" i="10"/>
  <c r="BF546" i="10"/>
  <c r="BE546" i="10"/>
  <c r="BC546" i="10"/>
  <c r="BB546" i="10"/>
  <c r="BA546" i="10"/>
  <c r="AX546" i="10"/>
  <c r="AU546" i="10"/>
  <c r="AP546" i="10"/>
  <c r="AH546" i="10"/>
  <c r="AG546" i="10"/>
  <c r="AE546" i="10"/>
  <c r="AD546" i="10"/>
  <c r="BV545" i="10"/>
  <c r="BS545" i="10"/>
  <c r="BP545" i="10"/>
  <c r="BI545" i="10"/>
  <c r="BH545" i="10"/>
  <c r="BJ545" i="10" s="1"/>
  <c r="BF545" i="10"/>
  <c r="BE545" i="10"/>
  <c r="BC545" i="10"/>
  <c r="BB545" i="10"/>
  <c r="BA545" i="10"/>
  <c r="AX545" i="10"/>
  <c r="AU545" i="10"/>
  <c r="AP545" i="10"/>
  <c r="AH545" i="10"/>
  <c r="AG545" i="10"/>
  <c r="AE545" i="10"/>
  <c r="AD545" i="10"/>
  <c r="BV544" i="10"/>
  <c r="BS544" i="10"/>
  <c r="BP544" i="10"/>
  <c r="BI544" i="10"/>
  <c r="BH544" i="10"/>
  <c r="BF544" i="10"/>
  <c r="BE544" i="10"/>
  <c r="BC544" i="10"/>
  <c r="BB544" i="10"/>
  <c r="BA544" i="10"/>
  <c r="AX544" i="10"/>
  <c r="AU544" i="10"/>
  <c r="AP544" i="10"/>
  <c r="AH544" i="10"/>
  <c r="AG544" i="10"/>
  <c r="AE544" i="10"/>
  <c r="AD544" i="10"/>
  <c r="BV543" i="10"/>
  <c r="BS543" i="10"/>
  <c r="BP543" i="10"/>
  <c r="BI543" i="10"/>
  <c r="BH543" i="10"/>
  <c r="BJ543" i="10" s="1"/>
  <c r="BF543" i="10"/>
  <c r="BE543" i="10"/>
  <c r="BC543" i="10"/>
  <c r="BB543" i="10"/>
  <c r="BA543" i="10"/>
  <c r="AX543" i="10"/>
  <c r="AU543" i="10"/>
  <c r="AP543" i="10"/>
  <c r="AH543" i="10"/>
  <c r="AG543" i="10"/>
  <c r="AE543" i="10"/>
  <c r="AD543" i="10"/>
  <c r="BV542" i="10"/>
  <c r="BS542" i="10"/>
  <c r="BP542" i="10"/>
  <c r="BI542" i="10"/>
  <c r="BH542" i="10"/>
  <c r="BF542" i="10"/>
  <c r="BE542" i="10"/>
  <c r="BC542" i="10"/>
  <c r="BB542" i="10"/>
  <c r="BA542" i="10"/>
  <c r="AX542" i="10"/>
  <c r="AU542" i="10"/>
  <c r="AP542" i="10"/>
  <c r="AH542" i="10"/>
  <c r="AG542" i="10"/>
  <c r="AE542" i="10"/>
  <c r="AD542" i="10"/>
  <c r="BV541" i="10"/>
  <c r="BS541" i="10"/>
  <c r="BP541" i="10"/>
  <c r="BI541" i="10"/>
  <c r="BH541" i="10"/>
  <c r="BF541" i="10"/>
  <c r="BE541" i="10"/>
  <c r="BC541" i="10"/>
  <c r="BB541" i="10"/>
  <c r="BA541" i="10"/>
  <c r="AX541" i="10"/>
  <c r="AU541" i="10"/>
  <c r="AP541" i="10"/>
  <c r="AH541" i="10"/>
  <c r="AG541" i="10"/>
  <c r="AE541" i="10"/>
  <c r="AD541" i="10"/>
  <c r="BV540" i="10"/>
  <c r="BS540" i="10"/>
  <c r="BP540" i="10"/>
  <c r="BI540" i="10"/>
  <c r="BH540" i="10"/>
  <c r="BJ540" i="10" s="1"/>
  <c r="BF540" i="10"/>
  <c r="BE540" i="10"/>
  <c r="BC540" i="10"/>
  <c r="BB540" i="10"/>
  <c r="BA540" i="10"/>
  <c r="AX540" i="10"/>
  <c r="AU540" i="10"/>
  <c r="AP540" i="10"/>
  <c r="AH540" i="10"/>
  <c r="AG540" i="10"/>
  <c r="AE540" i="10"/>
  <c r="AD540" i="10"/>
  <c r="BV539" i="10"/>
  <c r="BS539" i="10"/>
  <c r="BP539" i="10"/>
  <c r="BI539" i="10"/>
  <c r="BH539" i="10"/>
  <c r="BF539" i="10"/>
  <c r="BE539" i="10"/>
  <c r="BC539" i="10"/>
  <c r="BB539" i="10"/>
  <c r="BA539" i="10"/>
  <c r="AX539" i="10"/>
  <c r="AU539" i="10"/>
  <c r="AP539" i="10"/>
  <c r="AH539" i="10"/>
  <c r="AG539" i="10"/>
  <c r="AE539" i="10"/>
  <c r="AD539" i="10"/>
  <c r="BV538" i="10"/>
  <c r="BS538" i="10"/>
  <c r="BP538" i="10"/>
  <c r="BI538" i="10"/>
  <c r="BH538" i="10"/>
  <c r="BF538" i="10"/>
  <c r="BE538" i="10"/>
  <c r="BC538" i="10"/>
  <c r="BB538" i="10"/>
  <c r="BA538" i="10"/>
  <c r="AX538" i="10"/>
  <c r="AU538" i="10"/>
  <c r="AP538" i="10"/>
  <c r="AH538" i="10"/>
  <c r="AG538" i="10"/>
  <c r="AE538" i="10"/>
  <c r="AD538" i="10"/>
  <c r="BV537" i="10"/>
  <c r="BS537" i="10"/>
  <c r="BP537" i="10"/>
  <c r="BI537" i="10"/>
  <c r="BH537" i="10"/>
  <c r="BJ537" i="10" s="1"/>
  <c r="BF537" i="10"/>
  <c r="BE537" i="10"/>
  <c r="BC537" i="10"/>
  <c r="BB537" i="10"/>
  <c r="BA537" i="10"/>
  <c r="AX537" i="10"/>
  <c r="AU537" i="10"/>
  <c r="AP537" i="10"/>
  <c r="AH537" i="10"/>
  <c r="AG537" i="10"/>
  <c r="AE537" i="10"/>
  <c r="AD537" i="10"/>
  <c r="BV536" i="10"/>
  <c r="BS536" i="10"/>
  <c r="BP536" i="10"/>
  <c r="BI536" i="10"/>
  <c r="BH536" i="10"/>
  <c r="BF536" i="10"/>
  <c r="BE536" i="10"/>
  <c r="BC536" i="10"/>
  <c r="BB536" i="10"/>
  <c r="BA536" i="10"/>
  <c r="AX536" i="10"/>
  <c r="AU536" i="10"/>
  <c r="AP536" i="10"/>
  <c r="AH536" i="10"/>
  <c r="AG536" i="10"/>
  <c r="AE536" i="10"/>
  <c r="AD536" i="10"/>
  <c r="BV535" i="10"/>
  <c r="BS535" i="10"/>
  <c r="BP535" i="10"/>
  <c r="BI535" i="10"/>
  <c r="BH535" i="10"/>
  <c r="BJ535" i="10" s="1"/>
  <c r="BF535" i="10"/>
  <c r="BE535" i="10"/>
  <c r="BC535" i="10"/>
  <c r="BB535" i="10"/>
  <c r="BA535" i="10"/>
  <c r="AX535" i="10"/>
  <c r="AU535" i="10"/>
  <c r="AP535" i="10"/>
  <c r="AH535" i="10"/>
  <c r="AG535" i="10"/>
  <c r="AE535" i="10"/>
  <c r="AD535" i="10"/>
  <c r="BV534" i="10"/>
  <c r="BS534" i="10"/>
  <c r="BP534" i="10"/>
  <c r="BI534" i="10"/>
  <c r="BH534" i="10"/>
  <c r="BF534" i="10"/>
  <c r="BE534" i="10"/>
  <c r="BC534" i="10"/>
  <c r="BB534" i="10"/>
  <c r="BA534" i="10"/>
  <c r="AX534" i="10"/>
  <c r="AU534" i="10"/>
  <c r="AP534" i="10"/>
  <c r="AH534" i="10"/>
  <c r="AG534" i="10"/>
  <c r="AE534" i="10"/>
  <c r="AD534" i="10"/>
  <c r="BV533" i="10"/>
  <c r="BS533" i="10"/>
  <c r="BP533" i="10"/>
  <c r="BI533" i="10"/>
  <c r="BH533" i="10"/>
  <c r="BF533" i="10"/>
  <c r="BE533" i="10"/>
  <c r="BC533" i="10"/>
  <c r="BB533" i="10"/>
  <c r="BA533" i="10"/>
  <c r="AX533" i="10"/>
  <c r="AU533" i="10"/>
  <c r="AP533" i="10"/>
  <c r="AH533" i="10"/>
  <c r="AG533" i="10"/>
  <c r="AE533" i="10"/>
  <c r="AD533" i="10"/>
  <c r="BV532" i="10"/>
  <c r="BS532" i="10"/>
  <c r="BP532" i="10"/>
  <c r="BI532" i="10"/>
  <c r="BH532" i="10"/>
  <c r="BJ532" i="10" s="1"/>
  <c r="BF532" i="10"/>
  <c r="BE532" i="10"/>
  <c r="BC532" i="10"/>
  <c r="BB532" i="10"/>
  <c r="BA532" i="10"/>
  <c r="AX532" i="10"/>
  <c r="AU532" i="10"/>
  <c r="AP532" i="10"/>
  <c r="AH532" i="10"/>
  <c r="AG532" i="10"/>
  <c r="AE532" i="10"/>
  <c r="AD532" i="10"/>
  <c r="BV531" i="10"/>
  <c r="BS531" i="10"/>
  <c r="BP531" i="10"/>
  <c r="BI531" i="10"/>
  <c r="BH531" i="10"/>
  <c r="BF531" i="10"/>
  <c r="BE531" i="10"/>
  <c r="BC531" i="10"/>
  <c r="BB531" i="10"/>
  <c r="BA531" i="10"/>
  <c r="AX531" i="10"/>
  <c r="AU531" i="10"/>
  <c r="AP531" i="10"/>
  <c r="AH531" i="10"/>
  <c r="AG531" i="10"/>
  <c r="AE531" i="10"/>
  <c r="AD531" i="10"/>
  <c r="BV530" i="10"/>
  <c r="BS530" i="10"/>
  <c r="BP530" i="10"/>
  <c r="BI530" i="10"/>
  <c r="BH530" i="10"/>
  <c r="BF530" i="10"/>
  <c r="BE530" i="10"/>
  <c r="BC530" i="10"/>
  <c r="BB530" i="10"/>
  <c r="BA530" i="10"/>
  <c r="AX530" i="10"/>
  <c r="AU530" i="10"/>
  <c r="AP530" i="10"/>
  <c r="AH530" i="10"/>
  <c r="AG530" i="10"/>
  <c r="AE530" i="10"/>
  <c r="AD530" i="10"/>
  <c r="BV529" i="10"/>
  <c r="BS529" i="10"/>
  <c r="BP529" i="10"/>
  <c r="BI529" i="10"/>
  <c r="BH529" i="10"/>
  <c r="BJ529" i="10" s="1"/>
  <c r="BF529" i="10"/>
  <c r="BE529" i="10"/>
  <c r="BC529" i="10"/>
  <c r="BB529" i="10"/>
  <c r="BA529" i="10"/>
  <c r="AX529" i="10"/>
  <c r="AU529" i="10"/>
  <c r="AP529" i="10"/>
  <c r="AH529" i="10"/>
  <c r="AG529" i="10"/>
  <c r="AE529" i="10"/>
  <c r="AD529" i="10"/>
  <c r="BV528" i="10"/>
  <c r="BS528" i="10"/>
  <c r="BP528" i="10"/>
  <c r="BI528" i="10"/>
  <c r="BH528" i="10"/>
  <c r="BF528" i="10"/>
  <c r="BE528" i="10"/>
  <c r="BC528" i="10"/>
  <c r="BB528" i="10"/>
  <c r="BA528" i="10"/>
  <c r="AX528" i="10"/>
  <c r="AU528" i="10"/>
  <c r="AP528" i="10"/>
  <c r="AH528" i="10"/>
  <c r="AG528" i="10"/>
  <c r="AE528" i="10"/>
  <c r="AD528" i="10"/>
  <c r="BV527" i="10"/>
  <c r="BS527" i="10"/>
  <c r="BP527" i="10"/>
  <c r="BI527" i="10"/>
  <c r="BH527" i="10"/>
  <c r="BJ527" i="10" s="1"/>
  <c r="BF527" i="10"/>
  <c r="BE527" i="10"/>
  <c r="BC527" i="10"/>
  <c r="BB527" i="10"/>
  <c r="BA527" i="10"/>
  <c r="AX527" i="10"/>
  <c r="AU527" i="10"/>
  <c r="AP527" i="10"/>
  <c r="AH527" i="10"/>
  <c r="AG527" i="10"/>
  <c r="AE527" i="10"/>
  <c r="AD527" i="10"/>
  <c r="BV526" i="10"/>
  <c r="BS526" i="10"/>
  <c r="BP526" i="10"/>
  <c r="BI526" i="10"/>
  <c r="BH526" i="10"/>
  <c r="BF526" i="10"/>
  <c r="BE526" i="10"/>
  <c r="BC526" i="10"/>
  <c r="BB526" i="10"/>
  <c r="BA526" i="10"/>
  <c r="AX526" i="10"/>
  <c r="AU526" i="10"/>
  <c r="AP526" i="10"/>
  <c r="AH526" i="10"/>
  <c r="AG526" i="10"/>
  <c r="AE526" i="10"/>
  <c r="AD526" i="10"/>
  <c r="BV525" i="10"/>
  <c r="BS525" i="10"/>
  <c r="BP525" i="10"/>
  <c r="BI525" i="10"/>
  <c r="BH525" i="10"/>
  <c r="BF525" i="10"/>
  <c r="BE525" i="10"/>
  <c r="BC525" i="10"/>
  <c r="BB525" i="10"/>
  <c r="BA525" i="10"/>
  <c r="AX525" i="10"/>
  <c r="AU525" i="10"/>
  <c r="AP525" i="10"/>
  <c r="AH525" i="10"/>
  <c r="AG525" i="10"/>
  <c r="AE525" i="10"/>
  <c r="AD525" i="10"/>
  <c r="BV524" i="10"/>
  <c r="BS524" i="10"/>
  <c r="BP524" i="10"/>
  <c r="BI524" i="10"/>
  <c r="BH524" i="10"/>
  <c r="BJ524" i="10" s="1"/>
  <c r="BF524" i="10"/>
  <c r="BE524" i="10"/>
  <c r="BC524" i="10"/>
  <c r="BB524" i="10"/>
  <c r="BA524" i="10"/>
  <c r="AX524" i="10"/>
  <c r="AU524" i="10"/>
  <c r="AP524" i="10"/>
  <c r="AH524" i="10"/>
  <c r="AG524" i="10"/>
  <c r="AE524" i="10"/>
  <c r="AD524" i="10"/>
  <c r="BV523" i="10"/>
  <c r="BS523" i="10"/>
  <c r="BP523" i="10"/>
  <c r="BI523" i="10"/>
  <c r="BH523" i="10"/>
  <c r="BF523" i="10"/>
  <c r="BE523" i="10"/>
  <c r="BC523" i="10"/>
  <c r="BB523" i="10"/>
  <c r="BA523" i="10"/>
  <c r="AX523" i="10"/>
  <c r="AU523" i="10"/>
  <c r="AP523" i="10"/>
  <c r="AH523" i="10"/>
  <c r="AG523" i="10"/>
  <c r="AE523" i="10"/>
  <c r="AD523" i="10"/>
  <c r="BV522" i="10"/>
  <c r="BS522" i="10"/>
  <c r="BP522" i="10"/>
  <c r="BI522" i="10"/>
  <c r="BH522" i="10"/>
  <c r="BF522" i="10"/>
  <c r="BE522" i="10"/>
  <c r="BC522" i="10"/>
  <c r="BB522" i="10"/>
  <c r="BA522" i="10"/>
  <c r="AX522" i="10"/>
  <c r="AU522" i="10"/>
  <c r="AP522" i="10"/>
  <c r="AH522" i="10"/>
  <c r="AG522" i="10"/>
  <c r="AE522" i="10"/>
  <c r="AD522" i="10"/>
  <c r="BV521" i="10"/>
  <c r="BS521" i="10"/>
  <c r="BP521" i="10"/>
  <c r="BI521" i="10"/>
  <c r="BH521" i="10"/>
  <c r="BJ521" i="10" s="1"/>
  <c r="BF521" i="10"/>
  <c r="BE521" i="10"/>
  <c r="BC521" i="10"/>
  <c r="BB521" i="10"/>
  <c r="BA521" i="10"/>
  <c r="AX521" i="10"/>
  <c r="AU521" i="10"/>
  <c r="AP521" i="10"/>
  <c r="AH521" i="10"/>
  <c r="AG521" i="10"/>
  <c r="AE521" i="10"/>
  <c r="AD521" i="10"/>
  <c r="BV520" i="10"/>
  <c r="BS520" i="10"/>
  <c r="BP520" i="10"/>
  <c r="BI520" i="10"/>
  <c r="BH520" i="10"/>
  <c r="BF520" i="10"/>
  <c r="BE520" i="10"/>
  <c r="BC520" i="10"/>
  <c r="BB520" i="10"/>
  <c r="BA520" i="10"/>
  <c r="AX520" i="10"/>
  <c r="AU520" i="10"/>
  <c r="AP520" i="10"/>
  <c r="AH520" i="10"/>
  <c r="AG520" i="10"/>
  <c r="AE520" i="10"/>
  <c r="AD520" i="10"/>
  <c r="BV519" i="10"/>
  <c r="BS519" i="10"/>
  <c r="BP519" i="10"/>
  <c r="BI519" i="10"/>
  <c r="BH519" i="10"/>
  <c r="BJ519" i="10" s="1"/>
  <c r="BF519" i="10"/>
  <c r="BE519" i="10"/>
  <c r="BC519" i="10"/>
  <c r="BB519" i="10"/>
  <c r="BA519" i="10"/>
  <c r="AX519" i="10"/>
  <c r="AU519" i="10"/>
  <c r="AP519" i="10"/>
  <c r="AH519" i="10"/>
  <c r="AG519" i="10"/>
  <c r="AE519" i="10"/>
  <c r="AD519" i="10"/>
  <c r="BV518" i="10"/>
  <c r="BS518" i="10"/>
  <c r="BP518" i="10"/>
  <c r="BI518" i="10"/>
  <c r="BH518" i="10"/>
  <c r="BF518" i="10"/>
  <c r="BE518" i="10"/>
  <c r="BC518" i="10"/>
  <c r="BB518" i="10"/>
  <c r="BA518" i="10"/>
  <c r="AX518" i="10"/>
  <c r="AU518" i="10"/>
  <c r="AP518" i="10"/>
  <c r="AH518" i="10"/>
  <c r="AG518" i="10"/>
  <c r="AE518" i="10"/>
  <c r="AD518" i="10"/>
  <c r="BV517" i="10"/>
  <c r="BS517" i="10"/>
  <c r="BP517" i="10"/>
  <c r="BI517" i="10"/>
  <c r="BH517" i="10"/>
  <c r="BF517" i="10"/>
  <c r="BE517" i="10"/>
  <c r="BC517" i="10"/>
  <c r="BB517" i="10"/>
  <c r="BA517" i="10"/>
  <c r="AX517" i="10"/>
  <c r="AU517" i="10"/>
  <c r="AP517" i="10"/>
  <c r="AH517" i="10"/>
  <c r="AG517" i="10"/>
  <c r="AE517" i="10"/>
  <c r="AD517" i="10"/>
  <c r="BV516" i="10"/>
  <c r="BS516" i="10"/>
  <c r="BP516" i="10"/>
  <c r="BI516" i="10"/>
  <c r="BH516" i="10"/>
  <c r="BJ516" i="10" s="1"/>
  <c r="BF516" i="10"/>
  <c r="BE516" i="10"/>
  <c r="BC516" i="10"/>
  <c r="BB516" i="10"/>
  <c r="BA516" i="10"/>
  <c r="AX516" i="10"/>
  <c r="AU516" i="10"/>
  <c r="AP516" i="10"/>
  <c r="AH516" i="10"/>
  <c r="AG516" i="10"/>
  <c r="AE516" i="10"/>
  <c r="AD516" i="10"/>
  <c r="BV515" i="10"/>
  <c r="BS515" i="10"/>
  <c r="BP515" i="10"/>
  <c r="BI515" i="10"/>
  <c r="BH515" i="10"/>
  <c r="BF515" i="10"/>
  <c r="BE515" i="10"/>
  <c r="BC515" i="10"/>
  <c r="BB515" i="10"/>
  <c r="BA515" i="10"/>
  <c r="AX515" i="10"/>
  <c r="AU515" i="10"/>
  <c r="AP515" i="10"/>
  <c r="AH515" i="10"/>
  <c r="AG515" i="10"/>
  <c r="AE515" i="10"/>
  <c r="AD515" i="10"/>
  <c r="BV514" i="10"/>
  <c r="BS514" i="10"/>
  <c r="BP514" i="10"/>
  <c r="BI514" i="10"/>
  <c r="BH514" i="10"/>
  <c r="BF514" i="10"/>
  <c r="BE514" i="10"/>
  <c r="BC514" i="10"/>
  <c r="BB514" i="10"/>
  <c r="BA514" i="10"/>
  <c r="AX514" i="10"/>
  <c r="AU514" i="10"/>
  <c r="AP514" i="10"/>
  <c r="AH514" i="10"/>
  <c r="AG514" i="10"/>
  <c r="AE514" i="10"/>
  <c r="AD514" i="10"/>
  <c r="BV513" i="10"/>
  <c r="BS513" i="10"/>
  <c r="BP513" i="10"/>
  <c r="BI513" i="10"/>
  <c r="BH513" i="10"/>
  <c r="BJ513" i="10" s="1"/>
  <c r="BF513" i="10"/>
  <c r="BE513" i="10"/>
  <c r="BC513" i="10"/>
  <c r="BB513" i="10"/>
  <c r="BA513" i="10"/>
  <c r="AX513" i="10"/>
  <c r="AU513" i="10"/>
  <c r="AP513" i="10"/>
  <c r="AH513" i="10"/>
  <c r="AG513" i="10"/>
  <c r="AE513" i="10"/>
  <c r="AD513" i="10"/>
  <c r="BV512" i="10"/>
  <c r="BS512" i="10"/>
  <c r="BP512" i="10"/>
  <c r="BI512" i="10"/>
  <c r="BH512" i="10"/>
  <c r="BF512" i="10"/>
  <c r="BE512" i="10"/>
  <c r="BC512" i="10"/>
  <c r="BB512" i="10"/>
  <c r="BA512" i="10"/>
  <c r="AX512" i="10"/>
  <c r="AU512" i="10"/>
  <c r="AP512" i="10"/>
  <c r="AH512" i="10"/>
  <c r="AG512" i="10"/>
  <c r="AE512" i="10"/>
  <c r="AD512" i="10"/>
  <c r="BV511" i="10"/>
  <c r="BS511" i="10"/>
  <c r="BP511" i="10"/>
  <c r="BI511" i="10"/>
  <c r="BH511" i="10"/>
  <c r="BJ511" i="10" s="1"/>
  <c r="BF511" i="10"/>
  <c r="BE511" i="10"/>
  <c r="BC511" i="10"/>
  <c r="BB511" i="10"/>
  <c r="BA511" i="10"/>
  <c r="AX511" i="10"/>
  <c r="AU511" i="10"/>
  <c r="AP511" i="10"/>
  <c r="AH511" i="10"/>
  <c r="AG511" i="10"/>
  <c r="AE511" i="10"/>
  <c r="AD511" i="10"/>
  <c r="BV510" i="10"/>
  <c r="BS510" i="10"/>
  <c r="BP510" i="10"/>
  <c r="BI510" i="10"/>
  <c r="BH510" i="10"/>
  <c r="BF510" i="10"/>
  <c r="BE510" i="10"/>
  <c r="BC510" i="10"/>
  <c r="BB510" i="10"/>
  <c r="BA510" i="10"/>
  <c r="AX510" i="10"/>
  <c r="AU510" i="10"/>
  <c r="AP510" i="10"/>
  <c r="AH510" i="10"/>
  <c r="AG510" i="10"/>
  <c r="AE510" i="10"/>
  <c r="AD510" i="10"/>
  <c r="BV509" i="10"/>
  <c r="BS509" i="10"/>
  <c r="BP509" i="10"/>
  <c r="BI509" i="10"/>
  <c r="BH509" i="10"/>
  <c r="BF509" i="10"/>
  <c r="BE509" i="10"/>
  <c r="BC509" i="10"/>
  <c r="BB509" i="10"/>
  <c r="BA509" i="10"/>
  <c r="AX509" i="10"/>
  <c r="AU509" i="10"/>
  <c r="AP509" i="10"/>
  <c r="AH509" i="10"/>
  <c r="AG509" i="10"/>
  <c r="AE509" i="10"/>
  <c r="AD509" i="10"/>
  <c r="BV508" i="10"/>
  <c r="BS508" i="10"/>
  <c r="BP508" i="10"/>
  <c r="BI508" i="10"/>
  <c r="BH508" i="10"/>
  <c r="BJ508" i="10" s="1"/>
  <c r="BF508" i="10"/>
  <c r="BE508" i="10"/>
  <c r="BC508" i="10"/>
  <c r="BB508" i="10"/>
  <c r="BA508" i="10"/>
  <c r="AX508" i="10"/>
  <c r="AU508" i="10"/>
  <c r="AP508" i="10"/>
  <c r="AH508" i="10"/>
  <c r="AG508" i="10"/>
  <c r="AE508" i="10"/>
  <c r="AD508" i="10"/>
  <c r="O508" i="10"/>
  <c r="Q508" i="10" s="1"/>
  <c r="BV507" i="10"/>
  <c r="BS507" i="10"/>
  <c r="BP507" i="10"/>
  <c r="BI507" i="10"/>
  <c r="BH507" i="10"/>
  <c r="BF507" i="10"/>
  <c r="BE507" i="10"/>
  <c r="BC507" i="10"/>
  <c r="BB507" i="10"/>
  <c r="BA507" i="10"/>
  <c r="AX507" i="10"/>
  <c r="AU507" i="10"/>
  <c r="AP507" i="10"/>
  <c r="AH507" i="10"/>
  <c r="AG507" i="10"/>
  <c r="AE507" i="10"/>
  <c r="AD507" i="10"/>
  <c r="O507" i="10"/>
  <c r="Q507" i="10" s="1"/>
  <c r="BV506" i="10"/>
  <c r="BS506" i="10"/>
  <c r="BP506" i="10"/>
  <c r="BI506" i="10"/>
  <c r="BH506" i="10"/>
  <c r="BF506" i="10"/>
  <c r="BE506" i="10"/>
  <c r="BC506" i="10"/>
  <c r="BB506" i="10"/>
  <c r="BA506" i="10"/>
  <c r="AX506" i="10"/>
  <c r="AU506" i="10"/>
  <c r="AP506" i="10"/>
  <c r="AH506" i="10"/>
  <c r="AG506" i="10"/>
  <c r="AE506" i="10"/>
  <c r="AD506" i="10"/>
  <c r="O506" i="10"/>
  <c r="BV505" i="10"/>
  <c r="BS505" i="10"/>
  <c r="BP505" i="10"/>
  <c r="BI505" i="10"/>
  <c r="BH505" i="10"/>
  <c r="BF505" i="10"/>
  <c r="BE505" i="10"/>
  <c r="BC505" i="10"/>
  <c r="BB505" i="10"/>
  <c r="BA505" i="10"/>
  <c r="AX505" i="10"/>
  <c r="AU505" i="10"/>
  <c r="AP505" i="10"/>
  <c r="AH505" i="10"/>
  <c r="AG505" i="10"/>
  <c r="AE505" i="10"/>
  <c r="AD505" i="10"/>
  <c r="O505" i="10"/>
  <c r="BV504" i="10"/>
  <c r="BS504" i="10"/>
  <c r="BP504" i="10"/>
  <c r="BI504" i="10"/>
  <c r="BH504" i="10"/>
  <c r="BJ504" i="10" s="1"/>
  <c r="BF504" i="10"/>
  <c r="BE504" i="10"/>
  <c r="BC504" i="10"/>
  <c r="BB504" i="10"/>
  <c r="BA504" i="10"/>
  <c r="AX504" i="10"/>
  <c r="AU504" i="10"/>
  <c r="AP504" i="10"/>
  <c r="AH504" i="10"/>
  <c r="AG504" i="10"/>
  <c r="AE504" i="10"/>
  <c r="AD504" i="10"/>
  <c r="O504" i="10"/>
  <c r="BV503" i="10"/>
  <c r="BS503" i="10"/>
  <c r="BP503" i="10"/>
  <c r="BI503" i="10"/>
  <c r="BH503" i="10"/>
  <c r="BF503" i="10"/>
  <c r="BE503" i="10"/>
  <c r="BC503" i="10"/>
  <c r="BB503" i="10"/>
  <c r="BA503" i="10"/>
  <c r="AX503" i="10"/>
  <c r="AU503" i="10"/>
  <c r="AP503" i="10"/>
  <c r="AH503" i="10"/>
  <c r="AG503" i="10"/>
  <c r="AE503" i="10"/>
  <c r="AD503" i="10"/>
  <c r="O503" i="10"/>
  <c r="BV502" i="10"/>
  <c r="BS502" i="10"/>
  <c r="BP502" i="10"/>
  <c r="BI502" i="10"/>
  <c r="BH502" i="10"/>
  <c r="BF502" i="10"/>
  <c r="BE502" i="10"/>
  <c r="BC502" i="10"/>
  <c r="BB502" i="10"/>
  <c r="BA502" i="10"/>
  <c r="AX502" i="10"/>
  <c r="AU502" i="10"/>
  <c r="AP502" i="10"/>
  <c r="AH502" i="10"/>
  <c r="AG502" i="10"/>
  <c r="AE502" i="10"/>
  <c r="AD502" i="10"/>
  <c r="O502" i="10"/>
  <c r="BV501" i="10"/>
  <c r="BS501" i="10"/>
  <c r="BP501" i="10"/>
  <c r="BI501" i="10"/>
  <c r="BH501" i="10"/>
  <c r="BF501" i="10"/>
  <c r="BE501" i="10"/>
  <c r="BC501" i="10"/>
  <c r="BB501" i="10"/>
  <c r="BA501" i="10"/>
  <c r="AX501" i="10"/>
  <c r="AU501" i="10"/>
  <c r="AP501" i="10"/>
  <c r="AH501" i="10"/>
  <c r="AG501" i="10"/>
  <c r="AE501" i="10"/>
  <c r="AD501" i="10"/>
  <c r="O501" i="10"/>
  <c r="BV500" i="10"/>
  <c r="BS500" i="10"/>
  <c r="BP500" i="10"/>
  <c r="BI500" i="10"/>
  <c r="BH500" i="10"/>
  <c r="BJ500" i="10" s="1"/>
  <c r="BF500" i="10"/>
  <c r="BE500" i="10"/>
  <c r="BC500" i="10"/>
  <c r="BB500" i="10"/>
  <c r="BA500" i="10"/>
  <c r="AX500" i="10"/>
  <c r="AU500" i="10"/>
  <c r="AP500" i="10"/>
  <c r="AH500" i="10"/>
  <c r="AG500" i="10"/>
  <c r="AE500" i="10"/>
  <c r="AD500" i="10"/>
  <c r="O500" i="10"/>
  <c r="Q500" i="10" s="1"/>
  <c r="BV499" i="10"/>
  <c r="BS499" i="10"/>
  <c r="BP499" i="10"/>
  <c r="BI499" i="10"/>
  <c r="BH499" i="10"/>
  <c r="BF499" i="10"/>
  <c r="BE499" i="10"/>
  <c r="BC499" i="10"/>
  <c r="BB499" i="10"/>
  <c r="BA499" i="10"/>
  <c r="AX499" i="10"/>
  <c r="AU499" i="10"/>
  <c r="AP499" i="10"/>
  <c r="AH499" i="10"/>
  <c r="AG499" i="10"/>
  <c r="AE499" i="10"/>
  <c r="AD499" i="10"/>
  <c r="O499" i="10"/>
  <c r="Q499" i="10" s="1"/>
  <c r="BV498" i="10"/>
  <c r="BS498" i="10"/>
  <c r="BP498" i="10"/>
  <c r="BI498" i="10"/>
  <c r="BH498" i="10"/>
  <c r="BF498" i="10"/>
  <c r="BE498" i="10"/>
  <c r="BC498" i="10"/>
  <c r="BB498" i="10"/>
  <c r="BA498" i="10"/>
  <c r="AX498" i="10"/>
  <c r="AU498" i="10"/>
  <c r="AP498" i="10"/>
  <c r="AH498" i="10"/>
  <c r="AG498" i="10"/>
  <c r="AE498" i="10"/>
  <c r="AD498" i="10"/>
  <c r="O498" i="10"/>
  <c r="BV497" i="10"/>
  <c r="BS497" i="10"/>
  <c r="BP497" i="10"/>
  <c r="BI497" i="10"/>
  <c r="BH497" i="10"/>
  <c r="BF497" i="10"/>
  <c r="BE497" i="10"/>
  <c r="BC497" i="10"/>
  <c r="BB497" i="10"/>
  <c r="BA497" i="10"/>
  <c r="AX497" i="10"/>
  <c r="AU497" i="10"/>
  <c r="AP497" i="10"/>
  <c r="AH497" i="10"/>
  <c r="AG497" i="10"/>
  <c r="AE497" i="10"/>
  <c r="AD497" i="10"/>
  <c r="O497" i="10"/>
  <c r="BV496" i="10"/>
  <c r="BS496" i="10"/>
  <c r="BP496" i="10"/>
  <c r="BI496" i="10"/>
  <c r="BH496" i="10"/>
  <c r="BJ496" i="10" s="1"/>
  <c r="BF496" i="10"/>
  <c r="BE496" i="10"/>
  <c r="BC496" i="10"/>
  <c r="BB496" i="10"/>
  <c r="BA496" i="10"/>
  <c r="AX496" i="10"/>
  <c r="AU496" i="10"/>
  <c r="AP496" i="10"/>
  <c r="AH496" i="10"/>
  <c r="AG496" i="10"/>
  <c r="AE496" i="10"/>
  <c r="AD496" i="10"/>
  <c r="O496" i="10"/>
  <c r="BV495" i="10"/>
  <c r="BS495" i="10"/>
  <c r="BP495" i="10"/>
  <c r="BI495" i="10"/>
  <c r="BH495" i="10"/>
  <c r="BF495" i="10"/>
  <c r="BE495" i="10"/>
  <c r="BC495" i="10"/>
  <c r="BB495" i="10"/>
  <c r="BA495" i="10"/>
  <c r="AX495" i="10"/>
  <c r="AU495" i="10"/>
  <c r="AP495" i="10"/>
  <c r="AH495" i="10"/>
  <c r="AG495" i="10"/>
  <c r="AE495" i="10"/>
  <c r="AD495" i="10"/>
  <c r="O495" i="10"/>
  <c r="Q495" i="10" s="1"/>
  <c r="BV494" i="10"/>
  <c r="BS494" i="10"/>
  <c r="BP494" i="10"/>
  <c r="BI494" i="10"/>
  <c r="BH494" i="10"/>
  <c r="BF494" i="10"/>
  <c r="BE494" i="10"/>
  <c r="BC494" i="10"/>
  <c r="BB494" i="10"/>
  <c r="BA494" i="10"/>
  <c r="AX494" i="10"/>
  <c r="AU494" i="10"/>
  <c r="AP494" i="10"/>
  <c r="AH494" i="10"/>
  <c r="AG494" i="10"/>
  <c r="AE494" i="10"/>
  <c r="AD494" i="10"/>
  <c r="O494" i="10"/>
  <c r="BV493" i="10"/>
  <c r="BS493" i="10"/>
  <c r="BP493" i="10"/>
  <c r="BI493" i="10"/>
  <c r="BH493" i="10"/>
  <c r="BF493" i="10"/>
  <c r="BE493" i="10"/>
  <c r="BC493" i="10"/>
  <c r="BB493" i="10"/>
  <c r="BA493" i="10"/>
  <c r="AX493" i="10"/>
  <c r="AU493" i="10"/>
  <c r="AP493" i="10"/>
  <c r="AH493" i="10"/>
  <c r="AG493" i="10"/>
  <c r="AE493" i="10"/>
  <c r="AD493" i="10"/>
  <c r="O493" i="10"/>
  <c r="BV492" i="10"/>
  <c r="BS492" i="10"/>
  <c r="BP492" i="10"/>
  <c r="BI492" i="10"/>
  <c r="BH492" i="10"/>
  <c r="BJ492" i="10" s="1"/>
  <c r="BF492" i="10"/>
  <c r="BE492" i="10"/>
  <c r="BC492" i="10"/>
  <c r="BB492" i="10"/>
  <c r="BA492" i="10"/>
  <c r="AX492" i="10"/>
  <c r="AU492" i="10"/>
  <c r="AP492" i="10"/>
  <c r="AH492" i="10"/>
  <c r="AG492" i="10"/>
  <c r="AE492" i="10"/>
  <c r="AD492" i="10"/>
  <c r="O492" i="10"/>
  <c r="Q492" i="10" s="1"/>
  <c r="BV491" i="10"/>
  <c r="BS491" i="10"/>
  <c r="BP491" i="10"/>
  <c r="BI491" i="10"/>
  <c r="BH491" i="10"/>
  <c r="BF491" i="10"/>
  <c r="BE491" i="10"/>
  <c r="BC491" i="10"/>
  <c r="BB491" i="10"/>
  <c r="BA491" i="10"/>
  <c r="AX491" i="10"/>
  <c r="AU491" i="10"/>
  <c r="AP491" i="10"/>
  <c r="AH491" i="10"/>
  <c r="AG491" i="10"/>
  <c r="AE491" i="10"/>
  <c r="AD491" i="10"/>
  <c r="BV490" i="10"/>
  <c r="BS490" i="10"/>
  <c r="BP490" i="10"/>
  <c r="BI490" i="10"/>
  <c r="BH490" i="10"/>
  <c r="BF490" i="10"/>
  <c r="BE490" i="10"/>
  <c r="BC490" i="10"/>
  <c r="BB490" i="10"/>
  <c r="BA490" i="10"/>
  <c r="AX490" i="10"/>
  <c r="AU490" i="10"/>
  <c r="AP490" i="10"/>
  <c r="AH490" i="10"/>
  <c r="AG490" i="10"/>
  <c r="AE490" i="10"/>
  <c r="AD490" i="10"/>
  <c r="O490" i="10"/>
  <c r="BV489" i="10"/>
  <c r="BS489" i="10"/>
  <c r="BP489" i="10"/>
  <c r="BI489" i="10"/>
  <c r="BH489" i="10"/>
  <c r="BJ489" i="10" s="1"/>
  <c r="BF489" i="10"/>
  <c r="BE489" i="10"/>
  <c r="BC489" i="10"/>
  <c r="BB489" i="10"/>
  <c r="BA489" i="10"/>
  <c r="AX489" i="10"/>
  <c r="AU489" i="10"/>
  <c r="AP489" i="10"/>
  <c r="AH489" i="10"/>
  <c r="AG489" i="10"/>
  <c r="AE489" i="10"/>
  <c r="AD489" i="10"/>
  <c r="O489" i="10"/>
  <c r="BV488" i="10"/>
  <c r="BS488" i="10"/>
  <c r="BP488" i="10"/>
  <c r="BI488" i="10"/>
  <c r="BH488" i="10"/>
  <c r="BF488" i="10"/>
  <c r="BE488" i="10"/>
  <c r="BC488" i="10"/>
  <c r="BB488" i="10"/>
  <c r="BA488" i="10"/>
  <c r="AX488" i="10"/>
  <c r="AU488" i="10"/>
  <c r="AP488" i="10"/>
  <c r="AH488" i="10"/>
  <c r="AG488" i="10"/>
  <c r="AE488" i="10"/>
  <c r="AD488" i="10"/>
  <c r="O488" i="10"/>
  <c r="BV487" i="10"/>
  <c r="BS487" i="10"/>
  <c r="BP487" i="10"/>
  <c r="BI487" i="10"/>
  <c r="BH487" i="10"/>
  <c r="BF487" i="10"/>
  <c r="BE487" i="10"/>
  <c r="BC487" i="10"/>
  <c r="BB487" i="10"/>
  <c r="BA487" i="10"/>
  <c r="AX487" i="10"/>
  <c r="AU487" i="10"/>
  <c r="AP487" i="10"/>
  <c r="AH487" i="10"/>
  <c r="AG487" i="10"/>
  <c r="AE487" i="10"/>
  <c r="AD487" i="10"/>
  <c r="O487" i="10"/>
  <c r="Q487" i="10" s="1"/>
  <c r="BV486" i="10"/>
  <c r="BS486" i="10"/>
  <c r="BP486" i="10"/>
  <c r="BI486" i="10"/>
  <c r="BH486" i="10"/>
  <c r="BF486" i="10"/>
  <c r="BE486" i="10"/>
  <c r="BC486" i="10"/>
  <c r="BB486" i="10"/>
  <c r="BA486" i="10"/>
  <c r="AX486" i="10"/>
  <c r="AU486" i="10"/>
  <c r="AP486" i="10"/>
  <c r="AH486" i="10"/>
  <c r="AG486" i="10"/>
  <c r="AE486" i="10"/>
  <c r="AD486" i="10"/>
  <c r="O486" i="10"/>
  <c r="BV485" i="10"/>
  <c r="BS485" i="10"/>
  <c r="BP485" i="10"/>
  <c r="BI485" i="10"/>
  <c r="BH485" i="10"/>
  <c r="BJ485" i="10" s="1"/>
  <c r="BF485" i="10"/>
  <c r="BE485" i="10"/>
  <c r="BC485" i="10"/>
  <c r="BB485" i="10"/>
  <c r="BA485" i="10"/>
  <c r="AX485" i="10"/>
  <c r="AU485" i="10"/>
  <c r="AP485" i="10"/>
  <c r="AH485" i="10"/>
  <c r="AG485" i="10"/>
  <c r="AE485" i="10"/>
  <c r="AD485" i="10"/>
  <c r="O485" i="10"/>
  <c r="Q485" i="10" s="1"/>
  <c r="BV484" i="10"/>
  <c r="BS484" i="10"/>
  <c r="BP484" i="10"/>
  <c r="BI484" i="10"/>
  <c r="BH484" i="10"/>
  <c r="BF484" i="10"/>
  <c r="BE484" i="10"/>
  <c r="BC484" i="10"/>
  <c r="BB484" i="10"/>
  <c r="BA484" i="10"/>
  <c r="AX484" i="10"/>
  <c r="AU484" i="10"/>
  <c r="AP484" i="10"/>
  <c r="AH484" i="10"/>
  <c r="AG484" i="10"/>
  <c r="AE484" i="10"/>
  <c r="AD484" i="10"/>
  <c r="O484" i="10"/>
  <c r="Q484" i="10" s="1"/>
  <c r="BV483" i="10"/>
  <c r="BS483" i="10"/>
  <c r="BP483" i="10"/>
  <c r="BI483" i="10"/>
  <c r="BH483" i="10"/>
  <c r="BF483" i="10"/>
  <c r="BE483" i="10"/>
  <c r="BC483" i="10"/>
  <c r="BB483" i="10"/>
  <c r="BA483" i="10"/>
  <c r="AX483" i="10"/>
  <c r="AU483" i="10"/>
  <c r="AP483" i="10"/>
  <c r="AH483" i="10"/>
  <c r="AG483" i="10"/>
  <c r="AE483" i="10"/>
  <c r="AD483" i="10"/>
  <c r="O483" i="10"/>
  <c r="Q483" i="10" s="1"/>
  <c r="BV482" i="10"/>
  <c r="BS482" i="10"/>
  <c r="BP482" i="10"/>
  <c r="BI482" i="10"/>
  <c r="BH482" i="10"/>
  <c r="BF482" i="10"/>
  <c r="BE482" i="10"/>
  <c r="BC482" i="10"/>
  <c r="BB482" i="10"/>
  <c r="BA482" i="10"/>
  <c r="AX482" i="10"/>
  <c r="AU482" i="10"/>
  <c r="AP482" i="10"/>
  <c r="AH482" i="10"/>
  <c r="AG482" i="10"/>
  <c r="AE482" i="10"/>
  <c r="AD482" i="10"/>
  <c r="O482" i="10"/>
  <c r="BV481" i="10"/>
  <c r="BS481" i="10"/>
  <c r="BP481" i="10"/>
  <c r="BI481" i="10"/>
  <c r="BH481" i="10"/>
  <c r="BJ481" i="10" s="1"/>
  <c r="BF481" i="10"/>
  <c r="BE481" i="10"/>
  <c r="BC481" i="10"/>
  <c r="BB481" i="10"/>
  <c r="BA481" i="10"/>
  <c r="AX481" i="10"/>
  <c r="AU481" i="10"/>
  <c r="AP481" i="10"/>
  <c r="AH481" i="10"/>
  <c r="AG481" i="10"/>
  <c r="AE481" i="10"/>
  <c r="AD481" i="10"/>
  <c r="O481" i="10"/>
  <c r="BV480" i="10"/>
  <c r="BS480" i="10"/>
  <c r="BP480" i="10"/>
  <c r="BI480" i="10"/>
  <c r="BH480" i="10"/>
  <c r="BF480" i="10"/>
  <c r="BE480" i="10"/>
  <c r="BC480" i="10"/>
  <c r="BB480" i="10"/>
  <c r="BA480" i="10"/>
  <c r="AX480" i="10"/>
  <c r="AU480" i="10"/>
  <c r="AP480" i="10"/>
  <c r="AH480" i="10"/>
  <c r="AG480" i="10"/>
  <c r="AE480" i="10"/>
  <c r="AD480" i="10"/>
  <c r="O480" i="10"/>
  <c r="BV479" i="10"/>
  <c r="BS479" i="10"/>
  <c r="BP479" i="10"/>
  <c r="BI479" i="10"/>
  <c r="BH479" i="10"/>
  <c r="BF479" i="10"/>
  <c r="BE479" i="10"/>
  <c r="BC479" i="10"/>
  <c r="BB479" i="10"/>
  <c r="BA479" i="10"/>
  <c r="AX479" i="10"/>
  <c r="AU479" i="10"/>
  <c r="AP479" i="10"/>
  <c r="AH479" i="10"/>
  <c r="AG479" i="10"/>
  <c r="AE479" i="10"/>
  <c r="AD479" i="10"/>
  <c r="O479" i="10"/>
  <c r="BV478" i="10"/>
  <c r="BS478" i="10"/>
  <c r="BP478" i="10"/>
  <c r="BI478" i="10"/>
  <c r="BH478" i="10"/>
  <c r="BF478" i="10"/>
  <c r="BE478" i="10"/>
  <c r="BC478" i="10"/>
  <c r="BB478" i="10"/>
  <c r="BA478" i="10"/>
  <c r="AX478" i="10"/>
  <c r="AU478" i="10"/>
  <c r="AP478" i="10"/>
  <c r="AH478" i="10"/>
  <c r="AG478" i="10"/>
  <c r="AE478" i="10"/>
  <c r="AD478" i="10"/>
  <c r="O478" i="10"/>
  <c r="BV477" i="10"/>
  <c r="BS477" i="10"/>
  <c r="BP477" i="10"/>
  <c r="BI477" i="10"/>
  <c r="BH477" i="10"/>
  <c r="BJ477" i="10" s="1"/>
  <c r="BF477" i="10"/>
  <c r="BE477" i="10"/>
  <c r="BC477" i="10"/>
  <c r="BB477" i="10"/>
  <c r="BA477" i="10"/>
  <c r="AX477" i="10"/>
  <c r="AU477" i="10"/>
  <c r="AP477" i="10"/>
  <c r="AH477" i="10"/>
  <c r="AG477" i="10"/>
  <c r="AE477" i="10"/>
  <c r="AD477" i="10"/>
  <c r="O477" i="10"/>
  <c r="Q477" i="10" s="1"/>
  <c r="BV476" i="10"/>
  <c r="BS476" i="10"/>
  <c r="BP476" i="10"/>
  <c r="BI476" i="10"/>
  <c r="BH476" i="10"/>
  <c r="BF476" i="10"/>
  <c r="BE476" i="10"/>
  <c r="BC476" i="10"/>
  <c r="BB476" i="10"/>
  <c r="BA476" i="10"/>
  <c r="AX476" i="10"/>
  <c r="AU476" i="10"/>
  <c r="AP476" i="10"/>
  <c r="AH476" i="10"/>
  <c r="AG476" i="10"/>
  <c r="AE476" i="10"/>
  <c r="AD476" i="10"/>
  <c r="O476" i="10"/>
  <c r="Q476" i="10" s="1"/>
  <c r="BV475" i="10"/>
  <c r="BS475" i="10"/>
  <c r="BP475" i="10"/>
  <c r="BI475" i="10"/>
  <c r="BH475" i="10"/>
  <c r="BF475" i="10"/>
  <c r="BE475" i="10"/>
  <c r="BC475" i="10"/>
  <c r="BB475" i="10"/>
  <c r="BA475" i="10"/>
  <c r="AX475" i="10"/>
  <c r="AU475" i="10"/>
  <c r="AP475" i="10"/>
  <c r="AH475" i="10"/>
  <c r="AG475" i="10"/>
  <c r="AE475" i="10"/>
  <c r="AD475" i="10"/>
  <c r="O475" i="10"/>
  <c r="Q475" i="10" s="1"/>
  <c r="BV474" i="10"/>
  <c r="BS474" i="10"/>
  <c r="BP474" i="10"/>
  <c r="BI474" i="10"/>
  <c r="BH474" i="10"/>
  <c r="BF474" i="10"/>
  <c r="BE474" i="10"/>
  <c r="BC474" i="10"/>
  <c r="BB474" i="10"/>
  <c r="BA474" i="10"/>
  <c r="AX474" i="10"/>
  <c r="AU474" i="10"/>
  <c r="AP474" i="10"/>
  <c r="AH474" i="10"/>
  <c r="AG474" i="10"/>
  <c r="AE474" i="10"/>
  <c r="AD474" i="10"/>
  <c r="O474" i="10"/>
  <c r="BV473" i="10"/>
  <c r="BS473" i="10"/>
  <c r="BP473" i="10"/>
  <c r="BI473" i="10"/>
  <c r="BH473" i="10"/>
  <c r="BJ473" i="10" s="1"/>
  <c r="BF473" i="10"/>
  <c r="BE473" i="10"/>
  <c r="BC473" i="10"/>
  <c r="BB473" i="10"/>
  <c r="BA473" i="10"/>
  <c r="AX473" i="10"/>
  <c r="AU473" i="10"/>
  <c r="AP473" i="10"/>
  <c r="AH473" i="10"/>
  <c r="AG473" i="10"/>
  <c r="AE473" i="10"/>
  <c r="AD473" i="10"/>
  <c r="O473" i="10"/>
  <c r="BV472" i="10"/>
  <c r="BS472" i="10"/>
  <c r="BP472" i="10"/>
  <c r="BI472" i="10"/>
  <c r="BH472" i="10"/>
  <c r="BF472" i="10"/>
  <c r="BE472" i="10"/>
  <c r="BC472" i="10"/>
  <c r="BB472" i="10"/>
  <c r="BA472" i="10"/>
  <c r="AX472" i="10"/>
  <c r="AU472" i="10"/>
  <c r="AP472" i="10"/>
  <c r="AH472" i="10"/>
  <c r="AG472" i="10"/>
  <c r="AE472" i="10"/>
  <c r="AD472" i="10"/>
  <c r="O472" i="10"/>
  <c r="BV471" i="10"/>
  <c r="BS471" i="10"/>
  <c r="BP471" i="10"/>
  <c r="BI471" i="10"/>
  <c r="BH471" i="10"/>
  <c r="BF471" i="10"/>
  <c r="BE471" i="10"/>
  <c r="BC471" i="10"/>
  <c r="BB471" i="10"/>
  <c r="BA471" i="10"/>
  <c r="AX471" i="10"/>
  <c r="AU471" i="10"/>
  <c r="AP471" i="10"/>
  <c r="AH471" i="10"/>
  <c r="AG471" i="10"/>
  <c r="AE471" i="10"/>
  <c r="AD471" i="10"/>
  <c r="O471" i="10"/>
  <c r="BV470" i="10"/>
  <c r="BS470" i="10"/>
  <c r="BP470" i="10"/>
  <c r="BI470" i="10"/>
  <c r="BH470" i="10"/>
  <c r="BF470" i="10"/>
  <c r="BE470" i="10"/>
  <c r="BC470" i="10"/>
  <c r="BB470" i="10"/>
  <c r="BA470" i="10"/>
  <c r="AX470" i="10"/>
  <c r="AU470" i="10"/>
  <c r="AP470" i="10"/>
  <c r="AH470" i="10"/>
  <c r="AG470" i="10"/>
  <c r="AE470" i="10"/>
  <c r="AD470" i="10"/>
  <c r="O470" i="10"/>
  <c r="BV469" i="10"/>
  <c r="BS469" i="10"/>
  <c r="BP469" i="10"/>
  <c r="BI469" i="10"/>
  <c r="BH469" i="10"/>
  <c r="BJ469" i="10" s="1"/>
  <c r="BF469" i="10"/>
  <c r="BE469" i="10"/>
  <c r="BC469" i="10"/>
  <c r="BB469" i="10"/>
  <c r="BA469" i="10"/>
  <c r="AX469" i="10"/>
  <c r="AU469" i="10"/>
  <c r="AP469" i="10"/>
  <c r="AH469" i="10"/>
  <c r="AG469" i="10"/>
  <c r="AE469" i="10"/>
  <c r="AD469" i="10"/>
  <c r="O469" i="10"/>
  <c r="Q469" i="10" s="1"/>
  <c r="BV468" i="10"/>
  <c r="BS468" i="10"/>
  <c r="BP468" i="10"/>
  <c r="BI468" i="10"/>
  <c r="BH468" i="10"/>
  <c r="BF468" i="10"/>
  <c r="BE468" i="10"/>
  <c r="BC468" i="10"/>
  <c r="BB468" i="10"/>
  <c r="BA468" i="10"/>
  <c r="AX468" i="10"/>
  <c r="AU468" i="10"/>
  <c r="AP468" i="10"/>
  <c r="AH468" i="10"/>
  <c r="AG468" i="10"/>
  <c r="AE468" i="10"/>
  <c r="AD468" i="10"/>
  <c r="O468" i="10"/>
  <c r="Q468" i="10" s="1"/>
  <c r="BV467" i="10"/>
  <c r="BS467" i="10"/>
  <c r="BP467" i="10"/>
  <c r="BI467" i="10"/>
  <c r="BH467" i="10"/>
  <c r="BF467" i="10"/>
  <c r="BE467" i="10"/>
  <c r="BC467" i="10"/>
  <c r="BB467" i="10"/>
  <c r="BA467" i="10"/>
  <c r="AX467" i="10"/>
  <c r="AU467" i="10"/>
  <c r="AP467" i="10"/>
  <c r="AH467" i="10"/>
  <c r="AG467" i="10"/>
  <c r="AE467" i="10"/>
  <c r="AD467" i="10"/>
  <c r="O467" i="10"/>
  <c r="Q467" i="10" s="1"/>
  <c r="BV466" i="10"/>
  <c r="BS466" i="10"/>
  <c r="BP466" i="10"/>
  <c r="BI466" i="10"/>
  <c r="BH466" i="10"/>
  <c r="BF466" i="10"/>
  <c r="BE466" i="10"/>
  <c r="BC466" i="10"/>
  <c r="BB466" i="10"/>
  <c r="BA466" i="10"/>
  <c r="AX466" i="10"/>
  <c r="AU466" i="10"/>
  <c r="AP466" i="10"/>
  <c r="AH466" i="10"/>
  <c r="AG466" i="10"/>
  <c r="AE466" i="10"/>
  <c r="AD466" i="10"/>
  <c r="O466" i="10"/>
  <c r="BV465" i="10"/>
  <c r="BS465" i="10"/>
  <c r="BP465" i="10"/>
  <c r="BI465" i="10"/>
  <c r="BH465" i="10"/>
  <c r="BJ465" i="10" s="1"/>
  <c r="BF465" i="10"/>
  <c r="BE465" i="10"/>
  <c r="BC465" i="10"/>
  <c r="BB465" i="10"/>
  <c r="BA465" i="10"/>
  <c r="AX465" i="10"/>
  <c r="AU465" i="10"/>
  <c r="AP465" i="10"/>
  <c r="AH465" i="10"/>
  <c r="AG465" i="10"/>
  <c r="AE465" i="10"/>
  <c r="AD465" i="10"/>
  <c r="O465" i="10"/>
  <c r="BV464" i="10"/>
  <c r="BS464" i="10"/>
  <c r="BP464" i="10"/>
  <c r="BI464" i="10"/>
  <c r="BH464" i="10"/>
  <c r="BF464" i="10"/>
  <c r="BE464" i="10"/>
  <c r="BC464" i="10"/>
  <c r="BB464" i="10"/>
  <c r="BA464" i="10"/>
  <c r="AX464" i="10"/>
  <c r="AU464" i="10"/>
  <c r="AP464" i="10"/>
  <c r="AH464" i="10"/>
  <c r="AG464" i="10"/>
  <c r="AE464" i="10"/>
  <c r="AD464" i="10"/>
  <c r="O464" i="10"/>
  <c r="BV463" i="10"/>
  <c r="BS463" i="10"/>
  <c r="BP463" i="10"/>
  <c r="BI463" i="10"/>
  <c r="BH463" i="10"/>
  <c r="BF463" i="10"/>
  <c r="BE463" i="10"/>
  <c r="BC463" i="10"/>
  <c r="BB463" i="10"/>
  <c r="BA463" i="10"/>
  <c r="AX463" i="10"/>
  <c r="AU463" i="10"/>
  <c r="AP463" i="10"/>
  <c r="AH463" i="10"/>
  <c r="AG463" i="10"/>
  <c r="AE463" i="10"/>
  <c r="AD463" i="10"/>
  <c r="O463" i="10"/>
  <c r="BV462" i="10"/>
  <c r="BS462" i="10"/>
  <c r="BP462" i="10"/>
  <c r="BI462" i="10"/>
  <c r="BH462" i="10"/>
  <c r="BF462" i="10"/>
  <c r="BE462" i="10"/>
  <c r="BC462" i="10"/>
  <c r="BB462" i="10"/>
  <c r="BA462" i="10"/>
  <c r="AX462" i="10"/>
  <c r="AU462" i="10"/>
  <c r="AP462" i="10"/>
  <c r="AH462" i="10"/>
  <c r="AG462" i="10"/>
  <c r="AE462" i="10"/>
  <c r="AD462" i="10"/>
  <c r="O462" i="10"/>
  <c r="BV461" i="10"/>
  <c r="BS461" i="10"/>
  <c r="BP461" i="10"/>
  <c r="BI461" i="10"/>
  <c r="BH461" i="10"/>
  <c r="BJ461" i="10" s="1"/>
  <c r="BF461" i="10"/>
  <c r="BE461" i="10"/>
  <c r="BC461" i="10"/>
  <c r="BB461" i="10"/>
  <c r="BA461" i="10"/>
  <c r="AX461" i="10"/>
  <c r="AU461" i="10"/>
  <c r="AP461" i="10"/>
  <c r="AH461" i="10"/>
  <c r="AG461" i="10"/>
  <c r="AE461" i="10"/>
  <c r="AD461" i="10"/>
  <c r="O461" i="10"/>
  <c r="Q461" i="10" s="1"/>
  <c r="BV460" i="10"/>
  <c r="BS460" i="10"/>
  <c r="BP460" i="10"/>
  <c r="BI460" i="10"/>
  <c r="BH460" i="10"/>
  <c r="BF460" i="10"/>
  <c r="BE460" i="10"/>
  <c r="BC460" i="10"/>
  <c r="BB460" i="10"/>
  <c r="BA460" i="10"/>
  <c r="AX460" i="10"/>
  <c r="AU460" i="10"/>
  <c r="AP460" i="10"/>
  <c r="AH460" i="10"/>
  <c r="AG460" i="10"/>
  <c r="AE460" i="10"/>
  <c r="AD460" i="10"/>
  <c r="O460" i="10"/>
  <c r="Q460" i="10" s="1"/>
  <c r="BV459" i="10"/>
  <c r="BS459" i="10"/>
  <c r="BP459" i="10"/>
  <c r="BI459" i="10"/>
  <c r="BH459" i="10"/>
  <c r="BF459" i="10"/>
  <c r="BE459" i="10"/>
  <c r="BC459" i="10"/>
  <c r="BB459" i="10"/>
  <c r="BA459" i="10"/>
  <c r="AX459" i="10"/>
  <c r="AU459" i="10"/>
  <c r="AP459" i="10"/>
  <c r="AH459" i="10"/>
  <c r="AG459" i="10"/>
  <c r="AE459" i="10"/>
  <c r="AD459" i="10"/>
  <c r="O459" i="10"/>
  <c r="Q459" i="10" s="1"/>
  <c r="BV458" i="10"/>
  <c r="BS458" i="10"/>
  <c r="BP458" i="10"/>
  <c r="BI458" i="10"/>
  <c r="BH458" i="10"/>
  <c r="BF458" i="10"/>
  <c r="BE458" i="10"/>
  <c r="BC458" i="10"/>
  <c r="BB458" i="10"/>
  <c r="BA458" i="10"/>
  <c r="AX458" i="10"/>
  <c r="AU458" i="10"/>
  <c r="AP458" i="10"/>
  <c r="AH458" i="10"/>
  <c r="AG458" i="10"/>
  <c r="AE458" i="10"/>
  <c r="AD458" i="10"/>
  <c r="O458" i="10"/>
  <c r="BV457" i="10"/>
  <c r="BS457" i="10"/>
  <c r="BP457" i="10"/>
  <c r="BI457" i="10"/>
  <c r="BH457" i="10"/>
  <c r="BJ457" i="10" s="1"/>
  <c r="BF457" i="10"/>
  <c r="BE457" i="10"/>
  <c r="BC457" i="10"/>
  <c r="BB457" i="10"/>
  <c r="BA457" i="10"/>
  <c r="AX457" i="10"/>
  <c r="AU457" i="10"/>
  <c r="AP457" i="10"/>
  <c r="AH457" i="10"/>
  <c r="AG457" i="10"/>
  <c r="AE457" i="10"/>
  <c r="AD457" i="10"/>
  <c r="O457" i="10"/>
  <c r="Q457" i="10" s="1"/>
  <c r="BV456" i="10"/>
  <c r="BS456" i="10"/>
  <c r="BP456" i="10"/>
  <c r="BI456" i="10"/>
  <c r="BH456" i="10"/>
  <c r="BF456" i="10"/>
  <c r="BE456" i="10"/>
  <c r="BC456" i="10"/>
  <c r="BB456" i="10"/>
  <c r="BA456" i="10"/>
  <c r="AX456" i="10"/>
  <c r="AU456" i="10"/>
  <c r="AP456" i="10"/>
  <c r="AH456" i="10"/>
  <c r="AG456" i="10"/>
  <c r="AE456" i="10"/>
  <c r="AD456" i="10"/>
  <c r="O456" i="10"/>
  <c r="BV455" i="10"/>
  <c r="BS455" i="10"/>
  <c r="BP455" i="10"/>
  <c r="BI455" i="10"/>
  <c r="BH455" i="10"/>
  <c r="BF455" i="10"/>
  <c r="BE455" i="10"/>
  <c r="BC455" i="10"/>
  <c r="BB455" i="10"/>
  <c r="BA455" i="10"/>
  <c r="AX455" i="10"/>
  <c r="AU455" i="10"/>
  <c r="AP455" i="10"/>
  <c r="AH455" i="10"/>
  <c r="AG455" i="10"/>
  <c r="AE455" i="10"/>
  <c r="AD455" i="10"/>
  <c r="O455" i="10"/>
  <c r="BV454" i="10"/>
  <c r="BS454" i="10"/>
  <c r="BP454" i="10"/>
  <c r="BI454" i="10"/>
  <c r="BH454" i="10"/>
  <c r="BF454" i="10"/>
  <c r="BE454" i="10"/>
  <c r="BC454" i="10"/>
  <c r="BB454" i="10"/>
  <c r="BA454" i="10"/>
  <c r="AX454" i="10"/>
  <c r="AU454" i="10"/>
  <c r="AP454" i="10"/>
  <c r="AH454" i="10"/>
  <c r="AG454" i="10"/>
  <c r="AE454" i="10"/>
  <c r="AD454" i="10"/>
  <c r="O454" i="10"/>
  <c r="BV453" i="10"/>
  <c r="BS453" i="10"/>
  <c r="BP453" i="10"/>
  <c r="BI453" i="10"/>
  <c r="BH453" i="10"/>
  <c r="BJ453" i="10" s="1"/>
  <c r="BF453" i="10"/>
  <c r="BE453" i="10"/>
  <c r="BC453" i="10"/>
  <c r="BB453" i="10"/>
  <c r="BA453" i="10"/>
  <c r="AX453" i="10"/>
  <c r="AU453" i="10"/>
  <c r="AP453" i="10"/>
  <c r="AH453" i="10"/>
  <c r="AG453" i="10"/>
  <c r="AE453" i="10"/>
  <c r="AD453" i="10"/>
  <c r="O453" i="10"/>
  <c r="Q453" i="10" s="1"/>
  <c r="BV452" i="10"/>
  <c r="BS452" i="10"/>
  <c r="BP452" i="10"/>
  <c r="BI452" i="10"/>
  <c r="BH452" i="10"/>
  <c r="BF452" i="10"/>
  <c r="BE452" i="10"/>
  <c r="BC452" i="10"/>
  <c r="BB452" i="10"/>
  <c r="BA452" i="10"/>
  <c r="AX452" i="10"/>
  <c r="AU452" i="10"/>
  <c r="AP452" i="10"/>
  <c r="AH452" i="10"/>
  <c r="AG452" i="10"/>
  <c r="AE452" i="10"/>
  <c r="AD452" i="10"/>
  <c r="O452" i="10"/>
  <c r="Q452" i="10" s="1"/>
  <c r="BV451" i="10"/>
  <c r="BS451" i="10"/>
  <c r="BP451" i="10"/>
  <c r="BI451" i="10"/>
  <c r="BH451" i="10"/>
  <c r="BJ451" i="10" s="1"/>
  <c r="BF451" i="10"/>
  <c r="BE451" i="10"/>
  <c r="BC451" i="10"/>
  <c r="BB451" i="10"/>
  <c r="BA451" i="10"/>
  <c r="AX451" i="10"/>
  <c r="AU451" i="10"/>
  <c r="AP451" i="10"/>
  <c r="AH451" i="10"/>
  <c r="AG451" i="10"/>
  <c r="AE451" i="10"/>
  <c r="AD451" i="10"/>
  <c r="O451" i="10"/>
  <c r="Q451" i="10" s="1"/>
  <c r="BV450" i="10"/>
  <c r="BS450" i="10"/>
  <c r="BP450" i="10"/>
  <c r="BI450" i="10"/>
  <c r="BH450" i="10"/>
  <c r="BF450" i="10"/>
  <c r="BE450" i="10"/>
  <c r="BC450" i="10"/>
  <c r="BB450" i="10"/>
  <c r="BA450" i="10"/>
  <c r="AX450" i="10"/>
  <c r="AU450" i="10"/>
  <c r="AP450" i="10"/>
  <c r="AH450" i="10"/>
  <c r="AG450" i="10"/>
  <c r="AE450" i="10"/>
  <c r="AD450" i="10"/>
  <c r="O450" i="10"/>
  <c r="BV449" i="10"/>
  <c r="BS449" i="10"/>
  <c r="BP449" i="10"/>
  <c r="BI449" i="10"/>
  <c r="BH449" i="10"/>
  <c r="BJ449" i="10" s="1"/>
  <c r="BF449" i="10"/>
  <c r="BE449" i="10"/>
  <c r="BC449" i="10"/>
  <c r="BB449" i="10"/>
  <c r="BA449" i="10"/>
  <c r="AX449" i="10"/>
  <c r="AU449" i="10"/>
  <c r="AP449" i="10"/>
  <c r="AH449" i="10"/>
  <c r="AG449" i="10"/>
  <c r="AE449" i="10"/>
  <c r="AD449" i="10"/>
  <c r="O449" i="10"/>
  <c r="BV448" i="10"/>
  <c r="BS448" i="10"/>
  <c r="BP448" i="10"/>
  <c r="BI448" i="10"/>
  <c r="BH448" i="10"/>
  <c r="BF448" i="10"/>
  <c r="BE448" i="10"/>
  <c r="BC448" i="10"/>
  <c r="BB448" i="10"/>
  <c r="BA448" i="10"/>
  <c r="AX448" i="10"/>
  <c r="AU448" i="10"/>
  <c r="AP448" i="10"/>
  <c r="AH448" i="10"/>
  <c r="AG448" i="10"/>
  <c r="AE448" i="10"/>
  <c r="AD448" i="10"/>
  <c r="O448" i="10"/>
  <c r="BV447" i="10"/>
  <c r="BS447" i="10"/>
  <c r="BP447" i="10"/>
  <c r="BI447" i="10"/>
  <c r="BH447" i="10"/>
  <c r="BJ447" i="10" s="1"/>
  <c r="BF447" i="10"/>
  <c r="BE447" i="10"/>
  <c r="BC447" i="10"/>
  <c r="BB447" i="10"/>
  <c r="BA447" i="10"/>
  <c r="AX447" i="10"/>
  <c r="AU447" i="10"/>
  <c r="AP447" i="10"/>
  <c r="AH447" i="10"/>
  <c r="AG447" i="10"/>
  <c r="AE447" i="10"/>
  <c r="AD447" i="10"/>
  <c r="O447" i="10"/>
  <c r="BV446" i="10"/>
  <c r="BS446" i="10"/>
  <c r="BP446" i="10"/>
  <c r="BI446" i="10"/>
  <c r="BH446" i="10"/>
  <c r="BJ446" i="10" s="1"/>
  <c r="BF446" i="10"/>
  <c r="BE446" i="10"/>
  <c r="BC446" i="10"/>
  <c r="BB446" i="10"/>
  <c r="BA446" i="10"/>
  <c r="AX446" i="10"/>
  <c r="AU446" i="10"/>
  <c r="AP446" i="10"/>
  <c r="AH446" i="10"/>
  <c r="AG446" i="10"/>
  <c r="AE446" i="10"/>
  <c r="AD446" i="10"/>
  <c r="O446" i="10"/>
  <c r="BV445" i="10"/>
  <c r="BS445" i="10"/>
  <c r="BP445" i="10"/>
  <c r="BI445" i="10"/>
  <c r="BH445" i="10"/>
  <c r="BJ445" i="10" s="1"/>
  <c r="BF445" i="10"/>
  <c r="BE445" i="10"/>
  <c r="BC445" i="10"/>
  <c r="BB445" i="10"/>
  <c r="BA445" i="10"/>
  <c r="AX445" i="10"/>
  <c r="AU445" i="10"/>
  <c r="AP445" i="10"/>
  <c r="AH445" i="10"/>
  <c r="AG445" i="10"/>
  <c r="AE445" i="10"/>
  <c r="AD445" i="10"/>
  <c r="O445" i="10"/>
  <c r="Q445" i="10" s="1"/>
  <c r="BV444" i="10"/>
  <c r="BS444" i="10"/>
  <c r="BP444" i="10"/>
  <c r="BI444" i="10"/>
  <c r="BH444" i="10"/>
  <c r="BF444" i="10"/>
  <c r="BE444" i="10"/>
  <c r="BC444" i="10"/>
  <c r="BB444" i="10"/>
  <c r="BA444" i="10"/>
  <c r="AX444" i="10"/>
  <c r="AU444" i="10"/>
  <c r="AP444" i="10"/>
  <c r="AH444" i="10"/>
  <c r="AG444" i="10"/>
  <c r="AE444" i="10"/>
  <c r="AD444" i="10"/>
  <c r="O444" i="10"/>
  <c r="Q444" i="10" s="1"/>
  <c r="BV443" i="10"/>
  <c r="BS443" i="10"/>
  <c r="BP443" i="10"/>
  <c r="BI443" i="10"/>
  <c r="BH443" i="10"/>
  <c r="BJ443" i="10" s="1"/>
  <c r="BF443" i="10"/>
  <c r="BE443" i="10"/>
  <c r="BC443" i="10"/>
  <c r="BB443" i="10"/>
  <c r="BA443" i="10"/>
  <c r="AX443" i="10"/>
  <c r="AU443" i="10"/>
  <c r="AP443" i="10"/>
  <c r="AH443" i="10"/>
  <c r="AG443" i="10"/>
  <c r="AE443" i="10"/>
  <c r="AD443" i="10"/>
  <c r="O443" i="10"/>
  <c r="BV442" i="10"/>
  <c r="BS442" i="10"/>
  <c r="BP442" i="10"/>
  <c r="BI442" i="10"/>
  <c r="BH442" i="10"/>
  <c r="BJ442" i="10" s="1"/>
  <c r="BF442" i="10"/>
  <c r="BE442" i="10"/>
  <c r="BC442" i="10"/>
  <c r="BB442" i="10"/>
  <c r="BA442" i="10"/>
  <c r="AX442" i="10"/>
  <c r="AU442" i="10"/>
  <c r="AP442" i="10"/>
  <c r="AH442" i="10"/>
  <c r="AG442" i="10"/>
  <c r="AE442" i="10"/>
  <c r="AD442" i="10"/>
  <c r="O442" i="10"/>
  <c r="BV441" i="10"/>
  <c r="BS441" i="10"/>
  <c r="BP441" i="10"/>
  <c r="BI441" i="10"/>
  <c r="BH441" i="10"/>
  <c r="BJ441" i="10" s="1"/>
  <c r="BF441" i="10"/>
  <c r="BE441" i="10"/>
  <c r="BC441" i="10"/>
  <c r="BB441" i="10"/>
  <c r="BA441" i="10"/>
  <c r="AX441" i="10"/>
  <c r="AU441" i="10"/>
  <c r="AP441" i="10"/>
  <c r="AH441" i="10"/>
  <c r="AG441" i="10"/>
  <c r="AE441" i="10"/>
  <c r="AD441" i="10"/>
  <c r="O441" i="10"/>
  <c r="BV440" i="10"/>
  <c r="BS440" i="10"/>
  <c r="BP440" i="10"/>
  <c r="BI440" i="10"/>
  <c r="BH440" i="10"/>
  <c r="BF440" i="10"/>
  <c r="BE440" i="10"/>
  <c r="BC440" i="10"/>
  <c r="BB440" i="10"/>
  <c r="BA440" i="10"/>
  <c r="AX440" i="10"/>
  <c r="AU440" i="10"/>
  <c r="AP440" i="10"/>
  <c r="AH440" i="10"/>
  <c r="AG440" i="10"/>
  <c r="AE440" i="10"/>
  <c r="AD440" i="10"/>
  <c r="O440" i="10"/>
  <c r="BV439" i="10"/>
  <c r="BS439" i="10"/>
  <c r="BP439" i="10"/>
  <c r="BI439" i="10"/>
  <c r="BH439" i="10"/>
  <c r="BJ439" i="10" s="1"/>
  <c r="BF439" i="10"/>
  <c r="BE439" i="10"/>
  <c r="BC439" i="10"/>
  <c r="BB439" i="10"/>
  <c r="BA439" i="10"/>
  <c r="AX439" i="10"/>
  <c r="AU439" i="10"/>
  <c r="AP439" i="10"/>
  <c r="AH439" i="10"/>
  <c r="AG439" i="10"/>
  <c r="AE439" i="10"/>
  <c r="AD439" i="10"/>
  <c r="O439" i="10"/>
  <c r="Q439" i="10" s="1"/>
  <c r="BV438" i="10"/>
  <c r="BS438" i="10"/>
  <c r="BP438" i="10"/>
  <c r="BI438" i="10"/>
  <c r="BH438" i="10"/>
  <c r="BJ438" i="10" s="1"/>
  <c r="BF438" i="10"/>
  <c r="BE438" i="10"/>
  <c r="BC438" i="10"/>
  <c r="BB438" i="10"/>
  <c r="BA438" i="10"/>
  <c r="AX438" i="10"/>
  <c r="AU438" i="10"/>
  <c r="AP438" i="10"/>
  <c r="AH438" i="10"/>
  <c r="AG438" i="10"/>
  <c r="AE438" i="10"/>
  <c r="AD438" i="10"/>
  <c r="O438" i="10"/>
  <c r="BV437" i="10"/>
  <c r="BS437" i="10"/>
  <c r="BP437" i="10"/>
  <c r="BI437" i="10"/>
  <c r="BH437" i="10"/>
  <c r="BJ437" i="10" s="1"/>
  <c r="BF437" i="10"/>
  <c r="BE437" i="10"/>
  <c r="BC437" i="10"/>
  <c r="BB437" i="10"/>
  <c r="BA437" i="10"/>
  <c r="AX437" i="10"/>
  <c r="AU437" i="10"/>
  <c r="AP437" i="10"/>
  <c r="AH437" i="10"/>
  <c r="AG437" i="10"/>
  <c r="AE437" i="10"/>
  <c r="AD437" i="10"/>
  <c r="O437" i="10"/>
  <c r="Q437" i="10" s="1"/>
  <c r="BV436" i="10"/>
  <c r="BS436" i="10"/>
  <c r="BP436" i="10"/>
  <c r="BI436" i="10"/>
  <c r="BH436" i="10"/>
  <c r="BF436" i="10"/>
  <c r="BE436" i="10"/>
  <c r="BC436" i="10"/>
  <c r="BB436" i="10"/>
  <c r="BA436" i="10"/>
  <c r="AX436" i="10"/>
  <c r="AU436" i="10"/>
  <c r="AP436" i="10"/>
  <c r="AH436" i="10"/>
  <c r="AG436" i="10"/>
  <c r="AE436" i="10"/>
  <c r="AD436" i="10"/>
  <c r="O436" i="10"/>
  <c r="Q436" i="10" s="1"/>
  <c r="BV435" i="10"/>
  <c r="BS435" i="10"/>
  <c r="BP435" i="10"/>
  <c r="BI435" i="10"/>
  <c r="BH435" i="10"/>
  <c r="BJ435" i="10" s="1"/>
  <c r="BF435" i="10"/>
  <c r="BE435" i="10"/>
  <c r="BC435" i="10"/>
  <c r="BB435" i="10"/>
  <c r="BA435" i="10"/>
  <c r="AX435" i="10"/>
  <c r="AU435" i="10"/>
  <c r="AP435" i="10"/>
  <c r="AH435" i="10"/>
  <c r="AG435" i="10"/>
  <c r="AE435" i="10"/>
  <c r="AD435" i="10"/>
  <c r="O435" i="10"/>
  <c r="Q435" i="10" s="1"/>
  <c r="BV434" i="10"/>
  <c r="BS434" i="10"/>
  <c r="BP434" i="10"/>
  <c r="BI434" i="10"/>
  <c r="BH434" i="10"/>
  <c r="BJ434" i="10" s="1"/>
  <c r="BF434" i="10"/>
  <c r="BE434" i="10"/>
  <c r="BC434" i="10"/>
  <c r="BB434" i="10"/>
  <c r="BA434" i="10"/>
  <c r="AX434" i="10"/>
  <c r="AU434" i="10"/>
  <c r="AP434" i="10"/>
  <c r="AH434" i="10"/>
  <c r="AG434" i="10"/>
  <c r="AE434" i="10"/>
  <c r="AD434" i="10"/>
  <c r="O434" i="10"/>
  <c r="BV433" i="10"/>
  <c r="BS433" i="10"/>
  <c r="BP433" i="10"/>
  <c r="BI433" i="10"/>
  <c r="BH433" i="10"/>
  <c r="BJ433" i="10" s="1"/>
  <c r="BF433" i="10"/>
  <c r="BE433" i="10"/>
  <c r="BC433" i="10"/>
  <c r="BB433" i="10"/>
  <c r="BA433" i="10"/>
  <c r="AX433" i="10"/>
  <c r="AU433" i="10"/>
  <c r="AP433" i="10"/>
  <c r="AH433" i="10"/>
  <c r="AG433" i="10"/>
  <c r="AE433" i="10"/>
  <c r="AD433" i="10"/>
  <c r="O433" i="10"/>
  <c r="BV432" i="10"/>
  <c r="BS432" i="10"/>
  <c r="BP432" i="10"/>
  <c r="BI432" i="10"/>
  <c r="BH432" i="10"/>
  <c r="BF432" i="10"/>
  <c r="BE432" i="10"/>
  <c r="BC432" i="10"/>
  <c r="BB432" i="10"/>
  <c r="BA432" i="10"/>
  <c r="AX432" i="10"/>
  <c r="AU432" i="10"/>
  <c r="AP432" i="10"/>
  <c r="AH432" i="10"/>
  <c r="AG432" i="10"/>
  <c r="AE432" i="10"/>
  <c r="AD432" i="10"/>
  <c r="O432" i="10"/>
  <c r="BV431" i="10"/>
  <c r="BS431" i="10"/>
  <c r="BP431" i="10"/>
  <c r="BI431" i="10"/>
  <c r="BH431" i="10"/>
  <c r="BJ431" i="10" s="1"/>
  <c r="BF431" i="10"/>
  <c r="BE431" i="10"/>
  <c r="BC431" i="10"/>
  <c r="BB431" i="10"/>
  <c r="BA431" i="10"/>
  <c r="AX431" i="10"/>
  <c r="AU431" i="10"/>
  <c r="AP431" i="10"/>
  <c r="AH431" i="10"/>
  <c r="AG431" i="10"/>
  <c r="AE431" i="10"/>
  <c r="AD431" i="10"/>
  <c r="O431" i="10"/>
  <c r="BV430" i="10"/>
  <c r="BS430" i="10"/>
  <c r="BP430" i="10"/>
  <c r="BI430" i="10"/>
  <c r="BH430" i="10"/>
  <c r="BJ430" i="10" s="1"/>
  <c r="BF430" i="10"/>
  <c r="BE430" i="10"/>
  <c r="BC430" i="10"/>
  <c r="BB430" i="10"/>
  <c r="BA430" i="10"/>
  <c r="AX430" i="10"/>
  <c r="AU430" i="10"/>
  <c r="AP430" i="10"/>
  <c r="AH430" i="10"/>
  <c r="AG430" i="10"/>
  <c r="AE430" i="10"/>
  <c r="AD430" i="10"/>
  <c r="O430" i="10"/>
  <c r="BV429" i="10"/>
  <c r="BS429" i="10"/>
  <c r="BP429" i="10"/>
  <c r="BI429" i="10"/>
  <c r="BH429" i="10"/>
  <c r="BJ429" i="10" s="1"/>
  <c r="BF429" i="10"/>
  <c r="BE429" i="10"/>
  <c r="BC429" i="10"/>
  <c r="BB429" i="10"/>
  <c r="BA429" i="10"/>
  <c r="AX429" i="10"/>
  <c r="AU429" i="10"/>
  <c r="AP429" i="10"/>
  <c r="AH429" i="10"/>
  <c r="AG429" i="10"/>
  <c r="AE429" i="10"/>
  <c r="AD429" i="10"/>
  <c r="O429" i="10"/>
  <c r="Q429" i="10" s="1"/>
  <c r="BV428" i="10"/>
  <c r="BS428" i="10"/>
  <c r="BP428" i="10"/>
  <c r="BI428" i="10"/>
  <c r="BH428" i="10"/>
  <c r="BF428" i="10"/>
  <c r="BE428" i="10"/>
  <c r="BC428" i="10"/>
  <c r="BB428" i="10"/>
  <c r="BA428" i="10"/>
  <c r="AX428" i="10"/>
  <c r="AU428" i="10"/>
  <c r="AP428" i="10"/>
  <c r="AH428" i="10"/>
  <c r="AG428" i="10"/>
  <c r="AE428" i="10"/>
  <c r="AD428" i="10"/>
  <c r="O428" i="10"/>
  <c r="Q428" i="10" s="1"/>
  <c r="BV427" i="10"/>
  <c r="BS427" i="10"/>
  <c r="BP427" i="10"/>
  <c r="BI427" i="10"/>
  <c r="BH427" i="10"/>
  <c r="BJ427" i="10" s="1"/>
  <c r="BF427" i="10"/>
  <c r="BE427" i="10"/>
  <c r="BC427" i="10"/>
  <c r="BB427" i="10"/>
  <c r="BA427" i="10"/>
  <c r="AX427" i="10"/>
  <c r="AU427" i="10"/>
  <c r="AP427" i="10"/>
  <c r="AH427" i="10"/>
  <c r="AG427" i="10"/>
  <c r="AE427" i="10"/>
  <c r="AD427" i="10"/>
  <c r="O427" i="10"/>
  <c r="Q427" i="10" s="1"/>
  <c r="BV426" i="10"/>
  <c r="BS426" i="10"/>
  <c r="BP426" i="10"/>
  <c r="BI426" i="10"/>
  <c r="BH426" i="10"/>
  <c r="BJ426" i="10" s="1"/>
  <c r="BF426" i="10"/>
  <c r="BE426" i="10"/>
  <c r="BC426" i="10"/>
  <c r="BB426" i="10"/>
  <c r="BA426" i="10"/>
  <c r="AX426" i="10"/>
  <c r="AU426" i="10"/>
  <c r="AP426" i="10"/>
  <c r="AH426" i="10"/>
  <c r="AG426" i="10"/>
  <c r="AE426" i="10"/>
  <c r="AD426" i="10"/>
  <c r="O426" i="10"/>
  <c r="BV425" i="10"/>
  <c r="BS425" i="10"/>
  <c r="BP425" i="10"/>
  <c r="BI425" i="10"/>
  <c r="BH425" i="10"/>
  <c r="BJ425" i="10" s="1"/>
  <c r="BF425" i="10"/>
  <c r="BE425" i="10"/>
  <c r="BC425" i="10"/>
  <c r="BB425" i="10"/>
  <c r="BA425" i="10"/>
  <c r="AX425" i="10"/>
  <c r="AU425" i="10"/>
  <c r="AP425" i="10"/>
  <c r="AH425" i="10"/>
  <c r="AG425" i="10"/>
  <c r="AE425" i="10"/>
  <c r="AD425" i="10"/>
  <c r="O425" i="10"/>
  <c r="Q425" i="10" s="1"/>
  <c r="BV424" i="10"/>
  <c r="BS424" i="10"/>
  <c r="BP424" i="10"/>
  <c r="BI424" i="10"/>
  <c r="BH424" i="10"/>
  <c r="BF424" i="10"/>
  <c r="BE424" i="10"/>
  <c r="BC424" i="10"/>
  <c r="BB424" i="10"/>
  <c r="BA424" i="10"/>
  <c r="AX424" i="10"/>
  <c r="AU424" i="10"/>
  <c r="AP424" i="10"/>
  <c r="AH424" i="10"/>
  <c r="AG424" i="10"/>
  <c r="AE424" i="10"/>
  <c r="AD424" i="10"/>
  <c r="O424" i="10"/>
  <c r="BV423" i="10"/>
  <c r="BS423" i="10"/>
  <c r="BP423" i="10"/>
  <c r="BI423" i="10"/>
  <c r="BH423" i="10"/>
  <c r="BJ423" i="10" s="1"/>
  <c r="BF423" i="10"/>
  <c r="BE423" i="10"/>
  <c r="BC423" i="10"/>
  <c r="BB423" i="10"/>
  <c r="BA423" i="10"/>
  <c r="AX423" i="10"/>
  <c r="AU423" i="10"/>
  <c r="AP423" i="10"/>
  <c r="AH423" i="10"/>
  <c r="AG423" i="10"/>
  <c r="AE423" i="10"/>
  <c r="AD423" i="10"/>
  <c r="O423" i="10"/>
  <c r="BV422" i="10"/>
  <c r="BS422" i="10"/>
  <c r="BP422" i="10"/>
  <c r="BI422" i="10"/>
  <c r="BH422" i="10"/>
  <c r="BJ422" i="10" s="1"/>
  <c r="BF422" i="10"/>
  <c r="BE422" i="10"/>
  <c r="BC422" i="10"/>
  <c r="BB422" i="10"/>
  <c r="BA422" i="10"/>
  <c r="AX422" i="10"/>
  <c r="AU422" i="10"/>
  <c r="AP422" i="10"/>
  <c r="AH422" i="10"/>
  <c r="AG422" i="10"/>
  <c r="AE422" i="10"/>
  <c r="AD422" i="10"/>
  <c r="O422" i="10"/>
  <c r="BV421" i="10"/>
  <c r="BS421" i="10"/>
  <c r="BP421" i="10"/>
  <c r="BI421" i="10"/>
  <c r="BH421" i="10"/>
  <c r="BJ421" i="10" s="1"/>
  <c r="BF421" i="10"/>
  <c r="BE421" i="10"/>
  <c r="BC421" i="10"/>
  <c r="BB421" i="10"/>
  <c r="BA421" i="10"/>
  <c r="AX421" i="10"/>
  <c r="AU421" i="10"/>
  <c r="AP421" i="10"/>
  <c r="AH421" i="10"/>
  <c r="AG421" i="10"/>
  <c r="AE421" i="10"/>
  <c r="AD421" i="10"/>
  <c r="O421" i="10"/>
  <c r="Q421" i="10" s="1"/>
  <c r="BV420" i="10"/>
  <c r="BS420" i="10"/>
  <c r="BP420" i="10"/>
  <c r="BI420" i="10"/>
  <c r="BH420" i="10"/>
  <c r="BF420" i="10"/>
  <c r="BE420" i="10"/>
  <c r="BC420" i="10"/>
  <c r="BB420" i="10"/>
  <c r="BA420" i="10"/>
  <c r="AX420" i="10"/>
  <c r="AU420" i="10"/>
  <c r="AP420" i="10"/>
  <c r="AH420" i="10"/>
  <c r="AG420" i="10"/>
  <c r="AE420" i="10"/>
  <c r="AD420" i="10"/>
  <c r="O420" i="10"/>
  <c r="Q420" i="10" s="1"/>
  <c r="BV419" i="10"/>
  <c r="BS419" i="10"/>
  <c r="BP419" i="10"/>
  <c r="BI419" i="10"/>
  <c r="BH419" i="10"/>
  <c r="BJ419" i="10" s="1"/>
  <c r="BF419" i="10"/>
  <c r="BE419" i="10"/>
  <c r="BC419" i="10"/>
  <c r="BB419" i="10"/>
  <c r="BA419" i="10"/>
  <c r="AX419" i="10"/>
  <c r="AU419" i="10"/>
  <c r="AP419" i="10"/>
  <c r="AH419" i="10"/>
  <c r="AG419" i="10"/>
  <c r="AE419" i="10"/>
  <c r="AD419" i="10"/>
  <c r="O419" i="10"/>
  <c r="Q419" i="10" s="1"/>
  <c r="BV418" i="10"/>
  <c r="BS418" i="10"/>
  <c r="BP418" i="10"/>
  <c r="BI418" i="10"/>
  <c r="BH418" i="10"/>
  <c r="BJ418" i="10" s="1"/>
  <c r="BF418" i="10"/>
  <c r="BE418" i="10"/>
  <c r="BC418" i="10"/>
  <c r="BB418" i="10"/>
  <c r="BA418" i="10"/>
  <c r="AX418" i="10"/>
  <c r="AU418" i="10"/>
  <c r="AP418" i="10"/>
  <c r="AH418" i="10"/>
  <c r="AG418" i="10"/>
  <c r="AE418" i="10"/>
  <c r="AD418" i="10"/>
  <c r="O418" i="10"/>
  <c r="BV417" i="10"/>
  <c r="BS417" i="10"/>
  <c r="BP417" i="10"/>
  <c r="BI417" i="10"/>
  <c r="BH417" i="10"/>
  <c r="BJ417" i="10" s="1"/>
  <c r="BF417" i="10"/>
  <c r="BE417" i="10"/>
  <c r="BC417" i="10"/>
  <c r="BB417" i="10"/>
  <c r="BA417" i="10"/>
  <c r="AX417" i="10"/>
  <c r="AU417" i="10"/>
  <c r="AP417" i="10"/>
  <c r="AH417" i="10"/>
  <c r="AG417" i="10"/>
  <c r="AE417" i="10"/>
  <c r="AD417" i="10"/>
  <c r="O417" i="10"/>
  <c r="BV416" i="10"/>
  <c r="BS416" i="10"/>
  <c r="BP416" i="10"/>
  <c r="BI416" i="10"/>
  <c r="BH416" i="10"/>
  <c r="BF416" i="10"/>
  <c r="BE416" i="10"/>
  <c r="BC416" i="10"/>
  <c r="BB416" i="10"/>
  <c r="BA416" i="10"/>
  <c r="AX416" i="10"/>
  <c r="AU416" i="10"/>
  <c r="AP416" i="10"/>
  <c r="AH416" i="10"/>
  <c r="AG416" i="10"/>
  <c r="AE416" i="10"/>
  <c r="AD416" i="10"/>
  <c r="O416" i="10"/>
  <c r="BV415" i="10"/>
  <c r="BS415" i="10"/>
  <c r="BP415" i="10"/>
  <c r="BI415" i="10"/>
  <c r="BH415" i="10"/>
  <c r="BJ415" i="10" s="1"/>
  <c r="BF415" i="10"/>
  <c r="BE415" i="10"/>
  <c r="BC415" i="10"/>
  <c r="BB415" i="10"/>
  <c r="BA415" i="10"/>
  <c r="AX415" i="10"/>
  <c r="AU415" i="10"/>
  <c r="AP415" i="10"/>
  <c r="AH415" i="10"/>
  <c r="AG415" i="10"/>
  <c r="AE415" i="10"/>
  <c r="AD415" i="10"/>
  <c r="O415" i="10"/>
  <c r="BV414" i="10"/>
  <c r="BS414" i="10"/>
  <c r="BP414" i="10"/>
  <c r="BI414" i="10"/>
  <c r="BH414" i="10"/>
  <c r="BJ414" i="10" s="1"/>
  <c r="BF414" i="10"/>
  <c r="BE414" i="10"/>
  <c r="BC414" i="10"/>
  <c r="BB414" i="10"/>
  <c r="BA414" i="10"/>
  <c r="AX414" i="10"/>
  <c r="AU414" i="10"/>
  <c r="AP414" i="10"/>
  <c r="AH414" i="10"/>
  <c r="AG414" i="10"/>
  <c r="AE414" i="10"/>
  <c r="AD414" i="10"/>
  <c r="O414" i="10"/>
  <c r="BV413" i="10"/>
  <c r="BS413" i="10"/>
  <c r="BP413" i="10"/>
  <c r="BI413" i="10"/>
  <c r="BH413" i="10"/>
  <c r="BJ413" i="10" s="1"/>
  <c r="BF413" i="10"/>
  <c r="BE413" i="10"/>
  <c r="BC413" i="10"/>
  <c r="BB413" i="10"/>
  <c r="BA413" i="10"/>
  <c r="AX413" i="10"/>
  <c r="AU413" i="10"/>
  <c r="AP413" i="10"/>
  <c r="AH413" i="10"/>
  <c r="AG413" i="10"/>
  <c r="AE413" i="10"/>
  <c r="AD413" i="10"/>
  <c r="O413" i="10"/>
  <c r="Q413" i="10" s="1"/>
  <c r="BV412" i="10"/>
  <c r="BS412" i="10"/>
  <c r="BP412" i="10"/>
  <c r="BI412" i="10"/>
  <c r="BH412" i="10"/>
  <c r="BF412" i="10"/>
  <c r="BE412" i="10"/>
  <c r="BC412" i="10"/>
  <c r="BB412" i="10"/>
  <c r="BA412" i="10"/>
  <c r="AX412" i="10"/>
  <c r="AU412" i="10"/>
  <c r="AP412" i="10"/>
  <c r="AH412" i="10"/>
  <c r="AG412" i="10"/>
  <c r="AE412" i="10"/>
  <c r="AD412" i="10"/>
  <c r="O412" i="10"/>
  <c r="Q412" i="10" s="1"/>
  <c r="BV411" i="10"/>
  <c r="BS411" i="10"/>
  <c r="BP411" i="10"/>
  <c r="BI411" i="10"/>
  <c r="BH411" i="10"/>
  <c r="BJ411" i="10" s="1"/>
  <c r="BF411" i="10"/>
  <c r="BE411" i="10"/>
  <c r="BC411" i="10"/>
  <c r="BB411" i="10"/>
  <c r="BA411" i="10"/>
  <c r="AX411" i="10"/>
  <c r="AU411" i="10"/>
  <c r="AP411" i="10"/>
  <c r="AH411" i="10"/>
  <c r="AG411" i="10"/>
  <c r="AE411" i="10"/>
  <c r="AD411" i="10"/>
  <c r="O411" i="10"/>
  <c r="Q411" i="10" s="1"/>
  <c r="BV410" i="10"/>
  <c r="BS410" i="10"/>
  <c r="BP410" i="10"/>
  <c r="BI410" i="10"/>
  <c r="BH410" i="10"/>
  <c r="BJ410" i="10" s="1"/>
  <c r="BF410" i="10"/>
  <c r="BE410" i="10"/>
  <c r="BC410" i="10"/>
  <c r="BB410" i="10"/>
  <c r="BA410" i="10"/>
  <c r="AX410" i="10"/>
  <c r="AU410" i="10"/>
  <c r="AP410" i="10"/>
  <c r="AH410" i="10"/>
  <c r="AG410" i="10"/>
  <c r="AE410" i="10"/>
  <c r="AD410" i="10"/>
  <c r="O410" i="10"/>
  <c r="BV409" i="10"/>
  <c r="BS409" i="10"/>
  <c r="BP409" i="10"/>
  <c r="BI409" i="10"/>
  <c r="BH409" i="10"/>
  <c r="BJ409" i="10" s="1"/>
  <c r="BF409" i="10"/>
  <c r="BE409" i="10"/>
  <c r="BC409" i="10"/>
  <c r="BB409" i="10"/>
  <c r="BA409" i="10"/>
  <c r="AX409" i="10"/>
  <c r="AU409" i="10"/>
  <c r="AP409" i="10"/>
  <c r="AH409" i="10"/>
  <c r="AG409" i="10"/>
  <c r="AE409" i="10"/>
  <c r="AD409" i="10"/>
  <c r="P409" i="10"/>
  <c r="O409" i="10"/>
  <c r="BV408" i="10"/>
  <c r="BS408" i="10"/>
  <c r="BP408" i="10"/>
  <c r="BI408" i="10"/>
  <c r="BH408" i="10"/>
  <c r="BF408" i="10"/>
  <c r="BE408" i="10"/>
  <c r="BC408" i="10"/>
  <c r="BB408" i="10"/>
  <c r="BA408" i="10"/>
  <c r="AX408" i="10"/>
  <c r="AU408" i="10"/>
  <c r="AP408" i="10"/>
  <c r="AH408" i="10"/>
  <c r="AG408" i="10"/>
  <c r="AE408" i="10"/>
  <c r="AD408" i="10"/>
  <c r="P408" i="10"/>
  <c r="O408" i="10"/>
  <c r="BV407" i="10"/>
  <c r="BS407" i="10"/>
  <c r="BP407" i="10"/>
  <c r="BI407" i="10"/>
  <c r="BH407" i="10"/>
  <c r="BJ407" i="10" s="1"/>
  <c r="BF407" i="10"/>
  <c r="BE407" i="10"/>
  <c r="BC407" i="10"/>
  <c r="BB407" i="10"/>
  <c r="BA407" i="10"/>
  <c r="AX407" i="10"/>
  <c r="AU407" i="10"/>
  <c r="AP407" i="10"/>
  <c r="AH407" i="10"/>
  <c r="AG407" i="10"/>
  <c r="AE407" i="10"/>
  <c r="AD407" i="10"/>
  <c r="P407" i="10"/>
  <c r="O407" i="10"/>
  <c r="BV406" i="10"/>
  <c r="BS406" i="10"/>
  <c r="BP406" i="10"/>
  <c r="BI406" i="10"/>
  <c r="BH406" i="10"/>
  <c r="BF406" i="10"/>
  <c r="BE406" i="10"/>
  <c r="BC406" i="10"/>
  <c r="BB406" i="10"/>
  <c r="BA406" i="10"/>
  <c r="AX406" i="10"/>
  <c r="AU406" i="10"/>
  <c r="AP406" i="10"/>
  <c r="AH406" i="10"/>
  <c r="AG406" i="10"/>
  <c r="AE406" i="10"/>
  <c r="AD406" i="10"/>
  <c r="P406" i="10"/>
  <c r="O406" i="10"/>
  <c r="BV405" i="10"/>
  <c r="BS405" i="10"/>
  <c r="BP405" i="10"/>
  <c r="BI405" i="10"/>
  <c r="BH405" i="10"/>
  <c r="BF405" i="10"/>
  <c r="BE405" i="10"/>
  <c r="BC405" i="10"/>
  <c r="BB405" i="10"/>
  <c r="BA405" i="10"/>
  <c r="AX405" i="10"/>
  <c r="AU405" i="10"/>
  <c r="AP405" i="10"/>
  <c r="AH405" i="10"/>
  <c r="AG405" i="10"/>
  <c r="AE405" i="10"/>
  <c r="AD405" i="10"/>
  <c r="P405" i="10"/>
  <c r="O405" i="10"/>
  <c r="BV404" i="10"/>
  <c r="BS404" i="10"/>
  <c r="BP404" i="10"/>
  <c r="BI404" i="10"/>
  <c r="BH404" i="10"/>
  <c r="BF404" i="10"/>
  <c r="BE404" i="10"/>
  <c r="BC404" i="10"/>
  <c r="BB404" i="10"/>
  <c r="BA404" i="10"/>
  <c r="AX404" i="10"/>
  <c r="AU404" i="10"/>
  <c r="AP404" i="10"/>
  <c r="AH404" i="10"/>
  <c r="AG404" i="10"/>
  <c r="AE404" i="10"/>
  <c r="AD404" i="10"/>
  <c r="P404" i="10"/>
  <c r="O404" i="10"/>
  <c r="BV403" i="10"/>
  <c r="BS403" i="10"/>
  <c r="BP403" i="10"/>
  <c r="BI403" i="10"/>
  <c r="BH403" i="10"/>
  <c r="BF403" i="10"/>
  <c r="BE403" i="10"/>
  <c r="BC403" i="10"/>
  <c r="BB403" i="10"/>
  <c r="BA403" i="10"/>
  <c r="AX403" i="10"/>
  <c r="AU403" i="10"/>
  <c r="AP403" i="10"/>
  <c r="AH403" i="10"/>
  <c r="AG403" i="10"/>
  <c r="AE403" i="10"/>
  <c r="AD403" i="10"/>
  <c r="P403" i="10"/>
  <c r="O403" i="10"/>
  <c r="BV402" i="10"/>
  <c r="BS402" i="10"/>
  <c r="BP402" i="10"/>
  <c r="BI402" i="10"/>
  <c r="BH402" i="10"/>
  <c r="BF402" i="10"/>
  <c r="BE402" i="10"/>
  <c r="BC402" i="10"/>
  <c r="BB402" i="10"/>
  <c r="BA402" i="10"/>
  <c r="AX402" i="10"/>
  <c r="AU402" i="10"/>
  <c r="AP402" i="10"/>
  <c r="AH402" i="10"/>
  <c r="AG402" i="10"/>
  <c r="AE402" i="10"/>
  <c r="AD402" i="10"/>
  <c r="P402" i="10"/>
  <c r="O402" i="10"/>
  <c r="BV401" i="10"/>
  <c r="BS401" i="10"/>
  <c r="BP401" i="10"/>
  <c r="BI401" i="10"/>
  <c r="BH401" i="10"/>
  <c r="BJ401" i="10" s="1"/>
  <c r="BF401" i="10"/>
  <c r="BE401" i="10"/>
  <c r="BC401" i="10"/>
  <c r="BB401" i="10"/>
  <c r="BA401" i="10"/>
  <c r="AX401" i="10"/>
  <c r="AU401" i="10"/>
  <c r="AP401" i="10"/>
  <c r="AH401" i="10"/>
  <c r="AG401" i="10"/>
  <c r="AE401" i="10"/>
  <c r="AD401" i="10"/>
  <c r="P401" i="10"/>
  <c r="O401" i="10"/>
  <c r="BV400" i="10"/>
  <c r="BS400" i="10"/>
  <c r="BP400" i="10"/>
  <c r="BI400" i="10"/>
  <c r="BH400" i="10"/>
  <c r="BF400" i="10"/>
  <c r="BE400" i="10"/>
  <c r="BC400" i="10"/>
  <c r="BB400" i="10"/>
  <c r="BA400" i="10"/>
  <c r="AX400" i="10"/>
  <c r="AU400" i="10"/>
  <c r="AP400" i="10"/>
  <c r="AH400" i="10"/>
  <c r="AG400" i="10"/>
  <c r="AE400" i="10"/>
  <c r="AD400" i="10"/>
  <c r="P400" i="10"/>
  <c r="O400" i="10"/>
  <c r="BV399" i="10"/>
  <c r="BS399" i="10"/>
  <c r="BP399" i="10"/>
  <c r="BI399" i="10"/>
  <c r="BH399" i="10"/>
  <c r="BJ399" i="10" s="1"/>
  <c r="BF399" i="10"/>
  <c r="BE399" i="10"/>
  <c r="BC399" i="10"/>
  <c r="BB399" i="10"/>
  <c r="BA399" i="10"/>
  <c r="AX399" i="10"/>
  <c r="AU399" i="10"/>
  <c r="AP399" i="10"/>
  <c r="AH399" i="10"/>
  <c r="AG399" i="10"/>
  <c r="AE399" i="10"/>
  <c r="AD399" i="10"/>
  <c r="P399" i="10"/>
  <c r="O399" i="10"/>
  <c r="BV398" i="10"/>
  <c r="BS398" i="10"/>
  <c r="BP398" i="10"/>
  <c r="BI398" i="10"/>
  <c r="BH398" i="10"/>
  <c r="BF398" i="10"/>
  <c r="BE398" i="10"/>
  <c r="BC398" i="10"/>
  <c r="BB398" i="10"/>
  <c r="BA398" i="10"/>
  <c r="AX398" i="10"/>
  <c r="AU398" i="10"/>
  <c r="AP398" i="10"/>
  <c r="AH398" i="10"/>
  <c r="AG398" i="10"/>
  <c r="AE398" i="10"/>
  <c r="AD398" i="10"/>
  <c r="P398" i="10"/>
  <c r="O398" i="10"/>
  <c r="BV397" i="10"/>
  <c r="BS397" i="10"/>
  <c r="BP397" i="10"/>
  <c r="BI397" i="10"/>
  <c r="BH397" i="10"/>
  <c r="BJ397" i="10" s="1"/>
  <c r="BF397" i="10"/>
  <c r="BE397" i="10"/>
  <c r="BC397" i="10"/>
  <c r="BB397" i="10"/>
  <c r="BA397" i="10"/>
  <c r="AX397" i="10"/>
  <c r="AU397" i="10"/>
  <c r="AP397" i="10"/>
  <c r="AH397" i="10"/>
  <c r="AG397" i="10"/>
  <c r="AE397" i="10"/>
  <c r="AD397" i="10"/>
  <c r="P397" i="10"/>
  <c r="O397" i="10"/>
  <c r="BV396" i="10"/>
  <c r="BS396" i="10"/>
  <c r="BP396" i="10"/>
  <c r="BI396" i="10"/>
  <c r="BH396" i="10"/>
  <c r="BF396" i="10"/>
  <c r="BE396" i="10"/>
  <c r="BC396" i="10"/>
  <c r="BB396" i="10"/>
  <c r="BA396" i="10"/>
  <c r="AX396" i="10"/>
  <c r="AU396" i="10"/>
  <c r="AP396" i="10"/>
  <c r="AH396" i="10"/>
  <c r="AG396" i="10"/>
  <c r="AE396" i="10"/>
  <c r="AD396" i="10"/>
  <c r="P396" i="10"/>
  <c r="O396" i="10"/>
  <c r="BV395" i="10"/>
  <c r="BS395" i="10"/>
  <c r="BP395" i="10"/>
  <c r="BI395" i="10"/>
  <c r="BH395" i="10"/>
  <c r="BF395" i="10"/>
  <c r="BE395" i="10"/>
  <c r="BC395" i="10"/>
  <c r="BB395" i="10"/>
  <c r="BA395" i="10"/>
  <c r="AX395" i="10"/>
  <c r="AU395" i="10"/>
  <c r="AP395" i="10"/>
  <c r="AH395" i="10"/>
  <c r="AG395" i="10"/>
  <c r="AE395" i="10"/>
  <c r="AD395" i="10"/>
  <c r="P395" i="10"/>
  <c r="O395" i="10"/>
  <c r="BV394" i="10"/>
  <c r="BS394" i="10"/>
  <c r="BP394" i="10"/>
  <c r="BI394" i="10"/>
  <c r="BH394" i="10"/>
  <c r="BF394" i="10"/>
  <c r="BE394" i="10"/>
  <c r="BC394" i="10"/>
  <c r="BB394" i="10"/>
  <c r="BA394" i="10"/>
  <c r="AX394" i="10"/>
  <c r="AU394" i="10"/>
  <c r="AP394" i="10"/>
  <c r="AH394" i="10"/>
  <c r="AG394" i="10"/>
  <c r="AE394" i="10"/>
  <c r="AD394" i="10"/>
  <c r="P394" i="10"/>
  <c r="O394" i="10"/>
  <c r="BV393" i="10"/>
  <c r="BS393" i="10"/>
  <c r="BP393" i="10"/>
  <c r="BI393" i="10"/>
  <c r="BH393" i="10"/>
  <c r="BJ393" i="10" s="1"/>
  <c r="BF393" i="10"/>
  <c r="BE393" i="10"/>
  <c r="BC393" i="10"/>
  <c r="BB393" i="10"/>
  <c r="BA393" i="10"/>
  <c r="AX393" i="10"/>
  <c r="AU393" i="10"/>
  <c r="AP393" i="10"/>
  <c r="AH393" i="10"/>
  <c r="AG393" i="10"/>
  <c r="AE393" i="10"/>
  <c r="AD393" i="10"/>
  <c r="P393" i="10"/>
  <c r="O393" i="10"/>
  <c r="BV392" i="10"/>
  <c r="BS392" i="10"/>
  <c r="BP392" i="10"/>
  <c r="BI392" i="10"/>
  <c r="BH392" i="10"/>
  <c r="BF392" i="10"/>
  <c r="BE392" i="10"/>
  <c r="BC392" i="10"/>
  <c r="BB392" i="10"/>
  <c r="BA392" i="10"/>
  <c r="AX392" i="10"/>
  <c r="AU392" i="10"/>
  <c r="AP392" i="10"/>
  <c r="AH392" i="10"/>
  <c r="AG392" i="10"/>
  <c r="AE392" i="10"/>
  <c r="AD392" i="10"/>
  <c r="P392" i="10"/>
  <c r="O392" i="10"/>
  <c r="BV391" i="10"/>
  <c r="BS391" i="10"/>
  <c r="BP391" i="10"/>
  <c r="BI391" i="10"/>
  <c r="BH391" i="10"/>
  <c r="BJ391" i="10" s="1"/>
  <c r="BF391" i="10"/>
  <c r="BE391" i="10"/>
  <c r="BC391" i="10"/>
  <c r="BB391" i="10"/>
  <c r="BA391" i="10"/>
  <c r="AX391" i="10"/>
  <c r="AU391" i="10"/>
  <c r="AP391" i="10"/>
  <c r="AH391" i="10"/>
  <c r="AG391" i="10"/>
  <c r="AE391" i="10"/>
  <c r="AD391" i="10"/>
  <c r="P391" i="10"/>
  <c r="O391" i="10"/>
  <c r="BV390" i="10"/>
  <c r="BS390" i="10"/>
  <c r="BP390" i="10"/>
  <c r="BI390" i="10"/>
  <c r="BH390" i="10"/>
  <c r="BF390" i="10"/>
  <c r="BE390" i="10"/>
  <c r="BC390" i="10"/>
  <c r="BB390" i="10"/>
  <c r="BA390" i="10"/>
  <c r="AX390" i="10"/>
  <c r="AU390" i="10"/>
  <c r="AP390" i="10"/>
  <c r="AH390" i="10"/>
  <c r="AG390" i="10"/>
  <c r="AE390" i="10"/>
  <c r="AD390" i="10"/>
  <c r="P390" i="10"/>
  <c r="O390" i="10"/>
  <c r="BV389" i="10"/>
  <c r="BS389" i="10"/>
  <c r="BP389" i="10"/>
  <c r="BI389" i="10"/>
  <c r="BH389" i="10"/>
  <c r="BJ389" i="10" s="1"/>
  <c r="BF389" i="10"/>
  <c r="BE389" i="10"/>
  <c r="BC389" i="10"/>
  <c r="BB389" i="10"/>
  <c r="BA389" i="10"/>
  <c r="AX389" i="10"/>
  <c r="AU389" i="10"/>
  <c r="AP389" i="10"/>
  <c r="AH389" i="10"/>
  <c r="AG389" i="10"/>
  <c r="AE389" i="10"/>
  <c r="AD389" i="10"/>
  <c r="P389" i="10"/>
  <c r="O389" i="10"/>
  <c r="BV388" i="10"/>
  <c r="BS388" i="10"/>
  <c r="BP388" i="10"/>
  <c r="BI388" i="10"/>
  <c r="BH388" i="10"/>
  <c r="BF388" i="10"/>
  <c r="BE388" i="10"/>
  <c r="BC388" i="10"/>
  <c r="BB388" i="10"/>
  <c r="BA388" i="10"/>
  <c r="AX388" i="10"/>
  <c r="AU388" i="10"/>
  <c r="AP388" i="10"/>
  <c r="AH388" i="10"/>
  <c r="AG388" i="10"/>
  <c r="AE388" i="10"/>
  <c r="AD388" i="10"/>
  <c r="P388" i="10"/>
  <c r="O388" i="10"/>
  <c r="BV387" i="10"/>
  <c r="BS387" i="10"/>
  <c r="BP387" i="10"/>
  <c r="BI387" i="10"/>
  <c r="BH387" i="10"/>
  <c r="BF387" i="10"/>
  <c r="BE387" i="10"/>
  <c r="BC387" i="10"/>
  <c r="BB387" i="10"/>
  <c r="BA387" i="10"/>
  <c r="AX387" i="10"/>
  <c r="AU387" i="10"/>
  <c r="AP387" i="10"/>
  <c r="AH387" i="10"/>
  <c r="AG387" i="10"/>
  <c r="AE387" i="10"/>
  <c r="AD387" i="10"/>
  <c r="P387" i="10"/>
  <c r="O387" i="10"/>
  <c r="BV386" i="10"/>
  <c r="BS386" i="10"/>
  <c r="BP386" i="10"/>
  <c r="BI386" i="10"/>
  <c r="BH386" i="10"/>
  <c r="BF386" i="10"/>
  <c r="BE386" i="10"/>
  <c r="BC386" i="10"/>
  <c r="BB386" i="10"/>
  <c r="BA386" i="10"/>
  <c r="AX386" i="10"/>
  <c r="AU386" i="10"/>
  <c r="AP386" i="10"/>
  <c r="AH386" i="10"/>
  <c r="AG386" i="10"/>
  <c r="AE386" i="10"/>
  <c r="AD386" i="10"/>
  <c r="P386" i="10"/>
  <c r="O386" i="10"/>
  <c r="BV385" i="10"/>
  <c r="BS385" i="10"/>
  <c r="BP385" i="10"/>
  <c r="BI385" i="10"/>
  <c r="BH385" i="10"/>
  <c r="BJ385" i="10" s="1"/>
  <c r="BF385" i="10"/>
  <c r="BE385" i="10"/>
  <c r="BC385" i="10"/>
  <c r="BB385" i="10"/>
  <c r="BA385" i="10"/>
  <c r="AX385" i="10"/>
  <c r="AU385" i="10"/>
  <c r="AP385" i="10"/>
  <c r="AH385" i="10"/>
  <c r="AG385" i="10"/>
  <c r="AE385" i="10"/>
  <c r="AD385" i="10"/>
  <c r="P385" i="10"/>
  <c r="O385" i="10"/>
  <c r="BV384" i="10"/>
  <c r="BS384" i="10"/>
  <c r="BP384" i="10"/>
  <c r="BI384" i="10"/>
  <c r="BH384" i="10"/>
  <c r="BF384" i="10"/>
  <c r="BE384" i="10"/>
  <c r="BC384" i="10"/>
  <c r="BB384" i="10"/>
  <c r="BA384" i="10"/>
  <c r="AX384" i="10"/>
  <c r="AU384" i="10"/>
  <c r="AP384" i="10"/>
  <c r="AH384" i="10"/>
  <c r="AG384" i="10"/>
  <c r="AE384" i="10"/>
  <c r="AD384" i="10"/>
  <c r="P384" i="10"/>
  <c r="O384" i="10"/>
  <c r="BV383" i="10"/>
  <c r="BS383" i="10"/>
  <c r="BP383" i="10"/>
  <c r="BI383" i="10"/>
  <c r="BH383" i="10"/>
  <c r="BJ383" i="10" s="1"/>
  <c r="BF383" i="10"/>
  <c r="BE383" i="10"/>
  <c r="BC383" i="10"/>
  <c r="BB383" i="10"/>
  <c r="BA383" i="10"/>
  <c r="AX383" i="10"/>
  <c r="AU383" i="10"/>
  <c r="AP383" i="10"/>
  <c r="AH383" i="10"/>
  <c r="AG383" i="10"/>
  <c r="AE383" i="10"/>
  <c r="AD383" i="10"/>
  <c r="P383" i="10"/>
  <c r="O383" i="10"/>
  <c r="BV382" i="10"/>
  <c r="BS382" i="10"/>
  <c r="BP382" i="10"/>
  <c r="BI382" i="10"/>
  <c r="BH382" i="10"/>
  <c r="BF382" i="10"/>
  <c r="BE382" i="10"/>
  <c r="BC382" i="10"/>
  <c r="BB382" i="10"/>
  <c r="BA382" i="10"/>
  <c r="AX382" i="10"/>
  <c r="AU382" i="10"/>
  <c r="AP382" i="10"/>
  <c r="AH382" i="10"/>
  <c r="AG382" i="10"/>
  <c r="AE382" i="10"/>
  <c r="AD382" i="10"/>
  <c r="P382" i="10"/>
  <c r="O382" i="10"/>
  <c r="BV381" i="10"/>
  <c r="BS381" i="10"/>
  <c r="BP381" i="10"/>
  <c r="BI381" i="10"/>
  <c r="BH381" i="10"/>
  <c r="BJ381" i="10" s="1"/>
  <c r="BF381" i="10"/>
  <c r="BE381" i="10"/>
  <c r="BC381" i="10"/>
  <c r="BB381" i="10"/>
  <c r="BA381" i="10"/>
  <c r="AX381" i="10"/>
  <c r="AU381" i="10"/>
  <c r="AP381" i="10"/>
  <c r="AH381" i="10"/>
  <c r="AG381" i="10"/>
  <c r="AE381" i="10"/>
  <c r="AD381" i="10"/>
  <c r="P381" i="10"/>
  <c r="O381" i="10"/>
  <c r="BV380" i="10"/>
  <c r="BS380" i="10"/>
  <c r="BP380" i="10"/>
  <c r="BI380" i="10"/>
  <c r="BH380" i="10"/>
  <c r="BF380" i="10"/>
  <c r="BE380" i="10"/>
  <c r="BC380" i="10"/>
  <c r="BB380" i="10"/>
  <c r="BA380" i="10"/>
  <c r="AX380" i="10"/>
  <c r="AU380" i="10"/>
  <c r="AP380" i="10"/>
  <c r="AH380" i="10"/>
  <c r="AG380" i="10"/>
  <c r="AE380" i="10"/>
  <c r="AD380" i="10"/>
  <c r="P380" i="10"/>
  <c r="O380" i="10"/>
  <c r="BV379" i="10"/>
  <c r="BS379" i="10"/>
  <c r="BP379" i="10"/>
  <c r="BI379" i="10"/>
  <c r="BH379" i="10"/>
  <c r="BF379" i="10"/>
  <c r="BE379" i="10"/>
  <c r="BC379" i="10"/>
  <c r="BB379" i="10"/>
  <c r="BA379" i="10"/>
  <c r="AX379" i="10"/>
  <c r="AU379" i="10"/>
  <c r="AP379" i="10"/>
  <c r="AH379" i="10"/>
  <c r="AG379" i="10"/>
  <c r="AE379" i="10"/>
  <c r="AD379" i="10"/>
  <c r="P379" i="10"/>
  <c r="O379" i="10"/>
  <c r="BV378" i="10"/>
  <c r="BS378" i="10"/>
  <c r="BP378" i="10"/>
  <c r="BI378" i="10"/>
  <c r="BH378" i="10"/>
  <c r="BF378" i="10"/>
  <c r="BE378" i="10"/>
  <c r="BC378" i="10"/>
  <c r="BB378" i="10"/>
  <c r="BA378" i="10"/>
  <c r="AX378" i="10"/>
  <c r="AU378" i="10"/>
  <c r="AP378" i="10"/>
  <c r="AH378" i="10"/>
  <c r="AG378" i="10"/>
  <c r="AE378" i="10"/>
  <c r="AD378" i="10"/>
  <c r="P378" i="10"/>
  <c r="O378" i="10"/>
  <c r="BV377" i="10"/>
  <c r="BS377" i="10"/>
  <c r="BP377" i="10"/>
  <c r="BI377" i="10"/>
  <c r="BH377" i="10"/>
  <c r="BJ377" i="10" s="1"/>
  <c r="BF377" i="10"/>
  <c r="BE377" i="10"/>
  <c r="BC377" i="10"/>
  <c r="BB377" i="10"/>
  <c r="BA377" i="10"/>
  <c r="AX377" i="10"/>
  <c r="AU377" i="10"/>
  <c r="AP377" i="10"/>
  <c r="AH377" i="10"/>
  <c r="AG377" i="10"/>
  <c r="AE377" i="10"/>
  <c r="AD377" i="10"/>
  <c r="P377" i="10"/>
  <c r="O377" i="10"/>
  <c r="BV376" i="10"/>
  <c r="BS376" i="10"/>
  <c r="BP376" i="10"/>
  <c r="BI376" i="10"/>
  <c r="BH376" i="10"/>
  <c r="BF376" i="10"/>
  <c r="BE376" i="10"/>
  <c r="BC376" i="10"/>
  <c r="BB376" i="10"/>
  <c r="BA376" i="10"/>
  <c r="AX376" i="10"/>
  <c r="AU376" i="10"/>
  <c r="AP376" i="10"/>
  <c r="AH376" i="10"/>
  <c r="AG376" i="10"/>
  <c r="AE376" i="10"/>
  <c r="AD376" i="10"/>
  <c r="P376" i="10"/>
  <c r="O376" i="10"/>
  <c r="BV375" i="10"/>
  <c r="BS375" i="10"/>
  <c r="BP375" i="10"/>
  <c r="BI375" i="10"/>
  <c r="BH375" i="10"/>
  <c r="BJ375" i="10" s="1"/>
  <c r="BF375" i="10"/>
  <c r="BE375" i="10"/>
  <c r="BC375" i="10"/>
  <c r="BB375" i="10"/>
  <c r="BA375" i="10"/>
  <c r="AX375" i="10"/>
  <c r="AU375" i="10"/>
  <c r="AP375" i="10"/>
  <c r="AH375" i="10"/>
  <c r="AG375" i="10"/>
  <c r="AE375" i="10"/>
  <c r="AD375" i="10"/>
  <c r="P375" i="10"/>
  <c r="O375" i="10"/>
  <c r="BV374" i="10"/>
  <c r="BS374" i="10"/>
  <c r="BP374" i="10"/>
  <c r="BI374" i="10"/>
  <c r="BH374" i="10"/>
  <c r="BF374" i="10"/>
  <c r="BE374" i="10"/>
  <c r="BC374" i="10"/>
  <c r="BB374" i="10"/>
  <c r="BA374" i="10"/>
  <c r="AX374" i="10"/>
  <c r="AU374" i="10"/>
  <c r="AP374" i="10"/>
  <c r="AH374" i="10"/>
  <c r="AG374" i="10"/>
  <c r="AE374" i="10"/>
  <c r="AD374" i="10"/>
  <c r="P374" i="10"/>
  <c r="O374" i="10"/>
  <c r="BV373" i="10"/>
  <c r="BS373" i="10"/>
  <c r="BP373" i="10"/>
  <c r="BI373" i="10"/>
  <c r="BH373" i="10"/>
  <c r="BJ373" i="10" s="1"/>
  <c r="BF373" i="10"/>
  <c r="BE373" i="10"/>
  <c r="BC373" i="10"/>
  <c r="BB373" i="10"/>
  <c r="BA373" i="10"/>
  <c r="AX373" i="10"/>
  <c r="AU373" i="10"/>
  <c r="AP373" i="10"/>
  <c r="AH373" i="10"/>
  <c r="AG373" i="10"/>
  <c r="AE373" i="10"/>
  <c r="AD373" i="10"/>
  <c r="P373" i="10"/>
  <c r="O373" i="10"/>
  <c r="BV372" i="10"/>
  <c r="BS372" i="10"/>
  <c r="BP372" i="10"/>
  <c r="BI372" i="10"/>
  <c r="BH372" i="10"/>
  <c r="BF372" i="10"/>
  <c r="BE372" i="10"/>
  <c r="BC372" i="10"/>
  <c r="BB372" i="10"/>
  <c r="BA372" i="10"/>
  <c r="AX372" i="10"/>
  <c r="AU372" i="10"/>
  <c r="AP372" i="10"/>
  <c r="AH372" i="10"/>
  <c r="AG372" i="10"/>
  <c r="AE372" i="10"/>
  <c r="AD372" i="10"/>
  <c r="P372" i="10"/>
  <c r="O372" i="10"/>
  <c r="BV371" i="10"/>
  <c r="BS371" i="10"/>
  <c r="BP371" i="10"/>
  <c r="BI371" i="10"/>
  <c r="BH371" i="10"/>
  <c r="BF371" i="10"/>
  <c r="BE371" i="10"/>
  <c r="BC371" i="10"/>
  <c r="BB371" i="10"/>
  <c r="BA371" i="10"/>
  <c r="AX371" i="10"/>
  <c r="AU371" i="10"/>
  <c r="AP371" i="10"/>
  <c r="AH371" i="10"/>
  <c r="AG371" i="10"/>
  <c r="AE371" i="10"/>
  <c r="AD371" i="10"/>
  <c r="P371" i="10"/>
  <c r="O371" i="10"/>
  <c r="BV370" i="10"/>
  <c r="BS370" i="10"/>
  <c r="BP370" i="10"/>
  <c r="BI370" i="10"/>
  <c r="BH370" i="10"/>
  <c r="BF370" i="10"/>
  <c r="BE370" i="10"/>
  <c r="BC370" i="10"/>
  <c r="BB370" i="10"/>
  <c r="BA370" i="10"/>
  <c r="AX370" i="10"/>
  <c r="AU370" i="10"/>
  <c r="AP370" i="10"/>
  <c r="AH370" i="10"/>
  <c r="AG370" i="10"/>
  <c r="AE370" i="10"/>
  <c r="AD370" i="10"/>
  <c r="P370" i="10"/>
  <c r="O370" i="10"/>
  <c r="BV369" i="10"/>
  <c r="BS369" i="10"/>
  <c r="BP369" i="10"/>
  <c r="BI369" i="10"/>
  <c r="BH369" i="10"/>
  <c r="BJ369" i="10" s="1"/>
  <c r="BF369" i="10"/>
  <c r="BE369" i="10"/>
  <c r="BC369" i="10"/>
  <c r="BB369" i="10"/>
  <c r="BA369" i="10"/>
  <c r="AX369" i="10"/>
  <c r="AU369" i="10"/>
  <c r="AP369" i="10"/>
  <c r="AH369" i="10"/>
  <c r="AG369" i="10"/>
  <c r="AE369" i="10"/>
  <c r="AD369" i="10"/>
  <c r="P369" i="10"/>
  <c r="O369" i="10"/>
  <c r="BV368" i="10"/>
  <c r="BS368" i="10"/>
  <c r="BP368" i="10"/>
  <c r="BI368" i="10"/>
  <c r="BH368" i="10"/>
  <c r="BF368" i="10"/>
  <c r="BE368" i="10"/>
  <c r="BC368" i="10"/>
  <c r="BB368" i="10"/>
  <c r="BA368" i="10"/>
  <c r="AX368" i="10"/>
  <c r="AU368" i="10"/>
  <c r="AP368" i="10"/>
  <c r="AH368" i="10"/>
  <c r="AG368" i="10"/>
  <c r="AE368" i="10"/>
  <c r="AD368" i="10"/>
  <c r="P368" i="10"/>
  <c r="O368" i="10"/>
  <c r="BV367" i="10"/>
  <c r="BS367" i="10"/>
  <c r="BP367" i="10"/>
  <c r="BI367" i="10"/>
  <c r="BH367" i="10"/>
  <c r="BJ367" i="10" s="1"/>
  <c r="BF367" i="10"/>
  <c r="BE367" i="10"/>
  <c r="BC367" i="10"/>
  <c r="BB367" i="10"/>
  <c r="BA367" i="10"/>
  <c r="AX367" i="10"/>
  <c r="AU367" i="10"/>
  <c r="AP367" i="10"/>
  <c r="AH367" i="10"/>
  <c r="AG367" i="10"/>
  <c r="AE367" i="10"/>
  <c r="AD367" i="10"/>
  <c r="P367" i="10"/>
  <c r="O367" i="10"/>
  <c r="BV366" i="10"/>
  <c r="BS366" i="10"/>
  <c r="BP366" i="10"/>
  <c r="BI366" i="10"/>
  <c r="BH366" i="10"/>
  <c r="BF366" i="10"/>
  <c r="BE366" i="10"/>
  <c r="BC366" i="10"/>
  <c r="BB366" i="10"/>
  <c r="BA366" i="10"/>
  <c r="AX366" i="10"/>
  <c r="AU366" i="10"/>
  <c r="AP366" i="10"/>
  <c r="AH366" i="10"/>
  <c r="AG366" i="10"/>
  <c r="AE366" i="10"/>
  <c r="AD366" i="10"/>
  <c r="P366" i="10"/>
  <c r="O366" i="10"/>
  <c r="BV365" i="10"/>
  <c r="BS365" i="10"/>
  <c r="BP365" i="10"/>
  <c r="BI365" i="10"/>
  <c r="BH365" i="10"/>
  <c r="BJ365" i="10" s="1"/>
  <c r="BF365" i="10"/>
  <c r="BE365" i="10"/>
  <c r="BC365" i="10"/>
  <c r="BB365" i="10"/>
  <c r="BA365" i="10"/>
  <c r="AX365" i="10"/>
  <c r="AU365" i="10"/>
  <c r="AP365" i="10"/>
  <c r="AH365" i="10"/>
  <c r="AG365" i="10"/>
  <c r="AE365" i="10"/>
  <c r="AD365" i="10"/>
  <c r="P365" i="10"/>
  <c r="O365" i="10"/>
  <c r="BV364" i="10"/>
  <c r="BS364" i="10"/>
  <c r="BP364" i="10"/>
  <c r="BI364" i="10"/>
  <c r="BH364" i="10"/>
  <c r="BF364" i="10"/>
  <c r="BE364" i="10"/>
  <c r="BC364" i="10"/>
  <c r="BB364" i="10"/>
  <c r="BA364" i="10"/>
  <c r="AX364" i="10"/>
  <c r="AU364" i="10"/>
  <c r="AP364" i="10"/>
  <c r="AH364" i="10"/>
  <c r="AG364" i="10"/>
  <c r="AE364" i="10"/>
  <c r="AD364" i="10"/>
  <c r="P364" i="10"/>
  <c r="O364" i="10"/>
  <c r="BV363" i="10"/>
  <c r="BS363" i="10"/>
  <c r="BP363" i="10"/>
  <c r="BI363" i="10"/>
  <c r="BH363" i="10"/>
  <c r="BF363" i="10"/>
  <c r="BE363" i="10"/>
  <c r="BC363" i="10"/>
  <c r="BB363" i="10"/>
  <c r="BA363" i="10"/>
  <c r="AX363" i="10"/>
  <c r="AU363" i="10"/>
  <c r="AP363" i="10"/>
  <c r="AH363" i="10"/>
  <c r="AG363" i="10"/>
  <c r="AE363" i="10"/>
  <c r="AD363" i="10"/>
  <c r="P363" i="10"/>
  <c r="O363" i="10"/>
  <c r="BV362" i="10"/>
  <c r="BS362" i="10"/>
  <c r="BP362" i="10"/>
  <c r="BI362" i="10"/>
  <c r="BH362" i="10"/>
  <c r="BF362" i="10"/>
  <c r="BE362" i="10"/>
  <c r="BC362" i="10"/>
  <c r="BB362" i="10"/>
  <c r="BA362" i="10"/>
  <c r="AX362" i="10"/>
  <c r="AU362" i="10"/>
  <c r="AP362" i="10"/>
  <c r="AH362" i="10"/>
  <c r="AG362" i="10"/>
  <c r="AE362" i="10"/>
  <c r="AD362" i="10"/>
  <c r="P362" i="10"/>
  <c r="O362" i="10"/>
  <c r="BV361" i="10"/>
  <c r="BS361" i="10"/>
  <c r="BP361" i="10"/>
  <c r="BI361" i="10"/>
  <c r="BH361" i="10"/>
  <c r="BJ361" i="10" s="1"/>
  <c r="BF361" i="10"/>
  <c r="BE361" i="10"/>
  <c r="BC361" i="10"/>
  <c r="BB361" i="10"/>
  <c r="BA361" i="10"/>
  <c r="AX361" i="10"/>
  <c r="AU361" i="10"/>
  <c r="AP361" i="10"/>
  <c r="AH361" i="10"/>
  <c r="AG361" i="10"/>
  <c r="AE361" i="10"/>
  <c r="AD361" i="10"/>
  <c r="P361" i="10"/>
  <c r="O361" i="10"/>
  <c r="BV360" i="10"/>
  <c r="BS360" i="10"/>
  <c r="BP360" i="10"/>
  <c r="BI360" i="10"/>
  <c r="BH360" i="10"/>
  <c r="BF360" i="10"/>
  <c r="BE360" i="10"/>
  <c r="BC360" i="10"/>
  <c r="BB360" i="10"/>
  <c r="BA360" i="10"/>
  <c r="AX360" i="10"/>
  <c r="AU360" i="10"/>
  <c r="AP360" i="10"/>
  <c r="AH360" i="10"/>
  <c r="AG360" i="10"/>
  <c r="AE360" i="10"/>
  <c r="AD360" i="10"/>
  <c r="P360" i="10"/>
  <c r="O360" i="10"/>
  <c r="BV359" i="10"/>
  <c r="BS359" i="10"/>
  <c r="BP359" i="10"/>
  <c r="BI359" i="10"/>
  <c r="BH359" i="10"/>
  <c r="BJ359" i="10" s="1"/>
  <c r="BF359" i="10"/>
  <c r="BE359" i="10"/>
  <c r="BC359" i="10"/>
  <c r="BB359" i="10"/>
  <c r="BA359" i="10"/>
  <c r="AX359" i="10"/>
  <c r="AU359" i="10"/>
  <c r="AP359" i="10"/>
  <c r="AH359" i="10"/>
  <c r="AG359" i="10"/>
  <c r="AE359" i="10"/>
  <c r="AD359" i="10"/>
  <c r="P359" i="10"/>
  <c r="O359" i="10"/>
  <c r="BV358" i="10"/>
  <c r="BS358" i="10"/>
  <c r="BP358" i="10"/>
  <c r="BI358" i="10"/>
  <c r="BH358" i="10"/>
  <c r="BF358" i="10"/>
  <c r="BE358" i="10"/>
  <c r="BC358" i="10"/>
  <c r="BB358" i="10"/>
  <c r="BA358" i="10"/>
  <c r="AX358" i="10"/>
  <c r="AU358" i="10"/>
  <c r="AP358" i="10"/>
  <c r="AH358" i="10"/>
  <c r="AG358" i="10"/>
  <c r="AE358" i="10"/>
  <c r="AD358" i="10"/>
  <c r="P358" i="10"/>
  <c r="O358" i="10"/>
  <c r="BV357" i="10"/>
  <c r="BS357" i="10"/>
  <c r="BP357" i="10"/>
  <c r="BI357" i="10"/>
  <c r="BH357" i="10"/>
  <c r="BJ357" i="10" s="1"/>
  <c r="BF357" i="10"/>
  <c r="BE357" i="10"/>
  <c r="BC357" i="10"/>
  <c r="BB357" i="10"/>
  <c r="BA357" i="10"/>
  <c r="AX357" i="10"/>
  <c r="AU357" i="10"/>
  <c r="AP357" i="10"/>
  <c r="AH357" i="10"/>
  <c r="AG357" i="10"/>
  <c r="AE357" i="10"/>
  <c r="AD357" i="10"/>
  <c r="P357" i="10"/>
  <c r="O357" i="10"/>
  <c r="BV356" i="10"/>
  <c r="BS356" i="10"/>
  <c r="BP356" i="10"/>
  <c r="BI356" i="10"/>
  <c r="BH356" i="10"/>
  <c r="BF356" i="10"/>
  <c r="BE356" i="10"/>
  <c r="BC356" i="10"/>
  <c r="BB356" i="10"/>
  <c r="BA356" i="10"/>
  <c r="AX356" i="10"/>
  <c r="AU356" i="10"/>
  <c r="AP356" i="10"/>
  <c r="AH356" i="10"/>
  <c r="AG356" i="10"/>
  <c r="AE356" i="10"/>
  <c r="AD356" i="10"/>
  <c r="P356" i="10"/>
  <c r="O356" i="10"/>
  <c r="BV355" i="10"/>
  <c r="BS355" i="10"/>
  <c r="BP355" i="10"/>
  <c r="BI355" i="10"/>
  <c r="BH355" i="10"/>
  <c r="BF355" i="10"/>
  <c r="BE355" i="10"/>
  <c r="BC355" i="10"/>
  <c r="BB355" i="10"/>
  <c r="BA355" i="10"/>
  <c r="AX355" i="10"/>
  <c r="AU355" i="10"/>
  <c r="AP355" i="10"/>
  <c r="AH355" i="10"/>
  <c r="AG355" i="10"/>
  <c r="AE355" i="10"/>
  <c r="AD355" i="10"/>
  <c r="P355" i="10"/>
  <c r="O355" i="10"/>
  <c r="BV354" i="10"/>
  <c r="BS354" i="10"/>
  <c r="BP354" i="10"/>
  <c r="BI354" i="10"/>
  <c r="BH354" i="10"/>
  <c r="BF354" i="10"/>
  <c r="BE354" i="10"/>
  <c r="BC354" i="10"/>
  <c r="BB354" i="10"/>
  <c r="BA354" i="10"/>
  <c r="AX354" i="10"/>
  <c r="AU354" i="10"/>
  <c r="AP354" i="10"/>
  <c r="AH354" i="10"/>
  <c r="AG354" i="10"/>
  <c r="AE354" i="10"/>
  <c r="AD354" i="10"/>
  <c r="P354" i="10"/>
  <c r="O354" i="10"/>
  <c r="BV353" i="10"/>
  <c r="BS353" i="10"/>
  <c r="BP353" i="10"/>
  <c r="BI353" i="10"/>
  <c r="BH353" i="10"/>
  <c r="BJ353" i="10" s="1"/>
  <c r="BF353" i="10"/>
  <c r="BE353" i="10"/>
  <c r="BC353" i="10"/>
  <c r="BB353" i="10"/>
  <c r="BA353" i="10"/>
  <c r="AX353" i="10"/>
  <c r="AU353" i="10"/>
  <c r="AP353" i="10"/>
  <c r="AH353" i="10"/>
  <c r="AG353" i="10"/>
  <c r="AE353" i="10"/>
  <c r="AD353" i="10"/>
  <c r="P353" i="10"/>
  <c r="O353" i="10"/>
  <c r="BV352" i="10"/>
  <c r="BS352" i="10"/>
  <c r="BP352" i="10"/>
  <c r="BI352" i="10"/>
  <c r="BH352" i="10"/>
  <c r="BF352" i="10"/>
  <c r="BE352" i="10"/>
  <c r="BC352" i="10"/>
  <c r="BB352" i="10"/>
  <c r="BA352" i="10"/>
  <c r="AX352" i="10"/>
  <c r="AU352" i="10"/>
  <c r="AP352" i="10"/>
  <c r="AH352" i="10"/>
  <c r="AG352" i="10"/>
  <c r="AE352" i="10"/>
  <c r="AD352" i="10"/>
  <c r="P352" i="10"/>
  <c r="O352" i="10"/>
  <c r="BV351" i="10"/>
  <c r="BS351" i="10"/>
  <c r="BP351" i="10"/>
  <c r="BI351" i="10"/>
  <c r="BH351" i="10"/>
  <c r="BJ351" i="10" s="1"/>
  <c r="BF351" i="10"/>
  <c r="BE351" i="10"/>
  <c r="BC351" i="10"/>
  <c r="BB351" i="10"/>
  <c r="BA351" i="10"/>
  <c r="AX351" i="10"/>
  <c r="AU351" i="10"/>
  <c r="AP351" i="10"/>
  <c r="AH351" i="10"/>
  <c r="AG351" i="10"/>
  <c r="AE351" i="10"/>
  <c r="AD351" i="10"/>
  <c r="P351" i="10"/>
  <c r="O351" i="10"/>
  <c r="BV350" i="10"/>
  <c r="BS350" i="10"/>
  <c r="BP350" i="10"/>
  <c r="BI350" i="10"/>
  <c r="BH350" i="10"/>
  <c r="BF350" i="10"/>
  <c r="BE350" i="10"/>
  <c r="BC350" i="10"/>
  <c r="BB350" i="10"/>
  <c r="BA350" i="10"/>
  <c r="AX350" i="10"/>
  <c r="AU350" i="10"/>
  <c r="AP350" i="10"/>
  <c r="AH350" i="10"/>
  <c r="AG350" i="10"/>
  <c r="AE350" i="10"/>
  <c r="AD350" i="10"/>
  <c r="P350" i="10"/>
  <c r="O350" i="10"/>
  <c r="BV349" i="10"/>
  <c r="BS349" i="10"/>
  <c r="BP349" i="10"/>
  <c r="BI349" i="10"/>
  <c r="BH349" i="10"/>
  <c r="BJ349" i="10" s="1"/>
  <c r="BF349" i="10"/>
  <c r="BE349" i="10"/>
  <c r="BC349" i="10"/>
  <c r="BB349" i="10"/>
  <c r="BA349" i="10"/>
  <c r="AX349" i="10"/>
  <c r="AU349" i="10"/>
  <c r="AP349" i="10"/>
  <c r="AL349" i="10"/>
  <c r="AH349" i="10"/>
  <c r="AG349" i="10"/>
  <c r="AE349" i="10"/>
  <c r="AD349" i="10"/>
  <c r="AC349" i="10"/>
  <c r="V349" i="10"/>
  <c r="U349" i="10"/>
  <c r="S349" i="10"/>
  <c r="R349" i="10"/>
  <c r="P349" i="10"/>
  <c r="O349" i="10"/>
  <c r="N349" i="10"/>
  <c r="K349" i="10"/>
  <c r="H349" i="10"/>
  <c r="BV334" i="10"/>
  <c r="BS334" i="10"/>
  <c r="BP334" i="10"/>
  <c r="BI334" i="10"/>
  <c r="BH334" i="10"/>
  <c r="BJ334" i="10" s="1"/>
  <c r="BF334" i="10"/>
  <c r="BE334" i="10"/>
  <c r="BC334" i="10"/>
  <c r="BB334" i="10"/>
  <c r="BA334" i="10"/>
  <c r="AX334" i="10"/>
  <c r="AU334" i="10"/>
  <c r="AP334" i="10"/>
  <c r="AL334" i="10"/>
  <c r="AH334" i="10"/>
  <c r="AG334" i="10"/>
  <c r="AE334" i="10"/>
  <c r="AD334" i="10"/>
  <c r="AC334" i="10"/>
  <c r="V334" i="10"/>
  <c r="U334" i="10"/>
  <c r="S334" i="10"/>
  <c r="R334" i="10"/>
  <c r="P334" i="10"/>
  <c r="N334" i="10"/>
  <c r="K334" i="10"/>
  <c r="H334" i="10"/>
  <c r="BV333" i="10"/>
  <c r="BS333" i="10"/>
  <c r="BP333" i="10"/>
  <c r="BI333" i="10"/>
  <c r="BH333" i="10"/>
  <c r="BF333" i="10"/>
  <c r="BE333" i="10"/>
  <c r="BC333" i="10"/>
  <c r="BB333" i="10"/>
  <c r="BA333" i="10"/>
  <c r="AX333" i="10"/>
  <c r="AU333" i="10"/>
  <c r="AP333" i="10"/>
  <c r="AL333" i="10"/>
  <c r="AH333" i="10"/>
  <c r="AG333" i="10"/>
  <c r="AE333" i="10"/>
  <c r="AD333" i="10"/>
  <c r="AC333" i="10"/>
  <c r="V333" i="10"/>
  <c r="U333" i="10"/>
  <c r="S333" i="10"/>
  <c r="R333" i="10"/>
  <c r="P333" i="10"/>
  <c r="N333" i="10"/>
  <c r="K333" i="10"/>
  <c r="H333" i="10"/>
  <c r="BV332" i="10"/>
  <c r="BS332" i="10"/>
  <c r="BP332" i="10"/>
  <c r="BI332" i="10"/>
  <c r="BH332" i="10"/>
  <c r="BJ332" i="10" s="1"/>
  <c r="BF332" i="10"/>
  <c r="BE332" i="10"/>
  <c r="BC332" i="10"/>
  <c r="BB332" i="10"/>
  <c r="BA332" i="10"/>
  <c r="AX332" i="10"/>
  <c r="AU332" i="10"/>
  <c r="AP332" i="10"/>
  <c r="AL332" i="10"/>
  <c r="AH332" i="10"/>
  <c r="AG332" i="10"/>
  <c r="AE332" i="10"/>
  <c r="AD332" i="10"/>
  <c r="AC332" i="10"/>
  <c r="V332" i="10"/>
  <c r="U332" i="10"/>
  <c r="S332" i="10"/>
  <c r="R332" i="10"/>
  <c r="P332" i="10"/>
  <c r="N332" i="10"/>
  <c r="K332" i="10"/>
  <c r="H332" i="10"/>
  <c r="BV331" i="10"/>
  <c r="BS331" i="10"/>
  <c r="BP331" i="10"/>
  <c r="BI331" i="10"/>
  <c r="BH331" i="10"/>
  <c r="BF331" i="10"/>
  <c r="BE331" i="10"/>
  <c r="BC331" i="10"/>
  <c r="BB331" i="10"/>
  <c r="BA331" i="10"/>
  <c r="AX331" i="10"/>
  <c r="AU331" i="10"/>
  <c r="AP331" i="10"/>
  <c r="AL331" i="10"/>
  <c r="AH331" i="10"/>
  <c r="AG331" i="10"/>
  <c r="AE331" i="10"/>
  <c r="AD331" i="10"/>
  <c r="AC331" i="10"/>
  <c r="V331" i="10"/>
  <c r="U331" i="10"/>
  <c r="S331" i="10"/>
  <c r="R331" i="10"/>
  <c r="P331" i="10"/>
  <c r="N331" i="10"/>
  <c r="K331" i="10"/>
  <c r="H331" i="10"/>
  <c r="BV330" i="10"/>
  <c r="BS330" i="10"/>
  <c r="BP330" i="10"/>
  <c r="BI330" i="10"/>
  <c r="BH330" i="10"/>
  <c r="BJ330" i="10" s="1"/>
  <c r="BF330" i="10"/>
  <c r="BE330" i="10"/>
  <c r="BC330" i="10"/>
  <c r="BB330" i="10"/>
  <c r="BA330" i="10"/>
  <c r="AX330" i="10"/>
  <c r="AU330" i="10"/>
  <c r="AP330" i="10"/>
  <c r="AL330" i="10"/>
  <c r="AH330" i="10"/>
  <c r="AG330" i="10"/>
  <c r="AE330" i="10"/>
  <c r="AD330" i="10"/>
  <c r="AC330" i="10"/>
  <c r="V330" i="10"/>
  <c r="U330" i="10"/>
  <c r="S330" i="10"/>
  <c r="R330" i="10"/>
  <c r="P330" i="10"/>
  <c r="N330" i="10"/>
  <c r="K330" i="10"/>
  <c r="H330" i="10"/>
  <c r="BV329" i="10"/>
  <c r="BS329" i="10"/>
  <c r="BP329" i="10"/>
  <c r="BI329" i="10"/>
  <c r="BH329" i="10"/>
  <c r="BF329" i="10"/>
  <c r="BE329" i="10"/>
  <c r="BC329" i="10"/>
  <c r="BB329" i="10"/>
  <c r="BA329" i="10"/>
  <c r="AX329" i="10"/>
  <c r="AU329" i="10"/>
  <c r="AP329" i="10"/>
  <c r="AL329" i="10"/>
  <c r="AH329" i="10"/>
  <c r="AG329" i="10"/>
  <c r="AE329" i="10"/>
  <c r="AD329" i="10"/>
  <c r="AC329" i="10"/>
  <c r="V329" i="10"/>
  <c r="W329" i="10" s="1"/>
  <c r="U329" i="10"/>
  <c r="S329" i="10"/>
  <c r="R329" i="10"/>
  <c r="P329" i="10"/>
  <c r="N329" i="10"/>
  <c r="K329" i="10"/>
  <c r="H329" i="10"/>
  <c r="BV328" i="10"/>
  <c r="BS328" i="10"/>
  <c r="BP328" i="10"/>
  <c r="BI328" i="10"/>
  <c r="BH328" i="10"/>
  <c r="BF328" i="10"/>
  <c r="BE328" i="10"/>
  <c r="BC328" i="10"/>
  <c r="BB328" i="10"/>
  <c r="BA328" i="10"/>
  <c r="AX328" i="10"/>
  <c r="AU328" i="10"/>
  <c r="AP328" i="10"/>
  <c r="AL328" i="10"/>
  <c r="AH328" i="10"/>
  <c r="AG328" i="10"/>
  <c r="AE328" i="10"/>
  <c r="AD328" i="10"/>
  <c r="AC328" i="10"/>
  <c r="V328" i="10"/>
  <c r="U328" i="10"/>
  <c r="S328" i="10"/>
  <c r="R328" i="10"/>
  <c r="P328" i="10"/>
  <c r="N328" i="10"/>
  <c r="K328" i="10"/>
  <c r="H328" i="10"/>
  <c r="BV327" i="10"/>
  <c r="BS327" i="10"/>
  <c r="BP327" i="10"/>
  <c r="BI327" i="10"/>
  <c r="BH327" i="10"/>
  <c r="BF327" i="10"/>
  <c r="BE327" i="10"/>
  <c r="BC327" i="10"/>
  <c r="BB327" i="10"/>
  <c r="BA327" i="10"/>
  <c r="AX327" i="10"/>
  <c r="AU327" i="10"/>
  <c r="AP327" i="10"/>
  <c r="AL327" i="10"/>
  <c r="AH327" i="10"/>
  <c r="AG327" i="10"/>
  <c r="AE327" i="10"/>
  <c r="AD327" i="10"/>
  <c r="AC327" i="10"/>
  <c r="V327" i="10"/>
  <c r="U327" i="10"/>
  <c r="S327" i="10"/>
  <c r="R327" i="10"/>
  <c r="P327" i="10"/>
  <c r="N327" i="10"/>
  <c r="K327" i="10"/>
  <c r="H327" i="10"/>
  <c r="BV326" i="10"/>
  <c r="BS326" i="10"/>
  <c r="BP326" i="10"/>
  <c r="BI326" i="10"/>
  <c r="BH326" i="10"/>
  <c r="BJ326" i="10" s="1"/>
  <c r="BF326" i="10"/>
  <c r="BE326" i="10"/>
  <c r="BC326" i="10"/>
  <c r="BB326" i="10"/>
  <c r="BA326" i="10"/>
  <c r="AX326" i="10"/>
  <c r="AU326" i="10"/>
  <c r="AP326" i="10"/>
  <c r="AL326" i="10"/>
  <c r="AH326" i="10"/>
  <c r="AG326" i="10"/>
  <c r="AE326" i="10"/>
  <c r="AD326" i="10"/>
  <c r="AC326" i="10"/>
  <c r="V326" i="10"/>
  <c r="U326" i="10"/>
  <c r="S326" i="10"/>
  <c r="R326" i="10"/>
  <c r="P326" i="10"/>
  <c r="N326" i="10"/>
  <c r="K326" i="10"/>
  <c r="H326" i="10"/>
  <c r="BV325" i="10"/>
  <c r="BS325" i="10"/>
  <c r="BP325" i="10"/>
  <c r="BI325" i="10"/>
  <c r="BH325" i="10"/>
  <c r="BF325" i="10"/>
  <c r="BE325" i="10"/>
  <c r="BC325" i="10"/>
  <c r="BB325" i="10"/>
  <c r="BA325" i="10"/>
  <c r="AX325" i="10"/>
  <c r="AU325" i="10"/>
  <c r="AP325" i="10"/>
  <c r="AL325" i="10"/>
  <c r="AH325" i="10"/>
  <c r="AG325" i="10"/>
  <c r="AE325" i="10"/>
  <c r="AD325" i="10"/>
  <c r="AC325" i="10"/>
  <c r="V325" i="10"/>
  <c r="U325" i="10"/>
  <c r="S325" i="10"/>
  <c r="R325" i="10"/>
  <c r="P325" i="10"/>
  <c r="N325" i="10"/>
  <c r="K325" i="10"/>
  <c r="H325" i="10"/>
  <c r="BV324" i="10"/>
  <c r="BS324" i="10"/>
  <c r="BP324" i="10"/>
  <c r="BI324" i="10"/>
  <c r="BH324" i="10"/>
  <c r="BJ324" i="10" s="1"/>
  <c r="BF324" i="10"/>
  <c r="BE324" i="10"/>
  <c r="BC324" i="10"/>
  <c r="BB324" i="10"/>
  <c r="BA324" i="10"/>
  <c r="AX324" i="10"/>
  <c r="AU324" i="10"/>
  <c r="AP324" i="10"/>
  <c r="AL324" i="10"/>
  <c r="AH324" i="10"/>
  <c r="AG324" i="10"/>
  <c r="AE324" i="10"/>
  <c r="AD324" i="10"/>
  <c r="AC324" i="10"/>
  <c r="V324" i="10"/>
  <c r="U324" i="10"/>
  <c r="S324" i="10"/>
  <c r="R324" i="10"/>
  <c r="P324" i="10"/>
  <c r="N324" i="10"/>
  <c r="K324" i="10"/>
  <c r="H324" i="10"/>
  <c r="BV323" i="10"/>
  <c r="BS323" i="10"/>
  <c r="BP323" i="10"/>
  <c r="BI323" i="10"/>
  <c r="BH323" i="10"/>
  <c r="BF323" i="10"/>
  <c r="BE323" i="10"/>
  <c r="BC323" i="10"/>
  <c r="BB323" i="10"/>
  <c r="BA323" i="10"/>
  <c r="AX323" i="10"/>
  <c r="AU323" i="10"/>
  <c r="AP323" i="10"/>
  <c r="AL323" i="10"/>
  <c r="AH323" i="10"/>
  <c r="AG323" i="10"/>
  <c r="AE323" i="10"/>
  <c r="AD323" i="10"/>
  <c r="AC323" i="10"/>
  <c r="V323" i="10"/>
  <c r="U323" i="10"/>
  <c r="S323" i="10"/>
  <c r="R323" i="10"/>
  <c r="P323" i="10"/>
  <c r="N323" i="10"/>
  <c r="K323" i="10"/>
  <c r="H323" i="10"/>
  <c r="BV322" i="10"/>
  <c r="BS322" i="10"/>
  <c r="BP322" i="10"/>
  <c r="BI322" i="10"/>
  <c r="BH322" i="10"/>
  <c r="BJ322" i="10" s="1"/>
  <c r="BF322" i="10"/>
  <c r="BE322" i="10"/>
  <c r="BC322" i="10"/>
  <c r="BB322" i="10"/>
  <c r="BA322" i="10"/>
  <c r="AX322" i="10"/>
  <c r="AU322" i="10"/>
  <c r="AP322" i="10"/>
  <c r="AL322" i="10"/>
  <c r="AH322" i="10"/>
  <c r="AG322" i="10"/>
  <c r="AE322" i="10"/>
  <c r="AD322" i="10"/>
  <c r="AC322" i="10"/>
  <c r="V322" i="10"/>
  <c r="U322" i="10"/>
  <c r="S322" i="10"/>
  <c r="R322" i="10"/>
  <c r="P322" i="10"/>
  <c r="N322" i="10"/>
  <c r="K322" i="10"/>
  <c r="H322" i="10"/>
  <c r="BV321" i="10"/>
  <c r="BS321" i="10"/>
  <c r="BP321" i="10"/>
  <c r="BI321" i="10"/>
  <c r="BH321" i="10"/>
  <c r="BF321" i="10"/>
  <c r="BE321" i="10"/>
  <c r="BC321" i="10"/>
  <c r="BB321" i="10"/>
  <c r="BA321" i="10"/>
  <c r="AX321" i="10"/>
  <c r="AU321" i="10"/>
  <c r="AP321" i="10"/>
  <c r="AL321" i="10"/>
  <c r="AH321" i="10"/>
  <c r="AG321" i="10"/>
  <c r="AE321" i="10"/>
  <c r="AD321" i="10"/>
  <c r="AC321" i="10"/>
  <c r="V321" i="10"/>
  <c r="W321" i="10" s="1"/>
  <c r="U321" i="10"/>
  <c r="S321" i="10"/>
  <c r="R321" i="10"/>
  <c r="P321" i="10"/>
  <c r="N321" i="10"/>
  <c r="K321" i="10"/>
  <c r="H321" i="10"/>
  <c r="BV320" i="10"/>
  <c r="BS320" i="10"/>
  <c r="BP320" i="10"/>
  <c r="BI320" i="10"/>
  <c r="BH320" i="10"/>
  <c r="BF320" i="10"/>
  <c r="BE320" i="10"/>
  <c r="BC320" i="10"/>
  <c r="BB320" i="10"/>
  <c r="BA320" i="10"/>
  <c r="AX320" i="10"/>
  <c r="AU320" i="10"/>
  <c r="AP320" i="10"/>
  <c r="AL320" i="10"/>
  <c r="AH320" i="10"/>
  <c r="AG320" i="10"/>
  <c r="AE320" i="10"/>
  <c r="AD320" i="10"/>
  <c r="AC320" i="10"/>
  <c r="V320" i="10"/>
  <c r="U320" i="10"/>
  <c r="S320" i="10"/>
  <c r="R320" i="10"/>
  <c r="P320" i="10"/>
  <c r="N320" i="10"/>
  <c r="K320" i="10"/>
  <c r="H320" i="10"/>
  <c r="BV319" i="10"/>
  <c r="BS319" i="10"/>
  <c r="BP319" i="10"/>
  <c r="BI319" i="10"/>
  <c r="BH319" i="10"/>
  <c r="BF319" i="10"/>
  <c r="BE319" i="10"/>
  <c r="BC319" i="10"/>
  <c r="BB319" i="10"/>
  <c r="BA319" i="10"/>
  <c r="AX319" i="10"/>
  <c r="AU319" i="10"/>
  <c r="AP319" i="10"/>
  <c r="AL319" i="10"/>
  <c r="AH319" i="10"/>
  <c r="AG319" i="10"/>
  <c r="AE319" i="10"/>
  <c r="AD319" i="10"/>
  <c r="AC319" i="10"/>
  <c r="V319" i="10"/>
  <c r="U319" i="10"/>
  <c r="S319" i="10"/>
  <c r="R319" i="10"/>
  <c r="P319" i="10"/>
  <c r="N319" i="10"/>
  <c r="K319" i="10"/>
  <c r="H319" i="10"/>
  <c r="BV318" i="10"/>
  <c r="BS318" i="10"/>
  <c r="BP318" i="10"/>
  <c r="BI318" i="10"/>
  <c r="BH318" i="10"/>
  <c r="BJ318" i="10" s="1"/>
  <c r="BF318" i="10"/>
  <c r="BE318" i="10"/>
  <c r="BC318" i="10"/>
  <c r="BB318" i="10"/>
  <c r="BA318" i="10"/>
  <c r="AX318" i="10"/>
  <c r="AU318" i="10"/>
  <c r="AP318" i="10"/>
  <c r="AL318" i="10"/>
  <c r="AH318" i="10"/>
  <c r="AG318" i="10"/>
  <c r="AE318" i="10"/>
  <c r="AD318" i="10"/>
  <c r="AC318" i="10"/>
  <c r="V318" i="10"/>
  <c r="U318" i="10"/>
  <c r="S318" i="10"/>
  <c r="R318" i="10"/>
  <c r="P318" i="10"/>
  <c r="N318" i="10"/>
  <c r="K318" i="10"/>
  <c r="H318" i="10"/>
  <c r="BV317" i="10"/>
  <c r="BS317" i="10"/>
  <c r="BP317" i="10"/>
  <c r="BI317" i="10"/>
  <c r="BH317" i="10"/>
  <c r="BF317" i="10"/>
  <c r="BE317" i="10"/>
  <c r="BC317" i="10"/>
  <c r="BB317" i="10"/>
  <c r="BA317" i="10"/>
  <c r="AX317" i="10"/>
  <c r="AU317" i="10"/>
  <c r="AP317" i="10"/>
  <c r="AL317" i="10"/>
  <c r="AH317" i="10"/>
  <c r="AG317" i="10"/>
  <c r="AE317" i="10"/>
  <c r="AD317" i="10"/>
  <c r="AC317" i="10"/>
  <c r="V317" i="10"/>
  <c r="U317" i="10"/>
  <c r="S317" i="10"/>
  <c r="R317" i="10"/>
  <c r="P317" i="10"/>
  <c r="N317" i="10"/>
  <c r="K317" i="10"/>
  <c r="H317" i="10"/>
  <c r="BV316" i="10"/>
  <c r="BS316" i="10"/>
  <c r="BP316" i="10"/>
  <c r="BI316" i="10"/>
  <c r="BH316" i="10"/>
  <c r="BJ316" i="10" s="1"/>
  <c r="BF316" i="10"/>
  <c r="BE316" i="10"/>
  <c r="BC316" i="10"/>
  <c r="BB316" i="10"/>
  <c r="BA316" i="10"/>
  <c r="AX316" i="10"/>
  <c r="AU316" i="10"/>
  <c r="AP316" i="10"/>
  <c r="AL316" i="10"/>
  <c r="AH316" i="10"/>
  <c r="AG316" i="10"/>
  <c r="AE316" i="10"/>
  <c r="AD316" i="10"/>
  <c r="AC316" i="10"/>
  <c r="V316" i="10"/>
  <c r="U316" i="10"/>
  <c r="S316" i="10"/>
  <c r="R316" i="10"/>
  <c r="P316" i="10"/>
  <c r="N316" i="10"/>
  <c r="K316" i="10"/>
  <c r="H316" i="10"/>
  <c r="BV315" i="10"/>
  <c r="BS315" i="10"/>
  <c r="BP315" i="10"/>
  <c r="BI315" i="10"/>
  <c r="BH315" i="10"/>
  <c r="BF315" i="10"/>
  <c r="BE315" i="10"/>
  <c r="BC315" i="10"/>
  <c r="BB315" i="10"/>
  <c r="BA315" i="10"/>
  <c r="AX315" i="10"/>
  <c r="AU315" i="10"/>
  <c r="AP315" i="10"/>
  <c r="AL315" i="10"/>
  <c r="AH315" i="10"/>
  <c r="AG315" i="10"/>
  <c r="AE315" i="10"/>
  <c r="AD315" i="10"/>
  <c r="AC315" i="10"/>
  <c r="V315" i="10"/>
  <c r="U315" i="10"/>
  <c r="S315" i="10"/>
  <c r="R315" i="10"/>
  <c r="P315" i="10"/>
  <c r="N315" i="10"/>
  <c r="K315" i="10"/>
  <c r="H315" i="10"/>
  <c r="BV314" i="10"/>
  <c r="BS314" i="10"/>
  <c r="BP314" i="10"/>
  <c r="BI314" i="10"/>
  <c r="BH314" i="10"/>
  <c r="BJ314" i="10" s="1"/>
  <c r="BF314" i="10"/>
  <c r="BE314" i="10"/>
  <c r="BC314" i="10"/>
  <c r="BB314" i="10"/>
  <c r="BA314" i="10"/>
  <c r="AX314" i="10"/>
  <c r="AU314" i="10"/>
  <c r="AP314" i="10"/>
  <c r="AL314" i="10"/>
  <c r="AH314" i="10"/>
  <c r="AG314" i="10"/>
  <c r="AE314" i="10"/>
  <c r="AD314" i="10"/>
  <c r="AC314" i="10"/>
  <c r="V314" i="10"/>
  <c r="U314" i="10"/>
  <c r="S314" i="10"/>
  <c r="R314" i="10"/>
  <c r="P314" i="10"/>
  <c r="N314" i="10"/>
  <c r="K314" i="10"/>
  <c r="H314" i="10"/>
  <c r="BV313" i="10"/>
  <c r="BS313" i="10"/>
  <c r="BP313" i="10"/>
  <c r="BI313" i="10"/>
  <c r="BH313" i="10"/>
  <c r="BF313" i="10"/>
  <c r="BE313" i="10"/>
  <c r="BC313" i="10"/>
  <c r="BB313" i="10"/>
  <c r="BA313" i="10"/>
  <c r="AX313" i="10"/>
  <c r="AU313" i="10"/>
  <c r="AP313" i="10"/>
  <c r="AL313" i="10"/>
  <c r="AH313" i="10"/>
  <c r="AG313" i="10"/>
  <c r="AE313" i="10"/>
  <c r="AD313" i="10"/>
  <c r="AC313" i="10"/>
  <c r="V313" i="10"/>
  <c r="W313" i="10" s="1"/>
  <c r="U313" i="10"/>
  <c r="S313" i="10"/>
  <c r="R313" i="10"/>
  <c r="P313" i="10"/>
  <c r="N313" i="10"/>
  <c r="K313" i="10"/>
  <c r="H313" i="10"/>
  <c r="BV312" i="10"/>
  <c r="BS312" i="10"/>
  <c r="BP312" i="10"/>
  <c r="BI312" i="10"/>
  <c r="BH312" i="10"/>
  <c r="BF312" i="10"/>
  <c r="BE312" i="10"/>
  <c r="BC312" i="10"/>
  <c r="BB312" i="10"/>
  <c r="BA312" i="10"/>
  <c r="AX312" i="10"/>
  <c r="AU312" i="10"/>
  <c r="AP312" i="10"/>
  <c r="AL312" i="10"/>
  <c r="AH312" i="10"/>
  <c r="AG312" i="10"/>
  <c r="AE312" i="10"/>
  <c r="AD312" i="10"/>
  <c r="AC312" i="10"/>
  <c r="V312" i="10"/>
  <c r="U312" i="10"/>
  <c r="S312" i="10"/>
  <c r="R312" i="10"/>
  <c r="P312" i="10"/>
  <c r="N312" i="10"/>
  <c r="K312" i="10"/>
  <c r="H312" i="10"/>
  <c r="BV311" i="10"/>
  <c r="BS311" i="10"/>
  <c r="BP311" i="10"/>
  <c r="BI311" i="10"/>
  <c r="BH311" i="10"/>
  <c r="BF311" i="10"/>
  <c r="BE311" i="10"/>
  <c r="BC311" i="10"/>
  <c r="BB311" i="10"/>
  <c r="BA311" i="10"/>
  <c r="AX311" i="10"/>
  <c r="AU311" i="10"/>
  <c r="AP311" i="10"/>
  <c r="AL311" i="10"/>
  <c r="AH311" i="10"/>
  <c r="AG311" i="10"/>
  <c r="AE311" i="10"/>
  <c r="AD311" i="10"/>
  <c r="AC311" i="10"/>
  <c r="V311" i="10"/>
  <c r="U311" i="10"/>
  <c r="S311" i="10"/>
  <c r="R311" i="10"/>
  <c r="P311" i="10"/>
  <c r="N311" i="10"/>
  <c r="K311" i="10"/>
  <c r="H311" i="10"/>
  <c r="BV310" i="10"/>
  <c r="BS310" i="10"/>
  <c r="BP310" i="10"/>
  <c r="BI310" i="10"/>
  <c r="BH310" i="10"/>
  <c r="BJ310" i="10" s="1"/>
  <c r="BF310" i="10"/>
  <c r="BE310" i="10"/>
  <c r="BC310" i="10"/>
  <c r="BB310" i="10"/>
  <c r="BA310" i="10"/>
  <c r="AX310" i="10"/>
  <c r="AU310" i="10"/>
  <c r="AP310" i="10"/>
  <c r="AL310" i="10"/>
  <c r="AH310" i="10"/>
  <c r="AG310" i="10"/>
  <c r="AE310" i="10"/>
  <c r="AD310" i="10"/>
  <c r="AC310" i="10"/>
  <c r="V310" i="10"/>
  <c r="U310" i="10"/>
  <c r="S310" i="10"/>
  <c r="R310" i="10"/>
  <c r="P310" i="10"/>
  <c r="N310" i="10"/>
  <c r="K310" i="10"/>
  <c r="H310" i="10"/>
  <c r="BV309" i="10"/>
  <c r="BS309" i="10"/>
  <c r="BP309" i="10"/>
  <c r="BI309" i="10"/>
  <c r="BH309" i="10"/>
  <c r="BF309" i="10"/>
  <c r="BE309" i="10"/>
  <c r="BC309" i="10"/>
  <c r="BB309" i="10"/>
  <c r="BA309" i="10"/>
  <c r="AX309" i="10"/>
  <c r="AU309" i="10"/>
  <c r="AP309" i="10"/>
  <c r="AL309" i="10"/>
  <c r="AH309" i="10"/>
  <c r="AG309" i="10"/>
  <c r="AE309" i="10"/>
  <c r="AD309" i="10"/>
  <c r="AC309" i="10"/>
  <c r="V309" i="10"/>
  <c r="U309" i="10"/>
  <c r="S309" i="10"/>
  <c r="R309" i="10"/>
  <c r="P309" i="10"/>
  <c r="N309" i="10"/>
  <c r="K309" i="10"/>
  <c r="H309" i="10"/>
  <c r="BV308" i="10"/>
  <c r="BS308" i="10"/>
  <c r="BP308" i="10"/>
  <c r="BI308" i="10"/>
  <c r="BH308" i="10"/>
  <c r="BJ308" i="10" s="1"/>
  <c r="BF308" i="10"/>
  <c r="BE308" i="10"/>
  <c r="BC308" i="10"/>
  <c r="BB308" i="10"/>
  <c r="BA308" i="10"/>
  <c r="AX308" i="10"/>
  <c r="AU308" i="10"/>
  <c r="AP308" i="10"/>
  <c r="AL308" i="10"/>
  <c r="AH308" i="10"/>
  <c r="AG308" i="10"/>
  <c r="AE308" i="10"/>
  <c r="AD308" i="10"/>
  <c r="AC308" i="10"/>
  <c r="V308" i="10"/>
  <c r="U308" i="10"/>
  <c r="S308" i="10"/>
  <c r="R308" i="10"/>
  <c r="P308" i="10"/>
  <c r="N308" i="10"/>
  <c r="K308" i="10"/>
  <c r="H308" i="10"/>
  <c r="BV307" i="10"/>
  <c r="BS307" i="10"/>
  <c r="BP307" i="10"/>
  <c r="BI307" i="10"/>
  <c r="BH307" i="10"/>
  <c r="BF307" i="10"/>
  <c r="BE307" i="10"/>
  <c r="BC307" i="10"/>
  <c r="BB307" i="10"/>
  <c r="BA307" i="10"/>
  <c r="AX307" i="10"/>
  <c r="AU307" i="10"/>
  <c r="AP307" i="10"/>
  <c r="AL307" i="10"/>
  <c r="AH307" i="10"/>
  <c r="AG307" i="10"/>
  <c r="AE307" i="10"/>
  <c r="AD307" i="10"/>
  <c r="AC307" i="10"/>
  <c r="V307" i="10"/>
  <c r="U307" i="10"/>
  <c r="S307" i="10"/>
  <c r="R307" i="10"/>
  <c r="P307" i="10"/>
  <c r="N307" i="10"/>
  <c r="K307" i="10"/>
  <c r="H307" i="10"/>
  <c r="BV306" i="10"/>
  <c r="BS306" i="10"/>
  <c r="BP306" i="10"/>
  <c r="BI306" i="10"/>
  <c r="BH306" i="10"/>
  <c r="BF306" i="10"/>
  <c r="BE306" i="10"/>
  <c r="BC306" i="10"/>
  <c r="BB306" i="10"/>
  <c r="BA306" i="10"/>
  <c r="AX306" i="10"/>
  <c r="AU306" i="10"/>
  <c r="AP306" i="10"/>
  <c r="AL306" i="10"/>
  <c r="AH306" i="10"/>
  <c r="AG306" i="10"/>
  <c r="AE306" i="10"/>
  <c r="AD306" i="10"/>
  <c r="AC306" i="10"/>
  <c r="V306" i="10"/>
  <c r="U306" i="10"/>
  <c r="S306" i="10"/>
  <c r="R306" i="10"/>
  <c r="P306" i="10"/>
  <c r="N306" i="10"/>
  <c r="K306" i="10"/>
  <c r="H306" i="10"/>
  <c r="BV305" i="10"/>
  <c r="BS305" i="10"/>
  <c r="BP305" i="10"/>
  <c r="BI305" i="10"/>
  <c r="BH305" i="10"/>
  <c r="BF305" i="10"/>
  <c r="BE305" i="10"/>
  <c r="BC305" i="10"/>
  <c r="BB305" i="10"/>
  <c r="BA305" i="10"/>
  <c r="AX305" i="10"/>
  <c r="AU305" i="10"/>
  <c r="AP305" i="10"/>
  <c r="AL305" i="10"/>
  <c r="AH305" i="10"/>
  <c r="AG305" i="10"/>
  <c r="AE305" i="10"/>
  <c r="AD305" i="10"/>
  <c r="AC305" i="10"/>
  <c r="V305" i="10"/>
  <c r="U305" i="10"/>
  <c r="S305" i="10"/>
  <c r="R305" i="10"/>
  <c r="P305" i="10"/>
  <c r="N305" i="10"/>
  <c r="K305" i="10"/>
  <c r="H305" i="10"/>
  <c r="BV304" i="10"/>
  <c r="BS304" i="10"/>
  <c r="BP304" i="10"/>
  <c r="BI304" i="10"/>
  <c r="BH304" i="10"/>
  <c r="BF304" i="10"/>
  <c r="BE304" i="10"/>
  <c r="BC304" i="10"/>
  <c r="BB304" i="10"/>
  <c r="BA304" i="10"/>
  <c r="AX304" i="10"/>
  <c r="AU304" i="10"/>
  <c r="AP304" i="10"/>
  <c r="AL304" i="10"/>
  <c r="AH304" i="10"/>
  <c r="AG304" i="10"/>
  <c r="AE304" i="10"/>
  <c r="AD304" i="10"/>
  <c r="AC304" i="10"/>
  <c r="V304" i="10"/>
  <c r="U304" i="10"/>
  <c r="S304" i="10"/>
  <c r="R304" i="10"/>
  <c r="P304" i="10"/>
  <c r="N304" i="10"/>
  <c r="K304" i="10"/>
  <c r="H304" i="10"/>
  <c r="BV303" i="10"/>
  <c r="BS303" i="10"/>
  <c r="BP303" i="10"/>
  <c r="BI303" i="10"/>
  <c r="BH303" i="10"/>
  <c r="BF303" i="10"/>
  <c r="BE303" i="10"/>
  <c r="BC303" i="10"/>
  <c r="BB303" i="10"/>
  <c r="BA303" i="10"/>
  <c r="AX303" i="10"/>
  <c r="AU303" i="10"/>
  <c r="AP303" i="10"/>
  <c r="AL303" i="10"/>
  <c r="AH303" i="10"/>
  <c r="AG303" i="10"/>
  <c r="AE303" i="10"/>
  <c r="AD303" i="10"/>
  <c r="AC303" i="10"/>
  <c r="V303" i="10"/>
  <c r="U303" i="10"/>
  <c r="S303" i="10"/>
  <c r="R303" i="10"/>
  <c r="P303" i="10"/>
  <c r="N303" i="10"/>
  <c r="K303" i="10"/>
  <c r="H303" i="10"/>
  <c r="BV302" i="10"/>
  <c r="BS302" i="10"/>
  <c r="BP302" i="10"/>
  <c r="BI302" i="10"/>
  <c r="BH302" i="10"/>
  <c r="BJ302" i="10" s="1"/>
  <c r="BF302" i="10"/>
  <c r="BE302" i="10"/>
  <c r="BC302" i="10"/>
  <c r="BB302" i="10"/>
  <c r="BA302" i="10"/>
  <c r="AX302" i="10"/>
  <c r="AU302" i="10"/>
  <c r="AP302" i="10"/>
  <c r="AL302" i="10"/>
  <c r="AH302" i="10"/>
  <c r="AG302" i="10"/>
  <c r="AE302" i="10"/>
  <c r="AD302" i="10"/>
  <c r="AC302" i="10"/>
  <c r="V302" i="10"/>
  <c r="U302" i="10"/>
  <c r="S302" i="10"/>
  <c r="R302" i="10"/>
  <c r="P302" i="10"/>
  <c r="N302" i="10"/>
  <c r="K302" i="10"/>
  <c r="H302" i="10"/>
  <c r="BV301" i="10"/>
  <c r="BS301" i="10"/>
  <c r="BP301" i="10"/>
  <c r="BI301" i="10"/>
  <c r="BH301" i="10"/>
  <c r="BF301" i="10"/>
  <c r="BE301" i="10"/>
  <c r="BC301" i="10"/>
  <c r="BB301" i="10"/>
  <c r="BA301" i="10"/>
  <c r="AX301" i="10"/>
  <c r="AU301" i="10"/>
  <c r="AP301" i="10"/>
  <c r="AL301" i="10"/>
  <c r="AH301" i="10"/>
  <c r="AG301" i="10"/>
  <c r="AE301" i="10"/>
  <c r="AD301" i="10"/>
  <c r="AC301" i="10"/>
  <c r="V301" i="10"/>
  <c r="U301" i="10"/>
  <c r="S301" i="10"/>
  <c r="R301" i="10"/>
  <c r="P301" i="10"/>
  <c r="N301" i="10"/>
  <c r="K301" i="10"/>
  <c r="H301" i="10"/>
  <c r="BV300" i="10"/>
  <c r="BS300" i="10"/>
  <c r="BP300" i="10"/>
  <c r="BI300" i="10"/>
  <c r="BH300" i="10"/>
  <c r="BF300" i="10"/>
  <c r="BE300" i="10"/>
  <c r="BC300" i="10"/>
  <c r="BB300" i="10"/>
  <c r="BA300" i="10"/>
  <c r="AX300" i="10"/>
  <c r="AU300" i="10"/>
  <c r="AP300" i="10"/>
  <c r="AL300" i="10"/>
  <c r="AH300" i="10"/>
  <c r="AG300" i="10"/>
  <c r="AE300" i="10"/>
  <c r="AD300" i="10"/>
  <c r="AC300" i="10"/>
  <c r="V300" i="10"/>
  <c r="U300" i="10"/>
  <c r="S300" i="10"/>
  <c r="R300" i="10"/>
  <c r="P300" i="10"/>
  <c r="N300" i="10"/>
  <c r="K300" i="10"/>
  <c r="H300" i="10"/>
  <c r="BV299" i="10"/>
  <c r="BS299" i="10"/>
  <c r="BP299" i="10"/>
  <c r="BI299" i="10"/>
  <c r="BH299" i="10"/>
  <c r="BF299" i="10"/>
  <c r="BE299" i="10"/>
  <c r="BC299" i="10"/>
  <c r="BB299" i="10"/>
  <c r="BA299" i="10"/>
  <c r="AX299" i="10"/>
  <c r="AU299" i="10"/>
  <c r="AP299" i="10"/>
  <c r="AL299" i="10"/>
  <c r="AH299" i="10"/>
  <c r="AG299" i="10"/>
  <c r="AE299" i="10"/>
  <c r="AD299" i="10"/>
  <c r="AC299" i="10"/>
  <c r="V299" i="10"/>
  <c r="U299" i="10"/>
  <c r="S299" i="10"/>
  <c r="R299" i="10"/>
  <c r="P299" i="10"/>
  <c r="N299" i="10"/>
  <c r="K299" i="10"/>
  <c r="H299" i="10"/>
  <c r="BV298" i="10"/>
  <c r="BS298" i="10"/>
  <c r="BP298" i="10"/>
  <c r="BI298" i="10"/>
  <c r="BH298" i="10"/>
  <c r="BF298" i="10"/>
  <c r="BE298" i="10"/>
  <c r="BC298" i="10"/>
  <c r="BB298" i="10"/>
  <c r="BA298" i="10"/>
  <c r="AX298" i="10"/>
  <c r="AU298" i="10"/>
  <c r="AP298" i="10"/>
  <c r="AL298" i="10"/>
  <c r="AH298" i="10"/>
  <c r="AG298" i="10"/>
  <c r="AE298" i="10"/>
  <c r="AD298" i="10"/>
  <c r="AC298" i="10"/>
  <c r="V298" i="10"/>
  <c r="U298" i="10"/>
  <c r="S298" i="10"/>
  <c r="R298" i="10"/>
  <c r="P298" i="10"/>
  <c r="N298" i="10"/>
  <c r="K298" i="10"/>
  <c r="H298" i="10"/>
  <c r="BV297" i="10"/>
  <c r="BS297" i="10"/>
  <c r="BP297" i="10"/>
  <c r="BI297" i="10"/>
  <c r="BH297" i="10"/>
  <c r="BF297" i="10"/>
  <c r="BE297" i="10"/>
  <c r="BC297" i="10"/>
  <c r="BB297" i="10"/>
  <c r="BA297" i="10"/>
  <c r="AX297" i="10"/>
  <c r="AU297" i="10"/>
  <c r="AP297" i="10"/>
  <c r="AL297" i="10"/>
  <c r="AH297" i="10"/>
  <c r="AG297" i="10"/>
  <c r="AE297" i="10"/>
  <c r="AD297" i="10"/>
  <c r="AC297" i="10"/>
  <c r="V297" i="10"/>
  <c r="U297" i="10"/>
  <c r="S297" i="10"/>
  <c r="R297" i="10"/>
  <c r="P297" i="10"/>
  <c r="N297" i="10"/>
  <c r="K297" i="10"/>
  <c r="H297" i="10"/>
  <c r="BV296" i="10"/>
  <c r="BS296" i="10"/>
  <c r="BP296" i="10"/>
  <c r="BI296" i="10"/>
  <c r="BH296" i="10"/>
  <c r="BF296" i="10"/>
  <c r="BE296" i="10"/>
  <c r="BC296" i="10"/>
  <c r="BB296" i="10"/>
  <c r="BA296" i="10"/>
  <c r="AX296" i="10"/>
  <c r="AU296" i="10"/>
  <c r="AP296" i="10"/>
  <c r="AL296" i="10"/>
  <c r="AH296" i="10"/>
  <c r="AG296" i="10"/>
  <c r="AE296" i="10"/>
  <c r="AD296" i="10"/>
  <c r="AC296" i="10"/>
  <c r="V296" i="10"/>
  <c r="U296" i="10"/>
  <c r="S296" i="10"/>
  <c r="R296" i="10"/>
  <c r="P296" i="10"/>
  <c r="N296" i="10"/>
  <c r="K296" i="10"/>
  <c r="H296" i="10"/>
  <c r="BV295" i="10"/>
  <c r="BS295" i="10"/>
  <c r="BP295" i="10"/>
  <c r="BI295" i="10"/>
  <c r="BH295" i="10"/>
  <c r="BF295" i="10"/>
  <c r="BE295" i="10"/>
  <c r="BC295" i="10"/>
  <c r="BB295" i="10"/>
  <c r="BA295" i="10"/>
  <c r="AX295" i="10"/>
  <c r="AU295" i="10"/>
  <c r="AP295" i="10"/>
  <c r="AL295" i="10"/>
  <c r="AH295" i="10"/>
  <c r="AG295" i="10"/>
  <c r="AE295" i="10"/>
  <c r="AD295" i="10"/>
  <c r="AC295" i="10"/>
  <c r="V295" i="10"/>
  <c r="U295" i="10"/>
  <c r="S295" i="10"/>
  <c r="R295" i="10"/>
  <c r="P295" i="10"/>
  <c r="N295" i="10"/>
  <c r="K295" i="10"/>
  <c r="H295" i="10"/>
  <c r="BV294" i="10"/>
  <c r="BS294" i="10"/>
  <c r="BP294" i="10"/>
  <c r="BI294" i="10"/>
  <c r="BH294" i="10"/>
  <c r="BJ294" i="10" s="1"/>
  <c r="BF294" i="10"/>
  <c r="BE294" i="10"/>
  <c r="BC294" i="10"/>
  <c r="BB294" i="10"/>
  <c r="BA294" i="10"/>
  <c r="AX294" i="10"/>
  <c r="AU294" i="10"/>
  <c r="AP294" i="10"/>
  <c r="AL294" i="10"/>
  <c r="AH294" i="10"/>
  <c r="AG294" i="10"/>
  <c r="AE294" i="10"/>
  <c r="AD294" i="10"/>
  <c r="AC294" i="10"/>
  <c r="V294" i="10"/>
  <c r="U294" i="10"/>
  <c r="S294" i="10"/>
  <c r="R294" i="10"/>
  <c r="P294" i="10"/>
  <c r="N294" i="10"/>
  <c r="K294" i="10"/>
  <c r="H294" i="10"/>
  <c r="BV293" i="10"/>
  <c r="BS293" i="10"/>
  <c r="BP293" i="10"/>
  <c r="BI293" i="10"/>
  <c r="BH293" i="10"/>
  <c r="BF293" i="10"/>
  <c r="BE293" i="10"/>
  <c r="BC293" i="10"/>
  <c r="BB293" i="10"/>
  <c r="BA293" i="10"/>
  <c r="AX293" i="10"/>
  <c r="AU293" i="10"/>
  <c r="AP293" i="10"/>
  <c r="AL293" i="10"/>
  <c r="AH293" i="10"/>
  <c r="AG293" i="10"/>
  <c r="AE293" i="10"/>
  <c r="AD293" i="10"/>
  <c r="AC293" i="10"/>
  <c r="V293" i="10"/>
  <c r="U293" i="10"/>
  <c r="S293" i="10"/>
  <c r="R293" i="10"/>
  <c r="P293" i="10"/>
  <c r="N293" i="10"/>
  <c r="K293" i="10"/>
  <c r="H293" i="10"/>
  <c r="BV292" i="10"/>
  <c r="BS292" i="10"/>
  <c r="BP292" i="10"/>
  <c r="BI292" i="10"/>
  <c r="BH292" i="10"/>
  <c r="BJ292" i="10" s="1"/>
  <c r="BF292" i="10"/>
  <c r="BE292" i="10"/>
  <c r="BC292" i="10"/>
  <c r="BB292" i="10"/>
  <c r="BA292" i="10"/>
  <c r="AX292" i="10"/>
  <c r="AU292" i="10"/>
  <c r="AP292" i="10"/>
  <c r="AL292" i="10"/>
  <c r="AH292" i="10"/>
  <c r="AG292" i="10"/>
  <c r="AE292" i="10"/>
  <c r="AD292" i="10"/>
  <c r="AC292" i="10"/>
  <c r="V292" i="10"/>
  <c r="U292" i="10"/>
  <c r="S292" i="10"/>
  <c r="R292" i="10"/>
  <c r="P292" i="10"/>
  <c r="N292" i="10"/>
  <c r="K292" i="10"/>
  <c r="H292" i="10"/>
  <c r="BV291" i="10"/>
  <c r="BS291" i="10"/>
  <c r="BP291" i="10"/>
  <c r="BI291" i="10"/>
  <c r="BH291" i="10"/>
  <c r="BF291" i="10"/>
  <c r="BE291" i="10"/>
  <c r="BC291" i="10"/>
  <c r="BB291" i="10"/>
  <c r="BA291" i="10"/>
  <c r="AX291" i="10"/>
  <c r="AU291" i="10"/>
  <c r="AP291" i="10"/>
  <c r="AL291" i="10"/>
  <c r="AH291" i="10"/>
  <c r="AG291" i="10"/>
  <c r="AE291" i="10"/>
  <c r="AD291" i="10"/>
  <c r="AC291" i="10"/>
  <c r="V291" i="10"/>
  <c r="U291" i="10"/>
  <c r="S291" i="10"/>
  <c r="R291" i="10"/>
  <c r="P291" i="10"/>
  <c r="N291" i="10"/>
  <c r="K291" i="10"/>
  <c r="H291" i="10"/>
  <c r="BV290" i="10"/>
  <c r="BS290" i="10"/>
  <c r="BP290" i="10"/>
  <c r="BI290" i="10"/>
  <c r="BH290" i="10"/>
  <c r="BJ290" i="10" s="1"/>
  <c r="BF290" i="10"/>
  <c r="BE290" i="10"/>
  <c r="BC290" i="10"/>
  <c r="BB290" i="10"/>
  <c r="BA290" i="10"/>
  <c r="AX290" i="10"/>
  <c r="AU290" i="10"/>
  <c r="AP290" i="10"/>
  <c r="AL290" i="10"/>
  <c r="AH290" i="10"/>
  <c r="AG290" i="10"/>
  <c r="AE290" i="10"/>
  <c r="AD290" i="10"/>
  <c r="AC290" i="10"/>
  <c r="V290" i="10"/>
  <c r="U290" i="10"/>
  <c r="S290" i="10"/>
  <c r="R290" i="10"/>
  <c r="P290" i="10"/>
  <c r="N290" i="10"/>
  <c r="K290" i="10"/>
  <c r="H290" i="10"/>
  <c r="BV289" i="10"/>
  <c r="BS289" i="10"/>
  <c r="BP289" i="10"/>
  <c r="BI289" i="10"/>
  <c r="BH289" i="10"/>
  <c r="BF289" i="10"/>
  <c r="BE289" i="10"/>
  <c r="BC289" i="10"/>
  <c r="BB289" i="10"/>
  <c r="BA289" i="10"/>
  <c r="AX289" i="10"/>
  <c r="AU289" i="10"/>
  <c r="AP289" i="10"/>
  <c r="AL289" i="10"/>
  <c r="AH289" i="10"/>
  <c r="AG289" i="10"/>
  <c r="AE289" i="10"/>
  <c r="AD289" i="10"/>
  <c r="AC289" i="10"/>
  <c r="V289" i="10"/>
  <c r="U289" i="10"/>
  <c r="S289" i="10"/>
  <c r="R289" i="10"/>
  <c r="P289" i="10"/>
  <c r="N289" i="10"/>
  <c r="K289" i="10"/>
  <c r="H289" i="10"/>
  <c r="BV288" i="10"/>
  <c r="BS288" i="10"/>
  <c r="BP288" i="10"/>
  <c r="BI288" i="10"/>
  <c r="BH288" i="10"/>
  <c r="BF288" i="10"/>
  <c r="BE288" i="10"/>
  <c r="BC288" i="10"/>
  <c r="BB288" i="10"/>
  <c r="BA288" i="10"/>
  <c r="AX288" i="10"/>
  <c r="AU288" i="10"/>
  <c r="AP288" i="10"/>
  <c r="AL288" i="10"/>
  <c r="AH288" i="10"/>
  <c r="AG288" i="10"/>
  <c r="AE288" i="10"/>
  <c r="AD288" i="10"/>
  <c r="AC288" i="10"/>
  <c r="V288" i="10"/>
  <c r="U288" i="10"/>
  <c r="S288" i="10"/>
  <c r="R288" i="10"/>
  <c r="P288" i="10"/>
  <c r="N288" i="10"/>
  <c r="K288" i="10"/>
  <c r="H288" i="10"/>
  <c r="BV287" i="10"/>
  <c r="BS287" i="10"/>
  <c r="BP287" i="10"/>
  <c r="BI287" i="10"/>
  <c r="BH287" i="10"/>
  <c r="BF287" i="10"/>
  <c r="BE287" i="10"/>
  <c r="BC287" i="10"/>
  <c r="BB287" i="10"/>
  <c r="BA287" i="10"/>
  <c r="AX287" i="10"/>
  <c r="AU287" i="10"/>
  <c r="AP287" i="10"/>
  <c r="AL287" i="10"/>
  <c r="AH287" i="10"/>
  <c r="AG287" i="10"/>
  <c r="AE287" i="10"/>
  <c r="AD287" i="10"/>
  <c r="AC287" i="10"/>
  <c r="V287" i="10"/>
  <c r="U287" i="10"/>
  <c r="S287" i="10"/>
  <c r="R287" i="10"/>
  <c r="P287" i="10"/>
  <c r="N287" i="10"/>
  <c r="K287" i="10"/>
  <c r="H287" i="10"/>
  <c r="BV286" i="10"/>
  <c r="BS286" i="10"/>
  <c r="BP286" i="10"/>
  <c r="BI286" i="10"/>
  <c r="BH286" i="10"/>
  <c r="BJ286" i="10" s="1"/>
  <c r="BF286" i="10"/>
  <c r="BE286" i="10"/>
  <c r="BC286" i="10"/>
  <c r="BB286" i="10"/>
  <c r="BA286" i="10"/>
  <c r="AX286" i="10"/>
  <c r="AU286" i="10"/>
  <c r="AP286" i="10"/>
  <c r="AL286" i="10"/>
  <c r="AH286" i="10"/>
  <c r="AG286" i="10"/>
  <c r="AE286" i="10"/>
  <c r="AD286" i="10"/>
  <c r="AC286" i="10"/>
  <c r="V286" i="10"/>
  <c r="U286" i="10"/>
  <c r="S286" i="10"/>
  <c r="R286" i="10"/>
  <c r="P286" i="10"/>
  <c r="N286" i="10"/>
  <c r="K286" i="10"/>
  <c r="H286" i="10"/>
  <c r="BV285" i="10"/>
  <c r="BS285" i="10"/>
  <c r="BP285" i="10"/>
  <c r="BI285" i="10"/>
  <c r="BH285" i="10"/>
  <c r="BF285" i="10"/>
  <c r="BE285" i="10"/>
  <c r="BC285" i="10"/>
  <c r="BB285" i="10"/>
  <c r="BA285" i="10"/>
  <c r="AX285" i="10"/>
  <c r="AU285" i="10"/>
  <c r="AP285" i="10"/>
  <c r="AL285" i="10"/>
  <c r="AH285" i="10"/>
  <c r="AG285" i="10"/>
  <c r="AE285" i="10"/>
  <c r="AD285" i="10"/>
  <c r="AC285" i="10"/>
  <c r="V285" i="10"/>
  <c r="U285" i="10"/>
  <c r="S285" i="10"/>
  <c r="R285" i="10"/>
  <c r="P285" i="10"/>
  <c r="N285" i="10"/>
  <c r="K285" i="10"/>
  <c r="H285" i="10"/>
  <c r="BV284" i="10"/>
  <c r="BS284" i="10"/>
  <c r="BP284" i="10"/>
  <c r="BI284" i="10"/>
  <c r="BH284" i="10"/>
  <c r="BF284" i="10"/>
  <c r="BE284" i="10"/>
  <c r="BC284" i="10"/>
  <c r="BB284" i="10"/>
  <c r="BA284" i="10"/>
  <c r="AX284" i="10"/>
  <c r="AU284" i="10"/>
  <c r="AP284" i="10"/>
  <c r="AL284" i="10"/>
  <c r="AH284" i="10"/>
  <c r="AG284" i="10"/>
  <c r="AE284" i="10"/>
  <c r="AD284" i="10"/>
  <c r="AC284" i="10"/>
  <c r="V284" i="10"/>
  <c r="U284" i="10"/>
  <c r="S284" i="10"/>
  <c r="R284" i="10"/>
  <c r="P284" i="10"/>
  <c r="N284" i="10"/>
  <c r="K284" i="10"/>
  <c r="H284" i="10"/>
  <c r="BV283" i="10"/>
  <c r="BS283" i="10"/>
  <c r="BP283" i="10"/>
  <c r="BI283" i="10"/>
  <c r="BH283" i="10"/>
  <c r="BF283" i="10"/>
  <c r="BE283" i="10"/>
  <c r="BC283" i="10"/>
  <c r="BB283" i="10"/>
  <c r="BA283" i="10"/>
  <c r="AX283" i="10"/>
  <c r="AU283" i="10"/>
  <c r="AP283" i="10"/>
  <c r="AL283" i="10"/>
  <c r="AH283" i="10"/>
  <c r="AG283" i="10"/>
  <c r="AE283" i="10"/>
  <c r="AD283" i="10"/>
  <c r="AC283" i="10"/>
  <c r="V283" i="10"/>
  <c r="U283" i="10"/>
  <c r="S283" i="10"/>
  <c r="R283" i="10"/>
  <c r="P283" i="10"/>
  <c r="N283" i="10"/>
  <c r="K283" i="10"/>
  <c r="H283" i="10"/>
  <c r="BV282" i="10"/>
  <c r="BS282" i="10"/>
  <c r="BP282" i="10"/>
  <c r="BI282" i="10"/>
  <c r="BH282" i="10"/>
  <c r="BJ282" i="10" s="1"/>
  <c r="BF282" i="10"/>
  <c r="BE282" i="10"/>
  <c r="BC282" i="10"/>
  <c r="BB282" i="10"/>
  <c r="BA282" i="10"/>
  <c r="AX282" i="10"/>
  <c r="AU282" i="10"/>
  <c r="AP282" i="10"/>
  <c r="AL282" i="10"/>
  <c r="AH282" i="10"/>
  <c r="AG282" i="10"/>
  <c r="AE282" i="10"/>
  <c r="AD282" i="10"/>
  <c r="AC282" i="10"/>
  <c r="V282" i="10"/>
  <c r="U282" i="10"/>
  <c r="S282" i="10"/>
  <c r="R282" i="10"/>
  <c r="P282" i="10"/>
  <c r="N282" i="10"/>
  <c r="K282" i="10"/>
  <c r="H282" i="10"/>
  <c r="BV281" i="10"/>
  <c r="BS281" i="10"/>
  <c r="BP281" i="10"/>
  <c r="BI281" i="10"/>
  <c r="BH281" i="10"/>
  <c r="BF281" i="10"/>
  <c r="BE281" i="10"/>
  <c r="BC281" i="10"/>
  <c r="BB281" i="10"/>
  <c r="BA281" i="10"/>
  <c r="AX281" i="10"/>
  <c r="AU281" i="10"/>
  <c r="AP281" i="10"/>
  <c r="AL281" i="10"/>
  <c r="AH281" i="10"/>
  <c r="AG281" i="10"/>
  <c r="AE281" i="10"/>
  <c r="AD281" i="10"/>
  <c r="AC281" i="10"/>
  <c r="V281" i="10"/>
  <c r="U281" i="10"/>
  <c r="S281" i="10"/>
  <c r="R281" i="10"/>
  <c r="P281" i="10"/>
  <c r="N281" i="10"/>
  <c r="K281" i="10"/>
  <c r="H281" i="10"/>
  <c r="BV280" i="10"/>
  <c r="BS280" i="10"/>
  <c r="BP280" i="10"/>
  <c r="BI280" i="10"/>
  <c r="BH280" i="10"/>
  <c r="BF280" i="10"/>
  <c r="BE280" i="10"/>
  <c r="BC280" i="10"/>
  <c r="BB280" i="10"/>
  <c r="BA280" i="10"/>
  <c r="AX280" i="10"/>
  <c r="AU280" i="10"/>
  <c r="AP280" i="10"/>
  <c r="AL280" i="10"/>
  <c r="AH280" i="10"/>
  <c r="AG280" i="10"/>
  <c r="AE280" i="10"/>
  <c r="AD280" i="10"/>
  <c r="AC280" i="10"/>
  <c r="V280" i="10"/>
  <c r="U280" i="10"/>
  <c r="S280" i="10"/>
  <c r="R280" i="10"/>
  <c r="P280" i="10"/>
  <c r="N280" i="10"/>
  <c r="K280" i="10"/>
  <c r="H280" i="10"/>
  <c r="BV279" i="10"/>
  <c r="BS279" i="10"/>
  <c r="BP279" i="10"/>
  <c r="BI279" i="10"/>
  <c r="BH279" i="10"/>
  <c r="BF279" i="10"/>
  <c r="BE279" i="10"/>
  <c r="BC279" i="10"/>
  <c r="BB279" i="10"/>
  <c r="BA279" i="10"/>
  <c r="AX279" i="10"/>
  <c r="AU279" i="10"/>
  <c r="AP279" i="10"/>
  <c r="AL279" i="10"/>
  <c r="AH279" i="10"/>
  <c r="AG279" i="10"/>
  <c r="AE279" i="10"/>
  <c r="AD279" i="10"/>
  <c r="AC279" i="10"/>
  <c r="V279" i="10"/>
  <c r="U279" i="10"/>
  <c r="S279" i="10"/>
  <c r="R279" i="10"/>
  <c r="P279" i="10"/>
  <c r="N279" i="10"/>
  <c r="K279" i="10"/>
  <c r="H279" i="10"/>
  <c r="BV278" i="10"/>
  <c r="BS278" i="10"/>
  <c r="BP278" i="10"/>
  <c r="BI278" i="10"/>
  <c r="BH278" i="10"/>
  <c r="BJ278" i="10" s="1"/>
  <c r="BF278" i="10"/>
  <c r="BE278" i="10"/>
  <c r="BC278" i="10"/>
  <c r="BB278" i="10"/>
  <c r="BA278" i="10"/>
  <c r="AX278" i="10"/>
  <c r="AU278" i="10"/>
  <c r="AP278" i="10"/>
  <c r="AL278" i="10"/>
  <c r="AH278" i="10"/>
  <c r="AG278" i="10"/>
  <c r="AE278" i="10"/>
  <c r="AD278" i="10"/>
  <c r="AC278" i="10"/>
  <c r="V278" i="10"/>
  <c r="U278" i="10"/>
  <c r="S278" i="10"/>
  <c r="R278" i="10"/>
  <c r="P278" i="10"/>
  <c r="N278" i="10"/>
  <c r="K278" i="10"/>
  <c r="H278" i="10"/>
  <c r="BV277" i="10"/>
  <c r="BS277" i="10"/>
  <c r="BP277" i="10"/>
  <c r="BI277" i="10"/>
  <c r="BH277" i="10"/>
  <c r="BF277" i="10"/>
  <c r="BE277" i="10"/>
  <c r="BC277" i="10"/>
  <c r="BB277" i="10"/>
  <c r="BA277" i="10"/>
  <c r="AX277" i="10"/>
  <c r="AU277" i="10"/>
  <c r="AP277" i="10"/>
  <c r="AL277" i="10"/>
  <c r="AH277" i="10"/>
  <c r="AG277" i="10"/>
  <c r="AE277" i="10"/>
  <c r="AD277" i="10"/>
  <c r="AC277" i="10"/>
  <c r="V277" i="10"/>
  <c r="U277" i="10"/>
  <c r="S277" i="10"/>
  <c r="R277" i="10"/>
  <c r="P277" i="10"/>
  <c r="N277" i="10"/>
  <c r="K277" i="10"/>
  <c r="H277" i="10"/>
  <c r="BV276" i="10"/>
  <c r="BS276" i="10"/>
  <c r="BP276" i="10"/>
  <c r="BI276" i="10"/>
  <c r="BH276" i="10"/>
  <c r="BJ276" i="10" s="1"/>
  <c r="BF276" i="10"/>
  <c r="BE276" i="10"/>
  <c r="BC276" i="10"/>
  <c r="BB276" i="10"/>
  <c r="BA276" i="10"/>
  <c r="AX276" i="10"/>
  <c r="AU276" i="10"/>
  <c r="AP276" i="10"/>
  <c r="AL276" i="10"/>
  <c r="AH276" i="10"/>
  <c r="AG276" i="10"/>
  <c r="AE276" i="10"/>
  <c r="AD276" i="10"/>
  <c r="AC276" i="10"/>
  <c r="V276" i="10"/>
  <c r="U276" i="10"/>
  <c r="S276" i="10"/>
  <c r="R276" i="10"/>
  <c r="P276" i="10"/>
  <c r="N276" i="10"/>
  <c r="K276" i="10"/>
  <c r="H276" i="10"/>
  <c r="BV275" i="10"/>
  <c r="BS275" i="10"/>
  <c r="BP275" i="10"/>
  <c r="BI275" i="10"/>
  <c r="BH275" i="10"/>
  <c r="BF275" i="10"/>
  <c r="BE275" i="10"/>
  <c r="BC275" i="10"/>
  <c r="BB275" i="10"/>
  <c r="BA275" i="10"/>
  <c r="AX275" i="10"/>
  <c r="AU275" i="10"/>
  <c r="AP275" i="10"/>
  <c r="AL275" i="10"/>
  <c r="AH275" i="10"/>
  <c r="AG275" i="10"/>
  <c r="AE275" i="10"/>
  <c r="AD275" i="10"/>
  <c r="AC275" i="10"/>
  <c r="V275" i="10"/>
  <c r="U275" i="10"/>
  <c r="S275" i="10"/>
  <c r="R275" i="10"/>
  <c r="P275" i="10"/>
  <c r="N275" i="10"/>
  <c r="K275" i="10"/>
  <c r="H275" i="10"/>
  <c r="BV274" i="10"/>
  <c r="BS274" i="10"/>
  <c r="BP274" i="10"/>
  <c r="BI274" i="10"/>
  <c r="BH274" i="10"/>
  <c r="BJ274" i="10" s="1"/>
  <c r="BF274" i="10"/>
  <c r="BE274" i="10"/>
  <c r="BC274" i="10"/>
  <c r="BB274" i="10"/>
  <c r="BA274" i="10"/>
  <c r="AX274" i="10"/>
  <c r="AU274" i="10"/>
  <c r="AP274" i="10"/>
  <c r="AL274" i="10"/>
  <c r="AH274" i="10"/>
  <c r="AG274" i="10"/>
  <c r="AE274" i="10"/>
  <c r="AD274" i="10"/>
  <c r="AC274" i="10"/>
  <c r="V274" i="10"/>
  <c r="U274" i="10"/>
  <c r="S274" i="10"/>
  <c r="R274" i="10"/>
  <c r="P274" i="10"/>
  <c r="N274" i="10"/>
  <c r="K274" i="10"/>
  <c r="H274" i="10"/>
  <c r="BV273" i="10"/>
  <c r="BS273" i="10"/>
  <c r="BP273" i="10"/>
  <c r="BI273" i="10"/>
  <c r="BH273" i="10"/>
  <c r="BF273" i="10"/>
  <c r="BE273" i="10"/>
  <c r="BC273" i="10"/>
  <c r="BB273" i="10"/>
  <c r="BA273" i="10"/>
  <c r="AX273" i="10"/>
  <c r="AU273" i="10"/>
  <c r="AP273" i="10"/>
  <c r="AL273" i="10"/>
  <c r="AH273" i="10"/>
  <c r="AG273" i="10"/>
  <c r="AE273" i="10"/>
  <c r="AD273" i="10"/>
  <c r="AC273" i="10"/>
  <c r="V273" i="10"/>
  <c r="U273" i="10"/>
  <c r="S273" i="10"/>
  <c r="R273" i="10"/>
  <c r="P273" i="10"/>
  <c r="N273" i="10"/>
  <c r="K273" i="10"/>
  <c r="H273" i="10"/>
  <c r="BV272" i="10"/>
  <c r="BS272" i="10"/>
  <c r="BP272" i="10"/>
  <c r="BI272" i="10"/>
  <c r="BH272" i="10"/>
  <c r="BF272" i="10"/>
  <c r="BE272" i="10"/>
  <c r="BC272" i="10"/>
  <c r="BB272" i="10"/>
  <c r="BA272" i="10"/>
  <c r="AX272" i="10"/>
  <c r="AU272" i="10"/>
  <c r="AP272" i="10"/>
  <c r="AL272" i="10"/>
  <c r="AH272" i="10"/>
  <c r="AG272" i="10"/>
  <c r="AE272" i="10"/>
  <c r="AD272" i="10"/>
  <c r="AC272" i="10"/>
  <c r="V272" i="10"/>
  <c r="U272" i="10"/>
  <c r="S272" i="10"/>
  <c r="R272" i="10"/>
  <c r="P272" i="10"/>
  <c r="N272" i="10"/>
  <c r="K272" i="10"/>
  <c r="H272" i="10"/>
  <c r="BV271" i="10"/>
  <c r="BS271" i="10"/>
  <c r="BP271" i="10"/>
  <c r="BI271" i="10"/>
  <c r="BH271" i="10"/>
  <c r="BF271" i="10"/>
  <c r="BE271" i="10"/>
  <c r="BC271" i="10"/>
  <c r="BB271" i="10"/>
  <c r="BA271" i="10"/>
  <c r="AX271" i="10"/>
  <c r="AU271" i="10"/>
  <c r="AP271" i="10"/>
  <c r="AL271" i="10"/>
  <c r="AH271" i="10"/>
  <c r="AG271" i="10"/>
  <c r="AE271" i="10"/>
  <c r="AD271" i="10"/>
  <c r="AC271" i="10"/>
  <c r="V271" i="10"/>
  <c r="U271" i="10"/>
  <c r="S271" i="10"/>
  <c r="R271" i="10"/>
  <c r="P271" i="10"/>
  <c r="N271" i="10"/>
  <c r="K271" i="10"/>
  <c r="H271" i="10"/>
  <c r="BV270" i="10"/>
  <c r="BS270" i="10"/>
  <c r="BP270" i="10"/>
  <c r="BI270" i="10"/>
  <c r="BH270" i="10"/>
  <c r="BJ270" i="10" s="1"/>
  <c r="BF270" i="10"/>
  <c r="BE270" i="10"/>
  <c r="BC270" i="10"/>
  <c r="BB270" i="10"/>
  <c r="BA270" i="10"/>
  <c r="AX270" i="10"/>
  <c r="AU270" i="10"/>
  <c r="AP270" i="10"/>
  <c r="AL270" i="10"/>
  <c r="AH270" i="10"/>
  <c r="AG270" i="10"/>
  <c r="AE270" i="10"/>
  <c r="AD270" i="10"/>
  <c r="AC270" i="10"/>
  <c r="V270" i="10"/>
  <c r="U270" i="10"/>
  <c r="S270" i="10"/>
  <c r="R270" i="10"/>
  <c r="P270" i="10"/>
  <c r="N270" i="10"/>
  <c r="K270" i="10"/>
  <c r="H270" i="10"/>
  <c r="BV269" i="10"/>
  <c r="BS269" i="10"/>
  <c r="BP269" i="10"/>
  <c r="BI269" i="10"/>
  <c r="BH269" i="10"/>
  <c r="BF269" i="10"/>
  <c r="BE269" i="10"/>
  <c r="BC269" i="10"/>
  <c r="BB269" i="10"/>
  <c r="BA269" i="10"/>
  <c r="AX269" i="10"/>
  <c r="AU269" i="10"/>
  <c r="AP269" i="10"/>
  <c r="AL269" i="10"/>
  <c r="AH269" i="10"/>
  <c r="AG269" i="10"/>
  <c r="AE269" i="10"/>
  <c r="AD269" i="10"/>
  <c r="AC269" i="10"/>
  <c r="V269" i="10"/>
  <c r="U269" i="10"/>
  <c r="S269" i="10"/>
  <c r="R269" i="10"/>
  <c r="P269" i="10"/>
  <c r="N269" i="10"/>
  <c r="K269" i="10"/>
  <c r="H269" i="10"/>
  <c r="BV268" i="10"/>
  <c r="BS268" i="10"/>
  <c r="BP268" i="10"/>
  <c r="BI268" i="10"/>
  <c r="BH268" i="10"/>
  <c r="BF268" i="10"/>
  <c r="BE268" i="10"/>
  <c r="BC268" i="10"/>
  <c r="BB268" i="10"/>
  <c r="BA268" i="10"/>
  <c r="AX268" i="10"/>
  <c r="AU268" i="10"/>
  <c r="AP268" i="10"/>
  <c r="AL268" i="10"/>
  <c r="AH268" i="10"/>
  <c r="AG268" i="10"/>
  <c r="AE268" i="10"/>
  <c r="AD268" i="10"/>
  <c r="AC268" i="10"/>
  <c r="V268" i="10"/>
  <c r="U268" i="10"/>
  <c r="S268" i="10"/>
  <c r="R268" i="10"/>
  <c r="P268" i="10"/>
  <c r="N268" i="10"/>
  <c r="K268" i="10"/>
  <c r="H268" i="10"/>
  <c r="BV267" i="10"/>
  <c r="BS267" i="10"/>
  <c r="BP267" i="10"/>
  <c r="BI267" i="10"/>
  <c r="BH267" i="10"/>
  <c r="BF267" i="10"/>
  <c r="BE267" i="10"/>
  <c r="BC267" i="10"/>
  <c r="BB267" i="10"/>
  <c r="BA267" i="10"/>
  <c r="AX267" i="10"/>
  <c r="AU267" i="10"/>
  <c r="AP267" i="10"/>
  <c r="AL267" i="10"/>
  <c r="AH267" i="10"/>
  <c r="AG267" i="10"/>
  <c r="AE267" i="10"/>
  <c r="AD267" i="10"/>
  <c r="AC267" i="10"/>
  <c r="V267" i="10"/>
  <c r="U267" i="10"/>
  <c r="S267" i="10"/>
  <c r="R267" i="10"/>
  <c r="P267" i="10"/>
  <c r="N267" i="10"/>
  <c r="K267" i="10"/>
  <c r="H267" i="10"/>
  <c r="BV266" i="10"/>
  <c r="BS266" i="10"/>
  <c r="BP266" i="10"/>
  <c r="BI266" i="10"/>
  <c r="BH266" i="10"/>
  <c r="BJ266" i="10" s="1"/>
  <c r="BF266" i="10"/>
  <c r="BE266" i="10"/>
  <c r="BC266" i="10"/>
  <c r="BB266" i="10"/>
  <c r="BA266" i="10"/>
  <c r="AX266" i="10"/>
  <c r="AU266" i="10"/>
  <c r="AP266" i="10"/>
  <c r="AL266" i="10"/>
  <c r="AH266" i="10"/>
  <c r="AG266" i="10"/>
  <c r="AE266" i="10"/>
  <c r="AD266" i="10"/>
  <c r="AC266" i="10"/>
  <c r="V266" i="10"/>
  <c r="U266" i="10"/>
  <c r="S266" i="10"/>
  <c r="R266" i="10"/>
  <c r="P266" i="10"/>
  <c r="N266" i="10"/>
  <c r="K266" i="10"/>
  <c r="H266" i="10"/>
  <c r="BV265" i="10"/>
  <c r="BS265" i="10"/>
  <c r="BP265" i="10"/>
  <c r="BI265" i="10"/>
  <c r="BH265" i="10"/>
  <c r="BF265" i="10"/>
  <c r="BE265" i="10"/>
  <c r="BC265" i="10"/>
  <c r="BB265" i="10"/>
  <c r="BA265" i="10"/>
  <c r="AX265" i="10"/>
  <c r="AU265" i="10"/>
  <c r="AP265" i="10"/>
  <c r="AL265" i="10"/>
  <c r="AH265" i="10"/>
  <c r="AG265" i="10"/>
  <c r="AE265" i="10"/>
  <c r="AD265" i="10"/>
  <c r="AC265" i="10"/>
  <c r="V265" i="10"/>
  <c r="U265" i="10"/>
  <c r="S265" i="10"/>
  <c r="R265" i="10"/>
  <c r="P265" i="10"/>
  <c r="N265" i="10"/>
  <c r="K265" i="10"/>
  <c r="H265" i="10"/>
  <c r="BV264" i="10"/>
  <c r="BS264" i="10"/>
  <c r="BP264" i="10"/>
  <c r="BI264" i="10"/>
  <c r="BH264" i="10"/>
  <c r="BF264" i="10"/>
  <c r="BE264" i="10"/>
  <c r="BC264" i="10"/>
  <c r="BB264" i="10"/>
  <c r="BA264" i="10"/>
  <c r="AX264" i="10"/>
  <c r="AU264" i="10"/>
  <c r="AP264" i="10"/>
  <c r="AL264" i="10"/>
  <c r="AH264" i="10"/>
  <c r="AG264" i="10"/>
  <c r="AE264" i="10"/>
  <c r="AD264" i="10"/>
  <c r="AC264" i="10"/>
  <c r="V264" i="10"/>
  <c r="U264" i="10"/>
  <c r="S264" i="10"/>
  <c r="R264" i="10"/>
  <c r="P264" i="10"/>
  <c r="N264" i="10"/>
  <c r="K264" i="10"/>
  <c r="H264" i="10"/>
  <c r="BV263" i="10"/>
  <c r="BS263" i="10"/>
  <c r="BP263" i="10"/>
  <c r="BI263" i="10"/>
  <c r="BH263" i="10"/>
  <c r="BF263" i="10"/>
  <c r="BE263" i="10"/>
  <c r="BC263" i="10"/>
  <c r="BB263" i="10"/>
  <c r="BA263" i="10"/>
  <c r="AX263" i="10"/>
  <c r="AU263" i="10"/>
  <c r="AP263" i="10"/>
  <c r="AL263" i="10"/>
  <c r="AH263" i="10"/>
  <c r="AG263" i="10"/>
  <c r="AE263" i="10"/>
  <c r="AD263" i="10"/>
  <c r="AC263" i="10"/>
  <c r="V263" i="10"/>
  <c r="W263" i="10" s="1"/>
  <c r="U263" i="10"/>
  <c r="S263" i="10"/>
  <c r="R263" i="10"/>
  <c r="P263" i="10"/>
  <c r="N263" i="10"/>
  <c r="K263" i="10"/>
  <c r="H263" i="10"/>
  <c r="BV262" i="10"/>
  <c r="BS262" i="10"/>
  <c r="BP262" i="10"/>
  <c r="BI262" i="10"/>
  <c r="BH262" i="10"/>
  <c r="BJ262" i="10" s="1"/>
  <c r="BF262" i="10"/>
  <c r="BE262" i="10"/>
  <c r="BC262" i="10"/>
  <c r="BB262" i="10"/>
  <c r="BA262" i="10"/>
  <c r="AX262" i="10"/>
  <c r="AU262" i="10"/>
  <c r="AP262" i="10"/>
  <c r="AL262" i="10"/>
  <c r="AH262" i="10"/>
  <c r="AG262" i="10"/>
  <c r="AE262" i="10"/>
  <c r="AD262" i="10"/>
  <c r="AC262" i="10"/>
  <c r="V262" i="10"/>
  <c r="U262" i="10"/>
  <c r="S262" i="10"/>
  <c r="R262" i="10"/>
  <c r="P262" i="10"/>
  <c r="N262" i="10"/>
  <c r="K262" i="10"/>
  <c r="H262" i="10"/>
  <c r="BV261" i="10"/>
  <c r="BS261" i="10"/>
  <c r="BP261" i="10"/>
  <c r="BI261" i="10"/>
  <c r="BH261" i="10"/>
  <c r="BF261" i="10"/>
  <c r="BE261" i="10"/>
  <c r="BC261" i="10"/>
  <c r="BB261" i="10"/>
  <c r="BA261" i="10"/>
  <c r="AX261" i="10"/>
  <c r="AU261" i="10"/>
  <c r="AP261" i="10"/>
  <c r="AL261" i="10"/>
  <c r="AH261" i="10"/>
  <c r="AG261" i="10"/>
  <c r="AE261" i="10"/>
  <c r="AD261" i="10"/>
  <c r="AC261" i="10"/>
  <c r="V261" i="10"/>
  <c r="U261" i="10"/>
  <c r="S261" i="10"/>
  <c r="R261" i="10"/>
  <c r="P261" i="10"/>
  <c r="N261" i="10"/>
  <c r="K261" i="10"/>
  <c r="H261" i="10"/>
  <c r="BV260" i="10"/>
  <c r="BS260" i="10"/>
  <c r="BP260" i="10"/>
  <c r="BI260" i="10"/>
  <c r="BH260" i="10"/>
  <c r="BJ260" i="10" s="1"/>
  <c r="BF260" i="10"/>
  <c r="BE260" i="10"/>
  <c r="BC260" i="10"/>
  <c r="BB260" i="10"/>
  <c r="BA260" i="10"/>
  <c r="AX260" i="10"/>
  <c r="AU260" i="10"/>
  <c r="AP260" i="10"/>
  <c r="AL260" i="10"/>
  <c r="AH260" i="10"/>
  <c r="AG260" i="10"/>
  <c r="AE260" i="10"/>
  <c r="AD260" i="10"/>
  <c r="AC260" i="10"/>
  <c r="V260" i="10"/>
  <c r="U260" i="10"/>
  <c r="S260" i="10"/>
  <c r="R260" i="10"/>
  <c r="P260" i="10"/>
  <c r="N260" i="10"/>
  <c r="K260" i="10"/>
  <c r="H260" i="10"/>
  <c r="BV259" i="10"/>
  <c r="BS259" i="10"/>
  <c r="BP259" i="10"/>
  <c r="BI259" i="10"/>
  <c r="BH259" i="10"/>
  <c r="BF259" i="10"/>
  <c r="BE259" i="10"/>
  <c r="BC259" i="10"/>
  <c r="BB259" i="10"/>
  <c r="BA259" i="10"/>
  <c r="AX259" i="10"/>
  <c r="AU259" i="10"/>
  <c r="AP259" i="10"/>
  <c r="AL259" i="10"/>
  <c r="AH259" i="10"/>
  <c r="AG259" i="10"/>
  <c r="AE259" i="10"/>
  <c r="AD259" i="10"/>
  <c r="AC259" i="10"/>
  <c r="V259" i="10"/>
  <c r="U259" i="10"/>
  <c r="S259" i="10"/>
  <c r="R259" i="10"/>
  <c r="P259" i="10"/>
  <c r="N259" i="10"/>
  <c r="K259" i="10"/>
  <c r="H259" i="10"/>
  <c r="BV258" i="10"/>
  <c r="BS258" i="10"/>
  <c r="BP258" i="10"/>
  <c r="BI258" i="10"/>
  <c r="BH258" i="10"/>
  <c r="BF258" i="10"/>
  <c r="BE258" i="10"/>
  <c r="BC258" i="10"/>
  <c r="BB258" i="10"/>
  <c r="BA258" i="10"/>
  <c r="AX258" i="10"/>
  <c r="AU258" i="10"/>
  <c r="AP258" i="10"/>
  <c r="AL258" i="10"/>
  <c r="AH258" i="10"/>
  <c r="AG258" i="10"/>
  <c r="AE258" i="10"/>
  <c r="AD258" i="10"/>
  <c r="AC258" i="10"/>
  <c r="V258" i="10"/>
  <c r="U258" i="10"/>
  <c r="S258" i="10"/>
  <c r="R258" i="10"/>
  <c r="P258" i="10"/>
  <c r="O258" i="10"/>
  <c r="N258" i="10"/>
  <c r="K258" i="10"/>
  <c r="H258" i="10"/>
  <c r="BV257" i="10"/>
  <c r="BS257" i="10"/>
  <c r="BP257" i="10"/>
  <c r="BI257" i="10"/>
  <c r="BH257" i="10"/>
  <c r="BJ257" i="10" s="1"/>
  <c r="BF257" i="10"/>
  <c r="BE257" i="10"/>
  <c r="BC257" i="10"/>
  <c r="BB257" i="10"/>
  <c r="BA257" i="10"/>
  <c r="AX257" i="10"/>
  <c r="AU257" i="10"/>
  <c r="AP257" i="10"/>
  <c r="AL257" i="10"/>
  <c r="AH257" i="10"/>
  <c r="AG257" i="10"/>
  <c r="AE257" i="10"/>
  <c r="AD257" i="10"/>
  <c r="AC257" i="10"/>
  <c r="V257" i="10"/>
  <c r="U257" i="10"/>
  <c r="S257" i="10"/>
  <c r="R257" i="10"/>
  <c r="P257" i="10"/>
  <c r="O257" i="10"/>
  <c r="N257" i="10"/>
  <c r="K257" i="10"/>
  <c r="H257" i="10"/>
  <c r="BV256" i="10"/>
  <c r="BS256" i="10"/>
  <c r="BP256" i="10"/>
  <c r="BI256" i="10"/>
  <c r="BH256" i="10"/>
  <c r="BF256" i="10"/>
  <c r="BE256" i="10"/>
  <c r="BC256" i="10"/>
  <c r="BB256" i="10"/>
  <c r="BA256" i="10"/>
  <c r="AX256" i="10"/>
  <c r="AU256" i="10"/>
  <c r="AP256" i="10"/>
  <c r="AL256" i="10"/>
  <c r="AH256" i="10"/>
  <c r="AG256" i="10"/>
  <c r="AE256" i="10"/>
  <c r="AD256" i="10"/>
  <c r="AC256" i="10"/>
  <c r="V256" i="10"/>
  <c r="U256" i="10"/>
  <c r="S256" i="10"/>
  <c r="R256" i="10"/>
  <c r="P256" i="10"/>
  <c r="O256" i="10"/>
  <c r="N256" i="10"/>
  <c r="K256" i="10"/>
  <c r="H256" i="10"/>
  <c r="BV255" i="10"/>
  <c r="BS255" i="10"/>
  <c r="BP255" i="10"/>
  <c r="BI255" i="10"/>
  <c r="BH255" i="10"/>
  <c r="BJ255" i="10" s="1"/>
  <c r="BF255" i="10"/>
  <c r="BE255" i="10"/>
  <c r="BC255" i="10"/>
  <c r="BB255" i="10"/>
  <c r="BA255" i="10"/>
  <c r="AX255" i="10"/>
  <c r="AU255" i="10"/>
  <c r="AP255" i="10"/>
  <c r="AL255" i="10"/>
  <c r="AH255" i="10"/>
  <c r="AG255" i="10"/>
  <c r="AE255" i="10"/>
  <c r="AD255" i="10"/>
  <c r="AC255" i="10"/>
  <c r="V255" i="10"/>
  <c r="U255" i="10"/>
  <c r="S255" i="10"/>
  <c r="R255" i="10"/>
  <c r="P255" i="10"/>
  <c r="O255" i="10"/>
  <c r="N255" i="10"/>
  <c r="K255" i="10"/>
  <c r="H255" i="10"/>
  <c r="BV254" i="10"/>
  <c r="BS254" i="10"/>
  <c r="BP254" i="10"/>
  <c r="BI254" i="10"/>
  <c r="BH254" i="10"/>
  <c r="BJ254" i="10" s="1"/>
  <c r="BF254" i="10"/>
  <c r="BE254" i="10"/>
  <c r="BC254" i="10"/>
  <c r="BB254" i="10"/>
  <c r="BA254" i="10"/>
  <c r="AX254" i="10"/>
  <c r="AU254" i="10"/>
  <c r="AP254" i="10"/>
  <c r="AL254" i="10"/>
  <c r="AH254" i="10"/>
  <c r="AG254" i="10"/>
  <c r="AE254" i="10"/>
  <c r="AD254" i="10"/>
  <c r="AC254" i="10"/>
  <c r="V254" i="10"/>
  <c r="U254" i="10"/>
  <c r="S254" i="10"/>
  <c r="R254" i="10"/>
  <c r="P254" i="10"/>
  <c r="O254" i="10"/>
  <c r="N254" i="10"/>
  <c r="K254" i="10"/>
  <c r="H254" i="10"/>
  <c r="BV253" i="10"/>
  <c r="BS253" i="10"/>
  <c r="BP253" i="10"/>
  <c r="BI253" i="10"/>
  <c r="BH253" i="10"/>
  <c r="BJ253" i="10" s="1"/>
  <c r="BF253" i="10"/>
  <c r="BE253" i="10"/>
  <c r="BC253" i="10"/>
  <c r="BB253" i="10"/>
  <c r="BA253" i="10"/>
  <c r="AX253" i="10"/>
  <c r="AU253" i="10"/>
  <c r="AP253" i="10"/>
  <c r="AL253" i="10"/>
  <c r="AH253" i="10"/>
  <c r="AG253" i="10"/>
  <c r="AE253" i="10"/>
  <c r="AD253" i="10"/>
  <c r="AC253" i="10"/>
  <c r="V253" i="10"/>
  <c r="U253" i="10"/>
  <c r="S253" i="10"/>
  <c r="R253" i="10"/>
  <c r="P253" i="10"/>
  <c r="O253" i="10"/>
  <c r="N253" i="10"/>
  <c r="K253" i="10"/>
  <c r="H253" i="10"/>
  <c r="BV252" i="10"/>
  <c r="BS252" i="10"/>
  <c r="BP252" i="10"/>
  <c r="BI252" i="10"/>
  <c r="BH252" i="10"/>
  <c r="BJ252" i="10" s="1"/>
  <c r="BF252" i="10"/>
  <c r="BE252" i="10"/>
  <c r="BC252" i="10"/>
  <c r="BB252" i="10"/>
  <c r="BA252" i="10"/>
  <c r="AX252" i="10"/>
  <c r="AU252" i="10"/>
  <c r="AP252" i="10"/>
  <c r="AL252" i="10"/>
  <c r="AH252" i="10"/>
  <c r="AG252" i="10"/>
  <c r="AE252" i="10"/>
  <c r="AD252" i="10"/>
  <c r="AC252" i="10"/>
  <c r="V252" i="10"/>
  <c r="U252" i="10"/>
  <c r="S252" i="10"/>
  <c r="R252" i="10"/>
  <c r="P252" i="10"/>
  <c r="O252" i="10"/>
  <c r="N252" i="10"/>
  <c r="K252" i="10"/>
  <c r="H252" i="10"/>
  <c r="BV251" i="10"/>
  <c r="BS251" i="10"/>
  <c r="BP251" i="10"/>
  <c r="BI251" i="10"/>
  <c r="BH251" i="10"/>
  <c r="BJ251" i="10" s="1"/>
  <c r="BF251" i="10"/>
  <c r="BE251" i="10"/>
  <c r="BC251" i="10"/>
  <c r="BB251" i="10"/>
  <c r="BA251" i="10"/>
  <c r="AX251" i="10"/>
  <c r="AU251" i="10"/>
  <c r="AP251" i="10"/>
  <c r="AL251" i="10"/>
  <c r="AH251" i="10"/>
  <c r="AG251" i="10"/>
  <c r="AE251" i="10"/>
  <c r="AD251" i="10"/>
  <c r="AC251" i="10"/>
  <c r="V251" i="10"/>
  <c r="U251" i="10"/>
  <c r="S251" i="10"/>
  <c r="R251" i="10"/>
  <c r="P251" i="10"/>
  <c r="O251" i="10"/>
  <c r="N251" i="10"/>
  <c r="K251" i="10"/>
  <c r="H251" i="10"/>
  <c r="BV250" i="10"/>
  <c r="BS250" i="10"/>
  <c r="BP250" i="10"/>
  <c r="BI250" i="10"/>
  <c r="BH250" i="10"/>
  <c r="BJ250" i="10" s="1"/>
  <c r="BF250" i="10"/>
  <c r="BE250" i="10"/>
  <c r="BC250" i="10"/>
  <c r="BB250" i="10"/>
  <c r="BA250" i="10"/>
  <c r="AX250" i="10"/>
  <c r="AU250" i="10"/>
  <c r="AP250" i="10"/>
  <c r="AL250" i="10"/>
  <c r="AH250" i="10"/>
  <c r="AG250" i="10"/>
  <c r="AE250" i="10"/>
  <c r="AD250" i="10"/>
  <c r="AC250" i="10"/>
  <c r="V250" i="10"/>
  <c r="U250" i="10"/>
  <c r="S250" i="10"/>
  <c r="R250" i="10"/>
  <c r="P250" i="10"/>
  <c r="O250" i="10"/>
  <c r="N250" i="10"/>
  <c r="K250" i="10"/>
  <c r="H250" i="10"/>
  <c r="BV249" i="10"/>
  <c r="BS249" i="10"/>
  <c r="BP249" i="10"/>
  <c r="BI249" i="10"/>
  <c r="BH249" i="10"/>
  <c r="BJ249" i="10" s="1"/>
  <c r="BF249" i="10"/>
  <c r="BE249" i="10"/>
  <c r="BC249" i="10"/>
  <c r="BB249" i="10"/>
  <c r="BA249" i="10"/>
  <c r="AX249" i="10"/>
  <c r="AU249" i="10"/>
  <c r="AP249" i="10"/>
  <c r="AL249" i="10"/>
  <c r="AH249" i="10"/>
  <c r="AG249" i="10"/>
  <c r="AE249" i="10"/>
  <c r="AD249" i="10"/>
  <c r="AC249" i="10"/>
  <c r="V249" i="10"/>
  <c r="U249" i="10"/>
  <c r="S249" i="10"/>
  <c r="R249" i="10"/>
  <c r="P249" i="10"/>
  <c r="O249" i="10"/>
  <c r="N249" i="10"/>
  <c r="K249" i="10"/>
  <c r="H249" i="10"/>
  <c r="BV248" i="10"/>
  <c r="BS248" i="10"/>
  <c r="BP248" i="10"/>
  <c r="BI248" i="10"/>
  <c r="BH248" i="10"/>
  <c r="BJ248" i="10" s="1"/>
  <c r="BF248" i="10"/>
  <c r="BE248" i="10"/>
  <c r="BC248" i="10"/>
  <c r="BB248" i="10"/>
  <c r="BA248" i="10"/>
  <c r="AX248" i="10"/>
  <c r="AU248" i="10"/>
  <c r="AP248" i="10"/>
  <c r="AL248" i="10"/>
  <c r="AH248" i="10"/>
  <c r="AG248" i="10"/>
  <c r="AE248" i="10"/>
  <c r="AD248" i="10"/>
  <c r="AC248" i="10"/>
  <c r="V248" i="10"/>
  <c r="U248" i="10"/>
  <c r="S248" i="10"/>
  <c r="R248" i="10"/>
  <c r="P248" i="10"/>
  <c r="O248" i="10"/>
  <c r="N248" i="10"/>
  <c r="K248" i="10"/>
  <c r="H248" i="10"/>
  <c r="BV247" i="10"/>
  <c r="BS247" i="10"/>
  <c r="BP247" i="10"/>
  <c r="BI247" i="10"/>
  <c r="BH247" i="10"/>
  <c r="BJ247" i="10" s="1"/>
  <c r="BF247" i="10"/>
  <c r="BE247" i="10"/>
  <c r="BC247" i="10"/>
  <c r="BB247" i="10"/>
  <c r="BA247" i="10"/>
  <c r="AX247" i="10"/>
  <c r="AU247" i="10"/>
  <c r="AP247" i="10"/>
  <c r="AL247" i="10"/>
  <c r="AH247" i="10"/>
  <c r="AG247" i="10"/>
  <c r="AE247" i="10"/>
  <c r="AD247" i="10"/>
  <c r="AC247" i="10"/>
  <c r="V247" i="10"/>
  <c r="U247" i="10"/>
  <c r="S247" i="10"/>
  <c r="R247" i="10"/>
  <c r="P247" i="10"/>
  <c r="O247" i="10"/>
  <c r="N247" i="10"/>
  <c r="K247" i="10"/>
  <c r="H247" i="10"/>
  <c r="BV246" i="10"/>
  <c r="BS246" i="10"/>
  <c r="BP246" i="10"/>
  <c r="BI246" i="10"/>
  <c r="BH246" i="10"/>
  <c r="BJ246" i="10" s="1"/>
  <c r="BF246" i="10"/>
  <c r="BE246" i="10"/>
  <c r="BC246" i="10"/>
  <c r="BB246" i="10"/>
  <c r="BA246" i="10"/>
  <c r="AX246" i="10"/>
  <c r="AU246" i="10"/>
  <c r="AP246" i="10"/>
  <c r="AL246" i="10"/>
  <c r="AH246" i="10"/>
  <c r="AG246" i="10"/>
  <c r="AE246" i="10"/>
  <c r="AD246" i="10"/>
  <c r="AC246" i="10"/>
  <c r="V246" i="10"/>
  <c r="U246" i="10"/>
  <c r="S246" i="10"/>
  <c r="R246" i="10"/>
  <c r="P246" i="10"/>
  <c r="O246" i="10"/>
  <c r="N246" i="10"/>
  <c r="K246" i="10"/>
  <c r="H246" i="10"/>
  <c r="BV245" i="10"/>
  <c r="BS245" i="10"/>
  <c r="BP245" i="10"/>
  <c r="BI245" i="10"/>
  <c r="BH245" i="10"/>
  <c r="BJ245" i="10" s="1"/>
  <c r="BF245" i="10"/>
  <c r="BE245" i="10"/>
  <c r="BC245" i="10"/>
  <c r="BB245" i="10"/>
  <c r="BA245" i="10"/>
  <c r="AX245" i="10"/>
  <c r="AU245" i="10"/>
  <c r="AP245" i="10"/>
  <c r="AL245" i="10"/>
  <c r="AH245" i="10"/>
  <c r="AG245" i="10"/>
  <c r="AE245" i="10"/>
  <c r="AD245" i="10"/>
  <c r="AC245" i="10"/>
  <c r="V245" i="10"/>
  <c r="U245" i="10"/>
  <c r="S245" i="10"/>
  <c r="R245" i="10"/>
  <c r="P245" i="10"/>
  <c r="O245" i="10"/>
  <c r="N245" i="10"/>
  <c r="K245" i="10"/>
  <c r="H245" i="10"/>
  <c r="BV244" i="10"/>
  <c r="BS244" i="10"/>
  <c r="BP244" i="10"/>
  <c r="BI244" i="10"/>
  <c r="BH244" i="10"/>
  <c r="BJ244" i="10" s="1"/>
  <c r="BF244" i="10"/>
  <c r="BE244" i="10"/>
  <c r="BC244" i="10"/>
  <c r="BB244" i="10"/>
  <c r="BA244" i="10"/>
  <c r="AX244" i="10"/>
  <c r="AU244" i="10"/>
  <c r="AP244" i="10"/>
  <c r="AL244" i="10"/>
  <c r="AH244" i="10"/>
  <c r="AG244" i="10"/>
  <c r="AE244" i="10"/>
  <c r="AD244" i="10"/>
  <c r="AC244" i="10"/>
  <c r="V244" i="10"/>
  <c r="U244" i="10"/>
  <c r="S244" i="10"/>
  <c r="R244" i="10"/>
  <c r="P244" i="10"/>
  <c r="O244" i="10"/>
  <c r="N244" i="10"/>
  <c r="K244" i="10"/>
  <c r="H244" i="10"/>
  <c r="BV243" i="10"/>
  <c r="BS243" i="10"/>
  <c r="BP243" i="10"/>
  <c r="BI243" i="10"/>
  <c r="BH243" i="10"/>
  <c r="BJ243" i="10" s="1"/>
  <c r="BF243" i="10"/>
  <c r="BE243" i="10"/>
  <c r="BC243" i="10"/>
  <c r="BB243" i="10"/>
  <c r="BA243" i="10"/>
  <c r="AX243" i="10"/>
  <c r="AU243" i="10"/>
  <c r="AP243" i="10"/>
  <c r="AL243" i="10"/>
  <c r="AH243" i="10"/>
  <c r="AG243" i="10"/>
  <c r="AE243" i="10"/>
  <c r="AD243" i="10"/>
  <c r="AC243" i="10"/>
  <c r="V243" i="10"/>
  <c r="U243" i="10"/>
  <c r="S243" i="10"/>
  <c r="R243" i="10"/>
  <c r="P243" i="10"/>
  <c r="O243" i="10"/>
  <c r="N243" i="10"/>
  <c r="K243" i="10"/>
  <c r="H243" i="10"/>
  <c r="BV242" i="10"/>
  <c r="BS242" i="10"/>
  <c r="BP242" i="10"/>
  <c r="BI242" i="10"/>
  <c r="BH242" i="10"/>
  <c r="BJ242" i="10" s="1"/>
  <c r="BF242" i="10"/>
  <c r="BE242" i="10"/>
  <c r="BC242" i="10"/>
  <c r="BB242" i="10"/>
  <c r="BA242" i="10"/>
  <c r="AX242" i="10"/>
  <c r="AU242" i="10"/>
  <c r="AP242" i="10"/>
  <c r="AL242" i="10"/>
  <c r="AH242" i="10"/>
  <c r="AG242" i="10"/>
  <c r="AE242" i="10"/>
  <c r="AD242" i="10"/>
  <c r="AC242" i="10"/>
  <c r="V242" i="10"/>
  <c r="U242" i="10"/>
  <c r="S242" i="10"/>
  <c r="R242" i="10"/>
  <c r="P242" i="10"/>
  <c r="O242" i="10"/>
  <c r="N242" i="10"/>
  <c r="K242" i="10"/>
  <c r="H242" i="10"/>
  <c r="BV241" i="10"/>
  <c r="BS241" i="10"/>
  <c r="BP241" i="10"/>
  <c r="BI241" i="10"/>
  <c r="BH241" i="10"/>
  <c r="BJ241" i="10" s="1"/>
  <c r="BF241" i="10"/>
  <c r="BE241" i="10"/>
  <c r="BC241" i="10"/>
  <c r="BB241" i="10"/>
  <c r="BA241" i="10"/>
  <c r="AX241" i="10"/>
  <c r="AU241" i="10"/>
  <c r="AP241" i="10"/>
  <c r="AL241" i="10"/>
  <c r="AH241" i="10"/>
  <c r="AG241" i="10"/>
  <c r="AE241" i="10"/>
  <c r="AD241" i="10"/>
  <c r="AC241" i="10"/>
  <c r="V241" i="10"/>
  <c r="U241" i="10"/>
  <c r="S241" i="10"/>
  <c r="R241" i="10"/>
  <c r="P241" i="10"/>
  <c r="O241" i="10"/>
  <c r="N241" i="10"/>
  <c r="K241" i="10"/>
  <c r="H241" i="10"/>
  <c r="BV240" i="10"/>
  <c r="BS240" i="10"/>
  <c r="BP240" i="10"/>
  <c r="BI240" i="10"/>
  <c r="BH240" i="10"/>
  <c r="BJ240" i="10" s="1"/>
  <c r="BF240" i="10"/>
  <c r="BE240" i="10"/>
  <c r="BC240" i="10"/>
  <c r="BB240" i="10"/>
  <c r="BA240" i="10"/>
  <c r="AX240" i="10"/>
  <c r="AU240" i="10"/>
  <c r="AP240" i="10"/>
  <c r="AL240" i="10"/>
  <c r="AH240" i="10"/>
  <c r="AG240" i="10"/>
  <c r="AE240" i="10"/>
  <c r="AD240" i="10"/>
  <c r="AC240" i="10"/>
  <c r="V240" i="10"/>
  <c r="U240" i="10"/>
  <c r="S240" i="10"/>
  <c r="R240" i="10"/>
  <c r="P240" i="10"/>
  <c r="O240" i="10"/>
  <c r="N240" i="10"/>
  <c r="K240" i="10"/>
  <c r="H240" i="10"/>
  <c r="BV239" i="10"/>
  <c r="BS239" i="10"/>
  <c r="BP239" i="10"/>
  <c r="BI239" i="10"/>
  <c r="BH239" i="10"/>
  <c r="BJ239" i="10" s="1"/>
  <c r="BF239" i="10"/>
  <c r="BE239" i="10"/>
  <c r="BC239" i="10"/>
  <c r="BB239" i="10"/>
  <c r="BA239" i="10"/>
  <c r="AX239" i="10"/>
  <c r="AU239" i="10"/>
  <c r="AP239" i="10"/>
  <c r="AL239" i="10"/>
  <c r="AH239" i="10"/>
  <c r="AG239" i="10"/>
  <c r="AE239" i="10"/>
  <c r="AD239" i="10"/>
  <c r="AC239" i="10"/>
  <c r="V239" i="10"/>
  <c r="U239" i="10"/>
  <c r="S239" i="10"/>
  <c r="R239" i="10"/>
  <c r="P239" i="10"/>
  <c r="O239" i="10"/>
  <c r="N239" i="10"/>
  <c r="K239" i="10"/>
  <c r="H239" i="10"/>
  <c r="BV238" i="10"/>
  <c r="BS238" i="10"/>
  <c r="BP238" i="10"/>
  <c r="BI238" i="10"/>
  <c r="BH238" i="10"/>
  <c r="BJ238" i="10" s="1"/>
  <c r="BF238" i="10"/>
  <c r="BE238" i="10"/>
  <c r="BC238" i="10"/>
  <c r="BB238" i="10"/>
  <c r="BA238" i="10"/>
  <c r="AX238" i="10"/>
  <c r="AU238" i="10"/>
  <c r="AP238" i="10"/>
  <c r="AL238" i="10"/>
  <c r="AH238" i="10"/>
  <c r="AG238" i="10"/>
  <c r="AE238" i="10"/>
  <c r="AD238" i="10"/>
  <c r="AC238" i="10"/>
  <c r="V238" i="10"/>
  <c r="U238" i="10"/>
  <c r="S238" i="10"/>
  <c r="R238" i="10"/>
  <c r="P238" i="10"/>
  <c r="O238" i="10"/>
  <c r="N238" i="10"/>
  <c r="K238" i="10"/>
  <c r="H238" i="10"/>
  <c r="BV237" i="10"/>
  <c r="BS237" i="10"/>
  <c r="BP237" i="10"/>
  <c r="BI237" i="10"/>
  <c r="BH237" i="10"/>
  <c r="BJ237" i="10" s="1"/>
  <c r="BF237" i="10"/>
  <c r="BE237" i="10"/>
  <c r="BC237" i="10"/>
  <c r="BB237" i="10"/>
  <c r="BA237" i="10"/>
  <c r="AX237" i="10"/>
  <c r="AU237" i="10"/>
  <c r="AP237" i="10"/>
  <c r="AL237" i="10"/>
  <c r="AH237" i="10"/>
  <c r="AC237" i="10"/>
  <c r="V237" i="10"/>
  <c r="W237" i="10" s="1"/>
  <c r="U237" i="10"/>
  <c r="S237" i="10"/>
  <c r="R237" i="10"/>
  <c r="P237" i="10"/>
  <c r="O237" i="10"/>
  <c r="N237" i="10"/>
  <c r="K237" i="10"/>
  <c r="H237" i="10"/>
  <c r="BV236" i="10"/>
  <c r="BS236" i="10"/>
  <c r="BP236" i="10"/>
  <c r="BI236" i="10"/>
  <c r="BH236" i="10"/>
  <c r="BF236" i="10"/>
  <c r="BE236" i="10"/>
  <c r="BC236" i="10"/>
  <c r="BB236" i="10"/>
  <c r="BA236" i="10"/>
  <c r="AX236" i="10"/>
  <c r="AU236" i="10"/>
  <c r="AP236" i="10"/>
  <c r="AL236" i="10"/>
  <c r="AH236" i="10"/>
  <c r="AG236" i="10"/>
  <c r="AE236" i="10"/>
  <c r="AD236" i="10"/>
  <c r="AC236" i="10"/>
  <c r="V236" i="10"/>
  <c r="U236" i="10"/>
  <c r="S236" i="10"/>
  <c r="R236" i="10"/>
  <c r="P236" i="10"/>
  <c r="O236" i="10"/>
  <c r="N236" i="10"/>
  <c r="K236" i="10"/>
  <c r="H236" i="10"/>
  <c r="BV235" i="10"/>
  <c r="BS235" i="10"/>
  <c r="BP235" i="10"/>
  <c r="BI235" i="10"/>
  <c r="BH235" i="10"/>
  <c r="BF235" i="10"/>
  <c r="BE235" i="10"/>
  <c r="BC235" i="10"/>
  <c r="BB235" i="10"/>
  <c r="BA235" i="10"/>
  <c r="AX235" i="10"/>
  <c r="AU235" i="10"/>
  <c r="AP235" i="10"/>
  <c r="AL235" i="10"/>
  <c r="AH235" i="10"/>
  <c r="AG235" i="10"/>
  <c r="AE235" i="10"/>
  <c r="AD235" i="10"/>
  <c r="AC235" i="10"/>
  <c r="V235" i="10"/>
  <c r="W235" i="10" s="1"/>
  <c r="U235" i="10"/>
  <c r="S235" i="10"/>
  <c r="R235" i="10"/>
  <c r="P235" i="10"/>
  <c r="O235" i="10"/>
  <c r="N235" i="10"/>
  <c r="K235" i="10"/>
  <c r="H235" i="10"/>
  <c r="BV234" i="10"/>
  <c r="BS234" i="10"/>
  <c r="BP234" i="10"/>
  <c r="BI234" i="10"/>
  <c r="BH234" i="10"/>
  <c r="BF234" i="10"/>
  <c r="BE234" i="10"/>
  <c r="BC234" i="10"/>
  <c r="BB234" i="10"/>
  <c r="BA234" i="10"/>
  <c r="AX234" i="10"/>
  <c r="AU234" i="10"/>
  <c r="AP234" i="10"/>
  <c r="AL234" i="10"/>
  <c r="AH234" i="10"/>
  <c r="AG234" i="10"/>
  <c r="AE234" i="10"/>
  <c r="AD234" i="10"/>
  <c r="AC234" i="10"/>
  <c r="V234" i="10"/>
  <c r="U234" i="10"/>
  <c r="S234" i="10"/>
  <c r="R234" i="10"/>
  <c r="P234" i="10"/>
  <c r="O234" i="10"/>
  <c r="N234" i="10"/>
  <c r="K234" i="10"/>
  <c r="H234" i="10"/>
  <c r="BV233" i="10"/>
  <c r="BS233" i="10"/>
  <c r="BP233" i="10"/>
  <c r="BI233" i="10"/>
  <c r="BH233" i="10"/>
  <c r="BF233" i="10"/>
  <c r="BE233" i="10"/>
  <c r="BC233" i="10"/>
  <c r="BB233" i="10"/>
  <c r="BA233" i="10"/>
  <c r="AX233" i="10"/>
  <c r="AU233" i="10"/>
  <c r="AP233" i="10"/>
  <c r="AL233" i="10"/>
  <c r="AH233" i="10"/>
  <c r="AG233" i="10"/>
  <c r="AE233" i="10"/>
  <c r="AD233" i="10"/>
  <c r="AC233" i="10"/>
  <c r="V233" i="10"/>
  <c r="W233" i="10" s="1"/>
  <c r="U233" i="10"/>
  <c r="S233" i="10"/>
  <c r="R233" i="10"/>
  <c r="P233" i="10"/>
  <c r="O233" i="10"/>
  <c r="N233" i="10"/>
  <c r="K233" i="10"/>
  <c r="H233" i="10"/>
  <c r="BV232" i="10"/>
  <c r="BS232" i="10"/>
  <c r="BP232" i="10"/>
  <c r="BI232" i="10"/>
  <c r="BH232" i="10"/>
  <c r="BF232" i="10"/>
  <c r="BE232" i="10"/>
  <c r="BC232" i="10"/>
  <c r="BB232" i="10"/>
  <c r="BA232" i="10"/>
  <c r="AX232" i="10"/>
  <c r="AU232" i="10"/>
  <c r="AP232" i="10"/>
  <c r="AL232" i="10"/>
  <c r="AH232" i="10"/>
  <c r="AG232" i="10"/>
  <c r="AE232" i="10"/>
  <c r="AD232" i="10"/>
  <c r="AC232" i="10"/>
  <c r="V232" i="10"/>
  <c r="U232" i="10"/>
  <c r="S232" i="10"/>
  <c r="R232" i="10"/>
  <c r="P232" i="10"/>
  <c r="O232" i="10"/>
  <c r="N232" i="10"/>
  <c r="K232" i="10"/>
  <c r="H232" i="10"/>
  <c r="BV231" i="10"/>
  <c r="BS231" i="10"/>
  <c r="BP231" i="10"/>
  <c r="BI231" i="10"/>
  <c r="BH231" i="10"/>
  <c r="BF231" i="10"/>
  <c r="BE231" i="10"/>
  <c r="BC231" i="10"/>
  <c r="BB231" i="10"/>
  <c r="BA231" i="10"/>
  <c r="AX231" i="10"/>
  <c r="AU231" i="10"/>
  <c r="AP231" i="10"/>
  <c r="AL231" i="10"/>
  <c r="AH231" i="10"/>
  <c r="AG231" i="10"/>
  <c r="AE231" i="10"/>
  <c r="AD231" i="10"/>
  <c r="AC231" i="10"/>
  <c r="V231" i="10"/>
  <c r="W231" i="10" s="1"/>
  <c r="U231" i="10"/>
  <c r="S231" i="10"/>
  <c r="R231" i="10"/>
  <c r="P231" i="10"/>
  <c r="O231" i="10"/>
  <c r="N231" i="10"/>
  <c r="K231" i="10"/>
  <c r="H231" i="10"/>
  <c r="BV230" i="10"/>
  <c r="BS230" i="10"/>
  <c r="BP230" i="10"/>
  <c r="BI230" i="10"/>
  <c r="BH230" i="10"/>
  <c r="BF230" i="10"/>
  <c r="BE230" i="10"/>
  <c r="BC230" i="10"/>
  <c r="BB230" i="10"/>
  <c r="BA230" i="10"/>
  <c r="AX230" i="10"/>
  <c r="AU230" i="10"/>
  <c r="AP230" i="10"/>
  <c r="AL230" i="10"/>
  <c r="AH230" i="10"/>
  <c r="AG230" i="10"/>
  <c r="AE230" i="10"/>
  <c r="AD230" i="10"/>
  <c r="AC230" i="10"/>
  <c r="V230" i="10"/>
  <c r="U230" i="10"/>
  <c r="S230" i="10"/>
  <c r="R230" i="10"/>
  <c r="P230" i="10"/>
  <c r="O230" i="10"/>
  <c r="N230" i="10"/>
  <c r="K230" i="10"/>
  <c r="H230" i="10"/>
  <c r="BV229" i="10"/>
  <c r="BS229" i="10"/>
  <c r="BP229" i="10"/>
  <c r="BI229" i="10"/>
  <c r="BH229" i="10"/>
  <c r="BF229" i="10"/>
  <c r="BE229" i="10"/>
  <c r="BC229" i="10"/>
  <c r="BB229" i="10"/>
  <c r="BA229" i="10"/>
  <c r="AX229" i="10"/>
  <c r="AU229" i="10"/>
  <c r="AP229" i="10"/>
  <c r="AL229" i="10"/>
  <c r="AH229" i="10"/>
  <c r="AG229" i="10"/>
  <c r="AE229" i="10"/>
  <c r="AD229" i="10"/>
  <c r="AC229" i="10"/>
  <c r="V229" i="10"/>
  <c r="W229" i="10" s="1"/>
  <c r="U229" i="10"/>
  <c r="S229" i="10"/>
  <c r="R229" i="10"/>
  <c r="P229" i="10"/>
  <c r="O229" i="10"/>
  <c r="N229" i="10"/>
  <c r="K229" i="10"/>
  <c r="H229" i="10"/>
  <c r="BV228" i="10"/>
  <c r="BS228" i="10"/>
  <c r="BP228" i="10"/>
  <c r="BI228" i="10"/>
  <c r="BH228" i="10"/>
  <c r="BF228" i="10"/>
  <c r="BE228" i="10"/>
  <c r="BC228" i="10"/>
  <c r="BB228" i="10"/>
  <c r="BA228" i="10"/>
  <c r="AX228" i="10"/>
  <c r="AU228" i="10"/>
  <c r="AP228" i="10"/>
  <c r="AL228" i="10"/>
  <c r="AH228" i="10"/>
  <c r="AG228" i="10"/>
  <c r="AE228" i="10"/>
  <c r="AD228" i="10"/>
  <c r="AC228" i="10"/>
  <c r="V228" i="10"/>
  <c r="U228" i="10"/>
  <c r="S228" i="10"/>
  <c r="R228" i="10"/>
  <c r="P228" i="10"/>
  <c r="O228" i="10"/>
  <c r="N228" i="10"/>
  <c r="K228" i="10"/>
  <c r="H228" i="10"/>
  <c r="BV227" i="10"/>
  <c r="BS227" i="10"/>
  <c r="BP227" i="10"/>
  <c r="BI227" i="10"/>
  <c r="BH227" i="10"/>
  <c r="BF227" i="10"/>
  <c r="BE227" i="10"/>
  <c r="BC227" i="10"/>
  <c r="BB227" i="10"/>
  <c r="BA227" i="10"/>
  <c r="AX227" i="10"/>
  <c r="AU227" i="10"/>
  <c r="AP227" i="10"/>
  <c r="AL227" i="10"/>
  <c r="AH227" i="10"/>
  <c r="AG227" i="10"/>
  <c r="AE227" i="10"/>
  <c r="AD227" i="10"/>
  <c r="AC227" i="10"/>
  <c r="V227" i="10"/>
  <c r="W227" i="10" s="1"/>
  <c r="U227" i="10"/>
  <c r="S227" i="10"/>
  <c r="R227" i="10"/>
  <c r="P227" i="10"/>
  <c r="O227" i="10"/>
  <c r="N227" i="10"/>
  <c r="K227" i="10"/>
  <c r="H227" i="10"/>
  <c r="BV226" i="10"/>
  <c r="BS226" i="10"/>
  <c r="BP226" i="10"/>
  <c r="BI226" i="10"/>
  <c r="BH226" i="10"/>
  <c r="BF226" i="10"/>
  <c r="BE226" i="10"/>
  <c r="BC226" i="10"/>
  <c r="BB226" i="10"/>
  <c r="BA226" i="10"/>
  <c r="AX226" i="10"/>
  <c r="AU226" i="10"/>
  <c r="AP226" i="10"/>
  <c r="AL226" i="10"/>
  <c r="AH226" i="10"/>
  <c r="AG226" i="10"/>
  <c r="AE226" i="10"/>
  <c r="AD226" i="10"/>
  <c r="AC226" i="10"/>
  <c r="V226" i="10"/>
  <c r="U226" i="10"/>
  <c r="S226" i="10"/>
  <c r="R226" i="10"/>
  <c r="P226" i="10"/>
  <c r="O226" i="10"/>
  <c r="N226" i="10"/>
  <c r="K226" i="10"/>
  <c r="H226" i="10"/>
  <c r="BV225" i="10"/>
  <c r="BS225" i="10"/>
  <c r="BP225" i="10"/>
  <c r="BI225" i="10"/>
  <c r="BH225" i="10"/>
  <c r="BF225" i="10"/>
  <c r="BE225" i="10"/>
  <c r="BC225" i="10"/>
  <c r="BB225" i="10"/>
  <c r="BA225" i="10"/>
  <c r="AX225" i="10"/>
  <c r="AU225" i="10"/>
  <c r="AP225" i="10"/>
  <c r="AL225" i="10"/>
  <c r="AH225" i="10"/>
  <c r="AG225" i="10"/>
  <c r="AE225" i="10"/>
  <c r="AD225" i="10"/>
  <c r="AC225" i="10"/>
  <c r="V225" i="10"/>
  <c r="W225" i="10" s="1"/>
  <c r="U225" i="10"/>
  <c r="S225" i="10"/>
  <c r="R225" i="10"/>
  <c r="P225" i="10"/>
  <c r="O225" i="10"/>
  <c r="N225" i="10"/>
  <c r="K225" i="10"/>
  <c r="H225" i="10"/>
  <c r="BV224" i="10"/>
  <c r="BS224" i="10"/>
  <c r="BP224" i="10"/>
  <c r="BI224" i="10"/>
  <c r="BH224" i="10"/>
  <c r="BF224" i="10"/>
  <c r="BE224" i="10"/>
  <c r="BC224" i="10"/>
  <c r="BB224" i="10"/>
  <c r="BA224" i="10"/>
  <c r="AX224" i="10"/>
  <c r="AU224" i="10"/>
  <c r="AP224" i="10"/>
  <c r="AL224" i="10"/>
  <c r="AH224" i="10"/>
  <c r="AG224" i="10"/>
  <c r="AE224" i="10"/>
  <c r="AD224" i="10"/>
  <c r="AC224" i="10"/>
  <c r="V224" i="10"/>
  <c r="U224" i="10"/>
  <c r="S224" i="10"/>
  <c r="R224" i="10"/>
  <c r="P224" i="10"/>
  <c r="O224" i="10"/>
  <c r="N224" i="10"/>
  <c r="K224" i="10"/>
  <c r="H224" i="10"/>
  <c r="BV223" i="10"/>
  <c r="BS223" i="10"/>
  <c r="BP223" i="10"/>
  <c r="BI223" i="10"/>
  <c r="BH223" i="10"/>
  <c r="BF223" i="10"/>
  <c r="BE223" i="10"/>
  <c r="BC223" i="10"/>
  <c r="BB223" i="10"/>
  <c r="BA223" i="10"/>
  <c r="AX223" i="10"/>
  <c r="AU223" i="10"/>
  <c r="AP223" i="10"/>
  <c r="AL223" i="10"/>
  <c r="AH223" i="10"/>
  <c r="AG223" i="10"/>
  <c r="AE223" i="10"/>
  <c r="AD223" i="10"/>
  <c r="AC223" i="10"/>
  <c r="V223" i="10"/>
  <c r="W223" i="10" s="1"/>
  <c r="U223" i="10"/>
  <c r="S223" i="10"/>
  <c r="R223" i="10"/>
  <c r="P223" i="10"/>
  <c r="O223" i="10"/>
  <c r="N223" i="10"/>
  <c r="K223" i="10"/>
  <c r="H223" i="10"/>
  <c r="BV222" i="10"/>
  <c r="BS222" i="10"/>
  <c r="BP222" i="10"/>
  <c r="BI222" i="10"/>
  <c r="BH222" i="10"/>
  <c r="BF222" i="10"/>
  <c r="BE222" i="10"/>
  <c r="BC222" i="10"/>
  <c r="BB222" i="10"/>
  <c r="BA222" i="10"/>
  <c r="AX222" i="10"/>
  <c r="AU222" i="10"/>
  <c r="AP222" i="10"/>
  <c r="AL222" i="10"/>
  <c r="AH222" i="10"/>
  <c r="AG222" i="10"/>
  <c r="AE222" i="10"/>
  <c r="AD222" i="10"/>
  <c r="AC222" i="10"/>
  <c r="V222" i="10"/>
  <c r="U222" i="10"/>
  <c r="S222" i="10"/>
  <c r="R222" i="10"/>
  <c r="P222" i="10"/>
  <c r="O222" i="10"/>
  <c r="N222" i="10"/>
  <c r="K222" i="10"/>
  <c r="H222" i="10"/>
  <c r="BV221" i="10"/>
  <c r="BS221" i="10"/>
  <c r="BP221" i="10"/>
  <c r="BI221" i="10"/>
  <c r="BH221" i="10"/>
  <c r="BF221" i="10"/>
  <c r="BE221" i="10"/>
  <c r="BC221" i="10"/>
  <c r="BB221" i="10"/>
  <c r="BA221" i="10"/>
  <c r="AX221" i="10"/>
  <c r="AU221" i="10"/>
  <c r="AP221" i="10"/>
  <c r="AL221" i="10"/>
  <c r="AH221" i="10"/>
  <c r="AG221" i="10"/>
  <c r="AE221" i="10"/>
  <c r="AD221" i="10"/>
  <c r="AC221" i="10"/>
  <c r="V221" i="10"/>
  <c r="W221" i="10" s="1"/>
  <c r="U221" i="10"/>
  <c r="S221" i="10"/>
  <c r="R221" i="10"/>
  <c r="P221" i="10"/>
  <c r="O221" i="10"/>
  <c r="N221" i="10"/>
  <c r="K221" i="10"/>
  <c r="H221" i="10"/>
  <c r="BV220" i="10"/>
  <c r="BS220" i="10"/>
  <c r="BP220" i="10"/>
  <c r="BI220" i="10"/>
  <c r="BH220" i="10"/>
  <c r="BF220" i="10"/>
  <c r="BE220" i="10"/>
  <c r="BC220" i="10"/>
  <c r="BB220" i="10"/>
  <c r="BA220" i="10"/>
  <c r="AX220" i="10"/>
  <c r="AU220" i="10"/>
  <c r="AP220" i="10"/>
  <c r="AL220" i="10"/>
  <c r="AH220" i="10"/>
  <c r="AG220" i="10"/>
  <c r="AE220" i="10"/>
  <c r="AD220" i="10"/>
  <c r="AC220" i="10"/>
  <c r="V220" i="10"/>
  <c r="U220" i="10"/>
  <c r="S220" i="10"/>
  <c r="R220" i="10"/>
  <c r="P220" i="10"/>
  <c r="O220" i="10"/>
  <c r="N220" i="10"/>
  <c r="K220" i="10"/>
  <c r="H220" i="10"/>
  <c r="BV219" i="10"/>
  <c r="BS219" i="10"/>
  <c r="BP219" i="10"/>
  <c r="BI219" i="10"/>
  <c r="BH219" i="10"/>
  <c r="BF219" i="10"/>
  <c r="BE219" i="10"/>
  <c r="BC219" i="10"/>
  <c r="BB219" i="10"/>
  <c r="BA219" i="10"/>
  <c r="AX219" i="10"/>
  <c r="AU219" i="10"/>
  <c r="AP219" i="10"/>
  <c r="AL219" i="10"/>
  <c r="AH219" i="10"/>
  <c r="AG219" i="10"/>
  <c r="AE219" i="10"/>
  <c r="AD219" i="10"/>
  <c r="AC219" i="10"/>
  <c r="V219" i="10"/>
  <c r="W219" i="10" s="1"/>
  <c r="U219" i="10"/>
  <c r="S219" i="10"/>
  <c r="R219" i="10"/>
  <c r="P219" i="10"/>
  <c r="O219" i="10"/>
  <c r="N219" i="10"/>
  <c r="K219" i="10"/>
  <c r="H219" i="10"/>
  <c r="BV218" i="10"/>
  <c r="BS218" i="10"/>
  <c r="BP218" i="10"/>
  <c r="BI218" i="10"/>
  <c r="BH218" i="10"/>
  <c r="BF218" i="10"/>
  <c r="BE218" i="10"/>
  <c r="BC218" i="10"/>
  <c r="BB218" i="10"/>
  <c r="BA218" i="10"/>
  <c r="AX218" i="10"/>
  <c r="AU218" i="10"/>
  <c r="AP218" i="10"/>
  <c r="AL218" i="10"/>
  <c r="AH218" i="10"/>
  <c r="AG218" i="10"/>
  <c r="AE218" i="10"/>
  <c r="AD218" i="10"/>
  <c r="AC218" i="10"/>
  <c r="V218" i="10"/>
  <c r="U218" i="10"/>
  <c r="S218" i="10"/>
  <c r="R218" i="10"/>
  <c r="P218" i="10"/>
  <c r="O218" i="10"/>
  <c r="N218" i="10"/>
  <c r="K218" i="10"/>
  <c r="H218" i="10"/>
  <c r="BV217" i="10"/>
  <c r="BS217" i="10"/>
  <c r="BP217" i="10"/>
  <c r="BI217" i="10"/>
  <c r="BH217" i="10"/>
  <c r="BF217" i="10"/>
  <c r="BE217" i="10"/>
  <c r="BC217" i="10"/>
  <c r="BB217" i="10"/>
  <c r="BA217" i="10"/>
  <c r="AX217" i="10"/>
  <c r="AU217" i="10"/>
  <c r="AP217" i="10"/>
  <c r="AL217" i="10"/>
  <c r="AH217" i="10"/>
  <c r="AG217" i="10"/>
  <c r="AE217" i="10"/>
  <c r="AD217" i="10"/>
  <c r="AC217" i="10"/>
  <c r="V217" i="10"/>
  <c r="W217" i="10" s="1"/>
  <c r="U217" i="10"/>
  <c r="S217" i="10"/>
  <c r="R217" i="10"/>
  <c r="P217" i="10"/>
  <c r="O217" i="10"/>
  <c r="N217" i="10"/>
  <c r="K217" i="10"/>
  <c r="H217" i="10"/>
  <c r="BV216" i="10"/>
  <c r="BS216" i="10"/>
  <c r="BP216" i="10"/>
  <c r="BI216" i="10"/>
  <c r="BH216" i="10"/>
  <c r="BF216" i="10"/>
  <c r="BE216" i="10"/>
  <c r="BC216" i="10"/>
  <c r="BB216" i="10"/>
  <c r="BA216" i="10"/>
  <c r="AX216" i="10"/>
  <c r="AU216" i="10"/>
  <c r="AP216" i="10"/>
  <c r="AL216" i="10"/>
  <c r="AH216" i="10"/>
  <c r="AG216" i="10"/>
  <c r="AE216" i="10"/>
  <c r="AD216" i="10"/>
  <c r="AC216" i="10"/>
  <c r="V216" i="10"/>
  <c r="U216" i="10"/>
  <c r="S216" i="10"/>
  <c r="R216" i="10"/>
  <c r="P216" i="10"/>
  <c r="O216" i="10"/>
  <c r="N216" i="10"/>
  <c r="K216" i="10"/>
  <c r="H216" i="10"/>
  <c r="BV215" i="10"/>
  <c r="BS215" i="10"/>
  <c r="BP215" i="10"/>
  <c r="BI215" i="10"/>
  <c r="BH215" i="10"/>
  <c r="BF215" i="10"/>
  <c r="BE215" i="10"/>
  <c r="BC215" i="10"/>
  <c r="BB215" i="10"/>
  <c r="BA215" i="10"/>
  <c r="AX215" i="10"/>
  <c r="AU215" i="10"/>
  <c r="AP215" i="10"/>
  <c r="AL215" i="10"/>
  <c r="AH215" i="10"/>
  <c r="AG215" i="10"/>
  <c r="AE215" i="10"/>
  <c r="AD215" i="10"/>
  <c r="AC215" i="10"/>
  <c r="V215" i="10"/>
  <c r="U215" i="10"/>
  <c r="S215" i="10"/>
  <c r="R215" i="10"/>
  <c r="P215" i="10"/>
  <c r="O215" i="10"/>
  <c r="N215" i="10"/>
  <c r="K215" i="10"/>
  <c r="H215" i="10"/>
  <c r="BV214" i="10"/>
  <c r="BS214" i="10"/>
  <c r="BP214" i="10"/>
  <c r="BI214" i="10"/>
  <c r="BH214" i="10"/>
  <c r="BF214" i="10"/>
  <c r="BE214" i="10"/>
  <c r="BC214" i="10"/>
  <c r="BB214" i="10"/>
  <c r="BA214" i="10"/>
  <c r="AX214" i="10"/>
  <c r="AU214" i="10"/>
  <c r="AP214" i="10"/>
  <c r="AL214" i="10"/>
  <c r="AH214" i="10"/>
  <c r="AG214" i="10"/>
  <c r="AE214" i="10"/>
  <c r="AD214" i="10"/>
  <c r="AC214" i="10"/>
  <c r="V214" i="10"/>
  <c r="U214" i="10"/>
  <c r="S214" i="10"/>
  <c r="R214" i="10"/>
  <c r="P214" i="10"/>
  <c r="O214" i="10"/>
  <c r="N214" i="10"/>
  <c r="K214" i="10"/>
  <c r="H214" i="10"/>
  <c r="BV213" i="10"/>
  <c r="BS213" i="10"/>
  <c r="BP213" i="10"/>
  <c r="BI213" i="10"/>
  <c r="BH213" i="10"/>
  <c r="BF213" i="10"/>
  <c r="BE213" i="10"/>
  <c r="BC213" i="10"/>
  <c r="BB213" i="10"/>
  <c r="BA213" i="10"/>
  <c r="AX213" i="10"/>
  <c r="AU213" i="10"/>
  <c r="AP213" i="10"/>
  <c r="AL213" i="10"/>
  <c r="AH213" i="10"/>
  <c r="AG213" i="10"/>
  <c r="AE213" i="10"/>
  <c r="AD213" i="10"/>
  <c r="AC213" i="10"/>
  <c r="V213" i="10"/>
  <c r="U213" i="10"/>
  <c r="S213" i="10"/>
  <c r="R213" i="10"/>
  <c r="P213" i="10"/>
  <c r="O213" i="10"/>
  <c r="N213" i="10"/>
  <c r="K213" i="10"/>
  <c r="H213" i="10"/>
  <c r="BV212" i="10"/>
  <c r="BS212" i="10"/>
  <c r="BP212" i="10"/>
  <c r="BI212" i="10"/>
  <c r="BH212" i="10"/>
  <c r="BF212" i="10"/>
  <c r="BE212" i="10"/>
  <c r="BC212" i="10"/>
  <c r="BB212" i="10"/>
  <c r="BA212" i="10"/>
  <c r="AX212" i="10"/>
  <c r="AU212" i="10"/>
  <c r="AP212" i="10"/>
  <c r="AL212" i="10"/>
  <c r="AH212" i="10"/>
  <c r="AG212" i="10"/>
  <c r="AE212" i="10"/>
  <c r="AD212" i="10"/>
  <c r="AC212" i="10"/>
  <c r="V212" i="10"/>
  <c r="U212" i="10"/>
  <c r="S212" i="10"/>
  <c r="R212" i="10"/>
  <c r="P212" i="10"/>
  <c r="O212" i="10"/>
  <c r="N212" i="10"/>
  <c r="K212" i="10"/>
  <c r="H212" i="10"/>
  <c r="BV211" i="10"/>
  <c r="BS211" i="10"/>
  <c r="BP211" i="10"/>
  <c r="BI211" i="10"/>
  <c r="BH211" i="10"/>
  <c r="BF211" i="10"/>
  <c r="BE211" i="10"/>
  <c r="BC211" i="10"/>
  <c r="BB211" i="10"/>
  <c r="BA211" i="10"/>
  <c r="AX211" i="10"/>
  <c r="AU211" i="10"/>
  <c r="AP211" i="10"/>
  <c r="AL211" i="10"/>
  <c r="AH211" i="10"/>
  <c r="AG211" i="10"/>
  <c r="AE211" i="10"/>
  <c r="AD211" i="10"/>
  <c r="AC211" i="10"/>
  <c r="V211" i="10"/>
  <c r="U211" i="10"/>
  <c r="S211" i="10"/>
  <c r="R211" i="10"/>
  <c r="P211" i="10"/>
  <c r="O211" i="10"/>
  <c r="N211" i="10"/>
  <c r="K211" i="10"/>
  <c r="H211" i="10"/>
  <c r="BV210" i="10"/>
  <c r="BS210" i="10"/>
  <c r="BP210" i="10"/>
  <c r="BI210" i="10"/>
  <c r="BH210" i="10"/>
  <c r="BF210" i="10"/>
  <c r="BE210" i="10"/>
  <c r="BC210" i="10"/>
  <c r="BB210" i="10"/>
  <c r="BA210" i="10"/>
  <c r="AX210" i="10"/>
  <c r="AU210" i="10"/>
  <c r="AP210" i="10"/>
  <c r="AL210" i="10"/>
  <c r="AH210" i="10"/>
  <c r="AG210" i="10"/>
  <c r="AE210" i="10"/>
  <c r="AD210" i="10"/>
  <c r="AC210" i="10"/>
  <c r="V210" i="10"/>
  <c r="U210" i="10"/>
  <c r="S210" i="10"/>
  <c r="R210" i="10"/>
  <c r="P210" i="10"/>
  <c r="O210" i="10"/>
  <c r="N210" i="10"/>
  <c r="K210" i="10"/>
  <c r="H210" i="10"/>
  <c r="BV209" i="10"/>
  <c r="BS209" i="10"/>
  <c r="BP209" i="10"/>
  <c r="BI209" i="10"/>
  <c r="BH209" i="10"/>
  <c r="BF209" i="10"/>
  <c r="BE209" i="10"/>
  <c r="BC209" i="10"/>
  <c r="BB209" i="10"/>
  <c r="BA209" i="10"/>
  <c r="AX209" i="10"/>
  <c r="AU209" i="10"/>
  <c r="AP209" i="10"/>
  <c r="AL209" i="10"/>
  <c r="AH209" i="10"/>
  <c r="AG209" i="10"/>
  <c r="AE209" i="10"/>
  <c r="AD209" i="10"/>
  <c r="AC209" i="10"/>
  <c r="V209" i="10"/>
  <c r="U209" i="10"/>
  <c r="S209" i="10"/>
  <c r="R209" i="10"/>
  <c r="P209" i="10"/>
  <c r="O209" i="10"/>
  <c r="N209" i="10"/>
  <c r="K209" i="10"/>
  <c r="H209" i="10"/>
  <c r="BV208" i="10"/>
  <c r="BS208" i="10"/>
  <c r="BP208" i="10"/>
  <c r="BI208" i="10"/>
  <c r="BH208" i="10"/>
  <c r="BF208" i="10"/>
  <c r="BE208" i="10"/>
  <c r="BC208" i="10"/>
  <c r="BB208" i="10"/>
  <c r="BA208" i="10"/>
  <c r="AX208" i="10"/>
  <c r="AU208" i="10"/>
  <c r="AP208" i="10"/>
  <c r="AL208" i="10"/>
  <c r="AH208" i="10"/>
  <c r="AG208" i="10"/>
  <c r="AE208" i="10"/>
  <c r="AD208" i="10"/>
  <c r="AC208" i="10"/>
  <c r="V208" i="10"/>
  <c r="U208" i="10"/>
  <c r="S208" i="10"/>
  <c r="R208" i="10"/>
  <c r="P208" i="10"/>
  <c r="O208" i="10"/>
  <c r="N208" i="10"/>
  <c r="K208" i="10"/>
  <c r="H208" i="10"/>
  <c r="BV207" i="10"/>
  <c r="BS207" i="10"/>
  <c r="BP207" i="10"/>
  <c r="BI207" i="10"/>
  <c r="BH207" i="10"/>
  <c r="BF207" i="10"/>
  <c r="BE207" i="10"/>
  <c r="BC207" i="10"/>
  <c r="BB207" i="10"/>
  <c r="BA207" i="10"/>
  <c r="AX207" i="10"/>
  <c r="AU207" i="10"/>
  <c r="AP207" i="10"/>
  <c r="AL207" i="10"/>
  <c r="AH207" i="10"/>
  <c r="AG207" i="10"/>
  <c r="AE207" i="10"/>
  <c r="AD207" i="10"/>
  <c r="AC207" i="10"/>
  <c r="V207" i="10"/>
  <c r="U207" i="10"/>
  <c r="S207" i="10"/>
  <c r="R207" i="10"/>
  <c r="P207" i="10"/>
  <c r="O207" i="10"/>
  <c r="N207" i="10"/>
  <c r="K207" i="10"/>
  <c r="H207" i="10"/>
  <c r="BV206" i="10"/>
  <c r="BS206" i="10"/>
  <c r="BP206" i="10"/>
  <c r="BI206" i="10"/>
  <c r="BH206" i="10"/>
  <c r="BF206" i="10"/>
  <c r="BE206" i="10"/>
  <c r="BC206" i="10"/>
  <c r="BB206" i="10"/>
  <c r="BA206" i="10"/>
  <c r="AX206" i="10"/>
  <c r="AU206" i="10"/>
  <c r="AP206" i="10"/>
  <c r="AL206" i="10"/>
  <c r="AH206" i="10"/>
  <c r="AG206" i="10"/>
  <c r="AE206" i="10"/>
  <c r="AD206" i="10"/>
  <c r="AC206" i="10"/>
  <c r="V206" i="10"/>
  <c r="U206" i="10"/>
  <c r="S206" i="10"/>
  <c r="R206" i="10"/>
  <c r="P206" i="10"/>
  <c r="O206" i="10"/>
  <c r="N206" i="10"/>
  <c r="K206" i="10"/>
  <c r="H206" i="10"/>
  <c r="BV205" i="10"/>
  <c r="BS205" i="10"/>
  <c r="BP205" i="10"/>
  <c r="BI205" i="10"/>
  <c r="BH205" i="10"/>
  <c r="BF205" i="10"/>
  <c r="BE205" i="10"/>
  <c r="BC205" i="10"/>
  <c r="BB205" i="10"/>
  <c r="BA205" i="10"/>
  <c r="AX205" i="10"/>
  <c r="AU205" i="10"/>
  <c r="AP205" i="10"/>
  <c r="AL205" i="10"/>
  <c r="AH205" i="10"/>
  <c r="AG205" i="10"/>
  <c r="AE205" i="10"/>
  <c r="AD205" i="10"/>
  <c r="AC205" i="10"/>
  <c r="V205" i="10"/>
  <c r="U205" i="10"/>
  <c r="S205" i="10"/>
  <c r="R205" i="10"/>
  <c r="P205" i="10"/>
  <c r="O205" i="10"/>
  <c r="N205" i="10"/>
  <c r="K205" i="10"/>
  <c r="H205" i="10"/>
  <c r="BV204" i="10"/>
  <c r="BS204" i="10"/>
  <c r="BP204" i="10"/>
  <c r="BI204" i="10"/>
  <c r="BH204" i="10"/>
  <c r="BF204" i="10"/>
  <c r="BE204" i="10"/>
  <c r="BC204" i="10"/>
  <c r="BB204" i="10"/>
  <c r="BA204" i="10"/>
  <c r="AX204" i="10"/>
  <c r="AU204" i="10"/>
  <c r="AP204" i="10"/>
  <c r="AL204" i="10"/>
  <c r="AH204" i="10"/>
  <c r="AG204" i="10"/>
  <c r="AE204" i="10"/>
  <c r="AD204" i="10"/>
  <c r="AC204" i="10"/>
  <c r="V204" i="10"/>
  <c r="U204" i="10"/>
  <c r="S204" i="10"/>
  <c r="R204" i="10"/>
  <c r="P204" i="10"/>
  <c r="O204" i="10"/>
  <c r="N204" i="10"/>
  <c r="K204" i="10"/>
  <c r="H204" i="10"/>
  <c r="BV203" i="10"/>
  <c r="BS203" i="10"/>
  <c r="BP203" i="10"/>
  <c r="BI203" i="10"/>
  <c r="BH203" i="10"/>
  <c r="BF203" i="10"/>
  <c r="BE203" i="10"/>
  <c r="BC203" i="10"/>
  <c r="BB203" i="10"/>
  <c r="BA203" i="10"/>
  <c r="AX203" i="10"/>
  <c r="AU203" i="10"/>
  <c r="AP203" i="10"/>
  <c r="AL203" i="10"/>
  <c r="AH203" i="10"/>
  <c r="AG203" i="10"/>
  <c r="AE203" i="10"/>
  <c r="AD203" i="10"/>
  <c r="AC203" i="10"/>
  <c r="V203" i="10"/>
  <c r="U203" i="10"/>
  <c r="S203" i="10"/>
  <c r="R203" i="10"/>
  <c r="P203" i="10"/>
  <c r="O203" i="10"/>
  <c r="N203" i="10"/>
  <c r="K203" i="10"/>
  <c r="H203" i="10"/>
  <c r="BV202" i="10"/>
  <c r="BS202" i="10"/>
  <c r="BP202" i="10"/>
  <c r="BI202" i="10"/>
  <c r="BH202" i="10"/>
  <c r="BF202" i="10"/>
  <c r="BE202" i="10"/>
  <c r="BC202" i="10"/>
  <c r="BB202" i="10"/>
  <c r="BA202" i="10"/>
  <c r="AX202" i="10"/>
  <c r="AU202" i="10"/>
  <c r="AP202" i="10"/>
  <c r="AL202" i="10"/>
  <c r="AH202" i="10"/>
  <c r="AG202" i="10"/>
  <c r="AE202" i="10"/>
  <c r="AD202" i="10"/>
  <c r="AC202" i="10"/>
  <c r="V202" i="10"/>
  <c r="U202" i="10"/>
  <c r="S202" i="10"/>
  <c r="R202" i="10"/>
  <c r="P202" i="10"/>
  <c r="O202" i="10"/>
  <c r="N202" i="10"/>
  <c r="K202" i="10"/>
  <c r="H202" i="10"/>
  <c r="BV201" i="10"/>
  <c r="BS201" i="10"/>
  <c r="BP201" i="10"/>
  <c r="BI201" i="10"/>
  <c r="BH201" i="10"/>
  <c r="BF201" i="10"/>
  <c r="BE201" i="10"/>
  <c r="BC201" i="10"/>
  <c r="BB201" i="10"/>
  <c r="BA201" i="10"/>
  <c r="AX201" i="10"/>
  <c r="AU201" i="10"/>
  <c r="AP201" i="10"/>
  <c r="AL201" i="10"/>
  <c r="AH201" i="10"/>
  <c r="AG201" i="10"/>
  <c r="AE201" i="10"/>
  <c r="AD201" i="10"/>
  <c r="AC201" i="10"/>
  <c r="V201" i="10"/>
  <c r="U201" i="10"/>
  <c r="S201" i="10"/>
  <c r="R201" i="10"/>
  <c r="P201" i="10"/>
  <c r="O201" i="10"/>
  <c r="N201" i="10"/>
  <c r="K201" i="10"/>
  <c r="H201" i="10"/>
  <c r="BV200" i="10"/>
  <c r="BS200" i="10"/>
  <c r="BP200" i="10"/>
  <c r="BI200" i="10"/>
  <c r="BH200" i="10"/>
  <c r="BF200" i="10"/>
  <c r="BE200" i="10"/>
  <c r="BC200" i="10"/>
  <c r="BB200" i="10"/>
  <c r="BA200" i="10"/>
  <c r="AX200" i="10"/>
  <c r="AU200" i="10"/>
  <c r="AP200" i="10"/>
  <c r="AL200" i="10"/>
  <c r="AH200" i="10"/>
  <c r="AG200" i="10"/>
  <c r="AE200" i="10"/>
  <c r="AD200" i="10"/>
  <c r="AC200" i="10"/>
  <c r="V200" i="10"/>
  <c r="U200" i="10"/>
  <c r="S200" i="10"/>
  <c r="R200" i="10"/>
  <c r="P200" i="10"/>
  <c r="O200" i="10"/>
  <c r="N200" i="10"/>
  <c r="K200" i="10"/>
  <c r="H200" i="10"/>
  <c r="BV199" i="10"/>
  <c r="BS199" i="10"/>
  <c r="BP199" i="10"/>
  <c r="BI199" i="10"/>
  <c r="BH199" i="10"/>
  <c r="BF199" i="10"/>
  <c r="BE199" i="10"/>
  <c r="BC199" i="10"/>
  <c r="BB199" i="10"/>
  <c r="BA199" i="10"/>
  <c r="AX199" i="10"/>
  <c r="AU199" i="10"/>
  <c r="AP199" i="10"/>
  <c r="AL199" i="10"/>
  <c r="AH199" i="10"/>
  <c r="AG199" i="10"/>
  <c r="AE199" i="10"/>
  <c r="AD199" i="10"/>
  <c r="AC199" i="10"/>
  <c r="V199" i="10"/>
  <c r="U199" i="10"/>
  <c r="S199" i="10"/>
  <c r="R199" i="10"/>
  <c r="P199" i="10"/>
  <c r="O199" i="10"/>
  <c r="N199" i="10"/>
  <c r="K199" i="10"/>
  <c r="H199" i="10"/>
  <c r="BV198" i="10"/>
  <c r="BS198" i="10"/>
  <c r="BP198" i="10"/>
  <c r="BI198" i="10"/>
  <c r="BH198" i="10"/>
  <c r="BF198" i="10"/>
  <c r="BE198" i="10"/>
  <c r="BC198" i="10"/>
  <c r="BB198" i="10"/>
  <c r="BA198" i="10"/>
  <c r="AX198" i="10"/>
  <c r="AU198" i="10"/>
  <c r="AP198" i="10"/>
  <c r="AL198" i="10"/>
  <c r="AH198" i="10"/>
  <c r="AG198" i="10"/>
  <c r="AE198" i="10"/>
  <c r="AD198" i="10"/>
  <c r="AC198" i="10"/>
  <c r="V198" i="10"/>
  <c r="U198" i="10"/>
  <c r="S198" i="10"/>
  <c r="R198" i="10"/>
  <c r="P198" i="10"/>
  <c r="O198" i="10"/>
  <c r="N198" i="10"/>
  <c r="K198" i="10"/>
  <c r="H198" i="10"/>
  <c r="BV197" i="10"/>
  <c r="BS197" i="10"/>
  <c r="BP197" i="10"/>
  <c r="BI197" i="10"/>
  <c r="BH197" i="10"/>
  <c r="BF197" i="10"/>
  <c r="BE197" i="10"/>
  <c r="BC197" i="10"/>
  <c r="BB197" i="10"/>
  <c r="BA197" i="10"/>
  <c r="AX197" i="10"/>
  <c r="AU197" i="10"/>
  <c r="AP197" i="10"/>
  <c r="AL197" i="10"/>
  <c r="AH197" i="10"/>
  <c r="AG197" i="10"/>
  <c r="AE197" i="10"/>
  <c r="AD197" i="10"/>
  <c r="AC197" i="10"/>
  <c r="V197" i="10"/>
  <c r="U197" i="10"/>
  <c r="S197" i="10"/>
  <c r="R197" i="10"/>
  <c r="P197" i="10"/>
  <c r="O197" i="10"/>
  <c r="N197" i="10"/>
  <c r="K197" i="10"/>
  <c r="H197" i="10"/>
  <c r="BV196" i="10"/>
  <c r="BS196" i="10"/>
  <c r="BP196" i="10"/>
  <c r="BI196" i="10"/>
  <c r="BH196" i="10"/>
  <c r="BF196" i="10"/>
  <c r="BE196" i="10"/>
  <c r="BC196" i="10"/>
  <c r="BB196" i="10"/>
  <c r="BA196" i="10"/>
  <c r="AX196" i="10"/>
  <c r="AU196" i="10"/>
  <c r="AP196" i="10"/>
  <c r="AL196" i="10"/>
  <c r="AH196" i="10"/>
  <c r="AG196" i="10"/>
  <c r="AE196" i="10"/>
  <c r="AD196" i="10"/>
  <c r="AC196" i="10"/>
  <c r="V196" i="10"/>
  <c r="U196" i="10"/>
  <c r="S196" i="10"/>
  <c r="R196" i="10"/>
  <c r="P196" i="10"/>
  <c r="O196" i="10"/>
  <c r="N196" i="10"/>
  <c r="K196" i="10"/>
  <c r="H196" i="10"/>
  <c r="BV195" i="10"/>
  <c r="BS195" i="10"/>
  <c r="BP195" i="10"/>
  <c r="BI195" i="10"/>
  <c r="BH195" i="10"/>
  <c r="BF195" i="10"/>
  <c r="BE195" i="10"/>
  <c r="BC195" i="10"/>
  <c r="BB195" i="10"/>
  <c r="BA195" i="10"/>
  <c r="AX195" i="10"/>
  <c r="AU195" i="10"/>
  <c r="AP195" i="10"/>
  <c r="AL195" i="10"/>
  <c r="AH195" i="10"/>
  <c r="AG195" i="10"/>
  <c r="AE195" i="10"/>
  <c r="AD195" i="10"/>
  <c r="AC195" i="10"/>
  <c r="V195" i="10"/>
  <c r="U195" i="10"/>
  <c r="S195" i="10"/>
  <c r="R195" i="10"/>
  <c r="P195" i="10"/>
  <c r="O195" i="10"/>
  <c r="N195" i="10"/>
  <c r="K195" i="10"/>
  <c r="H195" i="10"/>
  <c r="BV194" i="10"/>
  <c r="BS194" i="10"/>
  <c r="BP194" i="10"/>
  <c r="BI194" i="10"/>
  <c r="BH194" i="10"/>
  <c r="BF194" i="10"/>
  <c r="BE194" i="10"/>
  <c r="BC194" i="10"/>
  <c r="BB194" i="10"/>
  <c r="BA194" i="10"/>
  <c r="AX194" i="10"/>
  <c r="AU194" i="10"/>
  <c r="AP194" i="10"/>
  <c r="AL194" i="10"/>
  <c r="AH194" i="10"/>
  <c r="AG194" i="10"/>
  <c r="AE194" i="10"/>
  <c r="AD194" i="10"/>
  <c r="AC194" i="10"/>
  <c r="V194" i="10"/>
  <c r="U194" i="10"/>
  <c r="S194" i="10"/>
  <c r="R194" i="10"/>
  <c r="P194" i="10"/>
  <c r="O194" i="10"/>
  <c r="N194" i="10"/>
  <c r="K194" i="10"/>
  <c r="H194" i="10"/>
  <c r="BV193" i="10"/>
  <c r="BS193" i="10"/>
  <c r="BP193" i="10"/>
  <c r="BI193" i="10"/>
  <c r="BH193" i="10"/>
  <c r="BF193" i="10"/>
  <c r="BE193" i="10"/>
  <c r="BC193" i="10"/>
  <c r="BB193" i="10"/>
  <c r="BA193" i="10"/>
  <c r="AX193" i="10"/>
  <c r="AU193" i="10"/>
  <c r="AP193" i="10"/>
  <c r="AL193" i="10"/>
  <c r="AH193" i="10"/>
  <c r="AG193" i="10"/>
  <c r="AE193" i="10"/>
  <c r="AD193" i="10"/>
  <c r="AC193" i="10"/>
  <c r="V193" i="10"/>
  <c r="U193" i="10"/>
  <c r="S193" i="10"/>
  <c r="R193" i="10"/>
  <c r="P193" i="10"/>
  <c r="O193" i="10"/>
  <c r="N193" i="10"/>
  <c r="K193" i="10"/>
  <c r="H193" i="10"/>
  <c r="BV192" i="10"/>
  <c r="BS192" i="10"/>
  <c r="BP192" i="10"/>
  <c r="BI192" i="10"/>
  <c r="BH192" i="10"/>
  <c r="BF192" i="10"/>
  <c r="BE192" i="10"/>
  <c r="BC192" i="10"/>
  <c r="BB192" i="10"/>
  <c r="BA192" i="10"/>
  <c r="AX192" i="10"/>
  <c r="AU192" i="10"/>
  <c r="AP192" i="10"/>
  <c r="AL192" i="10"/>
  <c r="AH192" i="10"/>
  <c r="AG192" i="10"/>
  <c r="AE192" i="10"/>
  <c r="AD192" i="10"/>
  <c r="AC192" i="10"/>
  <c r="V192" i="10"/>
  <c r="U192" i="10"/>
  <c r="S192" i="10"/>
  <c r="R192" i="10"/>
  <c r="P192" i="10"/>
  <c r="O192" i="10"/>
  <c r="N192" i="10"/>
  <c r="K192" i="10"/>
  <c r="H192" i="10"/>
  <c r="BV191" i="10"/>
  <c r="BS191" i="10"/>
  <c r="BP191" i="10"/>
  <c r="BI191" i="10"/>
  <c r="BH191" i="10"/>
  <c r="BF191" i="10"/>
  <c r="BE191" i="10"/>
  <c r="BC191" i="10"/>
  <c r="BB191" i="10"/>
  <c r="BA191" i="10"/>
  <c r="AX191" i="10"/>
  <c r="AU191" i="10"/>
  <c r="AP191" i="10"/>
  <c r="AL191" i="10"/>
  <c r="AH191" i="10"/>
  <c r="AG191" i="10"/>
  <c r="AE191" i="10"/>
  <c r="AD191" i="10"/>
  <c r="AC191" i="10"/>
  <c r="V191" i="10"/>
  <c r="U191" i="10"/>
  <c r="S191" i="10"/>
  <c r="R191" i="10"/>
  <c r="P191" i="10"/>
  <c r="O191" i="10"/>
  <c r="N191" i="10"/>
  <c r="K191" i="10"/>
  <c r="H191" i="10"/>
  <c r="BV190" i="10"/>
  <c r="BS190" i="10"/>
  <c r="BP190" i="10"/>
  <c r="BI190" i="10"/>
  <c r="BH190" i="10"/>
  <c r="BF190" i="10"/>
  <c r="BE190" i="10"/>
  <c r="BC190" i="10"/>
  <c r="BB190" i="10"/>
  <c r="BA190" i="10"/>
  <c r="AX190" i="10"/>
  <c r="AU190" i="10"/>
  <c r="AP190" i="10"/>
  <c r="AL190" i="10"/>
  <c r="AH190" i="10"/>
  <c r="AG190" i="10"/>
  <c r="AE190" i="10"/>
  <c r="AD190" i="10"/>
  <c r="AC190" i="10"/>
  <c r="V190" i="10"/>
  <c r="U190" i="10"/>
  <c r="S190" i="10"/>
  <c r="R190" i="10"/>
  <c r="P190" i="10"/>
  <c r="O190" i="10"/>
  <c r="N190" i="10"/>
  <c r="K190" i="10"/>
  <c r="H190" i="10"/>
  <c r="BV189" i="10"/>
  <c r="BS189" i="10"/>
  <c r="BP189" i="10"/>
  <c r="BI189" i="10"/>
  <c r="BH189" i="10"/>
  <c r="BF189" i="10"/>
  <c r="BE189" i="10"/>
  <c r="BC189" i="10"/>
  <c r="BB189" i="10"/>
  <c r="BA189" i="10"/>
  <c r="AX189" i="10"/>
  <c r="AU189" i="10"/>
  <c r="AP189" i="10"/>
  <c r="AL189" i="10"/>
  <c r="AH189" i="10"/>
  <c r="AG189" i="10"/>
  <c r="AE189" i="10"/>
  <c r="AD189" i="10"/>
  <c r="AC189" i="10"/>
  <c r="V189" i="10"/>
  <c r="U189" i="10"/>
  <c r="S189" i="10"/>
  <c r="R189" i="10"/>
  <c r="P189" i="10"/>
  <c r="O189" i="10"/>
  <c r="N189" i="10"/>
  <c r="K189" i="10"/>
  <c r="H189" i="10"/>
  <c r="BV188" i="10"/>
  <c r="BS188" i="10"/>
  <c r="BP188" i="10"/>
  <c r="BI188" i="10"/>
  <c r="BH188" i="10"/>
  <c r="BF188" i="10"/>
  <c r="BE188" i="10"/>
  <c r="BC188" i="10"/>
  <c r="BB188" i="10"/>
  <c r="BA188" i="10"/>
  <c r="AX188" i="10"/>
  <c r="AU188" i="10"/>
  <c r="AP188" i="10"/>
  <c r="AL188" i="10"/>
  <c r="AH188" i="10"/>
  <c r="AG188" i="10"/>
  <c r="AE188" i="10"/>
  <c r="AD188" i="10"/>
  <c r="AC188" i="10"/>
  <c r="V188" i="10"/>
  <c r="U188" i="10"/>
  <c r="S188" i="10"/>
  <c r="R188" i="10"/>
  <c r="P188" i="10"/>
  <c r="O188" i="10"/>
  <c r="N188" i="10"/>
  <c r="K188" i="10"/>
  <c r="H188" i="10"/>
  <c r="BV187" i="10"/>
  <c r="BS187" i="10"/>
  <c r="BP187" i="10"/>
  <c r="BI187" i="10"/>
  <c r="BH187" i="10"/>
  <c r="BF187" i="10"/>
  <c r="BE187" i="10"/>
  <c r="BC187" i="10"/>
  <c r="BB187" i="10"/>
  <c r="BA187" i="10"/>
  <c r="AX187" i="10"/>
  <c r="AU187" i="10"/>
  <c r="AP187" i="10"/>
  <c r="AL187" i="10"/>
  <c r="AH187" i="10"/>
  <c r="AG187" i="10"/>
  <c r="AE187" i="10"/>
  <c r="AD187" i="10"/>
  <c r="AC187" i="10"/>
  <c r="V187" i="10"/>
  <c r="U187" i="10"/>
  <c r="S187" i="10"/>
  <c r="R187" i="10"/>
  <c r="P187" i="10"/>
  <c r="O187" i="10"/>
  <c r="N187" i="10"/>
  <c r="K187" i="10"/>
  <c r="H187" i="10"/>
  <c r="BV186" i="10"/>
  <c r="BS186" i="10"/>
  <c r="BP186" i="10"/>
  <c r="BI186" i="10"/>
  <c r="BH186" i="10"/>
  <c r="BF186" i="10"/>
  <c r="BE186" i="10"/>
  <c r="BC186" i="10"/>
  <c r="BB186" i="10"/>
  <c r="BA186" i="10"/>
  <c r="AX186" i="10"/>
  <c r="AU186" i="10"/>
  <c r="AP186" i="10"/>
  <c r="AL186" i="10"/>
  <c r="AH186" i="10"/>
  <c r="AG186" i="10"/>
  <c r="AE186" i="10"/>
  <c r="AD186" i="10"/>
  <c r="AC186" i="10"/>
  <c r="V186" i="10"/>
  <c r="U186" i="10"/>
  <c r="S186" i="10"/>
  <c r="R186" i="10"/>
  <c r="P186" i="10"/>
  <c r="O186" i="10"/>
  <c r="N186" i="10"/>
  <c r="K186" i="10"/>
  <c r="H186" i="10"/>
  <c r="BV185" i="10"/>
  <c r="BS185" i="10"/>
  <c r="BP185" i="10"/>
  <c r="BI185" i="10"/>
  <c r="BH185" i="10"/>
  <c r="BF185" i="10"/>
  <c r="BE185" i="10"/>
  <c r="BC185" i="10"/>
  <c r="BB185" i="10"/>
  <c r="BA185" i="10"/>
  <c r="AX185" i="10"/>
  <c r="AU185" i="10"/>
  <c r="AP185" i="10"/>
  <c r="AL185" i="10"/>
  <c r="AH185" i="10"/>
  <c r="AG185" i="10"/>
  <c r="AE185" i="10"/>
  <c r="AD185" i="10"/>
  <c r="AC185" i="10"/>
  <c r="V185" i="10"/>
  <c r="U185" i="10"/>
  <c r="S185" i="10"/>
  <c r="R185" i="10"/>
  <c r="P185" i="10"/>
  <c r="O185" i="10"/>
  <c r="N185" i="10"/>
  <c r="K185" i="10"/>
  <c r="H185" i="10"/>
  <c r="BV184" i="10"/>
  <c r="BS184" i="10"/>
  <c r="BP184" i="10"/>
  <c r="BI184" i="10"/>
  <c r="BH184" i="10"/>
  <c r="BF184" i="10"/>
  <c r="BE184" i="10"/>
  <c r="BC184" i="10"/>
  <c r="BB184" i="10"/>
  <c r="BA184" i="10"/>
  <c r="AX184" i="10"/>
  <c r="AU184" i="10"/>
  <c r="AP184" i="10"/>
  <c r="AL184" i="10"/>
  <c r="AH184" i="10"/>
  <c r="AG184" i="10"/>
  <c r="AE184" i="10"/>
  <c r="AD184" i="10"/>
  <c r="AC184" i="10"/>
  <c r="V184" i="10"/>
  <c r="U184" i="10"/>
  <c r="S184" i="10"/>
  <c r="R184" i="10"/>
  <c r="P184" i="10"/>
  <c r="O184" i="10"/>
  <c r="N184" i="10"/>
  <c r="K184" i="10"/>
  <c r="H184" i="10"/>
  <c r="BV183" i="10"/>
  <c r="BS183" i="10"/>
  <c r="BP183" i="10"/>
  <c r="BI183" i="10"/>
  <c r="BH183" i="10"/>
  <c r="BF183" i="10"/>
  <c r="BE183" i="10"/>
  <c r="BC183" i="10"/>
  <c r="BB183" i="10"/>
  <c r="BA183" i="10"/>
  <c r="AX183" i="10"/>
  <c r="AU183" i="10"/>
  <c r="AP183" i="10"/>
  <c r="AL183" i="10"/>
  <c r="AH183" i="10"/>
  <c r="AG183" i="10"/>
  <c r="AE183" i="10"/>
  <c r="AD183" i="10"/>
  <c r="AC183" i="10"/>
  <c r="V183" i="10"/>
  <c r="U183" i="10"/>
  <c r="S183" i="10"/>
  <c r="R183" i="10"/>
  <c r="P183" i="10"/>
  <c r="O183" i="10"/>
  <c r="N183" i="10"/>
  <c r="K183" i="10"/>
  <c r="H183" i="10"/>
  <c r="BV182" i="10"/>
  <c r="BS182" i="10"/>
  <c r="BP182" i="10"/>
  <c r="BI182" i="10"/>
  <c r="BH182" i="10"/>
  <c r="BF182" i="10"/>
  <c r="BE182" i="10"/>
  <c r="BC182" i="10"/>
  <c r="BB182" i="10"/>
  <c r="BA182" i="10"/>
  <c r="AX182" i="10"/>
  <c r="AU182" i="10"/>
  <c r="AP182" i="10"/>
  <c r="AL182" i="10"/>
  <c r="AH182" i="10"/>
  <c r="AG182" i="10"/>
  <c r="AE182" i="10"/>
  <c r="AD182" i="10"/>
  <c r="AC182" i="10"/>
  <c r="V182" i="10"/>
  <c r="U182" i="10"/>
  <c r="S182" i="10"/>
  <c r="R182" i="10"/>
  <c r="P182" i="10"/>
  <c r="O182" i="10"/>
  <c r="N182" i="10"/>
  <c r="K182" i="10"/>
  <c r="H182" i="10"/>
  <c r="BV181" i="10"/>
  <c r="BS181" i="10"/>
  <c r="BP181" i="10"/>
  <c r="BI181" i="10"/>
  <c r="BH181" i="10"/>
  <c r="BF181" i="10"/>
  <c r="BE181" i="10"/>
  <c r="BC181" i="10"/>
  <c r="BB181" i="10"/>
  <c r="BA181" i="10"/>
  <c r="AX181" i="10"/>
  <c r="AU181" i="10"/>
  <c r="AP181" i="10"/>
  <c r="AL181" i="10"/>
  <c r="AH181" i="10"/>
  <c r="AG181" i="10"/>
  <c r="AE181" i="10"/>
  <c r="AD181" i="10"/>
  <c r="AC181" i="10"/>
  <c r="V181" i="10"/>
  <c r="U181" i="10"/>
  <c r="S181" i="10"/>
  <c r="R181" i="10"/>
  <c r="P181" i="10"/>
  <c r="O181" i="10"/>
  <c r="N181" i="10"/>
  <c r="K181" i="10"/>
  <c r="H181" i="10"/>
  <c r="BV180" i="10"/>
  <c r="BS180" i="10"/>
  <c r="BP180" i="10"/>
  <c r="BI180" i="10"/>
  <c r="BH180" i="10"/>
  <c r="BF180" i="10"/>
  <c r="BE180" i="10"/>
  <c r="BC180" i="10"/>
  <c r="BB180" i="10"/>
  <c r="BA180" i="10"/>
  <c r="AX180" i="10"/>
  <c r="AU180" i="10"/>
  <c r="AP180" i="10"/>
  <c r="AL180" i="10"/>
  <c r="AH180" i="10"/>
  <c r="AG180" i="10"/>
  <c r="AE180" i="10"/>
  <c r="AD180" i="10"/>
  <c r="AC180" i="10"/>
  <c r="V180" i="10"/>
  <c r="U180" i="10"/>
  <c r="S180" i="10"/>
  <c r="R180" i="10"/>
  <c r="P180" i="10"/>
  <c r="O180" i="10"/>
  <c r="N180" i="10"/>
  <c r="K180" i="10"/>
  <c r="H180" i="10"/>
  <c r="BV179" i="10"/>
  <c r="BS179" i="10"/>
  <c r="BP179" i="10"/>
  <c r="BI179" i="10"/>
  <c r="BH179" i="10"/>
  <c r="BF179" i="10"/>
  <c r="BE179" i="10"/>
  <c r="BC179" i="10"/>
  <c r="BB179" i="10"/>
  <c r="BA179" i="10"/>
  <c r="AX179" i="10"/>
  <c r="AU179" i="10"/>
  <c r="AP179" i="10"/>
  <c r="AL179" i="10"/>
  <c r="AH179" i="10"/>
  <c r="AG179" i="10"/>
  <c r="AE179" i="10"/>
  <c r="AD179" i="10"/>
  <c r="AC179" i="10"/>
  <c r="V179" i="10"/>
  <c r="U179" i="10"/>
  <c r="S179" i="10"/>
  <c r="R179" i="10"/>
  <c r="P179" i="10"/>
  <c r="O179" i="10"/>
  <c r="N179" i="10"/>
  <c r="K179" i="10"/>
  <c r="H179" i="10"/>
  <c r="BV178" i="10"/>
  <c r="BS178" i="10"/>
  <c r="BP178" i="10"/>
  <c r="BI178" i="10"/>
  <c r="BH178" i="10"/>
  <c r="BF178" i="10"/>
  <c r="BE178" i="10"/>
  <c r="BC178" i="10"/>
  <c r="BB178" i="10"/>
  <c r="BA178" i="10"/>
  <c r="AX178" i="10"/>
  <c r="AU178" i="10"/>
  <c r="AP178" i="10"/>
  <c r="AL178" i="10"/>
  <c r="AH178" i="10"/>
  <c r="AG178" i="10"/>
  <c r="AE178" i="10"/>
  <c r="AD178" i="10"/>
  <c r="AC178" i="10"/>
  <c r="V178" i="10"/>
  <c r="U178" i="10"/>
  <c r="S178" i="10"/>
  <c r="R178" i="10"/>
  <c r="P178" i="10"/>
  <c r="O178" i="10"/>
  <c r="N178" i="10"/>
  <c r="K178" i="10"/>
  <c r="H178" i="10"/>
  <c r="BV177" i="10"/>
  <c r="BS177" i="10"/>
  <c r="BP177" i="10"/>
  <c r="BI177" i="10"/>
  <c r="BH177" i="10"/>
  <c r="BF177" i="10"/>
  <c r="BE177" i="10"/>
  <c r="BC177" i="10"/>
  <c r="BB177" i="10"/>
  <c r="BA177" i="10"/>
  <c r="AX177" i="10"/>
  <c r="AU177" i="10"/>
  <c r="AP177" i="10"/>
  <c r="AL177" i="10"/>
  <c r="AH177" i="10"/>
  <c r="AG177" i="10"/>
  <c r="AE177" i="10"/>
  <c r="AD177" i="10"/>
  <c r="AC177" i="10"/>
  <c r="V177" i="10"/>
  <c r="U177" i="10"/>
  <c r="S177" i="10"/>
  <c r="R177" i="10"/>
  <c r="P177" i="10"/>
  <c r="O177" i="10"/>
  <c r="N177" i="10"/>
  <c r="K177" i="10"/>
  <c r="H177" i="10"/>
  <c r="BV176" i="10"/>
  <c r="BS176" i="10"/>
  <c r="BP176" i="10"/>
  <c r="BI176" i="10"/>
  <c r="BH176" i="10"/>
  <c r="BF176" i="10"/>
  <c r="BE176" i="10"/>
  <c r="BC176" i="10"/>
  <c r="BB176" i="10"/>
  <c r="BA176" i="10"/>
  <c r="AX176" i="10"/>
  <c r="AU176" i="10"/>
  <c r="AP176" i="10"/>
  <c r="AL176" i="10"/>
  <c r="AH176" i="10"/>
  <c r="AG176" i="10"/>
  <c r="AE176" i="10"/>
  <c r="AD176" i="10"/>
  <c r="AC176" i="10"/>
  <c r="V176" i="10"/>
  <c r="U176" i="10"/>
  <c r="S176" i="10"/>
  <c r="R176" i="10"/>
  <c r="P176" i="10"/>
  <c r="O176" i="10"/>
  <c r="N176" i="10"/>
  <c r="K176" i="10"/>
  <c r="H176" i="10"/>
  <c r="BV175" i="10"/>
  <c r="BS175" i="10"/>
  <c r="BP175" i="10"/>
  <c r="BI175" i="10"/>
  <c r="BH175" i="10"/>
  <c r="BF175" i="10"/>
  <c r="BE175" i="10"/>
  <c r="BC175" i="10"/>
  <c r="BB175" i="10"/>
  <c r="BA175" i="10"/>
  <c r="AX175" i="10"/>
  <c r="AU175" i="10"/>
  <c r="AP175" i="10"/>
  <c r="AL175" i="10"/>
  <c r="AH175" i="10"/>
  <c r="AG175" i="10"/>
  <c r="AE175" i="10"/>
  <c r="AD175" i="10"/>
  <c r="AC175" i="10"/>
  <c r="V175" i="10"/>
  <c r="U175" i="10"/>
  <c r="S175" i="10"/>
  <c r="R175" i="10"/>
  <c r="P175" i="10"/>
  <c r="O175" i="10"/>
  <c r="N175" i="10"/>
  <c r="K175" i="10"/>
  <c r="H175" i="10"/>
  <c r="BV174" i="10"/>
  <c r="BS174" i="10"/>
  <c r="BP174" i="10"/>
  <c r="BI174" i="10"/>
  <c r="BH174" i="10"/>
  <c r="BF174" i="10"/>
  <c r="BE174" i="10"/>
  <c r="BC174" i="10"/>
  <c r="BB174" i="10"/>
  <c r="BA174" i="10"/>
  <c r="AX174" i="10"/>
  <c r="AU174" i="10"/>
  <c r="AP174" i="10"/>
  <c r="AL174" i="10"/>
  <c r="AH174" i="10"/>
  <c r="AG174" i="10"/>
  <c r="AE174" i="10"/>
  <c r="AD174" i="10"/>
  <c r="AC174" i="10"/>
  <c r="V174" i="10"/>
  <c r="U174" i="10"/>
  <c r="S174" i="10"/>
  <c r="R174" i="10"/>
  <c r="P174" i="10"/>
  <c r="O174" i="10"/>
  <c r="N174" i="10"/>
  <c r="K174" i="10"/>
  <c r="H174" i="10"/>
  <c r="BV173" i="10"/>
  <c r="BS173" i="10"/>
  <c r="BP173" i="10"/>
  <c r="BI173" i="10"/>
  <c r="BH173" i="10"/>
  <c r="BF173" i="10"/>
  <c r="BE173" i="10"/>
  <c r="BC173" i="10"/>
  <c r="BB173" i="10"/>
  <c r="BA173" i="10"/>
  <c r="AX173" i="10"/>
  <c r="AU173" i="10"/>
  <c r="AP173" i="10"/>
  <c r="AL173" i="10"/>
  <c r="AH173" i="10"/>
  <c r="AG173" i="10"/>
  <c r="AE173" i="10"/>
  <c r="AD173" i="10"/>
  <c r="AC173" i="10"/>
  <c r="V173" i="10"/>
  <c r="U173" i="10"/>
  <c r="S173" i="10"/>
  <c r="R173" i="10"/>
  <c r="P173" i="10"/>
  <c r="O173" i="10"/>
  <c r="N173" i="10"/>
  <c r="K173" i="10"/>
  <c r="H173" i="10"/>
  <c r="BV172" i="10"/>
  <c r="BS172" i="10"/>
  <c r="BP172" i="10"/>
  <c r="BI172" i="10"/>
  <c r="BH172" i="10"/>
  <c r="BF172" i="10"/>
  <c r="BE172" i="10"/>
  <c r="BC172" i="10"/>
  <c r="BB172" i="10"/>
  <c r="BA172" i="10"/>
  <c r="AX172" i="10"/>
  <c r="AU172" i="10"/>
  <c r="AP172" i="10"/>
  <c r="AL172" i="10"/>
  <c r="AH172" i="10"/>
  <c r="AG172" i="10"/>
  <c r="AE172" i="10"/>
  <c r="AD172" i="10"/>
  <c r="AC172" i="10"/>
  <c r="V172" i="10"/>
  <c r="U172" i="10"/>
  <c r="S172" i="10"/>
  <c r="R172" i="10"/>
  <c r="P172" i="10"/>
  <c r="O172" i="10"/>
  <c r="N172" i="10"/>
  <c r="K172" i="10"/>
  <c r="H172" i="10"/>
  <c r="BV171" i="10"/>
  <c r="BS171" i="10"/>
  <c r="BP171" i="10"/>
  <c r="BI171" i="10"/>
  <c r="BH171" i="10"/>
  <c r="BF171" i="10"/>
  <c r="BE171" i="10"/>
  <c r="BC171" i="10"/>
  <c r="BB171" i="10"/>
  <c r="BA171" i="10"/>
  <c r="AX171" i="10"/>
  <c r="AU171" i="10"/>
  <c r="AP171" i="10"/>
  <c r="AL171" i="10"/>
  <c r="AH171" i="10"/>
  <c r="AG171" i="10"/>
  <c r="AE171" i="10"/>
  <c r="AD171" i="10"/>
  <c r="AC171" i="10"/>
  <c r="V171" i="10"/>
  <c r="U171" i="10"/>
  <c r="S171" i="10"/>
  <c r="R171" i="10"/>
  <c r="P171" i="10"/>
  <c r="O171" i="10"/>
  <c r="N171" i="10"/>
  <c r="K171" i="10"/>
  <c r="H171" i="10"/>
  <c r="BV170" i="10"/>
  <c r="BS170" i="10"/>
  <c r="BP170" i="10"/>
  <c r="BI170" i="10"/>
  <c r="BH170" i="10"/>
  <c r="BF170" i="10"/>
  <c r="BE170" i="10"/>
  <c r="BC170" i="10"/>
  <c r="BB170" i="10"/>
  <c r="BA170" i="10"/>
  <c r="AX170" i="10"/>
  <c r="AU170" i="10"/>
  <c r="AP170" i="10"/>
  <c r="AL170" i="10"/>
  <c r="AH170" i="10"/>
  <c r="AG170" i="10"/>
  <c r="AE170" i="10"/>
  <c r="AD170" i="10"/>
  <c r="AC170" i="10"/>
  <c r="V170" i="10"/>
  <c r="U170" i="10"/>
  <c r="S170" i="10"/>
  <c r="R170" i="10"/>
  <c r="P170" i="10"/>
  <c r="O170" i="10"/>
  <c r="N170" i="10"/>
  <c r="K170" i="10"/>
  <c r="H170" i="10"/>
  <c r="BV169" i="10"/>
  <c r="BS169" i="10"/>
  <c r="BP169" i="10"/>
  <c r="BI169" i="10"/>
  <c r="BH169" i="10"/>
  <c r="BF169" i="10"/>
  <c r="BE169" i="10"/>
  <c r="BC169" i="10"/>
  <c r="BB169" i="10"/>
  <c r="BA169" i="10"/>
  <c r="AX169" i="10"/>
  <c r="AU169" i="10"/>
  <c r="AP169" i="10"/>
  <c r="AL169" i="10"/>
  <c r="AH169" i="10"/>
  <c r="AG169" i="10"/>
  <c r="AE169" i="10"/>
  <c r="AD169" i="10"/>
  <c r="AC169" i="10"/>
  <c r="V169" i="10"/>
  <c r="U169" i="10"/>
  <c r="S169" i="10"/>
  <c r="R169" i="10"/>
  <c r="P169" i="10"/>
  <c r="O169" i="10"/>
  <c r="N169" i="10"/>
  <c r="K169" i="10"/>
  <c r="H169" i="10"/>
  <c r="BV168" i="10"/>
  <c r="BS168" i="10"/>
  <c r="BP168" i="10"/>
  <c r="BI168" i="10"/>
  <c r="BH168" i="10"/>
  <c r="BF168" i="10"/>
  <c r="BE168" i="10"/>
  <c r="BC168" i="10"/>
  <c r="BB168" i="10"/>
  <c r="BA168" i="10"/>
  <c r="AX168" i="10"/>
  <c r="AU168" i="10"/>
  <c r="AP168" i="10"/>
  <c r="AL168" i="10"/>
  <c r="AH168" i="10"/>
  <c r="AG168" i="10"/>
  <c r="AE168" i="10"/>
  <c r="AD168" i="10"/>
  <c r="AC168" i="10"/>
  <c r="V168" i="10"/>
  <c r="U168" i="10"/>
  <c r="S168" i="10"/>
  <c r="R168" i="10"/>
  <c r="P168" i="10"/>
  <c r="O168" i="10"/>
  <c r="N168" i="10"/>
  <c r="K168" i="10"/>
  <c r="H168" i="10"/>
  <c r="BV167" i="10"/>
  <c r="BS167" i="10"/>
  <c r="BP167" i="10"/>
  <c r="BI167" i="10"/>
  <c r="BH167" i="10"/>
  <c r="BF167" i="10"/>
  <c r="BE167" i="10"/>
  <c r="BC167" i="10"/>
  <c r="BB167" i="10"/>
  <c r="BA167" i="10"/>
  <c r="AX167" i="10"/>
  <c r="AU167" i="10"/>
  <c r="AP167" i="10"/>
  <c r="AL167" i="10"/>
  <c r="AH167" i="10"/>
  <c r="AG167" i="10"/>
  <c r="AE167" i="10"/>
  <c r="AD167" i="10"/>
  <c r="AC167" i="10"/>
  <c r="V167" i="10"/>
  <c r="U167" i="10"/>
  <c r="S167" i="10"/>
  <c r="R167" i="10"/>
  <c r="P167" i="10"/>
  <c r="O167" i="10"/>
  <c r="N167" i="10"/>
  <c r="K167" i="10"/>
  <c r="H167" i="10"/>
  <c r="BV166" i="10"/>
  <c r="BS166" i="10"/>
  <c r="BP166" i="10"/>
  <c r="BI166" i="10"/>
  <c r="BH166" i="10"/>
  <c r="BF166" i="10"/>
  <c r="BE166" i="10"/>
  <c r="BC166" i="10"/>
  <c r="BB166" i="10"/>
  <c r="BA166" i="10"/>
  <c r="AX166" i="10"/>
  <c r="AU166" i="10"/>
  <c r="AP166" i="10"/>
  <c r="AL166" i="10"/>
  <c r="AH166" i="10"/>
  <c r="AG166" i="10"/>
  <c r="AE166" i="10"/>
  <c r="AD166" i="10"/>
  <c r="AC166" i="10"/>
  <c r="V166" i="10"/>
  <c r="U166" i="10"/>
  <c r="S166" i="10"/>
  <c r="R166" i="10"/>
  <c r="P166" i="10"/>
  <c r="O166" i="10"/>
  <c r="N166" i="10"/>
  <c r="K166" i="10"/>
  <c r="H166" i="10"/>
  <c r="BV165" i="10"/>
  <c r="BS165" i="10"/>
  <c r="BP165" i="10"/>
  <c r="BI165" i="10"/>
  <c r="BH165" i="10"/>
  <c r="BF165" i="10"/>
  <c r="BE165" i="10"/>
  <c r="BC165" i="10"/>
  <c r="BB165" i="10"/>
  <c r="BA165" i="10"/>
  <c r="AX165" i="10"/>
  <c r="AU165" i="10"/>
  <c r="AP165" i="10"/>
  <c r="AL165" i="10"/>
  <c r="AH165" i="10"/>
  <c r="AG165" i="10"/>
  <c r="AE165" i="10"/>
  <c r="AD165" i="10"/>
  <c r="AC165" i="10"/>
  <c r="V165" i="10"/>
  <c r="U165" i="10"/>
  <c r="S165" i="10"/>
  <c r="R165" i="10"/>
  <c r="P165" i="10"/>
  <c r="O165" i="10"/>
  <c r="N165" i="10"/>
  <c r="K165" i="10"/>
  <c r="H165" i="10"/>
  <c r="BV164" i="10"/>
  <c r="BS164" i="10"/>
  <c r="BP164" i="10"/>
  <c r="BI164" i="10"/>
  <c r="BH164" i="10"/>
  <c r="BF164" i="10"/>
  <c r="BE164" i="10"/>
  <c r="BC164" i="10"/>
  <c r="BB164" i="10"/>
  <c r="BA164" i="10"/>
  <c r="AX164" i="10"/>
  <c r="AU164" i="10"/>
  <c r="AP164" i="10"/>
  <c r="AL164" i="10"/>
  <c r="AH164" i="10"/>
  <c r="AG164" i="10"/>
  <c r="AE164" i="10"/>
  <c r="AD164" i="10"/>
  <c r="AC164" i="10"/>
  <c r="V164" i="10"/>
  <c r="U164" i="10"/>
  <c r="S164" i="10"/>
  <c r="R164" i="10"/>
  <c r="P164" i="10"/>
  <c r="O164" i="10"/>
  <c r="N164" i="10"/>
  <c r="K164" i="10"/>
  <c r="H164" i="10"/>
  <c r="BV163" i="10"/>
  <c r="BS163" i="10"/>
  <c r="BP163" i="10"/>
  <c r="BI163" i="10"/>
  <c r="BH163" i="10"/>
  <c r="BF163" i="10"/>
  <c r="BE163" i="10"/>
  <c r="BC163" i="10"/>
  <c r="BB163" i="10"/>
  <c r="BA163" i="10"/>
  <c r="AX163" i="10"/>
  <c r="AU163" i="10"/>
  <c r="AP163" i="10"/>
  <c r="AL163" i="10"/>
  <c r="AH163" i="10"/>
  <c r="AG163" i="10"/>
  <c r="AE163" i="10"/>
  <c r="AD163" i="10"/>
  <c r="AC163" i="10"/>
  <c r="V163" i="10"/>
  <c r="U163" i="10"/>
  <c r="S163" i="10"/>
  <c r="R163" i="10"/>
  <c r="P163" i="10"/>
  <c r="O163" i="10"/>
  <c r="N163" i="10"/>
  <c r="K163" i="10"/>
  <c r="H163" i="10"/>
  <c r="BV162" i="10"/>
  <c r="BS162" i="10"/>
  <c r="BP162" i="10"/>
  <c r="BI162" i="10"/>
  <c r="BH162" i="10"/>
  <c r="BF162" i="10"/>
  <c r="BE162" i="10"/>
  <c r="BC162" i="10"/>
  <c r="BB162" i="10"/>
  <c r="BA162" i="10"/>
  <c r="AX162" i="10"/>
  <c r="AU162" i="10"/>
  <c r="AP162" i="10"/>
  <c r="AL162" i="10"/>
  <c r="AH162" i="10"/>
  <c r="AG162" i="10"/>
  <c r="AE162" i="10"/>
  <c r="AD162" i="10"/>
  <c r="AC162" i="10"/>
  <c r="V162" i="10"/>
  <c r="U162" i="10"/>
  <c r="S162" i="10"/>
  <c r="R162" i="10"/>
  <c r="P162" i="10"/>
  <c r="O162" i="10"/>
  <c r="N162" i="10"/>
  <c r="K162" i="10"/>
  <c r="H162" i="10"/>
  <c r="BV161" i="10"/>
  <c r="BS161" i="10"/>
  <c r="BP161" i="10"/>
  <c r="BI161" i="10"/>
  <c r="BH161" i="10"/>
  <c r="BF161" i="10"/>
  <c r="BE161" i="10"/>
  <c r="BC161" i="10"/>
  <c r="BB161" i="10"/>
  <c r="BA161" i="10"/>
  <c r="AX161" i="10"/>
  <c r="AU161" i="10"/>
  <c r="AP161" i="10"/>
  <c r="AL161" i="10"/>
  <c r="AH161" i="10"/>
  <c r="AG161" i="10"/>
  <c r="AE161" i="10"/>
  <c r="AD161" i="10"/>
  <c r="AC161" i="10"/>
  <c r="V161" i="10"/>
  <c r="U161" i="10"/>
  <c r="S161" i="10"/>
  <c r="R161" i="10"/>
  <c r="P161" i="10"/>
  <c r="O161" i="10"/>
  <c r="N161" i="10"/>
  <c r="K161" i="10"/>
  <c r="H161" i="10"/>
  <c r="BV160" i="10"/>
  <c r="BS160" i="10"/>
  <c r="BP160" i="10"/>
  <c r="BI160" i="10"/>
  <c r="BH160" i="10"/>
  <c r="BF160" i="10"/>
  <c r="BE160" i="10"/>
  <c r="BC160" i="10"/>
  <c r="BB160" i="10"/>
  <c r="BA160" i="10"/>
  <c r="AX160" i="10"/>
  <c r="AU160" i="10"/>
  <c r="AP160" i="10"/>
  <c r="AL160" i="10"/>
  <c r="AH160" i="10"/>
  <c r="AG160" i="10"/>
  <c r="AE160" i="10"/>
  <c r="AD160" i="10"/>
  <c r="AC160" i="10"/>
  <c r="V160" i="10"/>
  <c r="U160" i="10"/>
  <c r="S160" i="10"/>
  <c r="R160" i="10"/>
  <c r="P160" i="10"/>
  <c r="O160" i="10"/>
  <c r="N160" i="10"/>
  <c r="K160" i="10"/>
  <c r="H160" i="10"/>
  <c r="BV159" i="10"/>
  <c r="BS159" i="10"/>
  <c r="BP159" i="10"/>
  <c r="BI159" i="10"/>
  <c r="BH159" i="10"/>
  <c r="BF159" i="10"/>
  <c r="BE159" i="10"/>
  <c r="BC159" i="10"/>
  <c r="BB159" i="10"/>
  <c r="BA159" i="10"/>
  <c r="AX159" i="10"/>
  <c r="AU159" i="10"/>
  <c r="AP159" i="10"/>
  <c r="AL159" i="10"/>
  <c r="AH159" i="10"/>
  <c r="AG159" i="10"/>
  <c r="AE159" i="10"/>
  <c r="AD159" i="10"/>
  <c r="AC159" i="10"/>
  <c r="V159" i="10"/>
  <c r="U159" i="10"/>
  <c r="S159" i="10"/>
  <c r="R159" i="10"/>
  <c r="P159" i="10"/>
  <c r="O159" i="10"/>
  <c r="N159" i="10"/>
  <c r="K159" i="10"/>
  <c r="H159" i="10"/>
  <c r="BV158" i="10"/>
  <c r="BS158" i="10"/>
  <c r="BP158" i="10"/>
  <c r="BI158" i="10"/>
  <c r="BH158" i="10"/>
  <c r="BF158" i="10"/>
  <c r="BE158" i="10"/>
  <c r="BC158" i="10"/>
  <c r="BB158" i="10"/>
  <c r="BA158" i="10"/>
  <c r="AX158" i="10"/>
  <c r="AU158" i="10"/>
  <c r="AP158" i="10"/>
  <c r="AL158" i="10"/>
  <c r="AH158" i="10"/>
  <c r="AG158" i="10"/>
  <c r="AE158" i="10"/>
  <c r="AD158" i="10"/>
  <c r="AC158" i="10"/>
  <c r="V158" i="10"/>
  <c r="U158" i="10"/>
  <c r="S158" i="10"/>
  <c r="R158" i="10"/>
  <c r="P158" i="10"/>
  <c r="O158" i="10"/>
  <c r="N158" i="10"/>
  <c r="K158" i="10"/>
  <c r="H158" i="10"/>
  <c r="BV157" i="10"/>
  <c r="BS157" i="10"/>
  <c r="BP157" i="10"/>
  <c r="BI157" i="10"/>
  <c r="BH157" i="10"/>
  <c r="BF157" i="10"/>
  <c r="BE157" i="10"/>
  <c r="BC157" i="10"/>
  <c r="BB157" i="10"/>
  <c r="BA157" i="10"/>
  <c r="AX157" i="10"/>
  <c r="AU157" i="10"/>
  <c r="AP157" i="10"/>
  <c r="AL157" i="10"/>
  <c r="AH157" i="10"/>
  <c r="AG157" i="10"/>
  <c r="AE157" i="10"/>
  <c r="AD157" i="10"/>
  <c r="AC157" i="10"/>
  <c r="V157" i="10"/>
  <c r="U157" i="10"/>
  <c r="S157" i="10"/>
  <c r="R157" i="10"/>
  <c r="P157" i="10"/>
  <c r="O157" i="10"/>
  <c r="N157" i="10"/>
  <c r="K157" i="10"/>
  <c r="H157" i="10"/>
  <c r="BV156" i="10"/>
  <c r="BS156" i="10"/>
  <c r="BP156" i="10"/>
  <c r="BI156" i="10"/>
  <c r="BH156" i="10"/>
  <c r="BF156" i="10"/>
  <c r="BE156" i="10"/>
  <c r="BC156" i="10"/>
  <c r="BB156" i="10"/>
  <c r="BA156" i="10"/>
  <c r="AX156" i="10"/>
  <c r="AU156" i="10"/>
  <c r="AP156" i="10"/>
  <c r="AL156" i="10"/>
  <c r="AH156" i="10"/>
  <c r="AG156" i="10"/>
  <c r="AE156" i="10"/>
  <c r="AD156" i="10"/>
  <c r="AC156" i="10"/>
  <c r="V156" i="10"/>
  <c r="U156" i="10"/>
  <c r="S156" i="10"/>
  <c r="R156" i="10"/>
  <c r="P156" i="10"/>
  <c r="O156" i="10"/>
  <c r="N156" i="10"/>
  <c r="K156" i="10"/>
  <c r="H156" i="10"/>
  <c r="BV155" i="10"/>
  <c r="BS155" i="10"/>
  <c r="BP155" i="10"/>
  <c r="BI155" i="10"/>
  <c r="BH155" i="10"/>
  <c r="BF155" i="10"/>
  <c r="BE155" i="10"/>
  <c r="BC155" i="10"/>
  <c r="BB155" i="10"/>
  <c r="BA155" i="10"/>
  <c r="AX155" i="10"/>
  <c r="AU155" i="10"/>
  <c r="AP155" i="10"/>
  <c r="AL155" i="10"/>
  <c r="AH155" i="10"/>
  <c r="AG155" i="10"/>
  <c r="AE155" i="10"/>
  <c r="AD155" i="10"/>
  <c r="AC155" i="10"/>
  <c r="V155" i="10"/>
  <c r="U155" i="10"/>
  <c r="S155" i="10"/>
  <c r="R155" i="10"/>
  <c r="P155" i="10"/>
  <c r="O155" i="10"/>
  <c r="N155" i="10"/>
  <c r="K155" i="10"/>
  <c r="H155" i="10"/>
  <c r="BV154" i="10"/>
  <c r="BS154" i="10"/>
  <c r="BP154" i="10"/>
  <c r="BI154" i="10"/>
  <c r="BH154" i="10"/>
  <c r="BF154" i="10"/>
  <c r="BE154" i="10"/>
  <c r="BC154" i="10"/>
  <c r="BB154" i="10"/>
  <c r="BA154" i="10"/>
  <c r="AX154" i="10"/>
  <c r="AU154" i="10"/>
  <c r="AP154" i="10"/>
  <c r="AL154" i="10"/>
  <c r="AH154" i="10"/>
  <c r="AG154" i="10"/>
  <c r="AE154" i="10"/>
  <c r="AD154" i="10"/>
  <c r="AC154" i="10"/>
  <c r="V154" i="10"/>
  <c r="U154" i="10"/>
  <c r="S154" i="10"/>
  <c r="R154" i="10"/>
  <c r="P154" i="10"/>
  <c r="O154" i="10"/>
  <c r="N154" i="10"/>
  <c r="K154" i="10"/>
  <c r="H154" i="10"/>
  <c r="BV153" i="10"/>
  <c r="BS153" i="10"/>
  <c r="BP153" i="10"/>
  <c r="BI153" i="10"/>
  <c r="BH153" i="10"/>
  <c r="BF153" i="10"/>
  <c r="BE153" i="10"/>
  <c r="BC153" i="10"/>
  <c r="BB153" i="10"/>
  <c r="BA153" i="10"/>
  <c r="AX153" i="10"/>
  <c r="AU153" i="10"/>
  <c r="AP153" i="10"/>
  <c r="AL153" i="10"/>
  <c r="AH153" i="10"/>
  <c r="AG153" i="10"/>
  <c r="AE153" i="10"/>
  <c r="AD153" i="10"/>
  <c r="AC153" i="10"/>
  <c r="V153" i="10"/>
  <c r="U153" i="10"/>
  <c r="S153" i="10"/>
  <c r="R153" i="10"/>
  <c r="P153" i="10"/>
  <c r="O153" i="10"/>
  <c r="N153" i="10"/>
  <c r="K153" i="10"/>
  <c r="H153" i="10"/>
  <c r="BV152" i="10"/>
  <c r="BS152" i="10"/>
  <c r="BP152" i="10"/>
  <c r="BI152" i="10"/>
  <c r="BH152" i="10"/>
  <c r="BF152" i="10"/>
  <c r="BE152" i="10"/>
  <c r="BC152" i="10"/>
  <c r="BB152" i="10"/>
  <c r="BA152" i="10"/>
  <c r="AX152" i="10"/>
  <c r="AU152" i="10"/>
  <c r="AP152" i="10"/>
  <c r="AL152" i="10"/>
  <c r="AH152" i="10"/>
  <c r="AG152" i="10"/>
  <c r="AE152" i="10"/>
  <c r="AD152" i="10"/>
  <c r="AC152" i="10"/>
  <c r="V152" i="10"/>
  <c r="U152" i="10"/>
  <c r="S152" i="10"/>
  <c r="R152" i="10"/>
  <c r="P152" i="10"/>
  <c r="O152" i="10"/>
  <c r="N152" i="10"/>
  <c r="K152" i="10"/>
  <c r="H152" i="10"/>
  <c r="BV151" i="10"/>
  <c r="BS151" i="10"/>
  <c r="BP151" i="10"/>
  <c r="BI151" i="10"/>
  <c r="BH151" i="10"/>
  <c r="BF151" i="10"/>
  <c r="BE151" i="10"/>
  <c r="BC151" i="10"/>
  <c r="BB151" i="10"/>
  <c r="BA151" i="10"/>
  <c r="AX151" i="10"/>
  <c r="AU151" i="10"/>
  <c r="AP151" i="10"/>
  <c r="AL151" i="10"/>
  <c r="AH151" i="10"/>
  <c r="AG151" i="10"/>
  <c r="AE151" i="10"/>
  <c r="AD151" i="10"/>
  <c r="AC151" i="10"/>
  <c r="V151" i="10"/>
  <c r="U151" i="10"/>
  <c r="S151" i="10"/>
  <c r="R151" i="10"/>
  <c r="P151" i="10"/>
  <c r="O151" i="10"/>
  <c r="N151" i="10"/>
  <c r="K151" i="10"/>
  <c r="H151" i="10"/>
  <c r="BV150" i="10"/>
  <c r="BS150" i="10"/>
  <c r="BP150" i="10"/>
  <c r="BI150" i="10"/>
  <c r="BH150" i="10"/>
  <c r="BF150" i="10"/>
  <c r="BE150" i="10"/>
  <c r="BC150" i="10"/>
  <c r="BB150" i="10"/>
  <c r="BA150" i="10"/>
  <c r="AX150" i="10"/>
  <c r="AU150" i="10"/>
  <c r="AP150" i="10"/>
  <c r="AL150" i="10"/>
  <c r="AH150" i="10"/>
  <c r="AG150" i="10"/>
  <c r="AE150" i="10"/>
  <c r="AD150" i="10"/>
  <c r="AC150" i="10"/>
  <c r="V150" i="10"/>
  <c r="U150" i="10"/>
  <c r="S150" i="10"/>
  <c r="R150" i="10"/>
  <c r="P150" i="10"/>
  <c r="O150" i="10"/>
  <c r="N150" i="10"/>
  <c r="K150" i="10"/>
  <c r="H150" i="10"/>
  <c r="BV149" i="10"/>
  <c r="BS149" i="10"/>
  <c r="BP149" i="10"/>
  <c r="BI149" i="10"/>
  <c r="BH149" i="10"/>
  <c r="BF149" i="10"/>
  <c r="BE149" i="10"/>
  <c r="BC149" i="10"/>
  <c r="BB149" i="10"/>
  <c r="BA149" i="10"/>
  <c r="AX149" i="10"/>
  <c r="AU149" i="10"/>
  <c r="AP149" i="10"/>
  <c r="AL149" i="10"/>
  <c r="AH149" i="10"/>
  <c r="AG149" i="10"/>
  <c r="AE149" i="10"/>
  <c r="AD149" i="10"/>
  <c r="AC149" i="10"/>
  <c r="V149" i="10"/>
  <c r="U149" i="10"/>
  <c r="S149" i="10"/>
  <c r="R149" i="10"/>
  <c r="P149" i="10"/>
  <c r="O149" i="10"/>
  <c r="N149" i="10"/>
  <c r="K149" i="10"/>
  <c r="H149" i="10"/>
  <c r="BV148" i="10"/>
  <c r="BS148" i="10"/>
  <c r="BP148" i="10"/>
  <c r="BI148" i="10"/>
  <c r="BH148" i="10"/>
  <c r="BF148" i="10"/>
  <c r="BE148" i="10"/>
  <c r="BC148" i="10"/>
  <c r="BB148" i="10"/>
  <c r="BA148" i="10"/>
  <c r="AX148" i="10"/>
  <c r="AU148" i="10"/>
  <c r="AP148" i="10"/>
  <c r="AL148" i="10"/>
  <c r="AH148" i="10"/>
  <c r="AG148" i="10"/>
  <c r="AE148" i="10"/>
  <c r="AD148" i="10"/>
  <c r="AC148" i="10"/>
  <c r="V148" i="10"/>
  <c r="U148" i="10"/>
  <c r="S148" i="10"/>
  <c r="R148" i="10"/>
  <c r="P148" i="10"/>
  <c r="O148" i="10"/>
  <c r="N148" i="10"/>
  <c r="K148" i="10"/>
  <c r="H148" i="10"/>
  <c r="BV147" i="10"/>
  <c r="BS147" i="10"/>
  <c r="BP147" i="10"/>
  <c r="BI147" i="10"/>
  <c r="BH147" i="10"/>
  <c r="BF147" i="10"/>
  <c r="BE147" i="10"/>
  <c r="BC147" i="10"/>
  <c r="BB147" i="10"/>
  <c r="BA147" i="10"/>
  <c r="AX147" i="10"/>
  <c r="AU147" i="10"/>
  <c r="AP147" i="10"/>
  <c r="AL147" i="10"/>
  <c r="AH147" i="10"/>
  <c r="AG147" i="10"/>
  <c r="AE147" i="10"/>
  <c r="AD147" i="10"/>
  <c r="AC147" i="10"/>
  <c r="V147" i="10"/>
  <c r="U147" i="10"/>
  <c r="S147" i="10"/>
  <c r="R147" i="10"/>
  <c r="P147" i="10"/>
  <c r="O147" i="10"/>
  <c r="N147" i="10"/>
  <c r="K147" i="10"/>
  <c r="H147" i="10"/>
  <c r="BV146" i="10"/>
  <c r="BS146" i="10"/>
  <c r="BP146" i="10"/>
  <c r="BI146" i="10"/>
  <c r="BH146" i="10"/>
  <c r="BF146" i="10"/>
  <c r="BE146" i="10"/>
  <c r="BC146" i="10"/>
  <c r="BB146" i="10"/>
  <c r="BA146" i="10"/>
  <c r="AX146" i="10"/>
  <c r="AU146" i="10"/>
  <c r="AP146" i="10"/>
  <c r="AL146" i="10"/>
  <c r="AH146" i="10"/>
  <c r="AG146" i="10"/>
  <c r="AE146" i="10"/>
  <c r="AD146" i="10"/>
  <c r="AC146" i="10"/>
  <c r="V146" i="10"/>
  <c r="U146" i="10"/>
  <c r="S146" i="10"/>
  <c r="R146" i="10"/>
  <c r="P146" i="10"/>
  <c r="O146" i="10"/>
  <c r="N146" i="10"/>
  <c r="K146" i="10"/>
  <c r="H146" i="10"/>
  <c r="BV145" i="10"/>
  <c r="BS145" i="10"/>
  <c r="BP145" i="10"/>
  <c r="BI145" i="10"/>
  <c r="BH145" i="10"/>
  <c r="BF145" i="10"/>
  <c r="BE145" i="10"/>
  <c r="BC145" i="10"/>
  <c r="BB145" i="10"/>
  <c r="BA145" i="10"/>
  <c r="AX145" i="10"/>
  <c r="AU145" i="10"/>
  <c r="AP145" i="10"/>
  <c r="AL145" i="10"/>
  <c r="AH145" i="10"/>
  <c r="AG145" i="10"/>
  <c r="AE145" i="10"/>
  <c r="AD145" i="10"/>
  <c r="AC145" i="10"/>
  <c r="V145" i="10"/>
  <c r="U145" i="10"/>
  <c r="S145" i="10"/>
  <c r="R145" i="10"/>
  <c r="P145" i="10"/>
  <c r="O145" i="10"/>
  <c r="N145" i="10"/>
  <c r="K145" i="10"/>
  <c r="H145" i="10"/>
  <c r="BV144" i="10"/>
  <c r="BS144" i="10"/>
  <c r="BP144" i="10"/>
  <c r="BI144" i="10"/>
  <c r="BH144" i="10"/>
  <c r="BF144" i="10"/>
  <c r="BE144" i="10"/>
  <c r="BC144" i="10"/>
  <c r="BB144" i="10"/>
  <c r="BA144" i="10"/>
  <c r="AX144" i="10"/>
  <c r="AU144" i="10"/>
  <c r="AP144" i="10"/>
  <c r="AL144" i="10"/>
  <c r="AH144" i="10"/>
  <c r="AG144" i="10"/>
  <c r="AE144" i="10"/>
  <c r="AD144" i="10"/>
  <c r="AC144" i="10"/>
  <c r="V144" i="10"/>
  <c r="U144" i="10"/>
  <c r="S144" i="10"/>
  <c r="R144" i="10"/>
  <c r="P144" i="10"/>
  <c r="O144" i="10"/>
  <c r="N144" i="10"/>
  <c r="K144" i="10"/>
  <c r="H144" i="10"/>
  <c r="BV143" i="10"/>
  <c r="BS143" i="10"/>
  <c r="BP143" i="10"/>
  <c r="BI143" i="10"/>
  <c r="BH143" i="10"/>
  <c r="BF143" i="10"/>
  <c r="BE143" i="10"/>
  <c r="BC143" i="10"/>
  <c r="BB143" i="10"/>
  <c r="BA143" i="10"/>
  <c r="AX143" i="10"/>
  <c r="AU143" i="10"/>
  <c r="AP143" i="10"/>
  <c r="AL143" i="10"/>
  <c r="AH143" i="10"/>
  <c r="AG143" i="10"/>
  <c r="AE143" i="10"/>
  <c r="AD143" i="10"/>
  <c r="AC143" i="10"/>
  <c r="V143" i="10"/>
  <c r="U143" i="10"/>
  <c r="S143" i="10"/>
  <c r="R143" i="10"/>
  <c r="P143" i="10"/>
  <c r="O143" i="10"/>
  <c r="N143" i="10"/>
  <c r="K143" i="10"/>
  <c r="H143" i="10"/>
  <c r="BV142" i="10"/>
  <c r="BS142" i="10"/>
  <c r="BP142" i="10"/>
  <c r="BI142" i="10"/>
  <c r="BH142" i="10"/>
  <c r="BF142" i="10"/>
  <c r="BE142" i="10"/>
  <c r="BC142" i="10"/>
  <c r="BB142" i="10"/>
  <c r="BA142" i="10"/>
  <c r="AX142" i="10"/>
  <c r="AU142" i="10"/>
  <c r="AP142" i="10"/>
  <c r="AL142" i="10"/>
  <c r="AH142" i="10"/>
  <c r="AG142" i="10"/>
  <c r="AE142" i="10"/>
  <c r="AD142" i="10"/>
  <c r="AC142" i="10"/>
  <c r="V142" i="10"/>
  <c r="U142" i="10"/>
  <c r="S142" i="10"/>
  <c r="R142" i="10"/>
  <c r="P142" i="10"/>
  <c r="O142" i="10"/>
  <c r="N142" i="10"/>
  <c r="K142" i="10"/>
  <c r="H142" i="10"/>
  <c r="BV141" i="10"/>
  <c r="BS141" i="10"/>
  <c r="BP141" i="10"/>
  <c r="BI141" i="10"/>
  <c r="BH141" i="10"/>
  <c r="BF141" i="10"/>
  <c r="BE141" i="10"/>
  <c r="BC141" i="10"/>
  <c r="BB141" i="10"/>
  <c r="BA141" i="10"/>
  <c r="AX141" i="10"/>
  <c r="AU141" i="10"/>
  <c r="AP141" i="10"/>
  <c r="AL141" i="10"/>
  <c r="AH141" i="10"/>
  <c r="AG141" i="10"/>
  <c r="AE141" i="10"/>
  <c r="AD141" i="10"/>
  <c r="AC141" i="10"/>
  <c r="V141" i="10"/>
  <c r="U141" i="10"/>
  <c r="S141" i="10"/>
  <c r="R141" i="10"/>
  <c r="P141" i="10"/>
  <c r="O141" i="10"/>
  <c r="N141" i="10"/>
  <c r="K141" i="10"/>
  <c r="H141" i="10"/>
  <c r="BV140" i="10"/>
  <c r="BS140" i="10"/>
  <c r="BP140" i="10"/>
  <c r="BI140" i="10"/>
  <c r="BH140" i="10"/>
  <c r="BF140" i="10"/>
  <c r="BE140" i="10"/>
  <c r="BC140" i="10"/>
  <c r="BB140" i="10"/>
  <c r="BA140" i="10"/>
  <c r="AX140" i="10"/>
  <c r="AU140" i="10"/>
  <c r="AP140" i="10"/>
  <c r="AL140" i="10"/>
  <c r="AH140" i="10"/>
  <c r="AG140" i="10"/>
  <c r="AE140" i="10"/>
  <c r="AD140" i="10"/>
  <c r="AC140" i="10"/>
  <c r="V140" i="10"/>
  <c r="U140" i="10"/>
  <c r="S140" i="10"/>
  <c r="R140" i="10"/>
  <c r="P140" i="10"/>
  <c r="O140" i="10"/>
  <c r="N140" i="10"/>
  <c r="K140" i="10"/>
  <c r="H140" i="10"/>
  <c r="BV139" i="10"/>
  <c r="BS139" i="10"/>
  <c r="BP139" i="10"/>
  <c r="BI139" i="10"/>
  <c r="BH139" i="10"/>
  <c r="BF139" i="10"/>
  <c r="BE139" i="10"/>
  <c r="BC139" i="10"/>
  <c r="BB139" i="10"/>
  <c r="BA139" i="10"/>
  <c r="AX139" i="10"/>
  <c r="AU139" i="10"/>
  <c r="AP139" i="10"/>
  <c r="AL139" i="10"/>
  <c r="AH139" i="10"/>
  <c r="AG139" i="10"/>
  <c r="AE139" i="10"/>
  <c r="AD139" i="10"/>
  <c r="AC139" i="10"/>
  <c r="V139" i="10"/>
  <c r="U139" i="10"/>
  <c r="S139" i="10"/>
  <c r="R139" i="10"/>
  <c r="P139" i="10"/>
  <c r="O139" i="10"/>
  <c r="N139" i="10"/>
  <c r="K139" i="10"/>
  <c r="H139" i="10"/>
  <c r="BV138" i="10"/>
  <c r="BS138" i="10"/>
  <c r="BP138" i="10"/>
  <c r="BI138" i="10"/>
  <c r="BH138" i="10"/>
  <c r="BF138" i="10"/>
  <c r="BE138" i="10"/>
  <c r="BC138" i="10"/>
  <c r="BB138" i="10"/>
  <c r="BA138" i="10"/>
  <c r="AX138" i="10"/>
  <c r="AU138" i="10"/>
  <c r="AP138" i="10"/>
  <c r="AL138" i="10"/>
  <c r="AH138" i="10"/>
  <c r="AG138" i="10"/>
  <c r="AE138" i="10"/>
  <c r="AD138" i="10"/>
  <c r="AC138" i="10"/>
  <c r="V138" i="10"/>
  <c r="U138" i="10"/>
  <c r="S138" i="10"/>
  <c r="R138" i="10"/>
  <c r="P138" i="10"/>
  <c r="O138" i="10"/>
  <c r="N138" i="10"/>
  <c r="K138" i="10"/>
  <c r="H138" i="10"/>
  <c r="BV137" i="10"/>
  <c r="BS137" i="10"/>
  <c r="BP137" i="10"/>
  <c r="BI137" i="10"/>
  <c r="BH137" i="10"/>
  <c r="BF137" i="10"/>
  <c r="BE137" i="10"/>
  <c r="BC137" i="10"/>
  <c r="BB137" i="10"/>
  <c r="BA137" i="10"/>
  <c r="AX137" i="10"/>
  <c r="AU137" i="10"/>
  <c r="AP137" i="10"/>
  <c r="AL137" i="10"/>
  <c r="AH137" i="10"/>
  <c r="AG137" i="10"/>
  <c r="AE137" i="10"/>
  <c r="AD137" i="10"/>
  <c r="AC137" i="10"/>
  <c r="V137" i="10"/>
  <c r="U137" i="10"/>
  <c r="S137" i="10"/>
  <c r="R137" i="10"/>
  <c r="P137" i="10"/>
  <c r="O137" i="10"/>
  <c r="N137" i="10"/>
  <c r="K137" i="10"/>
  <c r="H137" i="10"/>
  <c r="BV136" i="10"/>
  <c r="BS136" i="10"/>
  <c r="BP136" i="10"/>
  <c r="BI136" i="10"/>
  <c r="BH136" i="10"/>
  <c r="BF136" i="10"/>
  <c r="BE136" i="10"/>
  <c r="BC136" i="10"/>
  <c r="BB136" i="10"/>
  <c r="BA136" i="10"/>
  <c r="AX136" i="10"/>
  <c r="AU136" i="10"/>
  <c r="AP136" i="10"/>
  <c r="AL136" i="10"/>
  <c r="AH136" i="10"/>
  <c r="AG136" i="10"/>
  <c r="AE136" i="10"/>
  <c r="AD136" i="10"/>
  <c r="AC136" i="10"/>
  <c r="V136" i="10"/>
  <c r="U136" i="10"/>
  <c r="S136" i="10"/>
  <c r="R136" i="10"/>
  <c r="P136" i="10"/>
  <c r="O136" i="10"/>
  <c r="N136" i="10"/>
  <c r="K136" i="10"/>
  <c r="H136" i="10"/>
  <c r="BV135" i="10"/>
  <c r="BS135" i="10"/>
  <c r="BP135" i="10"/>
  <c r="BI135" i="10"/>
  <c r="BH135" i="10"/>
  <c r="BF135" i="10"/>
  <c r="BE135" i="10"/>
  <c r="BC135" i="10"/>
  <c r="BB135" i="10"/>
  <c r="BA135" i="10"/>
  <c r="AX135" i="10"/>
  <c r="AU135" i="10"/>
  <c r="AP135" i="10"/>
  <c r="AL135" i="10"/>
  <c r="AH135" i="10"/>
  <c r="AG135" i="10"/>
  <c r="AE135" i="10"/>
  <c r="AD135" i="10"/>
  <c r="AC135" i="10"/>
  <c r="V135" i="10"/>
  <c r="U135" i="10"/>
  <c r="S135" i="10"/>
  <c r="R135" i="10"/>
  <c r="P135" i="10"/>
  <c r="O135" i="10"/>
  <c r="N135" i="10"/>
  <c r="K135" i="10"/>
  <c r="H135" i="10"/>
  <c r="BV134" i="10"/>
  <c r="BS134" i="10"/>
  <c r="BP134" i="10"/>
  <c r="BI134" i="10"/>
  <c r="BH134" i="10"/>
  <c r="BF134" i="10"/>
  <c r="BE134" i="10"/>
  <c r="BC134" i="10"/>
  <c r="BB134" i="10"/>
  <c r="BA134" i="10"/>
  <c r="AX134" i="10"/>
  <c r="AU134" i="10"/>
  <c r="AP134" i="10"/>
  <c r="AL134" i="10"/>
  <c r="AH134" i="10"/>
  <c r="AG134" i="10"/>
  <c r="AE134" i="10"/>
  <c r="AD134" i="10"/>
  <c r="AC134" i="10"/>
  <c r="V134" i="10"/>
  <c r="U134" i="10"/>
  <c r="S134" i="10"/>
  <c r="R134" i="10"/>
  <c r="P134" i="10"/>
  <c r="O134" i="10"/>
  <c r="N134" i="10"/>
  <c r="K134" i="10"/>
  <c r="H134" i="10"/>
  <c r="BV133" i="10"/>
  <c r="BS133" i="10"/>
  <c r="BP133" i="10"/>
  <c r="BI133" i="10"/>
  <c r="BH133" i="10"/>
  <c r="BF133" i="10"/>
  <c r="BE133" i="10"/>
  <c r="BC133" i="10"/>
  <c r="BB133" i="10"/>
  <c r="BA133" i="10"/>
  <c r="AX133" i="10"/>
  <c r="AU133" i="10"/>
  <c r="AP133" i="10"/>
  <c r="AL133" i="10"/>
  <c r="AH133" i="10"/>
  <c r="AG133" i="10"/>
  <c r="AE133" i="10"/>
  <c r="AD133" i="10"/>
  <c r="AC133" i="10"/>
  <c r="V133" i="10"/>
  <c r="U133" i="10"/>
  <c r="S133" i="10"/>
  <c r="R133" i="10"/>
  <c r="P133" i="10"/>
  <c r="O133" i="10"/>
  <c r="N133" i="10"/>
  <c r="K133" i="10"/>
  <c r="H133" i="10"/>
  <c r="BV132" i="10"/>
  <c r="BS132" i="10"/>
  <c r="BP132" i="10"/>
  <c r="BI132" i="10"/>
  <c r="BH132" i="10"/>
  <c r="BF132" i="10"/>
  <c r="BE132" i="10"/>
  <c r="BC132" i="10"/>
  <c r="BB132" i="10"/>
  <c r="BA132" i="10"/>
  <c r="AX132" i="10"/>
  <c r="AU132" i="10"/>
  <c r="AP132" i="10"/>
  <c r="AL132" i="10"/>
  <c r="AH132" i="10"/>
  <c r="AG132" i="10"/>
  <c r="AE132" i="10"/>
  <c r="AD132" i="10"/>
  <c r="AC132" i="10"/>
  <c r="V132" i="10"/>
  <c r="U132" i="10"/>
  <c r="S132" i="10"/>
  <c r="R132" i="10"/>
  <c r="P132" i="10"/>
  <c r="O132" i="10"/>
  <c r="N132" i="10"/>
  <c r="K132" i="10"/>
  <c r="H132" i="10"/>
  <c r="BV131" i="10"/>
  <c r="BS131" i="10"/>
  <c r="BP131" i="10"/>
  <c r="BI131" i="10"/>
  <c r="BH131" i="10"/>
  <c r="BF131" i="10"/>
  <c r="BE131" i="10"/>
  <c r="BC131" i="10"/>
  <c r="BB131" i="10"/>
  <c r="BA131" i="10"/>
  <c r="AX131" i="10"/>
  <c r="AU131" i="10"/>
  <c r="AP131" i="10"/>
  <c r="AL131" i="10"/>
  <c r="AH131" i="10"/>
  <c r="AG131" i="10"/>
  <c r="AE131" i="10"/>
  <c r="AD131" i="10"/>
  <c r="AC131" i="10"/>
  <c r="V131" i="10"/>
  <c r="U131" i="10"/>
  <c r="S131" i="10"/>
  <c r="R131" i="10"/>
  <c r="P131" i="10"/>
  <c r="O131" i="10"/>
  <c r="N131" i="10"/>
  <c r="K131" i="10"/>
  <c r="H131" i="10"/>
  <c r="BV130" i="10"/>
  <c r="BS130" i="10"/>
  <c r="BP130" i="10"/>
  <c r="BI130" i="10"/>
  <c r="BH130" i="10"/>
  <c r="BF130" i="10"/>
  <c r="BE130" i="10"/>
  <c r="BC130" i="10"/>
  <c r="BB130" i="10"/>
  <c r="BA130" i="10"/>
  <c r="AX130" i="10"/>
  <c r="AU130" i="10"/>
  <c r="AP130" i="10"/>
  <c r="AL130" i="10"/>
  <c r="AH130" i="10"/>
  <c r="AG130" i="10"/>
  <c r="AE130" i="10"/>
  <c r="AD130" i="10"/>
  <c r="AC130" i="10"/>
  <c r="V130" i="10"/>
  <c r="U130" i="10"/>
  <c r="S130" i="10"/>
  <c r="R130" i="10"/>
  <c r="P130" i="10"/>
  <c r="O130" i="10"/>
  <c r="N130" i="10"/>
  <c r="K130" i="10"/>
  <c r="H130" i="10"/>
  <c r="BV129" i="10"/>
  <c r="BS129" i="10"/>
  <c r="BP129" i="10"/>
  <c r="BI129" i="10"/>
  <c r="BH129" i="10"/>
  <c r="BF129" i="10"/>
  <c r="BE129" i="10"/>
  <c r="BC129" i="10"/>
  <c r="BB129" i="10"/>
  <c r="BA129" i="10"/>
  <c r="AX129" i="10"/>
  <c r="AU129" i="10"/>
  <c r="AP129" i="10"/>
  <c r="AL129" i="10"/>
  <c r="AH129" i="10"/>
  <c r="AG129" i="10"/>
  <c r="AE129" i="10"/>
  <c r="AD129" i="10"/>
  <c r="AC129" i="10"/>
  <c r="V129" i="10"/>
  <c r="U129" i="10"/>
  <c r="S129" i="10"/>
  <c r="R129" i="10"/>
  <c r="P129" i="10"/>
  <c r="O129" i="10"/>
  <c r="N129" i="10"/>
  <c r="K129" i="10"/>
  <c r="H129" i="10"/>
  <c r="BV128" i="10"/>
  <c r="BS128" i="10"/>
  <c r="BP128" i="10"/>
  <c r="BI128" i="10"/>
  <c r="BH128" i="10"/>
  <c r="BF128" i="10"/>
  <c r="BE128" i="10"/>
  <c r="BC128" i="10"/>
  <c r="BB128" i="10"/>
  <c r="BA128" i="10"/>
  <c r="AX128" i="10"/>
  <c r="AU128" i="10"/>
  <c r="AP128" i="10"/>
  <c r="AL128" i="10"/>
  <c r="AH128" i="10"/>
  <c r="AG128" i="10"/>
  <c r="AE128" i="10"/>
  <c r="AD128" i="10"/>
  <c r="AC128" i="10"/>
  <c r="V128" i="10"/>
  <c r="U128" i="10"/>
  <c r="S128" i="10"/>
  <c r="R128" i="10"/>
  <c r="P128" i="10"/>
  <c r="O128" i="10"/>
  <c r="N128" i="10"/>
  <c r="K128" i="10"/>
  <c r="H128" i="10"/>
  <c r="BV127" i="10"/>
  <c r="BS127" i="10"/>
  <c r="BP127" i="10"/>
  <c r="BI127" i="10"/>
  <c r="BH127" i="10"/>
  <c r="BF127" i="10"/>
  <c r="BE127" i="10"/>
  <c r="BC127" i="10"/>
  <c r="BB127" i="10"/>
  <c r="BA127" i="10"/>
  <c r="AX127" i="10"/>
  <c r="AU127" i="10"/>
  <c r="AP127" i="10"/>
  <c r="AL127" i="10"/>
  <c r="AH127" i="10"/>
  <c r="AG127" i="10"/>
  <c r="AE127" i="10"/>
  <c r="AD127" i="10"/>
  <c r="AC127" i="10"/>
  <c r="V127" i="10"/>
  <c r="U127" i="10"/>
  <c r="S127" i="10"/>
  <c r="R127" i="10"/>
  <c r="P127" i="10"/>
  <c r="O127" i="10"/>
  <c r="N127" i="10"/>
  <c r="K127" i="10"/>
  <c r="H127" i="10"/>
  <c r="BV126" i="10"/>
  <c r="BS126" i="10"/>
  <c r="BP126" i="10"/>
  <c r="BI126" i="10"/>
  <c r="BH126" i="10"/>
  <c r="BF126" i="10"/>
  <c r="BE126" i="10"/>
  <c r="BC126" i="10"/>
  <c r="BB126" i="10"/>
  <c r="BA126" i="10"/>
  <c r="AX126" i="10"/>
  <c r="AU126" i="10"/>
  <c r="AP126" i="10"/>
  <c r="AL126" i="10"/>
  <c r="AH126" i="10"/>
  <c r="AG126" i="10"/>
  <c r="AE126" i="10"/>
  <c r="AD126" i="10"/>
  <c r="AC126" i="10"/>
  <c r="V126" i="10"/>
  <c r="U126" i="10"/>
  <c r="S126" i="10"/>
  <c r="R126" i="10"/>
  <c r="P126" i="10"/>
  <c r="O126" i="10"/>
  <c r="N126" i="10"/>
  <c r="K126" i="10"/>
  <c r="H126" i="10"/>
  <c r="BV125" i="10"/>
  <c r="BS125" i="10"/>
  <c r="BP125" i="10"/>
  <c r="BI125" i="10"/>
  <c r="BH125" i="10"/>
  <c r="BF125" i="10"/>
  <c r="BE125" i="10"/>
  <c r="BC125" i="10"/>
  <c r="BB125" i="10"/>
  <c r="BA125" i="10"/>
  <c r="AX125" i="10"/>
  <c r="AU125" i="10"/>
  <c r="AP125" i="10"/>
  <c r="AL125" i="10"/>
  <c r="AH125" i="10"/>
  <c r="AG125" i="10"/>
  <c r="AE125" i="10"/>
  <c r="AD125" i="10"/>
  <c r="AC125" i="10"/>
  <c r="V125" i="10"/>
  <c r="U125" i="10"/>
  <c r="S125" i="10"/>
  <c r="R125" i="10"/>
  <c r="P125" i="10"/>
  <c r="O125" i="10"/>
  <c r="N125" i="10"/>
  <c r="K125" i="10"/>
  <c r="H125" i="10"/>
  <c r="BV124" i="10"/>
  <c r="BS124" i="10"/>
  <c r="BP124" i="10"/>
  <c r="BI124" i="10"/>
  <c r="BH124" i="10"/>
  <c r="BF124" i="10"/>
  <c r="BE124" i="10"/>
  <c r="BC124" i="10"/>
  <c r="BB124" i="10"/>
  <c r="BA124" i="10"/>
  <c r="AX124" i="10"/>
  <c r="AU124" i="10"/>
  <c r="AP124" i="10"/>
  <c r="AL124" i="10"/>
  <c r="AH124" i="10"/>
  <c r="AG124" i="10"/>
  <c r="AE124" i="10"/>
  <c r="AD124" i="10"/>
  <c r="AC124" i="10"/>
  <c r="V124" i="10"/>
  <c r="U124" i="10"/>
  <c r="S124" i="10"/>
  <c r="R124" i="10"/>
  <c r="P124" i="10"/>
  <c r="O124" i="10"/>
  <c r="N124" i="10"/>
  <c r="K124" i="10"/>
  <c r="H124" i="10"/>
  <c r="BV123" i="10"/>
  <c r="BS123" i="10"/>
  <c r="BP123" i="10"/>
  <c r="BI123" i="10"/>
  <c r="BH123" i="10"/>
  <c r="BF123" i="10"/>
  <c r="BE123" i="10"/>
  <c r="BC123" i="10"/>
  <c r="BB123" i="10"/>
  <c r="BA123" i="10"/>
  <c r="AX123" i="10"/>
  <c r="AU123" i="10"/>
  <c r="AP123" i="10"/>
  <c r="AL123" i="10"/>
  <c r="AH123" i="10"/>
  <c r="AG123" i="10"/>
  <c r="AE123" i="10"/>
  <c r="AD123" i="10"/>
  <c r="AC123" i="10"/>
  <c r="V123" i="10"/>
  <c r="U123" i="10"/>
  <c r="S123" i="10"/>
  <c r="R123" i="10"/>
  <c r="P123" i="10"/>
  <c r="O123" i="10"/>
  <c r="N123" i="10"/>
  <c r="K123" i="10"/>
  <c r="H123" i="10"/>
  <c r="BV122" i="10"/>
  <c r="BS122" i="10"/>
  <c r="BP122" i="10"/>
  <c r="BI122" i="10"/>
  <c r="BH122" i="10"/>
  <c r="BF122" i="10"/>
  <c r="BE122" i="10"/>
  <c r="BC122" i="10"/>
  <c r="BB122" i="10"/>
  <c r="BA122" i="10"/>
  <c r="AX122" i="10"/>
  <c r="AU122" i="10"/>
  <c r="AP122" i="10"/>
  <c r="AL122" i="10"/>
  <c r="AH122" i="10"/>
  <c r="AG122" i="10"/>
  <c r="AE122" i="10"/>
  <c r="AD122" i="10"/>
  <c r="AC122" i="10"/>
  <c r="V122" i="10"/>
  <c r="U122" i="10"/>
  <c r="S122" i="10"/>
  <c r="R122" i="10"/>
  <c r="P122" i="10"/>
  <c r="O122" i="10"/>
  <c r="N122" i="10"/>
  <c r="K122" i="10"/>
  <c r="H122" i="10"/>
  <c r="BV121" i="10"/>
  <c r="BS121" i="10"/>
  <c r="BP121" i="10"/>
  <c r="BI121" i="10"/>
  <c r="BH121" i="10"/>
  <c r="BF121" i="10"/>
  <c r="BE121" i="10"/>
  <c r="BC121" i="10"/>
  <c r="BB121" i="10"/>
  <c r="BA121" i="10"/>
  <c r="AX121" i="10"/>
  <c r="AU121" i="10"/>
  <c r="AP121" i="10"/>
  <c r="AL121" i="10"/>
  <c r="AH121" i="10"/>
  <c r="AG121" i="10"/>
  <c r="AE121" i="10"/>
  <c r="AD121" i="10"/>
  <c r="AC121" i="10"/>
  <c r="V121" i="10"/>
  <c r="U121" i="10"/>
  <c r="S121" i="10"/>
  <c r="R121" i="10"/>
  <c r="P121" i="10"/>
  <c r="O121" i="10"/>
  <c r="N121" i="10"/>
  <c r="K121" i="10"/>
  <c r="H121" i="10"/>
  <c r="BV120" i="10"/>
  <c r="BS120" i="10"/>
  <c r="BP120" i="10"/>
  <c r="BI120" i="10"/>
  <c r="BH120" i="10"/>
  <c r="BF120" i="10"/>
  <c r="BE120" i="10"/>
  <c r="BC120" i="10"/>
  <c r="BB120" i="10"/>
  <c r="BA120" i="10"/>
  <c r="AX120" i="10"/>
  <c r="AU120" i="10"/>
  <c r="AP120" i="10"/>
  <c r="AL120" i="10"/>
  <c r="AH120" i="10"/>
  <c r="AG120" i="10"/>
  <c r="AE120" i="10"/>
  <c r="AD120" i="10"/>
  <c r="AC120" i="10"/>
  <c r="V120" i="10"/>
  <c r="U120" i="10"/>
  <c r="S120" i="10"/>
  <c r="R120" i="10"/>
  <c r="P120" i="10"/>
  <c r="O120" i="10"/>
  <c r="N120" i="10"/>
  <c r="K120" i="10"/>
  <c r="H120" i="10"/>
  <c r="BV119" i="10"/>
  <c r="BS119" i="10"/>
  <c r="BP119" i="10"/>
  <c r="BI119" i="10"/>
  <c r="BH119" i="10"/>
  <c r="BF119" i="10"/>
  <c r="BE119" i="10"/>
  <c r="BC119" i="10"/>
  <c r="BB119" i="10"/>
  <c r="BA119" i="10"/>
  <c r="AX119" i="10"/>
  <c r="AU119" i="10"/>
  <c r="AP119" i="10"/>
  <c r="AL119" i="10"/>
  <c r="AH119" i="10"/>
  <c r="AG119" i="10"/>
  <c r="AE119" i="10"/>
  <c r="AD119" i="10"/>
  <c r="AC119" i="10"/>
  <c r="V119" i="10"/>
  <c r="U119" i="10"/>
  <c r="S119" i="10"/>
  <c r="R119" i="10"/>
  <c r="P119" i="10"/>
  <c r="O119" i="10"/>
  <c r="N119" i="10"/>
  <c r="K119" i="10"/>
  <c r="H119" i="10"/>
  <c r="BV118" i="10"/>
  <c r="BS118" i="10"/>
  <c r="BP118" i="10"/>
  <c r="BI118" i="10"/>
  <c r="BH118" i="10"/>
  <c r="BF118" i="10"/>
  <c r="BE118" i="10"/>
  <c r="BC118" i="10"/>
  <c r="BB118" i="10"/>
  <c r="BA118" i="10"/>
  <c r="AX118" i="10"/>
  <c r="AU118" i="10"/>
  <c r="AP118" i="10"/>
  <c r="AL118" i="10"/>
  <c r="AH118" i="10"/>
  <c r="AG118" i="10"/>
  <c r="AE118" i="10"/>
  <c r="AD118" i="10"/>
  <c r="AC118" i="10"/>
  <c r="V118" i="10"/>
  <c r="U118" i="10"/>
  <c r="S118" i="10"/>
  <c r="R118" i="10"/>
  <c r="P118" i="10"/>
  <c r="O118" i="10"/>
  <c r="N118" i="10"/>
  <c r="K118" i="10"/>
  <c r="H118" i="10"/>
  <c r="BV117" i="10"/>
  <c r="BS117" i="10"/>
  <c r="BP117" i="10"/>
  <c r="BI117" i="10"/>
  <c r="BH117" i="10"/>
  <c r="BF117" i="10"/>
  <c r="BE117" i="10"/>
  <c r="BC117" i="10"/>
  <c r="BB117" i="10"/>
  <c r="BA117" i="10"/>
  <c r="AX117" i="10"/>
  <c r="AU117" i="10"/>
  <c r="AP117" i="10"/>
  <c r="AL117" i="10"/>
  <c r="AH117" i="10"/>
  <c r="AG117" i="10"/>
  <c r="AE117" i="10"/>
  <c r="AD117" i="10"/>
  <c r="AC117" i="10"/>
  <c r="V117" i="10"/>
  <c r="U117" i="10"/>
  <c r="S117" i="10"/>
  <c r="R117" i="10"/>
  <c r="P117" i="10"/>
  <c r="O117" i="10"/>
  <c r="N117" i="10"/>
  <c r="K117" i="10"/>
  <c r="H117" i="10"/>
  <c r="BV116" i="10"/>
  <c r="BS116" i="10"/>
  <c r="BP116" i="10"/>
  <c r="BI116" i="10"/>
  <c r="BH116" i="10"/>
  <c r="BF116" i="10"/>
  <c r="BE116" i="10"/>
  <c r="BC116" i="10"/>
  <c r="BB116" i="10"/>
  <c r="BA116" i="10"/>
  <c r="AX116" i="10"/>
  <c r="AU116" i="10"/>
  <c r="AP116" i="10"/>
  <c r="AL116" i="10"/>
  <c r="AH116" i="10"/>
  <c r="AG116" i="10"/>
  <c r="AE116" i="10"/>
  <c r="AD116" i="10"/>
  <c r="AC116" i="10"/>
  <c r="V116" i="10"/>
  <c r="U116" i="10"/>
  <c r="S116" i="10"/>
  <c r="R116" i="10"/>
  <c r="P116" i="10"/>
  <c r="O116" i="10"/>
  <c r="N116" i="10"/>
  <c r="K116" i="10"/>
  <c r="H116" i="10"/>
  <c r="BV115" i="10"/>
  <c r="BS115" i="10"/>
  <c r="BP115" i="10"/>
  <c r="BI115" i="10"/>
  <c r="BH115" i="10"/>
  <c r="BF115" i="10"/>
  <c r="BE115" i="10"/>
  <c r="BC115" i="10"/>
  <c r="BB115" i="10"/>
  <c r="BA115" i="10"/>
  <c r="AX115" i="10"/>
  <c r="AU115" i="10"/>
  <c r="AP115" i="10"/>
  <c r="AL115" i="10"/>
  <c r="AH115" i="10"/>
  <c r="AG115" i="10"/>
  <c r="AE115" i="10"/>
  <c r="AD115" i="10"/>
  <c r="AC115" i="10"/>
  <c r="V115" i="10"/>
  <c r="U115" i="10"/>
  <c r="S115" i="10"/>
  <c r="R115" i="10"/>
  <c r="P115" i="10"/>
  <c r="O115" i="10"/>
  <c r="N115" i="10"/>
  <c r="K115" i="10"/>
  <c r="H115" i="10"/>
  <c r="BV114" i="10"/>
  <c r="BS114" i="10"/>
  <c r="BP114" i="10"/>
  <c r="BI114" i="10"/>
  <c r="BH114" i="10"/>
  <c r="BF114" i="10"/>
  <c r="BE114" i="10"/>
  <c r="BC114" i="10"/>
  <c r="BB114" i="10"/>
  <c r="BA114" i="10"/>
  <c r="AX114" i="10"/>
  <c r="AU114" i="10"/>
  <c r="AP114" i="10"/>
  <c r="AL114" i="10"/>
  <c r="AH114" i="10"/>
  <c r="AG114" i="10"/>
  <c r="AE114" i="10"/>
  <c r="AD114" i="10"/>
  <c r="AC114" i="10"/>
  <c r="V114" i="10"/>
  <c r="U114" i="10"/>
  <c r="S114" i="10"/>
  <c r="R114" i="10"/>
  <c r="P114" i="10"/>
  <c r="O114" i="10"/>
  <c r="N114" i="10"/>
  <c r="K114" i="10"/>
  <c r="H114" i="10"/>
  <c r="BV113" i="10"/>
  <c r="BS113" i="10"/>
  <c r="BP113" i="10"/>
  <c r="BI113" i="10"/>
  <c r="BH113" i="10"/>
  <c r="BF113" i="10"/>
  <c r="BE113" i="10"/>
  <c r="BC113" i="10"/>
  <c r="BB113" i="10"/>
  <c r="BA113" i="10"/>
  <c r="AX113" i="10"/>
  <c r="AU113" i="10"/>
  <c r="AP113" i="10"/>
  <c r="AL113" i="10"/>
  <c r="AH113" i="10"/>
  <c r="AG113" i="10"/>
  <c r="AE113" i="10"/>
  <c r="AD113" i="10"/>
  <c r="AC113" i="10"/>
  <c r="V113" i="10"/>
  <c r="U113" i="10"/>
  <c r="S113" i="10"/>
  <c r="R113" i="10"/>
  <c r="P113" i="10"/>
  <c r="O113" i="10"/>
  <c r="N113" i="10"/>
  <c r="K113" i="10"/>
  <c r="H113" i="10"/>
  <c r="BV112" i="10"/>
  <c r="BS112" i="10"/>
  <c r="BP112" i="10"/>
  <c r="BI112" i="10"/>
  <c r="BH112" i="10"/>
  <c r="BF112" i="10"/>
  <c r="BE112" i="10"/>
  <c r="BC112" i="10"/>
  <c r="BB112" i="10"/>
  <c r="BA112" i="10"/>
  <c r="AX112" i="10"/>
  <c r="AU112" i="10"/>
  <c r="AP112" i="10"/>
  <c r="AL112" i="10"/>
  <c r="AH112" i="10"/>
  <c r="AG112" i="10"/>
  <c r="AE112" i="10"/>
  <c r="AD112" i="10"/>
  <c r="AC112" i="10"/>
  <c r="V112" i="10"/>
  <c r="U112" i="10"/>
  <c r="S112" i="10"/>
  <c r="R112" i="10"/>
  <c r="P112" i="10"/>
  <c r="O112" i="10"/>
  <c r="N112" i="10"/>
  <c r="K112" i="10"/>
  <c r="H112" i="10"/>
  <c r="BV111" i="10"/>
  <c r="BS111" i="10"/>
  <c r="BP111" i="10"/>
  <c r="BI111" i="10"/>
  <c r="BH111" i="10"/>
  <c r="BF111" i="10"/>
  <c r="BE111" i="10"/>
  <c r="BC111" i="10"/>
  <c r="BB111" i="10"/>
  <c r="BA111" i="10"/>
  <c r="AX111" i="10"/>
  <c r="AU111" i="10"/>
  <c r="AP111" i="10"/>
  <c r="AL111" i="10"/>
  <c r="AH111" i="10"/>
  <c r="AG111" i="10"/>
  <c r="AE111" i="10"/>
  <c r="AD111" i="10"/>
  <c r="AC111" i="10"/>
  <c r="V111" i="10"/>
  <c r="U111" i="10"/>
  <c r="S111" i="10"/>
  <c r="R111" i="10"/>
  <c r="P111" i="10"/>
  <c r="O111" i="10"/>
  <c r="N111" i="10"/>
  <c r="K111" i="10"/>
  <c r="H111" i="10"/>
  <c r="BV110" i="10"/>
  <c r="BS110" i="10"/>
  <c r="BP110" i="10"/>
  <c r="BI110" i="10"/>
  <c r="BH110" i="10"/>
  <c r="BF110" i="10"/>
  <c r="BE110" i="10"/>
  <c r="BC110" i="10"/>
  <c r="BB110" i="10"/>
  <c r="BA110" i="10"/>
  <c r="AX110" i="10"/>
  <c r="AU110" i="10"/>
  <c r="AP110" i="10"/>
  <c r="AL110" i="10"/>
  <c r="AH110" i="10"/>
  <c r="AG110" i="10"/>
  <c r="AE110" i="10"/>
  <c r="AD110" i="10"/>
  <c r="AC110" i="10"/>
  <c r="V110" i="10"/>
  <c r="U110" i="10"/>
  <c r="S110" i="10"/>
  <c r="R110" i="10"/>
  <c r="P110" i="10"/>
  <c r="O110" i="10"/>
  <c r="N110" i="10"/>
  <c r="K110" i="10"/>
  <c r="H110" i="10"/>
  <c r="BV109" i="10"/>
  <c r="BS109" i="10"/>
  <c r="BP109" i="10"/>
  <c r="BI109" i="10"/>
  <c r="BH109" i="10"/>
  <c r="BF109" i="10"/>
  <c r="BE109" i="10"/>
  <c r="BC109" i="10"/>
  <c r="BB109" i="10"/>
  <c r="BA109" i="10"/>
  <c r="AX109" i="10"/>
  <c r="AU109" i="10"/>
  <c r="AP109" i="10"/>
  <c r="AL109" i="10"/>
  <c r="AH109" i="10"/>
  <c r="AG109" i="10"/>
  <c r="AE109" i="10"/>
  <c r="AD109" i="10"/>
  <c r="AC109" i="10"/>
  <c r="V109" i="10"/>
  <c r="U109" i="10"/>
  <c r="S109" i="10"/>
  <c r="R109" i="10"/>
  <c r="P109" i="10"/>
  <c r="O109" i="10"/>
  <c r="N109" i="10"/>
  <c r="K109" i="10"/>
  <c r="H109" i="10"/>
  <c r="BV108" i="10"/>
  <c r="BS108" i="10"/>
  <c r="BP108" i="10"/>
  <c r="BI108" i="10"/>
  <c r="BH108" i="10"/>
  <c r="BF108" i="10"/>
  <c r="BE108" i="10"/>
  <c r="BC108" i="10"/>
  <c r="BB108" i="10"/>
  <c r="BA108" i="10"/>
  <c r="AX108" i="10"/>
  <c r="AU108" i="10"/>
  <c r="AP108" i="10"/>
  <c r="AL108" i="10"/>
  <c r="AH108" i="10"/>
  <c r="AG108" i="10"/>
  <c r="AE108" i="10"/>
  <c r="AD108" i="10"/>
  <c r="AC108" i="10"/>
  <c r="V108" i="10"/>
  <c r="U108" i="10"/>
  <c r="S108" i="10"/>
  <c r="R108" i="10"/>
  <c r="P108" i="10"/>
  <c r="O108" i="10"/>
  <c r="N108" i="10"/>
  <c r="K108" i="10"/>
  <c r="H108" i="10"/>
  <c r="BV107" i="10"/>
  <c r="BS107" i="10"/>
  <c r="BP107" i="10"/>
  <c r="BI107" i="10"/>
  <c r="BH107" i="10"/>
  <c r="BF107" i="10"/>
  <c r="BE107" i="10"/>
  <c r="BC107" i="10"/>
  <c r="BB107" i="10"/>
  <c r="BA107" i="10"/>
  <c r="AX107" i="10"/>
  <c r="AU107" i="10"/>
  <c r="AP107" i="10"/>
  <c r="AL107" i="10"/>
  <c r="AH107" i="10"/>
  <c r="AG107" i="10"/>
  <c r="AE107" i="10"/>
  <c r="AD107" i="10"/>
  <c r="AC107" i="10"/>
  <c r="V107" i="10"/>
  <c r="U107" i="10"/>
  <c r="S107" i="10"/>
  <c r="R107" i="10"/>
  <c r="P107" i="10"/>
  <c r="O107" i="10"/>
  <c r="N107" i="10"/>
  <c r="K107" i="10"/>
  <c r="H107" i="10"/>
  <c r="BV106" i="10"/>
  <c r="BS106" i="10"/>
  <c r="BP106" i="10"/>
  <c r="BI106" i="10"/>
  <c r="BH106" i="10"/>
  <c r="BF106" i="10"/>
  <c r="BE106" i="10"/>
  <c r="BC106" i="10"/>
  <c r="BB106" i="10"/>
  <c r="BA106" i="10"/>
  <c r="AX106" i="10"/>
  <c r="AU106" i="10"/>
  <c r="AP106" i="10"/>
  <c r="AL106" i="10"/>
  <c r="AH106" i="10"/>
  <c r="AG106" i="10"/>
  <c r="AE106" i="10"/>
  <c r="AD106" i="10"/>
  <c r="AC106" i="10"/>
  <c r="V106" i="10"/>
  <c r="U106" i="10"/>
  <c r="S106" i="10"/>
  <c r="R106" i="10"/>
  <c r="P106" i="10"/>
  <c r="O106" i="10"/>
  <c r="N106" i="10"/>
  <c r="K106" i="10"/>
  <c r="H106" i="10"/>
  <c r="BV105" i="10"/>
  <c r="BS105" i="10"/>
  <c r="BP105" i="10"/>
  <c r="BI105" i="10"/>
  <c r="BH105" i="10"/>
  <c r="BF105" i="10"/>
  <c r="BE105" i="10"/>
  <c r="BC105" i="10"/>
  <c r="BB105" i="10"/>
  <c r="BA105" i="10"/>
  <c r="AX105" i="10"/>
  <c r="AU105" i="10"/>
  <c r="AP105" i="10"/>
  <c r="AL105" i="10"/>
  <c r="AH105" i="10"/>
  <c r="AG105" i="10"/>
  <c r="AE105" i="10"/>
  <c r="AD105" i="10"/>
  <c r="AC105" i="10"/>
  <c r="V105" i="10"/>
  <c r="U105" i="10"/>
  <c r="S105" i="10"/>
  <c r="R105" i="10"/>
  <c r="P105" i="10"/>
  <c r="O105" i="10"/>
  <c r="N105" i="10"/>
  <c r="K105" i="10"/>
  <c r="H105" i="10"/>
  <c r="BV104" i="10"/>
  <c r="BS104" i="10"/>
  <c r="BP104" i="10"/>
  <c r="BI104" i="10"/>
  <c r="BH104" i="10"/>
  <c r="BF104" i="10"/>
  <c r="BE104" i="10"/>
  <c r="BC104" i="10"/>
  <c r="BB104" i="10"/>
  <c r="BA104" i="10"/>
  <c r="AX104" i="10"/>
  <c r="AU104" i="10"/>
  <c r="AP104" i="10"/>
  <c r="AL104" i="10"/>
  <c r="AH104" i="10"/>
  <c r="AG104" i="10"/>
  <c r="AE104" i="10"/>
  <c r="AD104" i="10"/>
  <c r="AC104" i="10"/>
  <c r="V104" i="10"/>
  <c r="U104" i="10"/>
  <c r="S104" i="10"/>
  <c r="R104" i="10"/>
  <c r="P104" i="10"/>
  <c r="O104" i="10"/>
  <c r="N104" i="10"/>
  <c r="K104" i="10"/>
  <c r="H104" i="10"/>
  <c r="BV103" i="10"/>
  <c r="BS103" i="10"/>
  <c r="BP103" i="10"/>
  <c r="BI103" i="10"/>
  <c r="BH103" i="10"/>
  <c r="BF103" i="10"/>
  <c r="BE103" i="10"/>
  <c r="BC103" i="10"/>
  <c r="BB103" i="10"/>
  <c r="BA103" i="10"/>
  <c r="AX103" i="10"/>
  <c r="AU103" i="10"/>
  <c r="AP103" i="10"/>
  <c r="AL103" i="10"/>
  <c r="AH103" i="10"/>
  <c r="AG103" i="10"/>
  <c r="AE103" i="10"/>
  <c r="AD103" i="10"/>
  <c r="AC103" i="10"/>
  <c r="V103" i="10"/>
  <c r="U103" i="10"/>
  <c r="S103" i="10"/>
  <c r="R103" i="10"/>
  <c r="P103" i="10"/>
  <c r="O103" i="10"/>
  <c r="N103" i="10"/>
  <c r="K103" i="10"/>
  <c r="H103" i="10"/>
  <c r="BV102" i="10"/>
  <c r="BS102" i="10"/>
  <c r="BP102" i="10"/>
  <c r="BI102" i="10"/>
  <c r="BH102" i="10"/>
  <c r="BF102" i="10"/>
  <c r="BE102" i="10"/>
  <c r="BC102" i="10"/>
  <c r="BB102" i="10"/>
  <c r="BA102" i="10"/>
  <c r="AX102" i="10"/>
  <c r="AU102" i="10"/>
  <c r="AP102" i="10"/>
  <c r="AL102" i="10"/>
  <c r="AH102" i="10"/>
  <c r="AG102" i="10"/>
  <c r="AE102" i="10"/>
  <c r="AD102" i="10"/>
  <c r="AC102" i="10"/>
  <c r="V102" i="10"/>
  <c r="U102" i="10"/>
  <c r="S102" i="10"/>
  <c r="R102" i="10"/>
  <c r="P102" i="10"/>
  <c r="O102" i="10"/>
  <c r="N102" i="10"/>
  <c r="K102" i="10"/>
  <c r="H102" i="10"/>
  <c r="BV101" i="10"/>
  <c r="BS101" i="10"/>
  <c r="BP101" i="10"/>
  <c r="BI101" i="10"/>
  <c r="BH101" i="10"/>
  <c r="BF101" i="10"/>
  <c r="BE101" i="10"/>
  <c r="BC101" i="10"/>
  <c r="BB101" i="10"/>
  <c r="BA101" i="10"/>
  <c r="AX101" i="10"/>
  <c r="AU101" i="10"/>
  <c r="AP101" i="10"/>
  <c r="AL101" i="10"/>
  <c r="AH101" i="10"/>
  <c r="AG101" i="10"/>
  <c r="AE101" i="10"/>
  <c r="AD101" i="10"/>
  <c r="AC101" i="10"/>
  <c r="V101" i="10"/>
  <c r="U101" i="10"/>
  <c r="S101" i="10"/>
  <c r="R101" i="10"/>
  <c r="P101" i="10"/>
  <c r="O101" i="10"/>
  <c r="N101" i="10"/>
  <c r="K101" i="10"/>
  <c r="H101" i="10"/>
  <c r="BV100" i="10"/>
  <c r="BS100" i="10"/>
  <c r="BP100" i="10"/>
  <c r="BI100" i="10"/>
  <c r="BH100" i="10"/>
  <c r="BF100" i="10"/>
  <c r="BE100" i="10"/>
  <c r="BC100" i="10"/>
  <c r="BB100" i="10"/>
  <c r="BA100" i="10"/>
  <c r="AX100" i="10"/>
  <c r="AU100" i="10"/>
  <c r="AP100" i="10"/>
  <c r="AL100" i="10"/>
  <c r="AH100" i="10"/>
  <c r="AG100" i="10"/>
  <c r="AE100" i="10"/>
  <c r="AD100" i="10"/>
  <c r="AC100" i="10"/>
  <c r="V100" i="10"/>
  <c r="U100" i="10"/>
  <c r="S100" i="10"/>
  <c r="R100" i="10"/>
  <c r="P100" i="10"/>
  <c r="O100" i="10"/>
  <c r="N100" i="10"/>
  <c r="K100" i="10"/>
  <c r="H100" i="10"/>
  <c r="BV99" i="10"/>
  <c r="BS99" i="10"/>
  <c r="BP99" i="10"/>
  <c r="BI99" i="10"/>
  <c r="BH99" i="10"/>
  <c r="BF99" i="10"/>
  <c r="BE99" i="10"/>
  <c r="BC99" i="10"/>
  <c r="BB99" i="10"/>
  <c r="BA99" i="10"/>
  <c r="AX99" i="10"/>
  <c r="AU99" i="10"/>
  <c r="AP99" i="10"/>
  <c r="AL99" i="10"/>
  <c r="AH99" i="10"/>
  <c r="AG99" i="10"/>
  <c r="AE99" i="10"/>
  <c r="AD99" i="10"/>
  <c r="AC99" i="10"/>
  <c r="V99" i="10"/>
  <c r="U99" i="10"/>
  <c r="S99" i="10"/>
  <c r="R99" i="10"/>
  <c r="P99" i="10"/>
  <c r="O99" i="10"/>
  <c r="N99" i="10"/>
  <c r="K99" i="10"/>
  <c r="H99" i="10"/>
  <c r="BV98" i="10"/>
  <c r="BS98" i="10"/>
  <c r="BP98" i="10"/>
  <c r="BI98" i="10"/>
  <c r="BH98" i="10"/>
  <c r="BF98" i="10"/>
  <c r="BE98" i="10"/>
  <c r="BC98" i="10"/>
  <c r="BB98" i="10"/>
  <c r="BA98" i="10"/>
  <c r="AX98" i="10"/>
  <c r="AU98" i="10"/>
  <c r="AP98" i="10"/>
  <c r="AL98" i="10"/>
  <c r="AH98" i="10"/>
  <c r="AG98" i="10"/>
  <c r="AE98" i="10"/>
  <c r="AD98" i="10"/>
  <c r="AC98" i="10"/>
  <c r="V98" i="10"/>
  <c r="U98" i="10"/>
  <c r="S98" i="10"/>
  <c r="R98" i="10"/>
  <c r="P98" i="10"/>
  <c r="O98" i="10"/>
  <c r="N98" i="10"/>
  <c r="K98" i="10"/>
  <c r="H98" i="10"/>
  <c r="BV97" i="10"/>
  <c r="BS97" i="10"/>
  <c r="BP97" i="10"/>
  <c r="BI97" i="10"/>
  <c r="BH97" i="10"/>
  <c r="BF97" i="10"/>
  <c r="BE97" i="10"/>
  <c r="BC97" i="10"/>
  <c r="BB97" i="10"/>
  <c r="BA97" i="10"/>
  <c r="AX97" i="10"/>
  <c r="AU97" i="10"/>
  <c r="AP97" i="10"/>
  <c r="AL97" i="10"/>
  <c r="AH97" i="10"/>
  <c r="AG97" i="10"/>
  <c r="AE97" i="10"/>
  <c r="AD97" i="10"/>
  <c r="AC97" i="10"/>
  <c r="V97" i="10"/>
  <c r="U97" i="10"/>
  <c r="S97" i="10"/>
  <c r="R97" i="10"/>
  <c r="P97" i="10"/>
  <c r="O97" i="10"/>
  <c r="N97" i="10"/>
  <c r="K97" i="10"/>
  <c r="H97" i="10"/>
  <c r="BV96" i="10"/>
  <c r="BS96" i="10"/>
  <c r="BP96" i="10"/>
  <c r="BI96" i="10"/>
  <c r="BH96" i="10"/>
  <c r="BF96" i="10"/>
  <c r="BE96" i="10"/>
  <c r="BC96" i="10"/>
  <c r="BB96" i="10"/>
  <c r="BA96" i="10"/>
  <c r="AX96" i="10"/>
  <c r="AU96" i="10"/>
  <c r="AP96" i="10"/>
  <c r="AL96" i="10"/>
  <c r="AH96" i="10"/>
  <c r="AG96" i="10"/>
  <c r="AE96" i="10"/>
  <c r="AD96" i="10"/>
  <c r="AC96" i="10"/>
  <c r="V96" i="10"/>
  <c r="U96" i="10"/>
  <c r="S96" i="10"/>
  <c r="R96" i="10"/>
  <c r="P96" i="10"/>
  <c r="O96" i="10"/>
  <c r="N96" i="10"/>
  <c r="K96" i="10"/>
  <c r="H96" i="10"/>
  <c r="BV95" i="10"/>
  <c r="BS95" i="10"/>
  <c r="BP95" i="10"/>
  <c r="BI95" i="10"/>
  <c r="BH95" i="10"/>
  <c r="BF95" i="10"/>
  <c r="BE95" i="10"/>
  <c r="BC95" i="10"/>
  <c r="BB95" i="10"/>
  <c r="BA95" i="10"/>
  <c r="AX95" i="10"/>
  <c r="AU95" i="10"/>
  <c r="AP95" i="10"/>
  <c r="AL95" i="10"/>
  <c r="AH95" i="10"/>
  <c r="AG95" i="10"/>
  <c r="AE95" i="10"/>
  <c r="AD95" i="10"/>
  <c r="AC95" i="10"/>
  <c r="V95" i="10"/>
  <c r="U95" i="10"/>
  <c r="S95" i="10"/>
  <c r="R95" i="10"/>
  <c r="P95" i="10"/>
  <c r="O95" i="10"/>
  <c r="N95" i="10"/>
  <c r="K95" i="10"/>
  <c r="H95" i="10"/>
  <c r="BV94" i="10"/>
  <c r="BS94" i="10"/>
  <c r="BP94" i="10"/>
  <c r="BI94" i="10"/>
  <c r="BH94" i="10"/>
  <c r="BF94" i="10"/>
  <c r="BE94" i="10"/>
  <c r="BC94" i="10"/>
  <c r="BB94" i="10"/>
  <c r="BA94" i="10"/>
  <c r="AX94" i="10"/>
  <c r="AU94" i="10"/>
  <c r="AP94" i="10"/>
  <c r="AL94" i="10"/>
  <c r="AH94" i="10"/>
  <c r="AG94" i="10"/>
  <c r="AE94" i="10"/>
  <c r="AD94" i="10"/>
  <c r="AC94" i="10"/>
  <c r="V94" i="10"/>
  <c r="U94" i="10"/>
  <c r="S94" i="10"/>
  <c r="R94" i="10"/>
  <c r="P94" i="10"/>
  <c r="O94" i="10"/>
  <c r="N94" i="10"/>
  <c r="K94" i="10"/>
  <c r="H94" i="10"/>
  <c r="BV93" i="10"/>
  <c r="BS93" i="10"/>
  <c r="BP93" i="10"/>
  <c r="BI93" i="10"/>
  <c r="BH93" i="10"/>
  <c r="BF93" i="10"/>
  <c r="BE93" i="10"/>
  <c r="BC93" i="10"/>
  <c r="BB93" i="10"/>
  <c r="BA93" i="10"/>
  <c r="AX93" i="10"/>
  <c r="AU93" i="10"/>
  <c r="AP93" i="10"/>
  <c r="AL93" i="10"/>
  <c r="AH93" i="10"/>
  <c r="AG93" i="10"/>
  <c r="AE93" i="10"/>
  <c r="AD93" i="10"/>
  <c r="AC93" i="10"/>
  <c r="V93" i="10"/>
  <c r="U93" i="10"/>
  <c r="S93" i="10"/>
  <c r="R93" i="10"/>
  <c r="P93" i="10"/>
  <c r="O93" i="10"/>
  <c r="N93" i="10"/>
  <c r="K93" i="10"/>
  <c r="H93" i="10"/>
  <c r="BV92" i="10"/>
  <c r="BS92" i="10"/>
  <c r="BP92" i="10"/>
  <c r="BI92" i="10"/>
  <c r="BH92" i="10"/>
  <c r="BF92" i="10"/>
  <c r="BE92" i="10"/>
  <c r="BC92" i="10"/>
  <c r="BB92" i="10"/>
  <c r="BA92" i="10"/>
  <c r="AX92" i="10"/>
  <c r="AU92" i="10"/>
  <c r="AP92" i="10"/>
  <c r="AL92" i="10"/>
  <c r="AH92" i="10"/>
  <c r="AG92" i="10"/>
  <c r="AE92" i="10"/>
  <c r="AD92" i="10"/>
  <c r="AC92" i="10"/>
  <c r="V92" i="10"/>
  <c r="U92" i="10"/>
  <c r="S92" i="10"/>
  <c r="R92" i="10"/>
  <c r="P92" i="10"/>
  <c r="O92" i="10"/>
  <c r="N92" i="10"/>
  <c r="K92" i="10"/>
  <c r="H92" i="10"/>
  <c r="BV91" i="10"/>
  <c r="BS91" i="10"/>
  <c r="BP91" i="10"/>
  <c r="BI91" i="10"/>
  <c r="BH91" i="10"/>
  <c r="BF91" i="10"/>
  <c r="BE91" i="10"/>
  <c r="BC91" i="10"/>
  <c r="BB91" i="10"/>
  <c r="BA91" i="10"/>
  <c r="AX91" i="10"/>
  <c r="AU91" i="10"/>
  <c r="AP91" i="10"/>
  <c r="AL91" i="10"/>
  <c r="AH91" i="10"/>
  <c r="AG91" i="10"/>
  <c r="AE91" i="10"/>
  <c r="AD91" i="10"/>
  <c r="AC91" i="10"/>
  <c r="V91" i="10"/>
  <c r="U91" i="10"/>
  <c r="S91" i="10"/>
  <c r="R91" i="10"/>
  <c r="P91" i="10"/>
  <c r="O91" i="10"/>
  <c r="N91" i="10"/>
  <c r="K91" i="10"/>
  <c r="H91" i="10"/>
  <c r="BV90" i="10"/>
  <c r="BS90" i="10"/>
  <c r="BP90" i="10"/>
  <c r="BI90" i="10"/>
  <c r="BH90" i="10"/>
  <c r="BF90" i="10"/>
  <c r="BE90" i="10"/>
  <c r="BC90" i="10"/>
  <c r="BB90" i="10"/>
  <c r="BA90" i="10"/>
  <c r="AX90" i="10"/>
  <c r="AU90" i="10"/>
  <c r="AP90" i="10"/>
  <c r="AL90" i="10"/>
  <c r="AH90" i="10"/>
  <c r="AG90" i="10"/>
  <c r="AE90" i="10"/>
  <c r="AD90" i="10"/>
  <c r="AC90" i="10"/>
  <c r="V90" i="10"/>
  <c r="U90" i="10"/>
  <c r="S90" i="10"/>
  <c r="R90" i="10"/>
  <c r="P90" i="10"/>
  <c r="O90" i="10"/>
  <c r="N90" i="10"/>
  <c r="K90" i="10"/>
  <c r="H90" i="10"/>
  <c r="BV89" i="10"/>
  <c r="BS89" i="10"/>
  <c r="BP89" i="10"/>
  <c r="BI89" i="10"/>
  <c r="BH89" i="10"/>
  <c r="BF89" i="10"/>
  <c r="BE89" i="10"/>
  <c r="BC89" i="10"/>
  <c r="BB89" i="10"/>
  <c r="BA89" i="10"/>
  <c r="AX89" i="10"/>
  <c r="AU89" i="10"/>
  <c r="AP89" i="10"/>
  <c r="AL89" i="10"/>
  <c r="AH89" i="10"/>
  <c r="AG89" i="10"/>
  <c r="AE89" i="10"/>
  <c r="AD89" i="10"/>
  <c r="AC89" i="10"/>
  <c r="V89" i="10"/>
  <c r="U89" i="10"/>
  <c r="S89" i="10"/>
  <c r="R89" i="10"/>
  <c r="P89" i="10"/>
  <c r="O89" i="10"/>
  <c r="N89" i="10"/>
  <c r="K89" i="10"/>
  <c r="H89" i="10"/>
  <c r="BV88" i="10"/>
  <c r="BS88" i="10"/>
  <c r="BP88" i="10"/>
  <c r="BI88" i="10"/>
  <c r="BH88" i="10"/>
  <c r="BF88" i="10"/>
  <c r="BE88" i="10"/>
  <c r="BC88" i="10"/>
  <c r="BB88" i="10"/>
  <c r="BA88" i="10"/>
  <c r="AX88" i="10"/>
  <c r="AU88" i="10"/>
  <c r="AP88" i="10"/>
  <c r="AL88" i="10"/>
  <c r="AH88" i="10"/>
  <c r="AG88" i="10"/>
  <c r="AE88" i="10"/>
  <c r="AD88" i="10"/>
  <c r="AC88" i="10"/>
  <c r="V88" i="10"/>
  <c r="U88" i="10"/>
  <c r="S88" i="10"/>
  <c r="R88" i="10"/>
  <c r="P88" i="10"/>
  <c r="O88" i="10"/>
  <c r="N88" i="10"/>
  <c r="K88" i="10"/>
  <c r="H88" i="10"/>
  <c r="BV87" i="10"/>
  <c r="BS87" i="10"/>
  <c r="BP87" i="10"/>
  <c r="BI87" i="10"/>
  <c r="BH87" i="10"/>
  <c r="BF87" i="10"/>
  <c r="BE87" i="10"/>
  <c r="BC87" i="10"/>
  <c r="BB87" i="10"/>
  <c r="BA87" i="10"/>
  <c r="AX87" i="10"/>
  <c r="AU87" i="10"/>
  <c r="AP87" i="10"/>
  <c r="AL87" i="10"/>
  <c r="AH87" i="10"/>
  <c r="AG87" i="10"/>
  <c r="AE87" i="10"/>
  <c r="AD87" i="10"/>
  <c r="AC87" i="10"/>
  <c r="V87" i="10"/>
  <c r="U87" i="10"/>
  <c r="S87" i="10"/>
  <c r="R87" i="10"/>
  <c r="P87" i="10"/>
  <c r="O87" i="10"/>
  <c r="N87" i="10"/>
  <c r="K87" i="10"/>
  <c r="H87" i="10"/>
  <c r="BV86" i="10"/>
  <c r="BS86" i="10"/>
  <c r="BP86" i="10"/>
  <c r="BI86" i="10"/>
  <c r="BH86" i="10"/>
  <c r="BF86" i="10"/>
  <c r="BE86" i="10"/>
  <c r="BC86" i="10"/>
  <c r="BB86" i="10"/>
  <c r="BA86" i="10"/>
  <c r="AX86" i="10"/>
  <c r="AU86" i="10"/>
  <c r="AP86" i="10"/>
  <c r="AL86" i="10"/>
  <c r="AH86" i="10"/>
  <c r="AG86" i="10"/>
  <c r="AE86" i="10"/>
  <c r="AD86" i="10"/>
  <c r="AC86" i="10"/>
  <c r="V86" i="10"/>
  <c r="U86" i="10"/>
  <c r="S86" i="10"/>
  <c r="R86" i="10"/>
  <c r="P86" i="10"/>
  <c r="O86" i="10"/>
  <c r="N86" i="10"/>
  <c r="K86" i="10"/>
  <c r="H86" i="10"/>
  <c r="BV85" i="10"/>
  <c r="BS85" i="10"/>
  <c r="BP85" i="10"/>
  <c r="BI85" i="10"/>
  <c r="BH85" i="10"/>
  <c r="BF85" i="10"/>
  <c r="BE85" i="10"/>
  <c r="BC85" i="10"/>
  <c r="BB85" i="10"/>
  <c r="BA85" i="10"/>
  <c r="AX85" i="10"/>
  <c r="AU85" i="10"/>
  <c r="AP85" i="10"/>
  <c r="AL85" i="10"/>
  <c r="AH85" i="10"/>
  <c r="AG85" i="10"/>
  <c r="AE85" i="10"/>
  <c r="AD85" i="10"/>
  <c r="AC85" i="10"/>
  <c r="V85" i="10"/>
  <c r="U85" i="10"/>
  <c r="S85" i="10"/>
  <c r="R85" i="10"/>
  <c r="P85" i="10"/>
  <c r="O85" i="10"/>
  <c r="N85" i="10"/>
  <c r="K85" i="10"/>
  <c r="H85" i="10"/>
  <c r="BV84" i="10"/>
  <c r="BS84" i="10"/>
  <c r="BP84" i="10"/>
  <c r="BI84" i="10"/>
  <c r="BH84" i="10"/>
  <c r="BF84" i="10"/>
  <c r="BE84" i="10"/>
  <c r="BC84" i="10"/>
  <c r="BB84" i="10"/>
  <c r="BA84" i="10"/>
  <c r="AX84" i="10"/>
  <c r="AU84" i="10"/>
  <c r="AP84" i="10"/>
  <c r="AL84" i="10"/>
  <c r="AH84" i="10"/>
  <c r="AG84" i="10"/>
  <c r="AE84" i="10"/>
  <c r="AD84" i="10"/>
  <c r="AC84" i="10"/>
  <c r="V84" i="10"/>
  <c r="U84" i="10"/>
  <c r="S84" i="10"/>
  <c r="R84" i="10"/>
  <c r="P84" i="10"/>
  <c r="O84" i="10"/>
  <c r="N84" i="10"/>
  <c r="K84" i="10"/>
  <c r="H84" i="10"/>
  <c r="BV83" i="10"/>
  <c r="BS83" i="10"/>
  <c r="BP83" i="10"/>
  <c r="BI83" i="10"/>
  <c r="BH83" i="10"/>
  <c r="BF83" i="10"/>
  <c r="BE83" i="10"/>
  <c r="BC83" i="10"/>
  <c r="BB83" i="10"/>
  <c r="BA83" i="10"/>
  <c r="AX83" i="10"/>
  <c r="AU83" i="10"/>
  <c r="AP83" i="10"/>
  <c r="AL83" i="10"/>
  <c r="AH83" i="10"/>
  <c r="AG83" i="10"/>
  <c r="AE83" i="10"/>
  <c r="AD83" i="10"/>
  <c r="AC83" i="10"/>
  <c r="V83" i="10"/>
  <c r="U83" i="10"/>
  <c r="S83" i="10"/>
  <c r="R83" i="10"/>
  <c r="P83" i="10"/>
  <c r="O83" i="10"/>
  <c r="N83" i="10"/>
  <c r="K83" i="10"/>
  <c r="H83" i="10"/>
  <c r="BV82" i="10"/>
  <c r="BS82" i="10"/>
  <c r="BP82" i="10"/>
  <c r="BI82" i="10"/>
  <c r="BH82" i="10"/>
  <c r="BF82" i="10"/>
  <c r="BE82" i="10"/>
  <c r="BC82" i="10"/>
  <c r="BB82" i="10"/>
  <c r="BA82" i="10"/>
  <c r="AX82" i="10"/>
  <c r="AU82" i="10"/>
  <c r="AP82" i="10"/>
  <c r="AL82" i="10"/>
  <c r="AH82" i="10"/>
  <c r="AG82" i="10"/>
  <c r="AE82" i="10"/>
  <c r="AD82" i="10"/>
  <c r="AC82" i="10"/>
  <c r="V82" i="10"/>
  <c r="U82" i="10"/>
  <c r="S82" i="10"/>
  <c r="R82" i="10"/>
  <c r="P82" i="10"/>
  <c r="O82" i="10"/>
  <c r="N82" i="10"/>
  <c r="K82" i="10"/>
  <c r="H82" i="10"/>
  <c r="BV81" i="10"/>
  <c r="BS81" i="10"/>
  <c r="BP81" i="10"/>
  <c r="BI81" i="10"/>
  <c r="BH81" i="10"/>
  <c r="BF81" i="10"/>
  <c r="BE81" i="10"/>
  <c r="BC81" i="10"/>
  <c r="BB81" i="10"/>
  <c r="BA81" i="10"/>
  <c r="AX81" i="10"/>
  <c r="AU81" i="10"/>
  <c r="AP81" i="10"/>
  <c r="AL81" i="10"/>
  <c r="AH81" i="10"/>
  <c r="AG81" i="10"/>
  <c r="AE81" i="10"/>
  <c r="AD81" i="10"/>
  <c r="AC81" i="10"/>
  <c r="V81" i="10"/>
  <c r="U81" i="10"/>
  <c r="S81" i="10"/>
  <c r="R81" i="10"/>
  <c r="P81" i="10"/>
  <c r="O81" i="10"/>
  <c r="N81" i="10"/>
  <c r="K81" i="10"/>
  <c r="H81" i="10"/>
  <c r="BV80" i="10"/>
  <c r="BS80" i="10"/>
  <c r="BP80" i="10"/>
  <c r="BI80" i="10"/>
  <c r="BH80" i="10"/>
  <c r="BF80" i="10"/>
  <c r="BE80" i="10"/>
  <c r="BC80" i="10"/>
  <c r="BB80" i="10"/>
  <c r="BA80" i="10"/>
  <c r="AX80" i="10"/>
  <c r="AU80" i="10"/>
  <c r="AP80" i="10"/>
  <c r="AL80" i="10"/>
  <c r="AH80" i="10"/>
  <c r="AG80" i="10"/>
  <c r="AE80" i="10"/>
  <c r="AD80" i="10"/>
  <c r="AC80" i="10"/>
  <c r="V80" i="10"/>
  <c r="U80" i="10"/>
  <c r="S80" i="10"/>
  <c r="R80" i="10"/>
  <c r="P80" i="10"/>
  <c r="O80" i="10"/>
  <c r="N80" i="10"/>
  <c r="K80" i="10"/>
  <c r="H80" i="10"/>
  <c r="BV79" i="10"/>
  <c r="BS79" i="10"/>
  <c r="BP79" i="10"/>
  <c r="BI79" i="10"/>
  <c r="BH79" i="10"/>
  <c r="BF79" i="10"/>
  <c r="BE79" i="10"/>
  <c r="BC79" i="10"/>
  <c r="BB79" i="10"/>
  <c r="BA79" i="10"/>
  <c r="AX79" i="10"/>
  <c r="AU79" i="10"/>
  <c r="AP79" i="10"/>
  <c r="AL79" i="10"/>
  <c r="AH79" i="10"/>
  <c r="AG79" i="10"/>
  <c r="AE79" i="10"/>
  <c r="AD79" i="10"/>
  <c r="AC79" i="10"/>
  <c r="V79" i="10"/>
  <c r="U79" i="10"/>
  <c r="S79" i="10"/>
  <c r="R79" i="10"/>
  <c r="P79" i="10"/>
  <c r="O79" i="10"/>
  <c r="N79" i="10"/>
  <c r="K79" i="10"/>
  <c r="H79" i="10"/>
  <c r="BV78" i="10"/>
  <c r="BS78" i="10"/>
  <c r="BP78" i="10"/>
  <c r="BI78" i="10"/>
  <c r="BH78" i="10"/>
  <c r="BF78" i="10"/>
  <c r="BE78" i="10"/>
  <c r="BC78" i="10"/>
  <c r="BB78" i="10"/>
  <c r="BA78" i="10"/>
  <c r="AX78" i="10"/>
  <c r="AU78" i="10"/>
  <c r="AP78" i="10"/>
  <c r="AL78" i="10"/>
  <c r="AH78" i="10"/>
  <c r="AG78" i="10"/>
  <c r="AE78" i="10"/>
  <c r="AD78" i="10"/>
  <c r="AC78" i="10"/>
  <c r="V78" i="10"/>
  <c r="U78" i="10"/>
  <c r="S78" i="10"/>
  <c r="R78" i="10"/>
  <c r="P78" i="10"/>
  <c r="O78" i="10"/>
  <c r="N78" i="10"/>
  <c r="K78" i="10"/>
  <c r="H78" i="10"/>
  <c r="BV77" i="10"/>
  <c r="BS77" i="10"/>
  <c r="BP77" i="10"/>
  <c r="BI77" i="10"/>
  <c r="BH77" i="10"/>
  <c r="BF77" i="10"/>
  <c r="BE77" i="10"/>
  <c r="BC77" i="10"/>
  <c r="BB77" i="10"/>
  <c r="BA77" i="10"/>
  <c r="AX77" i="10"/>
  <c r="AU77" i="10"/>
  <c r="AP77" i="10"/>
  <c r="AL77" i="10"/>
  <c r="AH77" i="10"/>
  <c r="AG77" i="10"/>
  <c r="AE77" i="10"/>
  <c r="AD77" i="10"/>
  <c r="AC77" i="10"/>
  <c r="V77" i="10"/>
  <c r="U77" i="10"/>
  <c r="S77" i="10"/>
  <c r="R77" i="10"/>
  <c r="P77" i="10"/>
  <c r="O77" i="10"/>
  <c r="N77" i="10"/>
  <c r="K77" i="10"/>
  <c r="H77" i="10"/>
  <c r="BV76" i="10"/>
  <c r="BS76" i="10"/>
  <c r="BP76" i="10"/>
  <c r="BI76" i="10"/>
  <c r="BH76" i="10"/>
  <c r="BF76" i="10"/>
  <c r="BE76" i="10"/>
  <c r="BC76" i="10"/>
  <c r="BB76" i="10"/>
  <c r="BA76" i="10"/>
  <c r="AX76" i="10"/>
  <c r="AU76" i="10"/>
  <c r="AP76" i="10"/>
  <c r="AL76" i="10"/>
  <c r="AH76" i="10"/>
  <c r="AG76" i="10"/>
  <c r="AE76" i="10"/>
  <c r="AD76" i="10"/>
  <c r="AC76" i="10"/>
  <c r="V76" i="10"/>
  <c r="U76" i="10"/>
  <c r="S76" i="10"/>
  <c r="R76" i="10"/>
  <c r="P76" i="10"/>
  <c r="O76" i="10"/>
  <c r="N76" i="10"/>
  <c r="K76" i="10"/>
  <c r="H76" i="10"/>
  <c r="BV75" i="10"/>
  <c r="BS75" i="10"/>
  <c r="BP75" i="10"/>
  <c r="BI75" i="10"/>
  <c r="BH75" i="10"/>
  <c r="BF75" i="10"/>
  <c r="BE75" i="10"/>
  <c r="BC75" i="10"/>
  <c r="BB75" i="10"/>
  <c r="BA75" i="10"/>
  <c r="AX75" i="10"/>
  <c r="AU75" i="10"/>
  <c r="AP75" i="10"/>
  <c r="AL75" i="10"/>
  <c r="AH75" i="10"/>
  <c r="AG75" i="10"/>
  <c r="AE75" i="10"/>
  <c r="AD75" i="10"/>
  <c r="AC75" i="10"/>
  <c r="V75" i="10"/>
  <c r="U75" i="10"/>
  <c r="S75" i="10"/>
  <c r="R75" i="10"/>
  <c r="P75" i="10"/>
  <c r="O75" i="10"/>
  <c r="N75" i="10"/>
  <c r="K75" i="10"/>
  <c r="H75" i="10"/>
  <c r="BV74" i="10"/>
  <c r="BS74" i="10"/>
  <c r="BP74" i="10"/>
  <c r="BI74" i="10"/>
  <c r="BH74" i="10"/>
  <c r="BF74" i="10"/>
  <c r="BE74" i="10"/>
  <c r="BC74" i="10"/>
  <c r="BB74" i="10"/>
  <c r="BA74" i="10"/>
  <c r="AX74" i="10"/>
  <c r="AU74" i="10"/>
  <c r="AP74" i="10"/>
  <c r="AL74" i="10"/>
  <c r="AH74" i="10"/>
  <c r="AG74" i="10"/>
  <c r="AE74" i="10"/>
  <c r="AD74" i="10"/>
  <c r="AC74" i="10"/>
  <c r="V74" i="10"/>
  <c r="U74" i="10"/>
  <c r="S74" i="10"/>
  <c r="R74" i="10"/>
  <c r="P74" i="10"/>
  <c r="O74" i="10"/>
  <c r="N74" i="10"/>
  <c r="K74" i="10"/>
  <c r="H74" i="10"/>
  <c r="BV73" i="10"/>
  <c r="BS73" i="10"/>
  <c r="BP73" i="10"/>
  <c r="BI73" i="10"/>
  <c r="BH73" i="10"/>
  <c r="BF73" i="10"/>
  <c r="BE73" i="10"/>
  <c r="BC73" i="10"/>
  <c r="BB73" i="10"/>
  <c r="BA73" i="10"/>
  <c r="AX73" i="10"/>
  <c r="AU73" i="10"/>
  <c r="AP73" i="10"/>
  <c r="AL73" i="10"/>
  <c r="AH73" i="10"/>
  <c r="AG73" i="10"/>
  <c r="AE73" i="10"/>
  <c r="AD73" i="10"/>
  <c r="AC73" i="10"/>
  <c r="V73" i="10"/>
  <c r="U73" i="10"/>
  <c r="S73" i="10"/>
  <c r="R73" i="10"/>
  <c r="P73" i="10"/>
  <c r="O73" i="10"/>
  <c r="N73" i="10"/>
  <c r="K73" i="10"/>
  <c r="H73" i="10"/>
  <c r="BV72" i="10"/>
  <c r="BS72" i="10"/>
  <c r="BP72" i="10"/>
  <c r="BI72" i="10"/>
  <c r="BH72" i="10"/>
  <c r="BF72" i="10"/>
  <c r="BE72" i="10"/>
  <c r="BC72" i="10"/>
  <c r="BB72" i="10"/>
  <c r="BA72" i="10"/>
  <c r="AX72" i="10"/>
  <c r="AU72" i="10"/>
  <c r="AP72" i="10"/>
  <c r="AL72" i="10"/>
  <c r="AH72" i="10"/>
  <c r="AG72" i="10"/>
  <c r="AE72" i="10"/>
  <c r="AD72" i="10"/>
  <c r="AC72" i="10"/>
  <c r="V72" i="10"/>
  <c r="U72" i="10"/>
  <c r="S72" i="10"/>
  <c r="R72" i="10"/>
  <c r="P72" i="10"/>
  <c r="O72" i="10"/>
  <c r="N72" i="10"/>
  <c r="K72" i="10"/>
  <c r="H72" i="10"/>
  <c r="BV71" i="10"/>
  <c r="BS71" i="10"/>
  <c r="BP71" i="10"/>
  <c r="BI71" i="10"/>
  <c r="BH71" i="10"/>
  <c r="BF71" i="10"/>
  <c r="BE71" i="10"/>
  <c r="BC71" i="10"/>
  <c r="BB71" i="10"/>
  <c r="BA71" i="10"/>
  <c r="AX71" i="10"/>
  <c r="AU71" i="10"/>
  <c r="AP71" i="10"/>
  <c r="AL71" i="10"/>
  <c r="AH71" i="10"/>
  <c r="AG71" i="10"/>
  <c r="AE71" i="10"/>
  <c r="AD71" i="10"/>
  <c r="AC71" i="10"/>
  <c r="V71" i="10"/>
  <c r="U71" i="10"/>
  <c r="S71" i="10"/>
  <c r="R71" i="10"/>
  <c r="P71" i="10"/>
  <c r="O71" i="10"/>
  <c r="N71" i="10"/>
  <c r="K71" i="10"/>
  <c r="H71" i="10"/>
  <c r="BV70" i="10"/>
  <c r="BS70" i="10"/>
  <c r="BP70" i="10"/>
  <c r="BI70" i="10"/>
  <c r="BH70" i="10"/>
  <c r="BF70" i="10"/>
  <c r="BE70" i="10"/>
  <c r="BC70" i="10"/>
  <c r="BB70" i="10"/>
  <c r="BA70" i="10"/>
  <c r="AX70" i="10"/>
  <c r="AU70" i="10"/>
  <c r="AP70" i="10"/>
  <c r="AL70" i="10"/>
  <c r="AH70" i="10"/>
  <c r="AG70" i="10"/>
  <c r="AE70" i="10"/>
  <c r="AD70" i="10"/>
  <c r="AC70" i="10"/>
  <c r="V70" i="10"/>
  <c r="U70" i="10"/>
  <c r="S70" i="10"/>
  <c r="R70" i="10"/>
  <c r="P70" i="10"/>
  <c r="O70" i="10"/>
  <c r="N70" i="10"/>
  <c r="K70" i="10"/>
  <c r="H70" i="10"/>
  <c r="BV69" i="10"/>
  <c r="BS69" i="10"/>
  <c r="BP69" i="10"/>
  <c r="BI69" i="10"/>
  <c r="BH69" i="10"/>
  <c r="BF69" i="10"/>
  <c r="BE69" i="10"/>
  <c r="BC69" i="10"/>
  <c r="BB69" i="10"/>
  <c r="BA69" i="10"/>
  <c r="AX69" i="10"/>
  <c r="AU69" i="10"/>
  <c r="AP69" i="10"/>
  <c r="AL69" i="10"/>
  <c r="AH69" i="10"/>
  <c r="AG69" i="10"/>
  <c r="AE69" i="10"/>
  <c r="AD69" i="10"/>
  <c r="AC69" i="10"/>
  <c r="V69" i="10"/>
  <c r="U69" i="10"/>
  <c r="S69" i="10"/>
  <c r="R69" i="10"/>
  <c r="P69" i="10"/>
  <c r="O69" i="10"/>
  <c r="N69" i="10"/>
  <c r="K69" i="10"/>
  <c r="H69" i="10"/>
  <c r="BV68" i="10"/>
  <c r="BS68" i="10"/>
  <c r="BP68" i="10"/>
  <c r="BI68" i="10"/>
  <c r="BH68" i="10"/>
  <c r="BF68" i="10"/>
  <c r="BE68" i="10"/>
  <c r="BC68" i="10"/>
  <c r="BB68" i="10"/>
  <c r="BA68" i="10"/>
  <c r="AX68" i="10"/>
  <c r="AU68" i="10"/>
  <c r="AP68" i="10"/>
  <c r="AL68" i="10"/>
  <c r="AH68" i="10"/>
  <c r="AG68" i="10"/>
  <c r="AE68" i="10"/>
  <c r="AD68" i="10"/>
  <c r="AC68" i="10"/>
  <c r="V68" i="10"/>
  <c r="U68" i="10"/>
  <c r="S68" i="10"/>
  <c r="R68" i="10"/>
  <c r="P68" i="10"/>
  <c r="O68" i="10"/>
  <c r="N68" i="10"/>
  <c r="K68" i="10"/>
  <c r="H68" i="10"/>
  <c r="BV67" i="10"/>
  <c r="BS67" i="10"/>
  <c r="BP67" i="10"/>
  <c r="BI67" i="10"/>
  <c r="BH67" i="10"/>
  <c r="BF67" i="10"/>
  <c r="BE67" i="10"/>
  <c r="BC67" i="10"/>
  <c r="BB67" i="10"/>
  <c r="BA67" i="10"/>
  <c r="AX67" i="10"/>
  <c r="AU67" i="10"/>
  <c r="AP67" i="10"/>
  <c r="AL67" i="10"/>
  <c r="AH67" i="10"/>
  <c r="AG67" i="10"/>
  <c r="AE67" i="10"/>
  <c r="AD67" i="10"/>
  <c r="AC67" i="10"/>
  <c r="V67" i="10"/>
  <c r="U67" i="10"/>
  <c r="S67" i="10"/>
  <c r="R67" i="10"/>
  <c r="P67" i="10"/>
  <c r="O67" i="10"/>
  <c r="N67" i="10"/>
  <c r="K67" i="10"/>
  <c r="H67" i="10"/>
  <c r="BV66" i="10"/>
  <c r="BS66" i="10"/>
  <c r="BP66" i="10"/>
  <c r="BI66" i="10"/>
  <c r="BH66" i="10"/>
  <c r="BF66" i="10"/>
  <c r="BE66" i="10"/>
  <c r="BC66" i="10"/>
  <c r="BB66" i="10"/>
  <c r="BA66" i="10"/>
  <c r="AX66" i="10"/>
  <c r="AU66" i="10"/>
  <c r="AP66" i="10"/>
  <c r="AL66" i="10"/>
  <c r="AH66" i="10"/>
  <c r="AG66" i="10"/>
  <c r="AE66" i="10"/>
  <c r="AD66" i="10"/>
  <c r="AC66" i="10"/>
  <c r="V66" i="10"/>
  <c r="U66" i="10"/>
  <c r="S66" i="10"/>
  <c r="R66" i="10"/>
  <c r="P66" i="10"/>
  <c r="O66" i="10"/>
  <c r="N66" i="10"/>
  <c r="K66" i="10"/>
  <c r="H66" i="10"/>
  <c r="BV65" i="10"/>
  <c r="BS65" i="10"/>
  <c r="BP65" i="10"/>
  <c r="BI65" i="10"/>
  <c r="BH65" i="10"/>
  <c r="BF65" i="10"/>
  <c r="BE65" i="10"/>
  <c r="BC65" i="10"/>
  <c r="BB65" i="10"/>
  <c r="BA65" i="10"/>
  <c r="AX65" i="10"/>
  <c r="AU65" i="10"/>
  <c r="AP65" i="10"/>
  <c r="AL65" i="10"/>
  <c r="AH65" i="10"/>
  <c r="AG65" i="10"/>
  <c r="AE65" i="10"/>
  <c r="AD65" i="10"/>
  <c r="AC65" i="10"/>
  <c r="V65" i="10"/>
  <c r="U65" i="10"/>
  <c r="S65" i="10"/>
  <c r="R65" i="10"/>
  <c r="P65" i="10"/>
  <c r="O65" i="10"/>
  <c r="N65" i="10"/>
  <c r="K65" i="10"/>
  <c r="H65" i="10"/>
  <c r="BV64" i="10"/>
  <c r="BS64" i="10"/>
  <c r="BP64" i="10"/>
  <c r="BI64" i="10"/>
  <c r="BH64" i="10"/>
  <c r="BF64" i="10"/>
  <c r="BE64" i="10"/>
  <c r="BC64" i="10"/>
  <c r="BB64" i="10"/>
  <c r="BA64" i="10"/>
  <c r="AX64" i="10"/>
  <c r="AU64" i="10"/>
  <c r="AP64" i="10"/>
  <c r="AL64" i="10"/>
  <c r="AH64" i="10"/>
  <c r="AG64" i="10"/>
  <c r="AE64" i="10"/>
  <c r="AD64" i="10"/>
  <c r="AC64" i="10"/>
  <c r="V64" i="10"/>
  <c r="U64" i="10"/>
  <c r="S64" i="10"/>
  <c r="R64" i="10"/>
  <c r="P64" i="10"/>
  <c r="O64" i="10"/>
  <c r="N64" i="10"/>
  <c r="K64" i="10"/>
  <c r="H64" i="10"/>
  <c r="BV63" i="10"/>
  <c r="BS63" i="10"/>
  <c r="BP63" i="10"/>
  <c r="BI63" i="10"/>
  <c r="BH63" i="10"/>
  <c r="BF63" i="10"/>
  <c r="BE63" i="10"/>
  <c r="BC63" i="10"/>
  <c r="BB63" i="10"/>
  <c r="BA63" i="10"/>
  <c r="AX63" i="10"/>
  <c r="AU63" i="10"/>
  <c r="AP63" i="10"/>
  <c r="AL63" i="10"/>
  <c r="AH63" i="10"/>
  <c r="AG63" i="10"/>
  <c r="AE63" i="10"/>
  <c r="AD63" i="10"/>
  <c r="AC63" i="10"/>
  <c r="V63" i="10"/>
  <c r="U63" i="10"/>
  <c r="S63" i="10"/>
  <c r="R63" i="10"/>
  <c r="P63" i="10"/>
  <c r="O63" i="10"/>
  <c r="N63" i="10"/>
  <c r="K63" i="10"/>
  <c r="H63" i="10"/>
  <c r="BV62" i="10"/>
  <c r="BS62" i="10"/>
  <c r="BP62" i="10"/>
  <c r="BI62" i="10"/>
  <c r="BH62" i="10"/>
  <c r="BF62" i="10"/>
  <c r="BE62" i="10"/>
  <c r="BC62" i="10"/>
  <c r="BB62" i="10"/>
  <c r="BA62" i="10"/>
  <c r="AX62" i="10"/>
  <c r="AU62" i="10"/>
  <c r="AP62" i="10"/>
  <c r="AL62" i="10"/>
  <c r="AH62" i="10"/>
  <c r="AG62" i="10"/>
  <c r="AE62" i="10"/>
  <c r="AD62" i="10"/>
  <c r="AC62" i="10"/>
  <c r="V62" i="10"/>
  <c r="U62" i="10"/>
  <c r="S62" i="10"/>
  <c r="R62" i="10"/>
  <c r="P62" i="10"/>
  <c r="O62" i="10"/>
  <c r="N62" i="10"/>
  <c r="K62" i="10"/>
  <c r="H62" i="10"/>
  <c r="BV61" i="10"/>
  <c r="BS61" i="10"/>
  <c r="BP61" i="10"/>
  <c r="BI61" i="10"/>
  <c r="BH61" i="10"/>
  <c r="BF61" i="10"/>
  <c r="BE61" i="10"/>
  <c r="BC61" i="10"/>
  <c r="BB61" i="10"/>
  <c r="BA61" i="10"/>
  <c r="AX61" i="10"/>
  <c r="AU61" i="10"/>
  <c r="AP61" i="10"/>
  <c r="AL61" i="10"/>
  <c r="AH61" i="10"/>
  <c r="AG61" i="10"/>
  <c r="AE61" i="10"/>
  <c r="AD61" i="10"/>
  <c r="AC61" i="10"/>
  <c r="V61" i="10"/>
  <c r="U61" i="10"/>
  <c r="S61" i="10"/>
  <c r="R61" i="10"/>
  <c r="P61" i="10"/>
  <c r="O61" i="10"/>
  <c r="N61" i="10"/>
  <c r="K61" i="10"/>
  <c r="H61" i="10"/>
  <c r="BV60" i="10"/>
  <c r="BS60" i="10"/>
  <c r="BP60" i="10"/>
  <c r="BI60" i="10"/>
  <c r="BH60" i="10"/>
  <c r="BF60" i="10"/>
  <c r="BE60" i="10"/>
  <c r="BC60" i="10"/>
  <c r="BB60" i="10"/>
  <c r="BA60" i="10"/>
  <c r="AX60" i="10"/>
  <c r="AU60" i="10"/>
  <c r="AP60" i="10"/>
  <c r="AL60" i="10"/>
  <c r="AH60" i="10"/>
  <c r="AG60" i="10"/>
  <c r="AE60" i="10"/>
  <c r="AD60" i="10"/>
  <c r="AC60" i="10"/>
  <c r="V60" i="10"/>
  <c r="U60" i="10"/>
  <c r="S60" i="10"/>
  <c r="R60" i="10"/>
  <c r="P60" i="10"/>
  <c r="O60" i="10"/>
  <c r="N60" i="10"/>
  <c r="K60" i="10"/>
  <c r="H60" i="10"/>
  <c r="BV59" i="10"/>
  <c r="BS59" i="10"/>
  <c r="BP59" i="10"/>
  <c r="BI59" i="10"/>
  <c r="BH59" i="10"/>
  <c r="BF59" i="10"/>
  <c r="BE59" i="10"/>
  <c r="BC59" i="10"/>
  <c r="BB59" i="10"/>
  <c r="BA59" i="10"/>
  <c r="AX59" i="10"/>
  <c r="AU59" i="10"/>
  <c r="AP59" i="10"/>
  <c r="AL59" i="10"/>
  <c r="AH59" i="10"/>
  <c r="AG59" i="10"/>
  <c r="AE59" i="10"/>
  <c r="AD59" i="10"/>
  <c r="AC59" i="10"/>
  <c r="V59" i="10"/>
  <c r="U59" i="10"/>
  <c r="S59" i="10"/>
  <c r="R59" i="10"/>
  <c r="P59" i="10"/>
  <c r="O59" i="10"/>
  <c r="N59" i="10"/>
  <c r="K59" i="10"/>
  <c r="H59" i="10"/>
  <c r="BV58" i="10"/>
  <c r="BS58" i="10"/>
  <c r="BP58" i="10"/>
  <c r="BI58" i="10"/>
  <c r="BH58" i="10"/>
  <c r="BF58" i="10"/>
  <c r="BE58" i="10"/>
  <c r="BC58" i="10"/>
  <c r="BB58" i="10"/>
  <c r="BA58" i="10"/>
  <c r="AX58" i="10"/>
  <c r="AU58" i="10"/>
  <c r="AP58" i="10"/>
  <c r="AL58" i="10"/>
  <c r="AH58" i="10"/>
  <c r="AG58" i="10"/>
  <c r="AE58" i="10"/>
  <c r="AD58" i="10"/>
  <c r="AC58" i="10"/>
  <c r="V58" i="10"/>
  <c r="U58" i="10"/>
  <c r="S58" i="10"/>
  <c r="R58" i="10"/>
  <c r="P58" i="10"/>
  <c r="O58" i="10"/>
  <c r="N58" i="10"/>
  <c r="K58" i="10"/>
  <c r="H58" i="10"/>
  <c r="BV57" i="10"/>
  <c r="BS57" i="10"/>
  <c r="BP57" i="10"/>
  <c r="BI57" i="10"/>
  <c r="BH57" i="10"/>
  <c r="BF57" i="10"/>
  <c r="BE57" i="10"/>
  <c r="BC57" i="10"/>
  <c r="BB57" i="10"/>
  <c r="BA57" i="10"/>
  <c r="AX57" i="10"/>
  <c r="AU57" i="10"/>
  <c r="AP57" i="10"/>
  <c r="AL57" i="10"/>
  <c r="AH57" i="10"/>
  <c r="AG57" i="10"/>
  <c r="AE57" i="10"/>
  <c r="AD57" i="10"/>
  <c r="AC57" i="10"/>
  <c r="V57" i="10"/>
  <c r="U57" i="10"/>
  <c r="S57" i="10"/>
  <c r="R57" i="10"/>
  <c r="P57" i="10"/>
  <c r="O57" i="10"/>
  <c r="N57" i="10"/>
  <c r="K57" i="10"/>
  <c r="H57" i="10"/>
  <c r="BV56" i="10"/>
  <c r="BS56" i="10"/>
  <c r="BP56" i="10"/>
  <c r="BI56" i="10"/>
  <c r="BH56" i="10"/>
  <c r="BF56" i="10"/>
  <c r="BE56" i="10"/>
  <c r="BC56" i="10"/>
  <c r="BB56" i="10"/>
  <c r="BA56" i="10"/>
  <c r="AX56" i="10"/>
  <c r="AU56" i="10"/>
  <c r="AP56" i="10"/>
  <c r="AL56" i="10"/>
  <c r="AH56" i="10"/>
  <c r="AG56" i="10"/>
  <c r="AE56" i="10"/>
  <c r="AD56" i="10"/>
  <c r="AC56" i="10"/>
  <c r="V56" i="10"/>
  <c r="U56" i="10"/>
  <c r="S56" i="10"/>
  <c r="R56" i="10"/>
  <c r="P56" i="10"/>
  <c r="O56" i="10"/>
  <c r="N56" i="10"/>
  <c r="K56" i="10"/>
  <c r="H56" i="10"/>
  <c r="BV55" i="10"/>
  <c r="BS55" i="10"/>
  <c r="BP55" i="10"/>
  <c r="BI55" i="10"/>
  <c r="BH55" i="10"/>
  <c r="BF55" i="10"/>
  <c r="BE55" i="10"/>
  <c r="BC55" i="10"/>
  <c r="BB55" i="10"/>
  <c r="BA55" i="10"/>
  <c r="AX55" i="10"/>
  <c r="AU55" i="10"/>
  <c r="AP55" i="10"/>
  <c r="AL55" i="10"/>
  <c r="AH55" i="10"/>
  <c r="AG55" i="10"/>
  <c r="AE55" i="10"/>
  <c r="AD55" i="10"/>
  <c r="AC55" i="10"/>
  <c r="V55" i="10"/>
  <c r="U55" i="10"/>
  <c r="S55" i="10"/>
  <c r="R55" i="10"/>
  <c r="P55" i="10"/>
  <c r="O55" i="10"/>
  <c r="N55" i="10"/>
  <c r="K55" i="10"/>
  <c r="H55" i="10"/>
  <c r="BV54" i="10"/>
  <c r="BS54" i="10"/>
  <c r="BP54" i="10"/>
  <c r="BI54" i="10"/>
  <c r="BH54" i="10"/>
  <c r="BF54" i="10"/>
  <c r="BE54" i="10"/>
  <c r="BC54" i="10"/>
  <c r="BB54" i="10"/>
  <c r="BA54" i="10"/>
  <c r="AX54" i="10"/>
  <c r="AU54" i="10"/>
  <c r="AP54" i="10"/>
  <c r="AL54" i="10"/>
  <c r="AH54" i="10"/>
  <c r="AG54" i="10"/>
  <c r="AE54" i="10"/>
  <c r="AD54" i="10"/>
  <c r="AC54" i="10"/>
  <c r="V54" i="10"/>
  <c r="U54" i="10"/>
  <c r="S54" i="10"/>
  <c r="R54" i="10"/>
  <c r="P54" i="10"/>
  <c r="O54" i="10"/>
  <c r="N54" i="10"/>
  <c r="K54" i="10"/>
  <c r="H54" i="10"/>
  <c r="BV53" i="10"/>
  <c r="BS53" i="10"/>
  <c r="BP53" i="10"/>
  <c r="BI53" i="10"/>
  <c r="BH53" i="10"/>
  <c r="BF53" i="10"/>
  <c r="BE53" i="10"/>
  <c r="BC53" i="10"/>
  <c r="BB53" i="10"/>
  <c r="BA53" i="10"/>
  <c r="AX53" i="10"/>
  <c r="AU53" i="10"/>
  <c r="AP53" i="10"/>
  <c r="AL53" i="10"/>
  <c r="AH53" i="10"/>
  <c r="AG53" i="10"/>
  <c r="AE53" i="10"/>
  <c r="AD53" i="10"/>
  <c r="AC53" i="10"/>
  <c r="V53" i="10"/>
  <c r="U53" i="10"/>
  <c r="S53" i="10"/>
  <c r="R53" i="10"/>
  <c r="P53" i="10"/>
  <c r="O53" i="10"/>
  <c r="N53" i="10"/>
  <c r="K53" i="10"/>
  <c r="H53" i="10"/>
  <c r="BV52" i="10"/>
  <c r="BS52" i="10"/>
  <c r="BP52" i="10"/>
  <c r="BI52" i="10"/>
  <c r="BH52" i="10"/>
  <c r="BF52" i="10"/>
  <c r="BE52" i="10"/>
  <c r="BC52" i="10"/>
  <c r="BB52" i="10"/>
  <c r="BA52" i="10"/>
  <c r="AX52" i="10"/>
  <c r="AU52" i="10"/>
  <c r="AP52" i="10"/>
  <c r="AL52" i="10"/>
  <c r="AH52" i="10"/>
  <c r="AG52" i="10"/>
  <c r="AE52" i="10"/>
  <c r="AD52" i="10"/>
  <c r="AC52" i="10"/>
  <c r="V52" i="10"/>
  <c r="U52" i="10"/>
  <c r="S52" i="10"/>
  <c r="R52" i="10"/>
  <c r="P52" i="10"/>
  <c r="O52" i="10"/>
  <c r="N52" i="10"/>
  <c r="K52" i="10"/>
  <c r="H52" i="10"/>
  <c r="BV51" i="10"/>
  <c r="BS51" i="10"/>
  <c r="BP51" i="10"/>
  <c r="BI51" i="10"/>
  <c r="BH51" i="10"/>
  <c r="BF51" i="10"/>
  <c r="BE51" i="10"/>
  <c r="BC51" i="10"/>
  <c r="BB51" i="10"/>
  <c r="BA51" i="10"/>
  <c r="AX51" i="10"/>
  <c r="AU51" i="10"/>
  <c r="AP51" i="10"/>
  <c r="AL51" i="10"/>
  <c r="AH51" i="10"/>
  <c r="AG51" i="10"/>
  <c r="AE51" i="10"/>
  <c r="AD51" i="10"/>
  <c r="AC51" i="10"/>
  <c r="V51" i="10"/>
  <c r="U51" i="10"/>
  <c r="S51" i="10"/>
  <c r="R51" i="10"/>
  <c r="P51" i="10"/>
  <c r="O51" i="10"/>
  <c r="N51" i="10"/>
  <c r="K51" i="10"/>
  <c r="H51" i="10"/>
  <c r="BV50" i="10"/>
  <c r="BS50" i="10"/>
  <c r="BP50" i="10"/>
  <c r="BI50" i="10"/>
  <c r="BH50" i="10"/>
  <c r="BF50" i="10"/>
  <c r="BE50" i="10"/>
  <c r="BC50" i="10"/>
  <c r="BB50" i="10"/>
  <c r="BA50" i="10"/>
  <c r="AX50" i="10"/>
  <c r="AU50" i="10"/>
  <c r="AP50" i="10"/>
  <c r="AL50" i="10"/>
  <c r="AH50" i="10"/>
  <c r="AG50" i="10"/>
  <c r="AE50" i="10"/>
  <c r="AD50" i="10"/>
  <c r="AC50" i="10"/>
  <c r="V50" i="10"/>
  <c r="U50" i="10"/>
  <c r="S50" i="10"/>
  <c r="R50" i="10"/>
  <c r="P50" i="10"/>
  <c r="O50" i="10"/>
  <c r="N50" i="10"/>
  <c r="K50" i="10"/>
  <c r="H50" i="10"/>
  <c r="BV49" i="10"/>
  <c r="BS49" i="10"/>
  <c r="BP49" i="10"/>
  <c r="BI49" i="10"/>
  <c r="BH49" i="10"/>
  <c r="BF49" i="10"/>
  <c r="BE49" i="10"/>
  <c r="BC49" i="10"/>
  <c r="BB49" i="10"/>
  <c r="BA49" i="10"/>
  <c r="AX49" i="10"/>
  <c r="AU49" i="10"/>
  <c r="AP49" i="10"/>
  <c r="AL49" i="10"/>
  <c r="AH49" i="10"/>
  <c r="AG49" i="10"/>
  <c r="AE49" i="10"/>
  <c r="AD49" i="10"/>
  <c r="AC49" i="10"/>
  <c r="V49" i="10"/>
  <c r="U49" i="10"/>
  <c r="S49" i="10"/>
  <c r="R49" i="10"/>
  <c r="P49" i="10"/>
  <c r="O49" i="10"/>
  <c r="N49" i="10"/>
  <c r="K49" i="10"/>
  <c r="H49" i="10"/>
  <c r="BV48" i="10"/>
  <c r="BS48" i="10"/>
  <c r="BP48" i="10"/>
  <c r="BI48" i="10"/>
  <c r="BH48" i="10"/>
  <c r="BF48" i="10"/>
  <c r="BE48" i="10"/>
  <c r="BC48" i="10"/>
  <c r="BB48" i="10"/>
  <c r="BA48" i="10"/>
  <c r="AX48" i="10"/>
  <c r="AU48" i="10"/>
  <c r="AP48" i="10"/>
  <c r="AL48" i="10"/>
  <c r="AH48" i="10"/>
  <c r="AG48" i="10"/>
  <c r="AE48" i="10"/>
  <c r="AD48" i="10"/>
  <c r="AC48" i="10"/>
  <c r="V48" i="10"/>
  <c r="U48" i="10"/>
  <c r="S48" i="10"/>
  <c r="R48" i="10"/>
  <c r="P48" i="10"/>
  <c r="O48" i="10"/>
  <c r="N48" i="10"/>
  <c r="K48" i="10"/>
  <c r="H48" i="10"/>
  <c r="BV47" i="10"/>
  <c r="BS47" i="10"/>
  <c r="BP47" i="10"/>
  <c r="BI47" i="10"/>
  <c r="BH47" i="10"/>
  <c r="BF47" i="10"/>
  <c r="BE47" i="10"/>
  <c r="BC47" i="10"/>
  <c r="BB47" i="10"/>
  <c r="BA47" i="10"/>
  <c r="AX47" i="10"/>
  <c r="AU47" i="10"/>
  <c r="AP47" i="10"/>
  <c r="AL47" i="10"/>
  <c r="AH47" i="10"/>
  <c r="AG47" i="10"/>
  <c r="AE47" i="10"/>
  <c r="AD47" i="10"/>
  <c r="AC47" i="10"/>
  <c r="V47" i="10"/>
  <c r="U47" i="10"/>
  <c r="S47" i="10"/>
  <c r="R47" i="10"/>
  <c r="P47" i="10"/>
  <c r="O47" i="10"/>
  <c r="N47" i="10"/>
  <c r="K47" i="10"/>
  <c r="H47" i="10"/>
  <c r="BV46" i="10"/>
  <c r="BS46" i="10"/>
  <c r="BP46" i="10"/>
  <c r="BI46" i="10"/>
  <c r="BH46" i="10"/>
  <c r="BF46" i="10"/>
  <c r="BE46" i="10"/>
  <c r="BC46" i="10"/>
  <c r="BB46" i="10"/>
  <c r="BA46" i="10"/>
  <c r="AX46" i="10"/>
  <c r="AU46" i="10"/>
  <c r="AP46" i="10"/>
  <c r="AL46" i="10"/>
  <c r="AH46" i="10"/>
  <c r="AG46" i="10"/>
  <c r="AE46" i="10"/>
  <c r="AD46" i="10"/>
  <c r="AC46" i="10"/>
  <c r="V46" i="10"/>
  <c r="U46" i="10"/>
  <c r="S46" i="10"/>
  <c r="R46" i="10"/>
  <c r="P46" i="10"/>
  <c r="O46" i="10"/>
  <c r="N46" i="10"/>
  <c r="K46" i="10"/>
  <c r="H46" i="10"/>
  <c r="BV45" i="10"/>
  <c r="BS45" i="10"/>
  <c r="BP45" i="10"/>
  <c r="BI45" i="10"/>
  <c r="BH45" i="10"/>
  <c r="BF45" i="10"/>
  <c r="BE45" i="10"/>
  <c r="BC45" i="10"/>
  <c r="BB45" i="10"/>
  <c r="BA45" i="10"/>
  <c r="AX45" i="10"/>
  <c r="AU45" i="10"/>
  <c r="AP45" i="10"/>
  <c r="AL45" i="10"/>
  <c r="AH45" i="10"/>
  <c r="AG45" i="10"/>
  <c r="AE45" i="10"/>
  <c r="AD45" i="10"/>
  <c r="AC45" i="10"/>
  <c r="V45" i="10"/>
  <c r="U45" i="10"/>
  <c r="S45" i="10"/>
  <c r="R45" i="10"/>
  <c r="P45" i="10"/>
  <c r="O45" i="10"/>
  <c r="N45" i="10"/>
  <c r="K45" i="10"/>
  <c r="H45" i="10"/>
  <c r="BV44" i="10"/>
  <c r="BS44" i="10"/>
  <c r="BP44" i="10"/>
  <c r="BI44" i="10"/>
  <c r="BH44" i="10"/>
  <c r="BF44" i="10"/>
  <c r="BE44" i="10"/>
  <c r="BC44" i="10"/>
  <c r="BB44" i="10"/>
  <c r="BA44" i="10"/>
  <c r="AX44" i="10"/>
  <c r="AU44" i="10"/>
  <c r="AP44" i="10"/>
  <c r="AL44" i="10"/>
  <c r="AH44" i="10"/>
  <c r="AG44" i="10"/>
  <c r="AE44" i="10"/>
  <c r="AD44" i="10"/>
  <c r="AC44" i="10"/>
  <c r="V44" i="10"/>
  <c r="U44" i="10"/>
  <c r="S44" i="10"/>
  <c r="R44" i="10"/>
  <c r="P44" i="10"/>
  <c r="O44" i="10"/>
  <c r="N44" i="10"/>
  <c r="K44" i="10"/>
  <c r="H44" i="10"/>
  <c r="BV43" i="10"/>
  <c r="BS43" i="10"/>
  <c r="BP43" i="10"/>
  <c r="BI43" i="10"/>
  <c r="BH43" i="10"/>
  <c r="BF43" i="10"/>
  <c r="BE43" i="10"/>
  <c r="BC43" i="10"/>
  <c r="BB43" i="10"/>
  <c r="BA43" i="10"/>
  <c r="AX43" i="10"/>
  <c r="AU43" i="10"/>
  <c r="AP43" i="10"/>
  <c r="AL43" i="10"/>
  <c r="AH43" i="10"/>
  <c r="AG43" i="10"/>
  <c r="AE43" i="10"/>
  <c r="AD43" i="10"/>
  <c r="AC43" i="10"/>
  <c r="V43" i="10"/>
  <c r="U43" i="10"/>
  <c r="S43" i="10"/>
  <c r="R43" i="10"/>
  <c r="P43" i="10"/>
  <c r="O43" i="10"/>
  <c r="N43" i="10"/>
  <c r="K43" i="10"/>
  <c r="H43" i="10"/>
  <c r="BV42" i="10"/>
  <c r="BS42" i="10"/>
  <c r="BP42" i="10"/>
  <c r="BI42" i="10"/>
  <c r="BH42" i="10"/>
  <c r="BF42" i="10"/>
  <c r="BE42" i="10"/>
  <c r="BC42" i="10"/>
  <c r="BB42" i="10"/>
  <c r="BA42" i="10"/>
  <c r="AX42" i="10"/>
  <c r="AU42" i="10"/>
  <c r="AP42" i="10"/>
  <c r="AL42" i="10"/>
  <c r="AH42" i="10"/>
  <c r="AG42" i="10"/>
  <c r="AE42" i="10"/>
  <c r="AD42" i="10"/>
  <c r="AC42" i="10"/>
  <c r="V42" i="10"/>
  <c r="U42" i="10"/>
  <c r="S42" i="10"/>
  <c r="R42" i="10"/>
  <c r="P42" i="10"/>
  <c r="O42" i="10"/>
  <c r="N42" i="10"/>
  <c r="K42" i="10"/>
  <c r="H42" i="10"/>
  <c r="BV41" i="10"/>
  <c r="BS41" i="10"/>
  <c r="BP41" i="10"/>
  <c r="BI41" i="10"/>
  <c r="BH41" i="10"/>
  <c r="BF41" i="10"/>
  <c r="BE41" i="10"/>
  <c r="BC41" i="10"/>
  <c r="BB41" i="10"/>
  <c r="BA41" i="10"/>
  <c r="AX41" i="10"/>
  <c r="AU41" i="10"/>
  <c r="AP41" i="10"/>
  <c r="AL41" i="10"/>
  <c r="AH41" i="10"/>
  <c r="AG41" i="10"/>
  <c r="AE41" i="10"/>
  <c r="AD41" i="10"/>
  <c r="AC41" i="10"/>
  <c r="V41" i="10"/>
  <c r="U41" i="10"/>
  <c r="S41" i="10"/>
  <c r="R41" i="10"/>
  <c r="P41" i="10"/>
  <c r="O41" i="10"/>
  <c r="N41" i="10"/>
  <c r="K41" i="10"/>
  <c r="H41" i="10"/>
  <c r="BV40" i="10"/>
  <c r="BS40" i="10"/>
  <c r="BP40" i="10"/>
  <c r="BI40" i="10"/>
  <c r="BH40" i="10"/>
  <c r="BF40" i="10"/>
  <c r="BE40" i="10"/>
  <c r="BC40" i="10"/>
  <c r="BB40" i="10"/>
  <c r="BA40" i="10"/>
  <c r="AX40" i="10"/>
  <c r="AU40" i="10"/>
  <c r="AP40" i="10"/>
  <c r="AL40" i="10"/>
  <c r="AH40" i="10"/>
  <c r="AG40" i="10"/>
  <c r="AE40" i="10"/>
  <c r="AD40" i="10"/>
  <c r="AC40" i="10"/>
  <c r="V40" i="10"/>
  <c r="U40" i="10"/>
  <c r="S40" i="10"/>
  <c r="R40" i="10"/>
  <c r="P40" i="10"/>
  <c r="O40" i="10"/>
  <c r="N40" i="10"/>
  <c r="K40" i="10"/>
  <c r="H40" i="10"/>
  <c r="BV39" i="10"/>
  <c r="BS39" i="10"/>
  <c r="BP39" i="10"/>
  <c r="BI39" i="10"/>
  <c r="BH39" i="10"/>
  <c r="BF39" i="10"/>
  <c r="BE39" i="10"/>
  <c r="BC39" i="10"/>
  <c r="BB39" i="10"/>
  <c r="BA39" i="10"/>
  <c r="AX39" i="10"/>
  <c r="AU39" i="10"/>
  <c r="AP39" i="10"/>
  <c r="AL39" i="10"/>
  <c r="AH39" i="10"/>
  <c r="AG39" i="10"/>
  <c r="AE39" i="10"/>
  <c r="AD39" i="10"/>
  <c r="AC39" i="10"/>
  <c r="V39" i="10"/>
  <c r="U39" i="10"/>
  <c r="S39" i="10"/>
  <c r="R39" i="10"/>
  <c r="P39" i="10"/>
  <c r="O39" i="10"/>
  <c r="N39" i="10"/>
  <c r="K39" i="10"/>
  <c r="H39" i="10"/>
  <c r="BV38" i="10"/>
  <c r="BS38" i="10"/>
  <c r="BP38" i="10"/>
  <c r="BI38" i="10"/>
  <c r="BH38" i="10"/>
  <c r="BF38" i="10"/>
  <c r="BE38" i="10"/>
  <c r="BC38" i="10"/>
  <c r="BB38" i="10"/>
  <c r="BA38" i="10"/>
  <c r="AX38" i="10"/>
  <c r="AU38" i="10"/>
  <c r="AP38" i="10"/>
  <c r="AL38" i="10"/>
  <c r="AH38" i="10"/>
  <c r="AG38" i="10"/>
  <c r="AE38" i="10"/>
  <c r="AD38" i="10"/>
  <c r="AC38" i="10"/>
  <c r="V38" i="10"/>
  <c r="U38" i="10"/>
  <c r="S38" i="10"/>
  <c r="R38" i="10"/>
  <c r="P38" i="10"/>
  <c r="O38" i="10"/>
  <c r="N38" i="10"/>
  <c r="K38" i="10"/>
  <c r="H38" i="10"/>
  <c r="BV37" i="10"/>
  <c r="BS37" i="10"/>
  <c r="BP37" i="10"/>
  <c r="BI37" i="10"/>
  <c r="BH37" i="10"/>
  <c r="BF37" i="10"/>
  <c r="BE37" i="10"/>
  <c r="BC37" i="10"/>
  <c r="BB37" i="10"/>
  <c r="BA37" i="10"/>
  <c r="AX37" i="10"/>
  <c r="AU37" i="10"/>
  <c r="AP37" i="10"/>
  <c r="AL37" i="10"/>
  <c r="AH37" i="10"/>
  <c r="AG37" i="10"/>
  <c r="AE37" i="10"/>
  <c r="AD37" i="10"/>
  <c r="AC37" i="10"/>
  <c r="V37" i="10"/>
  <c r="U37" i="10"/>
  <c r="S37" i="10"/>
  <c r="R37" i="10"/>
  <c r="P37" i="10"/>
  <c r="O37" i="10"/>
  <c r="N37" i="10"/>
  <c r="K37" i="10"/>
  <c r="H37" i="10"/>
  <c r="BV36" i="10"/>
  <c r="BS36" i="10"/>
  <c r="BP36" i="10"/>
  <c r="BI36" i="10"/>
  <c r="BH36" i="10"/>
  <c r="BF36" i="10"/>
  <c r="BE36" i="10"/>
  <c r="BC36" i="10"/>
  <c r="BB36" i="10"/>
  <c r="BA36" i="10"/>
  <c r="AX36" i="10"/>
  <c r="AU36" i="10"/>
  <c r="AP36" i="10"/>
  <c r="AL36" i="10"/>
  <c r="AH36" i="10"/>
  <c r="AG36" i="10"/>
  <c r="AE36" i="10"/>
  <c r="AD36" i="10"/>
  <c r="AC36" i="10"/>
  <c r="V36" i="10"/>
  <c r="U36" i="10"/>
  <c r="S36" i="10"/>
  <c r="R36" i="10"/>
  <c r="P36" i="10"/>
  <c r="O36" i="10"/>
  <c r="N36" i="10"/>
  <c r="K36" i="10"/>
  <c r="H36" i="10"/>
  <c r="BV35" i="10"/>
  <c r="BS35" i="10"/>
  <c r="BP35" i="10"/>
  <c r="BI35" i="10"/>
  <c r="BH35" i="10"/>
  <c r="BF35" i="10"/>
  <c r="BE35" i="10"/>
  <c r="BC35" i="10"/>
  <c r="BB35" i="10"/>
  <c r="BA35" i="10"/>
  <c r="AX35" i="10"/>
  <c r="AU35" i="10"/>
  <c r="AP35" i="10"/>
  <c r="AL35" i="10"/>
  <c r="AH35" i="10"/>
  <c r="AG35" i="10"/>
  <c r="AE35" i="10"/>
  <c r="AD35" i="10"/>
  <c r="AC35" i="10"/>
  <c r="V35" i="10"/>
  <c r="U35" i="10"/>
  <c r="S35" i="10"/>
  <c r="R35" i="10"/>
  <c r="P35" i="10"/>
  <c r="O35" i="10"/>
  <c r="N35" i="10"/>
  <c r="K35" i="10"/>
  <c r="H35" i="10"/>
  <c r="BV34" i="10"/>
  <c r="BS34" i="10"/>
  <c r="BP34" i="10"/>
  <c r="BI34" i="10"/>
  <c r="BH34" i="10"/>
  <c r="BF34" i="10"/>
  <c r="BE34" i="10"/>
  <c r="BC34" i="10"/>
  <c r="BB34" i="10"/>
  <c r="BA34" i="10"/>
  <c r="AX34" i="10"/>
  <c r="AU34" i="10"/>
  <c r="AP34" i="10"/>
  <c r="AL34" i="10"/>
  <c r="AH34" i="10"/>
  <c r="AG34" i="10"/>
  <c r="AE34" i="10"/>
  <c r="AD34" i="10"/>
  <c r="AC34" i="10"/>
  <c r="V34" i="10"/>
  <c r="U34" i="10"/>
  <c r="S34" i="10"/>
  <c r="R34" i="10"/>
  <c r="P34" i="10"/>
  <c r="O34" i="10"/>
  <c r="N34" i="10"/>
  <c r="K34" i="10"/>
  <c r="H34" i="10"/>
  <c r="BV33" i="10"/>
  <c r="BS33" i="10"/>
  <c r="BP33" i="10"/>
  <c r="BI33" i="10"/>
  <c r="BH33" i="10"/>
  <c r="BF33" i="10"/>
  <c r="BE33" i="10"/>
  <c r="BC33" i="10"/>
  <c r="BB33" i="10"/>
  <c r="BA33" i="10"/>
  <c r="AX33" i="10"/>
  <c r="AU33" i="10"/>
  <c r="AP33" i="10"/>
  <c r="AL33" i="10"/>
  <c r="AH33" i="10"/>
  <c r="AG33" i="10"/>
  <c r="AE33" i="10"/>
  <c r="AD33" i="10"/>
  <c r="AC33" i="10"/>
  <c r="V33" i="10"/>
  <c r="U33" i="10"/>
  <c r="S33" i="10"/>
  <c r="R33" i="10"/>
  <c r="P33" i="10"/>
  <c r="O33" i="10"/>
  <c r="N33" i="10"/>
  <c r="K33" i="10"/>
  <c r="H33" i="10"/>
  <c r="BV32" i="10"/>
  <c r="BS32" i="10"/>
  <c r="BP32" i="10"/>
  <c r="BI32" i="10"/>
  <c r="BH32" i="10"/>
  <c r="BF32" i="10"/>
  <c r="BE32" i="10"/>
  <c r="BC32" i="10"/>
  <c r="BB32" i="10"/>
  <c r="BA32" i="10"/>
  <c r="AX32" i="10"/>
  <c r="AU32" i="10"/>
  <c r="AP32" i="10"/>
  <c r="AL32" i="10"/>
  <c r="AH32" i="10"/>
  <c r="AG32" i="10"/>
  <c r="AE32" i="10"/>
  <c r="AD32" i="10"/>
  <c r="AC32" i="10"/>
  <c r="V32" i="10"/>
  <c r="U32" i="10"/>
  <c r="S32" i="10"/>
  <c r="R32" i="10"/>
  <c r="P32" i="10"/>
  <c r="O32" i="10"/>
  <c r="N32" i="10"/>
  <c r="K32" i="10"/>
  <c r="H32" i="10"/>
  <c r="BV31" i="10"/>
  <c r="BS31" i="10"/>
  <c r="BP31" i="10"/>
  <c r="BI31" i="10"/>
  <c r="BH31" i="10"/>
  <c r="BF31" i="10"/>
  <c r="BE31" i="10"/>
  <c r="BC31" i="10"/>
  <c r="BB31" i="10"/>
  <c r="BA31" i="10"/>
  <c r="AX31" i="10"/>
  <c r="AU31" i="10"/>
  <c r="AP31" i="10"/>
  <c r="AL31" i="10"/>
  <c r="AH31" i="10"/>
  <c r="AG31" i="10"/>
  <c r="AE31" i="10"/>
  <c r="AD31" i="10"/>
  <c r="AC31" i="10"/>
  <c r="V31" i="10"/>
  <c r="U31" i="10"/>
  <c r="S31" i="10"/>
  <c r="R31" i="10"/>
  <c r="P31" i="10"/>
  <c r="O31" i="10"/>
  <c r="N31" i="10"/>
  <c r="K31" i="10"/>
  <c r="H31" i="10"/>
  <c r="BV30" i="10"/>
  <c r="BS30" i="10"/>
  <c r="BP30" i="10"/>
  <c r="BI30" i="10"/>
  <c r="BH30" i="10"/>
  <c r="BF30" i="10"/>
  <c r="BE30" i="10"/>
  <c r="BC30" i="10"/>
  <c r="BB30" i="10"/>
  <c r="BA30" i="10"/>
  <c r="AX30" i="10"/>
  <c r="AU30" i="10"/>
  <c r="AP30" i="10"/>
  <c r="AL30" i="10"/>
  <c r="AH30" i="10"/>
  <c r="AG30" i="10"/>
  <c r="AE30" i="10"/>
  <c r="AD30" i="10"/>
  <c r="AC30" i="10"/>
  <c r="V30" i="10"/>
  <c r="U30" i="10"/>
  <c r="S30" i="10"/>
  <c r="R30" i="10"/>
  <c r="P30" i="10"/>
  <c r="O30" i="10"/>
  <c r="N30" i="10"/>
  <c r="K30" i="10"/>
  <c r="H30" i="10"/>
  <c r="BV29" i="10"/>
  <c r="BS29" i="10"/>
  <c r="BP29" i="10"/>
  <c r="BI29" i="10"/>
  <c r="BH29" i="10"/>
  <c r="BF29" i="10"/>
  <c r="BE29" i="10"/>
  <c r="BC29" i="10"/>
  <c r="BB29" i="10"/>
  <c r="BA29" i="10"/>
  <c r="AX29" i="10"/>
  <c r="AU29" i="10"/>
  <c r="AP29" i="10"/>
  <c r="AL29" i="10"/>
  <c r="AH29" i="10"/>
  <c r="AG29" i="10"/>
  <c r="AE29" i="10"/>
  <c r="AD29" i="10"/>
  <c r="AC29" i="10"/>
  <c r="V29" i="10"/>
  <c r="U29" i="10"/>
  <c r="S29" i="10"/>
  <c r="R29" i="10"/>
  <c r="P29" i="10"/>
  <c r="O29" i="10"/>
  <c r="N29" i="10"/>
  <c r="K29" i="10"/>
  <c r="H29" i="10"/>
  <c r="BV28" i="10"/>
  <c r="BS28" i="10"/>
  <c r="BP28" i="10"/>
  <c r="BI28" i="10"/>
  <c r="BH28" i="10"/>
  <c r="BF28" i="10"/>
  <c r="BE28" i="10"/>
  <c r="BC28" i="10"/>
  <c r="BB28" i="10"/>
  <c r="BA28" i="10"/>
  <c r="AX28" i="10"/>
  <c r="AU28" i="10"/>
  <c r="AP28" i="10"/>
  <c r="AL28" i="10"/>
  <c r="AH28" i="10"/>
  <c r="AG28" i="10"/>
  <c r="AE28" i="10"/>
  <c r="AD28" i="10"/>
  <c r="AC28" i="10"/>
  <c r="V28" i="10"/>
  <c r="U28" i="10"/>
  <c r="S28" i="10"/>
  <c r="R28" i="10"/>
  <c r="P28" i="10"/>
  <c r="O28" i="10"/>
  <c r="N28" i="10"/>
  <c r="K28" i="10"/>
  <c r="H28" i="10"/>
  <c r="BV27" i="10"/>
  <c r="BS27" i="10"/>
  <c r="BP27" i="10"/>
  <c r="BI27" i="10"/>
  <c r="BH27" i="10"/>
  <c r="BF27" i="10"/>
  <c r="BE27" i="10"/>
  <c r="BC27" i="10"/>
  <c r="BB27" i="10"/>
  <c r="BA27" i="10"/>
  <c r="AX27" i="10"/>
  <c r="AU27" i="10"/>
  <c r="AP27" i="10"/>
  <c r="AL27" i="10"/>
  <c r="AH27" i="10"/>
  <c r="AG27" i="10"/>
  <c r="AE27" i="10"/>
  <c r="AD27" i="10"/>
  <c r="AC27" i="10"/>
  <c r="V27" i="10"/>
  <c r="U27" i="10"/>
  <c r="S27" i="10"/>
  <c r="R27" i="10"/>
  <c r="P27" i="10"/>
  <c r="O27" i="10"/>
  <c r="N27" i="10"/>
  <c r="K27" i="10"/>
  <c r="H27" i="10"/>
  <c r="BV26" i="10"/>
  <c r="BS26" i="10"/>
  <c r="BP26" i="10"/>
  <c r="BI26" i="10"/>
  <c r="BH26" i="10"/>
  <c r="BF26" i="10"/>
  <c r="BE26" i="10"/>
  <c r="BC26" i="10"/>
  <c r="BB26" i="10"/>
  <c r="BA26" i="10"/>
  <c r="AX26" i="10"/>
  <c r="AU26" i="10"/>
  <c r="AP26" i="10"/>
  <c r="AL26" i="10"/>
  <c r="AH26" i="10"/>
  <c r="AG26" i="10"/>
  <c r="AE26" i="10"/>
  <c r="AD26" i="10"/>
  <c r="AC26" i="10"/>
  <c r="V26" i="10"/>
  <c r="U26" i="10"/>
  <c r="S26" i="10"/>
  <c r="R26" i="10"/>
  <c r="P26" i="10"/>
  <c r="O26" i="10"/>
  <c r="N26" i="10"/>
  <c r="K26" i="10"/>
  <c r="H26" i="10"/>
  <c r="BV25" i="10"/>
  <c r="BS25" i="10"/>
  <c r="BP25" i="10"/>
  <c r="BI25" i="10"/>
  <c r="BH25" i="10"/>
  <c r="BF25" i="10"/>
  <c r="BE25" i="10"/>
  <c r="BC25" i="10"/>
  <c r="BB25" i="10"/>
  <c r="BA25" i="10"/>
  <c r="AX25" i="10"/>
  <c r="AU25" i="10"/>
  <c r="AP25" i="10"/>
  <c r="AL25" i="10"/>
  <c r="AH25" i="10"/>
  <c r="AG25" i="10"/>
  <c r="AE25" i="10"/>
  <c r="AD25" i="10"/>
  <c r="AC25" i="10"/>
  <c r="V25" i="10"/>
  <c r="U25" i="10"/>
  <c r="S25" i="10"/>
  <c r="R25" i="10"/>
  <c r="P25" i="10"/>
  <c r="O25" i="10"/>
  <c r="N25" i="10"/>
  <c r="K25" i="10"/>
  <c r="H25" i="10"/>
  <c r="BV24" i="10"/>
  <c r="BS24" i="10"/>
  <c r="BP24" i="10"/>
  <c r="BI24" i="10"/>
  <c r="BH24" i="10"/>
  <c r="BF24" i="10"/>
  <c r="BE24" i="10"/>
  <c r="BC24" i="10"/>
  <c r="BB24" i="10"/>
  <c r="BA24" i="10"/>
  <c r="AX24" i="10"/>
  <c r="AU24" i="10"/>
  <c r="AP24" i="10"/>
  <c r="AL24" i="10"/>
  <c r="AH24" i="10"/>
  <c r="AG24" i="10"/>
  <c r="AE24" i="10"/>
  <c r="AD24" i="10"/>
  <c r="AC24" i="10"/>
  <c r="V24" i="10"/>
  <c r="U24" i="10"/>
  <c r="S24" i="10"/>
  <c r="R24" i="10"/>
  <c r="P24" i="10"/>
  <c r="O24" i="10"/>
  <c r="N24" i="10"/>
  <c r="K24" i="10"/>
  <c r="H24" i="10"/>
  <c r="BV23" i="10"/>
  <c r="BS23" i="10"/>
  <c r="BP23" i="10"/>
  <c r="BI23" i="10"/>
  <c r="BH23" i="10"/>
  <c r="BF23" i="10"/>
  <c r="BE23" i="10"/>
  <c r="BC23" i="10"/>
  <c r="BB23" i="10"/>
  <c r="BA23" i="10"/>
  <c r="AX23" i="10"/>
  <c r="AU23" i="10"/>
  <c r="AP23" i="10"/>
  <c r="AL23" i="10"/>
  <c r="AH23" i="10"/>
  <c r="AG23" i="10"/>
  <c r="AE23" i="10"/>
  <c r="AD23" i="10"/>
  <c r="AC23" i="10"/>
  <c r="V23" i="10"/>
  <c r="U23" i="10"/>
  <c r="S23" i="10"/>
  <c r="R23" i="10"/>
  <c r="P23" i="10"/>
  <c r="O23" i="10"/>
  <c r="N23" i="10"/>
  <c r="K23" i="10"/>
  <c r="H23" i="10"/>
  <c r="BV22" i="10"/>
  <c r="BS22" i="10"/>
  <c r="BP22" i="10"/>
  <c r="BI22" i="10"/>
  <c r="BH22" i="10"/>
  <c r="BF22" i="10"/>
  <c r="BE22" i="10"/>
  <c r="BC22" i="10"/>
  <c r="BB22" i="10"/>
  <c r="BA22" i="10"/>
  <c r="AX22" i="10"/>
  <c r="AU22" i="10"/>
  <c r="AP22" i="10"/>
  <c r="AL22" i="10"/>
  <c r="AH22" i="10"/>
  <c r="AG22" i="10"/>
  <c r="AE22" i="10"/>
  <c r="AD22" i="10"/>
  <c r="AC22" i="10"/>
  <c r="V22" i="10"/>
  <c r="U22" i="10"/>
  <c r="S22" i="10"/>
  <c r="R22" i="10"/>
  <c r="P22" i="10"/>
  <c r="O22" i="10"/>
  <c r="N22" i="10"/>
  <c r="K22" i="10"/>
  <c r="H22" i="10"/>
  <c r="BV21" i="10"/>
  <c r="BS21" i="10"/>
  <c r="BP21" i="10"/>
  <c r="BI21" i="10"/>
  <c r="BH21" i="10"/>
  <c r="BF21" i="10"/>
  <c r="BE21" i="10"/>
  <c r="BC21" i="10"/>
  <c r="BB21" i="10"/>
  <c r="BA21" i="10"/>
  <c r="AX21" i="10"/>
  <c r="AU21" i="10"/>
  <c r="AP21" i="10"/>
  <c r="AL21" i="10"/>
  <c r="AH21" i="10"/>
  <c r="AE21" i="10"/>
  <c r="AD21" i="10"/>
  <c r="AC21" i="10"/>
  <c r="V21" i="10"/>
  <c r="U21" i="10"/>
  <c r="S21" i="10"/>
  <c r="R21" i="10"/>
  <c r="P21" i="10"/>
  <c r="O21" i="10"/>
  <c r="N21" i="10"/>
  <c r="K21" i="10"/>
  <c r="H21" i="10"/>
  <c r="BV20" i="10"/>
  <c r="BS20" i="10"/>
  <c r="BP20" i="10"/>
  <c r="BI20" i="10"/>
  <c r="BH20" i="10"/>
  <c r="BJ20" i="10" s="1"/>
  <c r="BF20" i="10"/>
  <c r="BE20" i="10"/>
  <c r="BC20" i="10"/>
  <c r="BB20" i="10"/>
  <c r="BA20" i="10"/>
  <c r="AX20" i="10"/>
  <c r="AU20" i="10"/>
  <c r="AP20" i="10"/>
  <c r="AL20" i="10"/>
  <c r="AH20" i="10"/>
  <c r="AG20" i="10"/>
  <c r="AE20" i="10"/>
  <c r="AD20" i="10"/>
  <c r="AC20" i="10"/>
  <c r="V20" i="10"/>
  <c r="U20" i="10"/>
  <c r="S20" i="10"/>
  <c r="R20" i="10"/>
  <c r="P20" i="10"/>
  <c r="O20" i="10"/>
  <c r="N20" i="10"/>
  <c r="K20" i="10"/>
  <c r="H20" i="10"/>
  <c r="BV19" i="10"/>
  <c r="BS19" i="10"/>
  <c r="BP19" i="10"/>
  <c r="BI19" i="10"/>
  <c r="BH19" i="10"/>
  <c r="BJ19" i="10" s="1"/>
  <c r="BF19" i="10"/>
  <c r="BE19" i="10"/>
  <c r="BC19" i="10"/>
  <c r="BB19" i="10"/>
  <c r="BA19" i="10"/>
  <c r="AX19" i="10"/>
  <c r="AU19" i="10"/>
  <c r="AP19" i="10"/>
  <c r="AL19" i="10"/>
  <c r="AH19" i="10"/>
  <c r="AG19" i="10"/>
  <c r="AE19" i="10"/>
  <c r="AD19" i="10"/>
  <c r="AC19" i="10"/>
  <c r="V19" i="10"/>
  <c r="U19" i="10"/>
  <c r="S19" i="10"/>
  <c r="R19" i="10"/>
  <c r="P19" i="10"/>
  <c r="O19" i="10"/>
  <c r="N19" i="10"/>
  <c r="K19" i="10"/>
  <c r="H19" i="10"/>
  <c r="BV18" i="10"/>
  <c r="BS18" i="10"/>
  <c r="BP18" i="10"/>
  <c r="BI18" i="10"/>
  <c r="BH18" i="10"/>
  <c r="BJ18" i="10" s="1"/>
  <c r="BF18" i="10"/>
  <c r="BE18" i="10"/>
  <c r="BC18" i="10"/>
  <c r="BB18" i="10"/>
  <c r="BA18" i="10"/>
  <c r="AX18" i="10"/>
  <c r="AU18" i="10"/>
  <c r="AP18" i="10"/>
  <c r="AL18" i="10"/>
  <c r="AH18" i="10"/>
  <c r="AG18" i="10"/>
  <c r="AE18" i="10"/>
  <c r="AD18" i="10"/>
  <c r="AC18" i="10"/>
  <c r="V18" i="10"/>
  <c r="U18" i="10"/>
  <c r="S18" i="10"/>
  <c r="R18" i="10"/>
  <c r="P18" i="10"/>
  <c r="O18" i="10"/>
  <c r="N18" i="10"/>
  <c r="K18" i="10"/>
  <c r="H18" i="10"/>
  <c r="BV17" i="10"/>
  <c r="BS17" i="10"/>
  <c r="BP17" i="10"/>
  <c r="BI17" i="10"/>
  <c r="BH17" i="10"/>
  <c r="BJ17" i="10" s="1"/>
  <c r="BF17" i="10"/>
  <c r="BE17" i="10"/>
  <c r="BC17" i="10"/>
  <c r="BB17" i="10"/>
  <c r="BA17" i="10"/>
  <c r="AX17" i="10"/>
  <c r="AU17" i="10"/>
  <c r="AP17" i="10"/>
  <c r="AL17" i="10"/>
  <c r="AH17" i="10"/>
  <c r="AG17" i="10"/>
  <c r="AE17" i="10"/>
  <c r="AD17" i="10"/>
  <c r="AC17" i="10"/>
  <c r="V17" i="10"/>
  <c r="U17" i="10"/>
  <c r="S17" i="10"/>
  <c r="R17" i="10"/>
  <c r="P17" i="10"/>
  <c r="O17" i="10"/>
  <c r="N17" i="10"/>
  <c r="K17" i="10"/>
  <c r="H17" i="10"/>
  <c r="BV16" i="10"/>
  <c r="BS16" i="10"/>
  <c r="BP16" i="10"/>
  <c r="BI16" i="10"/>
  <c r="BH16" i="10"/>
  <c r="BJ16" i="10" s="1"/>
  <c r="BF16" i="10"/>
  <c r="BE16" i="10"/>
  <c r="BC16" i="10"/>
  <c r="BB16" i="10"/>
  <c r="BA16" i="10"/>
  <c r="AX16" i="10"/>
  <c r="AU16" i="10"/>
  <c r="AP16" i="10"/>
  <c r="AL16" i="10"/>
  <c r="AH16" i="10"/>
  <c r="AG16" i="10"/>
  <c r="AE16" i="10"/>
  <c r="AD16" i="10"/>
  <c r="AC16" i="10"/>
  <c r="V16" i="10"/>
  <c r="U16" i="10"/>
  <c r="S16" i="10"/>
  <c r="R16" i="10"/>
  <c r="P16" i="10"/>
  <c r="O16" i="10"/>
  <c r="N16" i="10"/>
  <c r="K16" i="10"/>
  <c r="H16" i="10"/>
  <c r="BV15" i="10"/>
  <c r="BS15" i="10"/>
  <c r="BP15" i="10"/>
  <c r="BI15" i="10"/>
  <c r="BH15" i="10"/>
  <c r="BJ15" i="10" s="1"/>
  <c r="BF15" i="10"/>
  <c r="BE15" i="10"/>
  <c r="BC15" i="10"/>
  <c r="BB15" i="10"/>
  <c r="BA15" i="10"/>
  <c r="AX15" i="10"/>
  <c r="AU15" i="10"/>
  <c r="AP15" i="10"/>
  <c r="AL15" i="10"/>
  <c r="AH15" i="10"/>
  <c r="AG15" i="10"/>
  <c r="AE15" i="10"/>
  <c r="AD15" i="10"/>
  <c r="AC15" i="10"/>
  <c r="V15" i="10"/>
  <c r="U15" i="10"/>
  <c r="S15" i="10"/>
  <c r="R15" i="10"/>
  <c r="P15" i="10"/>
  <c r="O15" i="10"/>
  <c r="N15" i="10"/>
  <c r="K15" i="10"/>
  <c r="H15" i="10"/>
  <c r="BV14" i="10"/>
  <c r="BS14" i="10"/>
  <c r="BP14" i="10"/>
  <c r="BI14" i="10"/>
  <c r="BH14" i="10"/>
  <c r="BJ14" i="10" s="1"/>
  <c r="BF14" i="10"/>
  <c r="BE14" i="10"/>
  <c r="BC14" i="10"/>
  <c r="BB14" i="10"/>
  <c r="BA14" i="10"/>
  <c r="AX14" i="10"/>
  <c r="AU14" i="10"/>
  <c r="AP14" i="10"/>
  <c r="AL14" i="10"/>
  <c r="AH14" i="10"/>
  <c r="AG14" i="10"/>
  <c r="AE14" i="10"/>
  <c r="AD14" i="10"/>
  <c r="AC14" i="10"/>
  <c r="V14" i="10"/>
  <c r="U14" i="10"/>
  <c r="S14" i="10"/>
  <c r="R14" i="10"/>
  <c r="P14" i="10"/>
  <c r="O14" i="10"/>
  <c r="N14" i="10"/>
  <c r="K14" i="10"/>
  <c r="H14" i="10"/>
  <c r="BV13" i="10"/>
  <c r="BS13" i="10"/>
  <c r="BP13" i="10"/>
  <c r="BI13" i="10"/>
  <c r="BH13" i="10"/>
  <c r="BJ13" i="10" s="1"/>
  <c r="BF13" i="10"/>
  <c r="BE13" i="10"/>
  <c r="BC13" i="10"/>
  <c r="BB13" i="10"/>
  <c r="BA13" i="10"/>
  <c r="AX13" i="10"/>
  <c r="AU13" i="10"/>
  <c r="AP13" i="10"/>
  <c r="AL13" i="10"/>
  <c r="AH13" i="10"/>
  <c r="AG13" i="10"/>
  <c r="AE13" i="10"/>
  <c r="AD13" i="10"/>
  <c r="AC13" i="10"/>
  <c r="V13" i="10"/>
  <c r="U13" i="10"/>
  <c r="S13" i="10"/>
  <c r="R13" i="10"/>
  <c r="P13" i="10"/>
  <c r="O13" i="10"/>
  <c r="N13" i="10"/>
  <c r="K13" i="10"/>
  <c r="H13" i="10"/>
  <c r="BV12" i="10"/>
  <c r="BS12" i="10"/>
  <c r="BP12" i="10"/>
  <c r="BI12" i="10"/>
  <c r="BH12" i="10"/>
  <c r="BJ12" i="10" s="1"/>
  <c r="BF12" i="10"/>
  <c r="BE12" i="10"/>
  <c r="BC12" i="10"/>
  <c r="BB12" i="10"/>
  <c r="BA12" i="10"/>
  <c r="AX12" i="10"/>
  <c r="AU12" i="10"/>
  <c r="AP12" i="10"/>
  <c r="AL12" i="10"/>
  <c r="AH12" i="10"/>
  <c r="AG12" i="10"/>
  <c r="AE12" i="10"/>
  <c r="AD12" i="10"/>
  <c r="AC12" i="10"/>
  <c r="V12" i="10"/>
  <c r="U12" i="10"/>
  <c r="S12" i="10"/>
  <c r="R12" i="10"/>
  <c r="P12" i="10"/>
  <c r="O12" i="10"/>
  <c r="N12" i="10"/>
  <c r="K12" i="10"/>
  <c r="H12" i="10"/>
  <c r="BV11" i="10"/>
  <c r="BS11" i="10"/>
  <c r="BP11" i="10"/>
  <c r="BI11" i="10"/>
  <c r="BH11" i="10"/>
  <c r="BJ11" i="10" s="1"/>
  <c r="BF11" i="10"/>
  <c r="BE11" i="10"/>
  <c r="BC11" i="10"/>
  <c r="BB11" i="10"/>
  <c r="BA11" i="10"/>
  <c r="AX11" i="10"/>
  <c r="AU11" i="10"/>
  <c r="AP11" i="10"/>
  <c r="AL11" i="10"/>
  <c r="AH11" i="10"/>
  <c r="AG11" i="10"/>
  <c r="AE11" i="10"/>
  <c r="AD11" i="10"/>
  <c r="AC11" i="10"/>
  <c r="V11" i="10"/>
  <c r="U11" i="10"/>
  <c r="S11" i="10"/>
  <c r="R11" i="10"/>
  <c r="P11" i="10"/>
  <c r="O11" i="10"/>
  <c r="N11" i="10"/>
  <c r="K11" i="10"/>
  <c r="H11" i="10"/>
  <c r="BV10" i="10"/>
  <c r="BS10" i="10"/>
  <c r="BP10" i="10"/>
  <c r="BI10" i="10"/>
  <c r="BH10" i="10"/>
  <c r="BJ10" i="10" s="1"/>
  <c r="BF10" i="10"/>
  <c r="BE10" i="10"/>
  <c r="BC10" i="10"/>
  <c r="BB10" i="10"/>
  <c r="BA10" i="10"/>
  <c r="AX10" i="10"/>
  <c r="AU10" i="10"/>
  <c r="AP10" i="10"/>
  <c r="AL10" i="10"/>
  <c r="AH10" i="10"/>
  <c r="AG10" i="10"/>
  <c r="AE10" i="10"/>
  <c r="AD10" i="10"/>
  <c r="AC10" i="10"/>
  <c r="V10" i="10"/>
  <c r="U10" i="10"/>
  <c r="S10" i="10"/>
  <c r="R10" i="10"/>
  <c r="P10" i="10"/>
  <c r="O10" i="10"/>
  <c r="N10" i="10"/>
  <c r="K10" i="10"/>
  <c r="H10" i="10"/>
  <c r="BV9" i="10"/>
  <c r="BS9" i="10"/>
  <c r="BP9" i="10"/>
  <c r="BI9" i="10"/>
  <c r="BH9" i="10"/>
  <c r="BJ9" i="10" s="1"/>
  <c r="BF9" i="10"/>
  <c r="BE9" i="10"/>
  <c r="BC9" i="10"/>
  <c r="BB9" i="10"/>
  <c r="BA9" i="10"/>
  <c r="AX9" i="10"/>
  <c r="AU9" i="10"/>
  <c r="AP9" i="10"/>
  <c r="AL9" i="10"/>
  <c r="AH9" i="10"/>
  <c r="AG9" i="10"/>
  <c r="AE9" i="10"/>
  <c r="AD9" i="10"/>
  <c r="AC9" i="10"/>
  <c r="V9" i="10"/>
  <c r="U9" i="10"/>
  <c r="S9" i="10"/>
  <c r="R9" i="10"/>
  <c r="P9" i="10"/>
  <c r="O9" i="10"/>
  <c r="N9" i="10"/>
  <c r="K9" i="10"/>
  <c r="H9" i="10"/>
  <c r="BV8" i="10"/>
  <c r="BS8" i="10"/>
  <c r="BP8" i="10"/>
  <c r="BI8" i="10"/>
  <c r="BH8" i="10"/>
  <c r="BJ8" i="10" s="1"/>
  <c r="BF8" i="10"/>
  <c r="BE8" i="10"/>
  <c r="BC8" i="10"/>
  <c r="BB8" i="10"/>
  <c r="BA8" i="10"/>
  <c r="AX8" i="10"/>
  <c r="AU8" i="10"/>
  <c r="AP8" i="10"/>
  <c r="AL8" i="10"/>
  <c r="AH8" i="10"/>
  <c r="AG8" i="10"/>
  <c r="AE8" i="10"/>
  <c r="AD8" i="10"/>
  <c r="AC8" i="10"/>
  <c r="V8" i="10"/>
  <c r="U8" i="10"/>
  <c r="S8" i="10"/>
  <c r="R8" i="10"/>
  <c r="P8" i="10"/>
  <c r="O8" i="10"/>
  <c r="N8" i="10"/>
  <c r="K8" i="10"/>
  <c r="H8" i="10"/>
  <c r="BV7" i="10"/>
  <c r="BS7" i="10"/>
  <c r="BP7" i="10"/>
  <c r="BI7" i="10"/>
  <c r="BH7" i="10"/>
  <c r="BJ7" i="10" s="1"/>
  <c r="BF7" i="10"/>
  <c r="BE7" i="10"/>
  <c r="BC7" i="10"/>
  <c r="BB7" i="10"/>
  <c r="BA7" i="10"/>
  <c r="AX7" i="10"/>
  <c r="AU7" i="10"/>
  <c r="AP7" i="10"/>
  <c r="AL7" i="10"/>
  <c r="AH7" i="10"/>
  <c r="AG7" i="10"/>
  <c r="AE7" i="10"/>
  <c r="AD7" i="10"/>
  <c r="AC7" i="10"/>
  <c r="V7" i="10"/>
  <c r="U7" i="10"/>
  <c r="S7" i="10"/>
  <c r="R7" i="10"/>
  <c r="P7" i="10"/>
  <c r="O7" i="10"/>
  <c r="N7" i="10"/>
  <c r="K7" i="10"/>
  <c r="H7" i="10"/>
  <c r="BV6" i="10"/>
  <c r="BS6" i="10"/>
  <c r="BP6" i="10"/>
  <c r="BI6" i="10"/>
  <c r="BH6" i="10"/>
  <c r="BJ6" i="10" s="1"/>
  <c r="BF6" i="10"/>
  <c r="BE6" i="10"/>
  <c r="BC6" i="10"/>
  <c r="BB6" i="10"/>
  <c r="BA6" i="10"/>
  <c r="AX6" i="10"/>
  <c r="AU6" i="10"/>
  <c r="AP6" i="10"/>
  <c r="AL6" i="10"/>
  <c r="AH6" i="10"/>
  <c r="AG6" i="10"/>
  <c r="AE6" i="10"/>
  <c r="AD6" i="10"/>
  <c r="AC6" i="10"/>
  <c r="V6" i="10"/>
  <c r="U6" i="10"/>
  <c r="S6" i="10"/>
  <c r="R6" i="10"/>
  <c r="P6" i="10"/>
  <c r="O6" i="10"/>
  <c r="N6" i="10"/>
  <c r="K6" i="10"/>
  <c r="H6" i="10"/>
  <c r="BV5" i="10"/>
  <c r="BS5" i="10"/>
  <c r="BP5" i="10"/>
  <c r="BI5" i="10"/>
  <c r="BH5" i="10"/>
  <c r="BJ5" i="10" s="1"/>
  <c r="BF5" i="10"/>
  <c r="BE5" i="10"/>
  <c r="BC5" i="10"/>
  <c r="BB5" i="10"/>
  <c r="BA5" i="10"/>
  <c r="AX5" i="10"/>
  <c r="AU5" i="10"/>
  <c r="AP5" i="10"/>
  <c r="AL5" i="10"/>
  <c r="AH5" i="10"/>
  <c r="AG5" i="10"/>
  <c r="AE5" i="10"/>
  <c r="AD5" i="10"/>
  <c r="AC5" i="10"/>
  <c r="V5" i="10"/>
  <c r="U5" i="10"/>
  <c r="S5" i="10"/>
  <c r="R5" i="10"/>
  <c r="P5" i="10"/>
  <c r="O5" i="10"/>
  <c r="N5" i="10"/>
  <c r="K5" i="10"/>
  <c r="H5" i="10"/>
  <c r="BV4" i="10"/>
  <c r="BS4" i="10"/>
  <c r="BP4" i="10"/>
  <c r="BI4" i="10"/>
  <c r="BH4" i="10"/>
  <c r="BJ4" i="10" s="1"/>
  <c r="BF4" i="10"/>
  <c r="BE4" i="10"/>
  <c r="BC4" i="10"/>
  <c r="BB4" i="10"/>
  <c r="BA4" i="10"/>
  <c r="AX4" i="10"/>
  <c r="AU4" i="10"/>
  <c r="AP4" i="10"/>
  <c r="AL4" i="10"/>
  <c r="AH4" i="10"/>
  <c r="AG4" i="10"/>
  <c r="AE4" i="10"/>
  <c r="AD4" i="10"/>
  <c r="AC4" i="10"/>
  <c r="V4" i="10"/>
  <c r="U4" i="10"/>
  <c r="S4" i="10"/>
  <c r="R4" i="10"/>
  <c r="P4" i="10"/>
  <c r="O4" i="10"/>
  <c r="N4" i="10"/>
  <c r="K4" i="10"/>
  <c r="H4" i="10"/>
  <c r="BV3" i="10"/>
  <c r="BS3" i="10"/>
  <c r="BP3" i="10"/>
  <c r="BI3" i="10"/>
  <c r="BH3" i="10"/>
  <c r="BJ3" i="10" s="1"/>
  <c r="BF3" i="10"/>
  <c r="BE3" i="10"/>
  <c r="BC3" i="10"/>
  <c r="BB3" i="10"/>
  <c r="BA3" i="10"/>
  <c r="AX3" i="10"/>
  <c r="AU3" i="10"/>
  <c r="AP3" i="10"/>
  <c r="AL3" i="10"/>
  <c r="AH3" i="10"/>
  <c r="AG3" i="10"/>
  <c r="AE3" i="10"/>
  <c r="AD3" i="10"/>
  <c r="AC3" i="10"/>
  <c r="V3" i="10"/>
  <c r="U3" i="10"/>
  <c r="S3" i="10"/>
  <c r="R3" i="10"/>
  <c r="P3" i="10"/>
  <c r="O3" i="10"/>
  <c r="N3" i="10"/>
  <c r="K3" i="10"/>
  <c r="H3" i="10"/>
  <c r="BV2" i="10"/>
  <c r="BS2" i="10"/>
  <c r="BP2" i="10"/>
  <c r="BI2" i="10"/>
  <c r="BH2" i="10"/>
  <c r="BJ2" i="10" s="1"/>
  <c r="BF2" i="10"/>
  <c r="BE2" i="10"/>
  <c r="BC2" i="10"/>
  <c r="BB2" i="10"/>
  <c r="BA2" i="10"/>
  <c r="AX2" i="10"/>
  <c r="AU2" i="10"/>
  <c r="AP2" i="10"/>
  <c r="AL2" i="10"/>
  <c r="AH2" i="10"/>
  <c r="AG2" i="10"/>
  <c r="AE2" i="10"/>
  <c r="AD2" i="10"/>
  <c r="AC2" i="10"/>
  <c r="V2" i="10"/>
  <c r="U2" i="10"/>
  <c r="S2" i="10"/>
  <c r="R2" i="10"/>
  <c r="P2" i="10"/>
  <c r="O2" i="10"/>
  <c r="N2" i="10"/>
  <c r="K2" i="10"/>
  <c r="H2" i="10"/>
  <c r="BJ21" i="10" l="1"/>
  <c r="BJ22" i="10"/>
  <c r="BJ23" i="10"/>
  <c r="BJ24" i="10"/>
  <c r="BJ25" i="10"/>
  <c r="BJ26" i="10"/>
  <c r="BJ27" i="10"/>
  <c r="BJ28" i="10"/>
  <c r="BJ29" i="10"/>
  <c r="BJ30" i="10"/>
  <c r="BJ31" i="10"/>
  <c r="BJ32" i="10"/>
  <c r="BJ33" i="10"/>
  <c r="BJ34" i="10"/>
  <c r="BJ35" i="10"/>
  <c r="BJ36" i="10"/>
  <c r="BJ37" i="10"/>
  <c r="BJ38" i="10"/>
  <c r="BJ39" i="10"/>
  <c r="BJ40" i="10"/>
  <c r="BJ41" i="10"/>
  <c r="BJ42" i="10"/>
  <c r="BJ43" i="10"/>
  <c r="BJ44" i="10"/>
  <c r="BJ45" i="10"/>
  <c r="BJ46" i="10"/>
  <c r="BJ47" i="10"/>
  <c r="BJ48" i="10"/>
  <c r="BJ49" i="10"/>
  <c r="BJ50" i="10"/>
  <c r="BJ51" i="10"/>
  <c r="BJ52" i="10"/>
  <c r="BJ53" i="10"/>
  <c r="BJ54" i="10"/>
  <c r="BJ55" i="10"/>
  <c r="BJ56" i="10"/>
  <c r="BJ57" i="10"/>
  <c r="BJ58" i="10"/>
  <c r="BJ59" i="10"/>
  <c r="BJ60" i="10"/>
  <c r="BJ61" i="10"/>
  <c r="BJ62" i="10"/>
  <c r="BJ63" i="10"/>
  <c r="BJ64" i="10"/>
  <c r="BJ65" i="10"/>
  <c r="BJ66" i="10"/>
  <c r="BJ67" i="10"/>
  <c r="BJ68" i="10"/>
  <c r="BJ69" i="10"/>
  <c r="BJ70" i="10"/>
  <c r="BJ71" i="10"/>
  <c r="BJ72" i="10"/>
  <c r="BJ73" i="10"/>
  <c r="BJ74" i="10"/>
  <c r="BJ75" i="10"/>
  <c r="BJ76" i="10"/>
  <c r="BJ77" i="10"/>
  <c r="BJ78" i="10"/>
  <c r="BJ79" i="10"/>
  <c r="BJ80" i="10"/>
  <c r="BJ81" i="10"/>
  <c r="BJ82" i="10"/>
  <c r="BJ83" i="10"/>
  <c r="BJ84" i="10"/>
  <c r="BJ85" i="10"/>
  <c r="BJ86" i="10"/>
  <c r="BJ87" i="10"/>
  <c r="BJ88" i="10"/>
  <c r="BJ89" i="10"/>
  <c r="BJ90" i="10"/>
  <c r="BJ91" i="10"/>
  <c r="BJ92" i="10"/>
  <c r="BJ93" i="10"/>
  <c r="BJ94" i="10"/>
  <c r="BJ95" i="10"/>
  <c r="BJ96" i="10"/>
  <c r="BJ97" i="10"/>
  <c r="BJ98" i="10"/>
  <c r="BJ99" i="10"/>
  <c r="BJ100" i="10"/>
  <c r="BJ101" i="10"/>
  <c r="BJ102" i="10"/>
  <c r="BJ103" i="10"/>
  <c r="BJ104" i="10"/>
  <c r="BJ105" i="10"/>
  <c r="BJ106" i="10"/>
  <c r="BJ107" i="10"/>
  <c r="BJ108" i="10"/>
  <c r="BJ109" i="10"/>
  <c r="BJ110" i="10"/>
  <c r="BJ111" i="10"/>
  <c r="BJ112" i="10"/>
  <c r="BJ113" i="10"/>
  <c r="BJ114" i="10"/>
  <c r="BJ115" i="10"/>
  <c r="BJ116" i="10"/>
  <c r="BJ117" i="10"/>
  <c r="BJ118" i="10"/>
  <c r="BJ119" i="10"/>
  <c r="BJ120" i="10"/>
  <c r="BJ121" i="10"/>
  <c r="BJ122" i="10"/>
  <c r="BJ123" i="10"/>
  <c r="BJ124" i="10"/>
  <c r="BJ125" i="10"/>
  <c r="BJ126" i="10"/>
  <c r="BJ127" i="10"/>
  <c r="BJ128" i="10"/>
  <c r="BJ129" i="10"/>
  <c r="BJ130" i="10"/>
  <c r="BJ131" i="10"/>
  <c r="BJ132" i="10"/>
  <c r="BJ133" i="10"/>
  <c r="BJ134" i="10"/>
  <c r="BJ135" i="10"/>
  <c r="BJ136" i="10"/>
  <c r="BJ137" i="10"/>
  <c r="BJ138" i="10"/>
  <c r="BJ139" i="10"/>
  <c r="BJ140" i="10"/>
  <c r="BJ141" i="10"/>
  <c r="BJ142" i="10"/>
  <c r="BJ143" i="10"/>
  <c r="BJ144" i="10"/>
  <c r="BJ145" i="10"/>
  <c r="BJ146" i="10"/>
  <c r="BJ147" i="10"/>
  <c r="BJ148" i="10"/>
  <c r="BJ149" i="10"/>
  <c r="BJ150" i="10"/>
  <c r="BJ151" i="10"/>
  <c r="BJ152" i="10"/>
  <c r="BJ153" i="10"/>
  <c r="BJ154" i="10"/>
  <c r="BJ155" i="10"/>
  <c r="BJ156" i="10"/>
  <c r="BJ157" i="10"/>
  <c r="BJ158" i="10"/>
  <c r="BJ159" i="10"/>
  <c r="BJ160" i="10"/>
  <c r="BJ161" i="10"/>
  <c r="BJ162" i="10"/>
  <c r="BJ163" i="10"/>
  <c r="BJ164" i="10"/>
  <c r="BJ165" i="10"/>
  <c r="BJ166" i="10"/>
  <c r="BJ167" i="10"/>
  <c r="BJ168" i="10"/>
  <c r="BJ169" i="10"/>
  <c r="BJ170" i="10"/>
  <c r="BJ171" i="10"/>
  <c r="BJ172" i="10"/>
  <c r="BJ173" i="10"/>
  <c r="BJ174" i="10"/>
  <c r="BJ175" i="10"/>
  <c r="BJ176" i="10"/>
  <c r="BJ177" i="10"/>
  <c r="BJ178" i="10"/>
  <c r="BJ179" i="10"/>
  <c r="BJ180" i="10"/>
  <c r="BJ181" i="10"/>
  <c r="BJ182" i="10"/>
  <c r="BJ183" i="10"/>
  <c r="BJ184" i="10"/>
  <c r="BJ185" i="10"/>
  <c r="BJ186" i="10"/>
  <c r="BJ187" i="10"/>
  <c r="BJ188" i="10"/>
  <c r="BJ189" i="10"/>
  <c r="BJ450" i="10"/>
  <c r="BJ454" i="10"/>
  <c r="BJ458" i="10"/>
  <c r="BJ462" i="10"/>
  <c r="BJ466" i="10"/>
  <c r="BJ470" i="10"/>
  <c r="BJ474" i="10"/>
  <c r="BJ478" i="10"/>
  <c r="BJ482" i="10"/>
  <c r="BJ486" i="10"/>
  <c r="BJ490" i="10"/>
  <c r="BJ190" i="10"/>
  <c r="BJ191" i="10"/>
  <c r="BJ192" i="10"/>
  <c r="BJ193" i="10"/>
  <c r="BJ194" i="10"/>
  <c r="BJ195" i="10"/>
  <c r="BJ196" i="10"/>
  <c r="BJ197" i="10"/>
  <c r="BJ198" i="10"/>
  <c r="BJ199" i="10"/>
  <c r="BJ200" i="10"/>
  <c r="BJ201" i="10"/>
  <c r="BJ202" i="10"/>
  <c r="BJ203" i="10"/>
  <c r="BJ204" i="10"/>
  <c r="BJ205" i="10"/>
  <c r="BJ206" i="10"/>
  <c r="BJ207" i="10"/>
  <c r="BJ208" i="10"/>
  <c r="BJ209" i="10"/>
  <c r="BJ210" i="10"/>
  <c r="BJ211" i="10"/>
  <c r="BJ212" i="10"/>
  <c r="BJ213" i="10"/>
  <c r="BJ214" i="10"/>
  <c r="BJ216" i="10"/>
  <c r="BJ218" i="10"/>
  <c r="BJ220" i="10"/>
  <c r="BJ222" i="10"/>
  <c r="BJ224" i="10"/>
  <c r="BJ226" i="10"/>
  <c r="BJ228" i="10"/>
  <c r="BJ230" i="10"/>
  <c r="BJ232" i="10"/>
  <c r="BJ234" i="10"/>
  <c r="BJ236" i="10"/>
  <c r="BJ259" i="10"/>
  <c r="W264" i="10"/>
  <c r="BJ267" i="10"/>
  <c r="W268" i="10"/>
  <c r="W272" i="10"/>
  <c r="BJ275" i="10"/>
  <c r="BJ279" i="10"/>
  <c r="W280" i="10"/>
  <c r="BJ283" i="10"/>
  <c r="BJ287" i="10"/>
  <c r="W288" i="10"/>
  <c r="BJ291" i="10"/>
  <c r="BJ295" i="10"/>
  <c r="W296" i="10"/>
  <c r="BJ299" i="10"/>
  <c r="BJ303" i="10"/>
  <c r="W304" i="10"/>
  <c r="BJ307" i="10"/>
  <c r="BJ311" i="10"/>
  <c r="W312" i="10"/>
  <c r="BJ315" i="10"/>
  <c r="BJ319" i="10"/>
  <c r="W320" i="10"/>
  <c r="BJ323" i="10"/>
  <c r="BJ327" i="10"/>
  <c r="W328" i="10"/>
  <c r="BJ331" i="10"/>
  <c r="BJ350" i="10"/>
  <c r="BJ354" i="10"/>
  <c r="BJ358" i="10"/>
  <c r="BJ362" i="10"/>
  <c r="BJ366" i="10"/>
  <c r="BJ370" i="10"/>
  <c r="BJ374" i="10"/>
  <c r="BJ382" i="10"/>
  <c r="BJ386" i="10"/>
  <c r="BJ390" i="10"/>
  <c r="BJ394" i="10"/>
  <c r="BJ398" i="10"/>
  <c r="BJ402" i="10"/>
  <c r="BJ406" i="10"/>
  <c r="BJ491" i="10"/>
  <c r="BJ493" i="10"/>
  <c r="BJ495" i="10"/>
  <c r="BJ497" i="10"/>
  <c r="BJ499" i="10"/>
  <c r="BJ501" i="10"/>
  <c r="BJ503" i="10"/>
  <c r="BJ505" i="10"/>
  <c r="W258" i="10"/>
  <c r="BJ261" i="10"/>
  <c r="BJ265" i="10"/>
  <c r="BJ269" i="10"/>
  <c r="BJ273" i="10"/>
  <c r="BJ277" i="10"/>
  <c r="BJ281" i="10"/>
  <c r="BJ285" i="10"/>
  <c r="BJ289" i="10"/>
  <c r="BJ293" i="10"/>
  <c r="BJ297" i="10"/>
  <c r="W298" i="10"/>
  <c r="BJ305" i="10"/>
  <c r="W306" i="10"/>
  <c r="BJ309" i="10"/>
  <c r="BJ317" i="10"/>
  <c r="BJ325" i="10"/>
  <c r="BJ333" i="10"/>
  <c r="BJ352" i="10"/>
  <c r="BJ360" i="10"/>
  <c r="BJ368" i="10"/>
  <c r="BJ376" i="10"/>
  <c r="BJ384" i="10"/>
  <c r="BJ392" i="10"/>
  <c r="BJ400" i="10"/>
  <c r="BJ408" i="10"/>
  <c r="BJ507" i="10"/>
  <c r="BJ510" i="10"/>
  <c r="BJ514" i="10"/>
  <c r="BJ518" i="10"/>
  <c r="BJ522" i="10"/>
  <c r="BJ526" i="10"/>
  <c r="BJ530" i="10"/>
  <c r="BJ534" i="10"/>
  <c r="BJ538" i="10"/>
  <c r="BJ542" i="10"/>
  <c r="BJ546" i="10"/>
  <c r="BJ550" i="10"/>
  <c r="BJ554" i="10"/>
  <c r="BJ558" i="10"/>
  <c r="BJ562" i="10"/>
  <c r="BJ566" i="10"/>
  <c r="BJ570" i="10"/>
  <c r="BJ574" i="10"/>
  <c r="BJ578" i="10"/>
  <c r="BJ582" i="10"/>
  <c r="BJ586" i="10"/>
  <c r="BJ590" i="10"/>
  <c r="BJ594" i="10"/>
  <c r="BJ598" i="10"/>
  <c r="Y717" i="10"/>
  <c r="T708" i="10"/>
  <c r="T700" i="10"/>
  <c r="X683" i="10"/>
  <c r="X642" i="10"/>
  <c r="X638" i="10"/>
  <c r="T611" i="10"/>
  <c r="X606" i="10"/>
  <c r="X584" i="10"/>
  <c r="X582" i="10"/>
  <c r="X579" i="10"/>
  <c r="X578" i="10"/>
  <c r="X576" i="10"/>
  <c r="W558" i="10"/>
  <c r="W556" i="10"/>
  <c r="X551" i="10"/>
  <c r="T539" i="10"/>
  <c r="X528" i="10"/>
  <c r="X526" i="10"/>
  <c r="X523" i="10"/>
  <c r="X511" i="10"/>
  <c r="W509" i="10"/>
  <c r="T503" i="10"/>
  <c r="T498" i="10"/>
  <c r="T495" i="10"/>
  <c r="X491" i="10"/>
  <c r="X490" i="10"/>
  <c r="X489" i="10"/>
  <c r="X487" i="10"/>
  <c r="W485" i="10"/>
  <c r="W484" i="10"/>
  <c r="W483" i="10"/>
  <c r="W482" i="10"/>
  <c r="W481" i="10"/>
  <c r="W480" i="10"/>
  <c r="W479" i="10"/>
  <c r="W478" i="10"/>
  <c r="W477" i="10"/>
  <c r="W475" i="10"/>
  <c r="T466" i="10"/>
  <c r="T458" i="10"/>
  <c r="T450" i="10"/>
  <c r="T446" i="10"/>
  <c r="T442" i="10"/>
  <c r="X425" i="10"/>
  <c r="X423" i="10"/>
  <c r="X421" i="10"/>
  <c r="X417" i="10"/>
  <c r="X415" i="10"/>
  <c r="X413" i="10"/>
  <c r="X409" i="10"/>
  <c r="X407" i="10"/>
  <c r="W351" i="10"/>
  <c r="Q726" i="10"/>
  <c r="Q670" i="10"/>
  <c r="BJ551" i="10"/>
  <c r="BJ559" i="10"/>
  <c r="BJ567" i="10"/>
  <c r="BJ575" i="10"/>
  <c r="BJ583" i="10"/>
  <c r="BJ591" i="10"/>
  <c r="BJ599" i="10"/>
  <c r="W746" i="10"/>
  <c r="W744" i="10"/>
  <c r="W742" i="10"/>
  <c r="W740" i="10"/>
  <c r="W738" i="10"/>
  <c r="W713" i="10"/>
  <c r="W711" i="10"/>
  <c r="W709" i="10"/>
  <c r="W704" i="10"/>
  <c r="W702" i="10"/>
  <c r="W700" i="10"/>
  <c r="X677" i="10"/>
  <c r="W675" i="10"/>
  <c r="W671" i="10"/>
  <c r="W669" i="10"/>
  <c r="W667" i="10"/>
  <c r="W665" i="10"/>
  <c r="W663" i="10"/>
  <c r="W661" i="10"/>
  <c r="X634" i="10"/>
  <c r="X626" i="10"/>
  <c r="W622" i="10"/>
  <c r="W621" i="10"/>
  <c r="X615" i="10"/>
  <c r="T587" i="10"/>
  <c r="T575" i="10"/>
  <c r="T573" i="10"/>
  <c r="Y565" i="10"/>
  <c r="W552" i="10"/>
  <c r="W551" i="10"/>
  <c r="W547" i="10"/>
  <c r="T521" i="10"/>
  <c r="T511" i="10"/>
  <c r="W507" i="10"/>
  <c r="W504" i="10"/>
  <c r="Y502" i="10"/>
  <c r="X479" i="10"/>
  <c r="X477" i="10"/>
  <c r="W473" i="10"/>
  <c r="W471" i="10"/>
  <c r="T417" i="10"/>
  <c r="T416" i="10"/>
  <c r="T415" i="10"/>
  <c r="T413" i="10"/>
  <c r="T407" i="10"/>
  <c r="X350" i="10"/>
  <c r="T624" i="10"/>
  <c r="Y510" i="10"/>
  <c r="T476" i="10"/>
  <c r="Y747" i="10"/>
  <c r="W747" i="10"/>
  <c r="Y476" i="10"/>
  <c r="W476" i="10"/>
  <c r="W22" i="10"/>
  <c r="W30" i="10"/>
  <c r="W38" i="10"/>
  <c r="W44" i="10"/>
  <c r="W46" i="10"/>
  <c r="W54" i="10"/>
  <c r="W56" i="10"/>
  <c r="W70" i="10"/>
  <c r="W72" i="10"/>
  <c r="W74" i="10"/>
  <c r="W76" i="10"/>
  <c r="W108" i="10"/>
  <c r="W126" i="10"/>
  <c r="W134" i="10"/>
  <c r="W138" i="10"/>
  <c r="W142" i="10"/>
  <c r="W150" i="10"/>
  <c r="W170" i="10"/>
  <c r="W172" i="10"/>
  <c r="W174" i="10"/>
  <c r="W176" i="10"/>
  <c r="W192" i="10"/>
  <c r="W208" i="10"/>
  <c r="W224" i="10"/>
  <c r="W230" i="10"/>
  <c r="W275" i="10"/>
  <c r="W315" i="10"/>
  <c r="W16" i="10"/>
  <c r="W20" i="10"/>
  <c r="W239" i="10"/>
  <c r="W241" i="10"/>
  <c r="W243" i="10"/>
  <c r="W245" i="10"/>
  <c r="W247" i="10"/>
  <c r="W249" i="10"/>
  <c r="W251" i="10"/>
  <c r="W253" i="10"/>
  <c r="W255" i="10"/>
  <c r="W257" i="10"/>
  <c r="W262" i="10"/>
  <c r="W270" i="10"/>
  <c r="W278" i="10"/>
  <c r="W286" i="10"/>
  <c r="W294" i="10"/>
  <c r="W302" i="10"/>
  <c r="W310" i="10"/>
  <c r="BJ313" i="10"/>
  <c r="W318" i="10"/>
  <c r="BJ321" i="10"/>
  <c r="W326" i="10"/>
  <c r="BJ329" i="10"/>
  <c r="W334" i="10"/>
  <c r="BJ356" i="10"/>
  <c r="BJ364" i="10"/>
  <c r="BJ372" i="10"/>
  <c r="BJ380" i="10"/>
  <c r="BJ388" i="10"/>
  <c r="BJ396" i="10"/>
  <c r="BJ404" i="10"/>
  <c r="BJ494" i="10"/>
  <c r="BJ498" i="10"/>
  <c r="BJ502" i="10"/>
  <c r="BJ506" i="10"/>
  <c r="BJ512" i="10"/>
  <c r="BJ520" i="10"/>
  <c r="BJ528" i="10"/>
  <c r="BJ536" i="10"/>
  <c r="BJ544" i="10"/>
  <c r="BJ552" i="10"/>
  <c r="BJ560" i="10"/>
  <c r="BJ568" i="10"/>
  <c r="BJ576" i="10"/>
  <c r="BJ584" i="10"/>
  <c r="BJ592" i="10"/>
  <c r="BJ600" i="10"/>
  <c r="BJ601" i="10"/>
  <c r="BJ602" i="10"/>
  <c r="BJ603" i="10"/>
  <c r="BJ604" i="10"/>
  <c r="BJ605" i="10"/>
  <c r="BJ606" i="10"/>
  <c r="BJ607" i="10"/>
  <c r="BJ608" i="10"/>
  <c r="BJ609" i="10"/>
  <c r="BJ610" i="10"/>
  <c r="BJ611" i="10"/>
  <c r="BJ612" i="10"/>
  <c r="BJ613" i="10"/>
  <c r="BJ614" i="10"/>
  <c r="BJ615" i="10"/>
  <c r="BJ616" i="10"/>
  <c r="BJ617" i="10"/>
  <c r="BJ618" i="10"/>
  <c r="BJ619" i="10"/>
  <c r="BJ620" i="10"/>
  <c r="BJ621" i="10"/>
  <c r="BJ622" i="10"/>
  <c r="BJ623" i="10"/>
  <c r="BJ624" i="10"/>
  <c r="BJ625" i="10"/>
  <c r="BJ626" i="10"/>
  <c r="BJ627" i="10"/>
  <c r="BJ628" i="10"/>
  <c r="BJ629" i="10"/>
  <c r="BJ630" i="10"/>
  <c r="BJ631" i="10"/>
  <c r="BJ632" i="10"/>
  <c r="BJ633" i="10"/>
  <c r="BJ634" i="10"/>
  <c r="BJ635" i="10"/>
  <c r="BJ636" i="10"/>
  <c r="BJ637" i="10"/>
  <c r="BJ638" i="10"/>
  <c r="BJ639" i="10"/>
  <c r="BJ640" i="10"/>
  <c r="BJ641" i="10"/>
  <c r="BJ642" i="10"/>
  <c r="BJ643" i="10"/>
  <c r="BJ644" i="10"/>
  <c r="BJ645" i="10"/>
  <c r="BJ646" i="10"/>
  <c r="BJ647" i="10"/>
  <c r="BJ648" i="10"/>
  <c r="BJ649" i="10"/>
  <c r="BJ650" i="10"/>
  <c r="BJ651" i="10"/>
  <c r="BJ652" i="10"/>
  <c r="BJ653" i="10"/>
  <c r="BJ654" i="10"/>
  <c r="BJ655" i="10"/>
  <c r="BJ656" i="10"/>
  <c r="BJ657" i="10"/>
  <c r="BJ658" i="10"/>
  <c r="BJ659" i="10"/>
  <c r="BJ660" i="10"/>
  <c r="BJ661" i="10"/>
  <c r="BJ662" i="10"/>
  <c r="BJ663" i="10"/>
  <c r="BJ664" i="10"/>
  <c r="BJ665" i="10"/>
  <c r="BJ666" i="10"/>
  <c r="BJ667" i="10"/>
  <c r="BJ668" i="10"/>
  <c r="Y620" i="10"/>
  <c r="W620" i="10"/>
  <c r="W28" i="10"/>
  <c r="W80" i="10"/>
  <c r="W82" i="10"/>
  <c r="W94" i="10"/>
  <c r="W102" i="10"/>
  <c r="W112" i="10"/>
  <c r="W114" i="10"/>
  <c r="W122" i="10"/>
  <c r="W130" i="10"/>
  <c r="W132" i="10"/>
  <c r="W158" i="10"/>
  <c r="W160" i="10"/>
  <c r="W168" i="10"/>
  <c r="W232" i="10"/>
  <c r="W236" i="10"/>
  <c r="W259" i="10"/>
  <c r="W283" i="10"/>
  <c r="W331" i="10"/>
  <c r="W4" i="10"/>
  <c r="W6" i="10"/>
  <c r="W8" i="10"/>
  <c r="W12" i="10"/>
  <c r="W265" i="10"/>
  <c r="BJ268" i="10"/>
  <c r="W273" i="10"/>
  <c r="W281" i="10"/>
  <c r="BJ284" i="10"/>
  <c r="W289" i="10"/>
  <c r="W297" i="10"/>
  <c r="BJ300" i="10"/>
  <c r="W305" i="10"/>
  <c r="Y512" i="10"/>
  <c r="W512" i="10"/>
  <c r="W406" i="10"/>
  <c r="Y406" i="10"/>
  <c r="Y404" i="10"/>
  <c r="W404" i="10"/>
  <c r="Y396" i="10"/>
  <c r="W396" i="10"/>
  <c r="W36" i="10"/>
  <c r="W58" i="10"/>
  <c r="W60" i="10"/>
  <c r="W62" i="10"/>
  <c r="W64" i="10"/>
  <c r="W78" i="10"/>
  <c r="W96" i="10"/>
  <c r="W104" i="10"/>
  <c r="W106" i="10"/>
  <c r="W120" i="10"/>
  <c r="W124" i="10"/>
  <c r="W146" i="10"/>
  <c r="W148" i="10"/>
  <c r="W162" i="10"/>
  <c r="W164" i="10"/>
  <c r="W182" i="10"/>
  <c r="W194" i="10"/>
  <c r="W226" i="10"/>
  <c r="W228" i="10"/>
  <c r="W299" i="10"/>
  <c r="BJ215" i="10"/>
  <c r="BJ217" i="10"/>
  <c r="BJ219" i="10"/>
  <c r="BJ221" i="10"/>
  <c r="BJ223" i="10"/>
  <c r="BJ225" i="10"/>
  <c r="BJ227" i="10"/>
  <c r="BJ229" i="10"/>
  <c r="BJ231" i="10"/>
  <c r="BJ233" i="10"/>
  <c r="BJ235" i="10"/>
  <c r="W260" i="10"/>
  <c r="BJ263" i="10"/>
  <c r="BJ271" i="10"/>
  <c r="W276" i="10"/>
  <c r="W284" i="10"/>
  <c r="W292" i="10"/>
  <c r="W300" i="10"/>
  <c r="W308" i="10"/>
  <c r="W316" i="10"/>
  <c r="W324" i="10"/>
  <c r="W332" i="10"/>
  <c r="BJ378" i="10"/>
  <c r="Y633" i="10"/>
  <c r="W633" i="10"/>
  <c r="Y625" i="10"/>
  <c r="W625" i="10"/>
  <c r="W24" i="10"/>
  <c r="W26" i="10"/>
  <c r="W40" i="10"/>
  <c r="W42" i="10"/>
  <c r="W50" i="10"/>
  <c r="W88" i="10"/>
  <c r="W98" i="10"/>
  <c r="W110" i="10"/>
  <c r="W140" i="10"/>
  <c r="W152" i="10"/>
  <c r="W154" i="10"/>
  <c r="W156" i="10"/>
  <c r="W180" i="10"/>
  <c r="W190" i="10"/>
  <c r="W196" i="10"/>
  <c r="W204" i="10"/>
  <c r="W220" i="10"/>
  <c r="W234" i="10"/>
  <c r="W323" i="10"/>
  <c r="W23" i="10"/>
  <c r="W25" i="10"/>
  <c r="W27" i="10"/>
  <c r="W29" i="10"/>
  <c r="W31" i="10"/>
  <c r="W33" i="10"/>
  <c r="W35" i="10"/>
  <c r="W37" i="10"/>
  <c r="W39" i="10"/>
  <c r="W41" i="10"/>
  <c r="W43" i="10"/>
  <c r="W45" i="10"/>
  <c r="W47" i="10"/>
  <c r="W49" i="10"/>
  <c r="W51" i="10"/>
  <c r="W53" i="10"/>
  <c r="W55" i="10"/>
  <c r="W57" i="10"/>
  <c r="W59" i="10"/>
  <c r="W61" i="10"/>
  <c r="W63" i="10"/>
  <c r="W65" i="10"/>
  <c r="W67" i="10"/>
  <c r="W69" i="10"/>
  <c r="W71" i="10"/>
  <c r="W73" i="10"/>
  <c r="W75" i="10"/>
  <c r="W77" i="10"/>
  <c r="W79" i="10"/>
  <c r="W81" i="10"/>
  <c r="W83" i="10"/>
  <c r="W85" i="10"/>
  <c r="W87" i="10"/>
  <c r="W89" i="10"/>
  <c r="W91" i="10"/>
  <c r="W93" i="10"/>
  <c r="W95" i="10"/>
  <c r="W97" i="10"/>
  <c r="W99" i="10"/>
  <c r="W101" i="10"/>
  <c r="W103" i="10"/>
  <c r="W105" i="10"/>
  <c r="W107" i="10"/>
  <c r="W109" i="10"/>
  <c r="W111" i="10"/>
  <c r="W113" i="10"/>
  <c r="W115" i="10"/>
  <c r="W117" i="10"/>
  <c r="W119" i="10"/>
  <c r="W121" i="10"/>
  <c r="W123" i="10"/>
  <c r="W125" i="10"/>
  <c r="W127" i="10"/>
  <c r="W129" i="10"/>
  <c r="W131" i="10"/>
  <c r="W133" i="10"/>
  <c r="W135" i="10"/>
  <c r="W137" i="10"/>
  <c r="W139" i="10"/>
  <c r="W141" i="10"/>
  <c r="W143" i="10"/>
  <c r="W145" i="10"/>
  <c r="W147" i="10"/>
  <c r="W149" i="10"/>
  <c r="W151" i="10"/>
  <c r="W153" i="10"/>
  <c r="W155" i="10"/>
  <c r="W157" i="10"/>
  <c r="W159" i="10"/>
  <c r="W161" i="10"/>
  <c r="W163" i="10"/>
  <c r="W165" i="10"/>
  <c r="W167" i="10"/>
  <c r="W169" i="10"/>
  <c r="W171" i="10"/>
  <c r="W173" i="10"/>
  <c r="W175" i="10"/>
  <c r="W177" i="10"/>
  <c r="W179" i="10"/>
  <c r="W181" i="10"/>
  <c r="W183" i="10"/>
  <c r="W185" i="10"/>
  <c r="W187" i="10"/>
  <c r="W189" i="10"/>
  <c r="W191" i="10"/>
  <c r="W193" i="10"/>
  <c r="W195" i="10"/>
  <c r="W197" i="10"/>
  <c r="W199" i="10"/>
  <c r="W201" i="10"/>
  <c r="W203" i="10"/>
  <c r="W205" i="10"/>
  <c r="W207" i="10"/>
  <c r="W209" i="10"/>
  <c r="W211" i="10"/>
  <c r="W213" i="10"/>
  <c r="W215" i="10"/>
  <c r="BJ256" i="10"/>
  <c r="BJ258" i="10"/>
  <c r="W271" i="10"/>
  <c r="W279" i="10"/>
  <c r="W287" i="10"/>
  <c r="W295" i="10"/>
  <c r="BJ298" i="10"/>
  <c r="W303" i="10"/>
  <c r="BJ306" i="10"/>
  <c r="W311" i="10"/>
  <c r="W319" i="10"/>
  <c r="W327" i="10"/>
  <c r="BJ405" i="10"/>
  <c r="BJ455" i="10"/>
  <c r="BJ459" i="10"/>
  <c r="BJ463" i="10"/>
  <c r="BJ467" i="10"/>
  <c r="BJ471" i="10"/>
  <c r="BJ475" i="10"/>
  <c r="BJ479" i="10"/>
  <c r="BJ483" i="10"/>
  <c r="BJ487" i="10"/>
  <c r="BJ515" i="10"/>
  <c r="BJ523" i="10"/>
  <c r="BJ531" i="10"/>
  <c r="BJ539" i="10"/>
  <c r="BJ547" i="10"/>
  <c r="BJ555" i="10"/>
  <c r="BJ563" i="10"/>
  <c r="BJ571" i="10"/>
  <c r="BJ579" i="10"/>
  <c r="BJ587" i="10"/>
  <c r="BJ595" i="10"/>
  <c r="W701" i="10"/>
  <c r="Y701" i="10"/>
  <c r="Y553" i="10"/>
  <c r="W553" i="10"/>
  <c r="Y549" i="10"/>
  <c r="W549" i="10"/>
  <c r="W32" i="10"/>
  <c r="W68" i="10"/>
  <c r="W84" i="10"/>
  <c r="W86" i="10"/>
  <c r="W90" i="10"/>
  <c r="W92" i="10"/>
  <c r="W128" i="10"/>
  <c r="W144" i="10"/>
  <c r="W202" i="10"/>
  <c r="W206" i="10"/>
  <c r="W210" i="10"/>
  <c r="W214" i="10"/>
  <c r="W218" i="10"/>
  <c r="W222" i="10"/>
  <c r="W291" i="10"/>
  <c r="W307" i="10"/>
  <c r="W2" i="10"/>
  <c r="W14" i="10"/>
  <c r="W18" i="10"/>
  <c r="W3" i="10"/>
  <c r="W5" i="10"/>
  <c r="W7" i="10"/>
  <c r="W9" i="10"/>
  <c r="W11" i="10"/>
  <c r="W13" i="10"/>
  <c r="W15" i="10"/>
  <c r="W17" i="10"/>
  <c r="W19" i="10"/>
  <c r="W21" i="10"/>
  <c r="W238" i="10"/>
  <c r="W240" i="10"/>
  <c r="W242" i="10"/>
  <c r="W244" i="10"/>
  <c r="W246" i="10"/>
  <c r="W248" i="10"/>
  <c r="W250" i="10"/>
  <c r="W252" i="10"/>
  <c r="W254" i="10"/>
  <c r="W256" i="10"/>
  <c r="W266" i="10"/>
  <c r="W274" i="10"/>
  <c r="W282" i="10"/>
  <c r="W290" i="10"/>
  <c r="BJ301" i="10"/>
  <c r="W314" i="10"/>
  <c r="W322" i="10"/>
  <c r="W330" i="10"/>
  <c r="W349" i="10"/>
  <c r="Y433" i="10"/>
  <c r="W433" i="10"/>
  <c r="W34" i="10"/>
  <c r="W48" i="10"/>
  <c r="W52" i="10"/>
  <c r="W66" i="10"/>
  <c r="W100" i="10"/>
  <c r="W116" i="10"/>
  <c r="W118" i="10"/>
  <c r="W136" i="10"/>
  <c r="W166" i="10"/>
  <c r="W178" i="10"/>
  <c r="W184" i="10"/>
  <c r="W186" i="10"/>
  <c r="W188" i="10"/>
  <c r="W198" i="10"/>
  <c r="W200" i="10"/>
  <c r="W212" i="10"/>
  <c r="W216" i="10"/>
  <c r="W267" i="10"/>
  <c r="W10" i="10"/>
  <c r="W261" i="10"/>
  <c r="BJ264" i="10"/>
  <c r="W269" i="10"/>
  <c r="BJ272" i="10"/>
  <c r="W277" i="10"/>
  <c r="BJ280" i="10"/>
  <c r="W285" i="10"/>
  <c r="BJ288" i="10"/>
  <c r="W293" i="10"/>
  <c r="BJ296" i="10"/>
  <c r="W301" i="10"/>
  <c r="BJ304" i="10"/>
  <c r="W309" i="10"/>
  <c r="BJ312" i="10"/>
  <c r="W317" i="10"/>
  <c r="BJ320" i="10"/>
  <c r="W325" i="10"/>
  <c r="BJ328" i="10"/>
  <c r="W333" i="10"/>
  <c r="BJ355" i="10"/>
  <c r="BJ363" i="10"/>
  <c r="BJ371" i="10"/>
  <c r="BJ379" i="10"/>
  <c r="BJ387" i="10"/>
  <c r="BJ395" i="10"/>
  <c r="BJ403" i="10"/>
  <c r="BJ412" i="10"/>
  <c r="BJ416" i="10"/>
  <c r="BJ420" i="10"/>
  <c r="BJ424" i="10"/>
  <c r="BJ428" i="10"/>
  <c r="BJ432" i="10"/>
  <c r="BJ436" i="10"/>
  <c r="BJ440" i="10"/>
  <c r="BJ444" i="10"/>
  <c r="BJ448" i="10"/>
  <c r="BJ452" i="10"/>
  <c r="BJ456" i="10"/>
  <c r="BJ460" i="10"/>
  <c r="BJ464" i="10"/>
  <c r="BJ468" i="10"/>
  <c r="BJ472" i="10"/>
  <c r="BJ476" i="10"/>
  <c r="BJ480" i="10"/>
  <c r="BJ484" i="10"/>
  <c r="BJ488" i="10"/>
  <c r="BJ509" i="10"/>
  <c r="BJ517" i="10"/>
  <c r="BJ525" i="10"/>
  <c r="BJ533" i="10"/>
  <c r="BJ541" i="10"/>
  <c r="BJ549" i="10"/>
  <c r="BJ557" i="10"/>
  <c r="BJ565" i="10"/>
  <c r="BJ573" i="10"/>
  <c r="BJ581" i="10"/>
  <c r="BJ589" i="10"/>
  <c r="BJ597" i="10"/>
  <c r="T682" i="10"/>
  <c r="X682" i="10"/>
  <c r="Y570" i="10"/>
  <c r="W570" i="10"/>
  <c r="T753" i="10"/>
  <c r="T751" i="10"/>
  <c r="W745" i="10"/>
  <c r="W743" i="10"/>
  <c r="W741" i="10"/>
  <c r="W739" i="10"/>
  <c r="Y737" i="10"/>
  <c r="Z737" i="10" s="1"/>
  <c r="W737" i="10"/>
  <c r="Y735" i="10"/>
  <c r="W735" i="10"/>
  <c r="T718" i="10"/>
  <c r="W714" i="10"/>
  <c r="W699" i="10"/>
  <c r="W684" i="10"/>
  <c r="W681" i="10"/>
  <c r="W679" i="10"/>
  <c r="T668" i="10"/>
  <c r="W656" i="10"/>
  <c r="W654" i="10"/>
  <c r="W652" i="10"/>
  <c r="W650" i="10"/>
  <c r="W648" i="10"/>
  <c r="W646" i="10"/>
  <c r="W644" i="10"/>
  <c r="X637" i="10"/>
  <c r="X633" i="10"/>
  <c r="X627" i="10"/>
  <c r="X625" i="10"/>
  <c r="W623" i="10"/>
  <c r="Y618" i="10"/>
  <c r="W618" i="10"/>
  <c r="W613" i="10"/>
  <c r="W611" i="10"/>
  <c r="Y594" i="10"/>
  <c r="T586" i="10"/>
  <c r="T580" i="10"/>
  <c r="X574" i="10"/>
  <c r="Y568" i="10"/>
  <c r="W568" i="10"/>
  <c r="Y566" i="10"/>
  <c r="W566" i="10"/>
  <c r="T561" i="10"/>
  <c r="Y557" i="10"/>
  <c r="W545" i="10"/>
  <c r="W543" i="10"/>
  <c r="Y541" i="10"/>
  <c r="W541" i="10"/>
  <c r="W539" i="10"/>
  <c r="Y537" i="10"/>
  <c r="W537" i="10"/>
  <c r="W535" i="10"/>
  <c r="Y533" i="10"/>
  <c r="W533" i="10"/>
  <c r="X524" i="10"/>
  <c r="X522" i="10"/>
  <c r="W510" i="10"/>
  <c r="W508" i="10"/>
  <c r="X497" i="10"/>
  <c r="X495" i="10"/>
  <c r="W474" i="10"/>
  <c r="W472" i="10"/>
  <c r="X433" i="10"/>
  <c r="X431" i="10"/>
  <c r="W429" i="10"/>
  <c r="W427" i="10"/>
  <c r="W425" i="10"/>
  <c r="W423" i="10"/>
  <c r="W421" i="10"/>
  <c r="W419" i="10"/>
  <c r="X406" i="10"/>
  <c r="X402" i="10"/>
  <c r="W392" i="10"/>
  <c r="BJ669" i="10"/>
  <c r="BJ670" i="10"/>
  <c r="BJ671" i="10"/>
  <c r="BJ672" i="10"/>
  <c r="BJ673" i="10"/>
  <c r="BJ674" i="10"/>
  <c r="BJ675" i="10"/>
  <c r="BJ676" i="10"/>
  <c r="BJ677" i="10"/>
  <c r="BJ678" i="10"/>
  <c r="BJ679" i="10"/>
  <c r="BJ680" i="10"/>
  <c r="BJ681" i="10"/>
  <c r="BJ682" i="10"/>
  <c r="BJ683" i="10"/>
  <c r="BJ684" i="10"/>
  <c r="BJ685" i="10"/>
  <c r="BJ686" i="10"/>
  <c r="BJ687" i="10"/>
  <c r="BJ688" i="10"/>
  <c r="BJ689" i="10"/>
  <c r="BJ690" i="10"/>
  <c r="BJ691" i="10"/>
  <c r="BJ692" i="10"/>
  <c r="BJ693" i="10"/>
  <c r="BJ694" i="10"/>
  <c r="BJ695" i="10"/>
  <c r="BJ696" i="10"/>
  <c r="BJ697" i="10"/>
  <c r="T749" i="10"/>
  <c r="X745" i="10"/>
  <c r="X743" i="10"/>
  <c r="X741" i="10"/>
  <c r="X737" i="10"/>
  <c r="W733" i="10"/>
  <c r="W731" i="10"/>
  <c r="W729" i="10"/>
  <c r="W727" i="10"/>
  <c r="W725" i="10"/>
  <c r="W723" i="10"/>
  <c r="W721" i="10"/>
  <c r="W719" i="10"/>
  <c r="W717" i="10"/>
  <c r="W712" i="10"/>
  <c r="W710" i="10"/>
  <c r="W708" i="10"/>
  <c r="W706" i="10"/>
  <c r="W697" i="10"/>
  <c r="W695" i="10"/>
  <c r="Y688" i="10"/>
  <c r="X681" i="10"/>
  <c r="X679" i="10"/>
  <c r="W677" i="10"/>
  <c r="W642" i="10"/>
  <c r="W640" i="10"/>
  <c r="Y638" i="10"/>
  <c r="T627" i="10"/>
  <c r="Y621" i="10"/>
  <c r="Z621" i="10" s="1"/>
  <c r="X613" i="10"/>
  <c r="X611" i="10"/>
  <c r="Y609" i="10"/>
  <c r="W609" i="10"/>
  <c r="W607" i="10"/>
  <c r="T576" i="10"/>
  <c r="W564" i="10"/>
  <c r="W562" i="10"/>
  <c r="Y560" i="10"/>
  <c r="W560" i="10"/>
  <c r="X559" i="10"/>
  <c r="X543" i="10"/>
  <c r="W531" i="10"/>
  <c r="W529" i="10"/>
  <c r="T524" i="10"/>
  <c r="Y518" i="10"/>
  <c r="X510" i="10"/>
  <c r="X508" i="10"/>
  <c r="W506" i="10"/>
  <c r="W493" i="10"/>
  <c r="T463" i="10"/>
  <c r="T449" i="10"/>
  <c r="T447" i="10"/>
  <c r="T431" i="10"/>
  <c r="W417" i="10"/>
  <c r="W415" i="10"/>
  <c r="Y693" i="10"/>
  <c r="W693" i="10"/>
  <c r="Y673" i="10"/>
  <c r="W673" i="10"/>
  <c r="Y616" i="10"/>
  <c r="W616" i="10"/>
  <c r="Y599" i="10"/>
  <c r="W599" i="10"/>
  <c r="Y597" i="10"/>
  <c r="W597" i="10"/>
  <c r="Y554" i="10"/>
  <c r="Z554" i="10" s="1"/>
  <c r="W554" i="10"/>
  <c r="Y527" i="10"/>
  <c r="W527" i="10"/>
  <c r="Y470" i="10"/>
  <c r="W470" i="10"/>
  <c r="Y468" i="10"/>
  <c r="W468" i="10"/>
  <c r="Y413" i="10"/>
  <c r="Z413" i="10" s="1"/>
  <c r="W413" i="10"/>
  <c r="Y407" i="10"/>
  <c r="Z407" i="10" s="1"/>
  <c r="W407" i="10"/>
  <c r="W356" i="10"/>
  <c r="W354" i="10"/>
  <c r="W748" i="10"/>
  <c r="W715" i="10"/>
  <c r="T710" i="10"/>
  <c r="W689" i="10"/>
  <c r="W687" i="10"/>
  <c r="W682" i="10"/>
  <c r="W659" i="10"/>
  <c r="Y657" i="10"/>
  <c r="T652" i="10"/>
  <c r="W636" i="10"/>
  <c r="Y634" i="10"/>
  <c r="Z634" i="10" s="1"/>
  <c r="W634" i="10"/>
  <c r="Y632" i="10"/>
  <c r="W632" i="10"/>
  <c r="Y630" i="10"/>
  <c r="W630" i="10"/>
  <c r="W628" i="10"/>
  <c r="Y626" i="10"/>
  <c r="Z626" i="10" s="1"/>
  <c r="W626" i="10"/>
  <c r="Y624" i="10"/>
  <c r="Y619" i="10"/>
  <c r="W619" i="10"/>
  <c r="T618" i="10"/>
  <c r="Y614" i="10"/>
  <c r="Y573" i="10"/>
  <c r="W573" i="10"/>
  <c r="W571" i="10"/>
  <c r="Y569" i="10"/>
  <c r="W569" i="10"/>
  <c r="W550" i="10"/>
  <c r="W548" i="10"/>
  <c r="W446" i="10"/>
  <c r="W444" i="10"/>
  <c r="W442" i="10"/>
  <c r="W440" i="10"/>
  <c r="W438" i="10"/>
  <c r="W436" i="10"/>
  <c r="W434" i="10"/>
  <c r="W432" i="10"/>
  <c r="Y430" i="10"/>
  <c r="W430" i="10"/>
  <c r="Y390" i="10"/>
  <c r="T384" i="10"/>
  <c r="Q618" i="10"/>
  <c r="Q570" i="10"/>
  <c r="Y752" i="10"/>
  <c r="Y736" i="10"/>
  <c r="W736" i="10"/>
  <c r="Y678" i="10"/>
  <c r="W678" i="10"/>
  <c r="Y651" i="10"/>
  <c r="W651" i="10"/>
  <c r="Y593" i="10"/>
  <c r="X569" i="10"/>
  <c r="Y540" i="10"/>
  <c r="W540" i="10"/>
  <c r="Y428" i="10"/>
  <c r="W428" i="10"/>
  <c r="X397" i="10"/>
  <c r="X395" i="10"/>
  <c r="W393" i="10"/>
  <c r="X382" i="10"/>
  <c r="X746" i="10"/>
  <c r="X738" i="10"/>
  <c r="Y718" i="10"/>
  <c r="W718" i="10"/>
  <c r="Y707" i="10"/>
  <c r="W707" i="10"/>
  <c r="Y696" i="10"/>
  <c r="W696" i="10"/>
  <c r="Y683" i="10"/>
  <c r="W683" i="10"/>
  <c r="X678" i="10"/>
  <c r="T673" i="10"/>
  <c r="X655" i="10"/>
  <c r="X653" i="10"/>
  <c r="Y641" i="10"/>
  <c r="W641" i="10"/>
  <c r="Y639" i="10"/>
  <c r="Z639" i="10" s="1"/>
  <c r="W639" i="10"/>
  <c r="Y610" i="10"/>
  <c r="W610" i="10"/>
  <c r="Y561" i="10"/>
  <c r="W561" i="10"/>
  <c r="X544" i="10"/>
  <c r="X542" i="10"/>
  <c r="X538" i="10"/>
  <c r="X536" i="10"/>
  <c r="X534" i="10"/>
  <c r="Y525" i="10"/>
  <c r="Y500" i="10"/>
  <c r="X494" i="10"/>
  <c r="Y492" i="10"/>
  <c r="W492" i="10"/>
  <c r="Y481" i="10"/>
  <c r="T468" i="10"/>
  <c r="Y462" i="10"/>
  <c r="Y452" i="10"/>
  <c r="X418" i="10"/>
  <c r="T397" i="10"/>
  <c r="W391" i="10"/>
  <c r="W389" i="10"/>
  <c r="W387" i="10"/>
  <c r="W385" i="10"/>
  <c r="W383" i="10"/>
  <c r="W381" i="10"/>
  <c r="W379" i="10"/>
  <c r="W377" i="10"/>
  <c r="W375" i="10"/>
  <c r="W373" i="10"/>
  <c r="W371" i="10"/>
  <c r="W369" i="10"/>
  <c r="W367" i="10"/>
  <c r="W365" i="10"/>
  <c r="W363" i="10"/>
  <c r="W361" i="10"/>
  <c r="W359" i="10"/>
  <c r="T354" i="10"/>
  <c r="W753" i="10"/>
  <c r="W751" i="10"/>
  <c r="T748" i="10"/>
  <c r="T746" i="10"/>
  <c r="T740" i="10"/>
  <c r="T738" i="10"/>
  <c r="X716" i="10"/>
  <c r="W705" i="10"/>
  <c r="W703" i="10"/>
  <c r="W694" i="10"/>
  <c r="Y692" i="10"/>
  <c r="W692" i="10"/>
  <c r="T685" i="10"/>
  <c r="W676" i="10"/>
  <c r="W674" i="10"/>
  <c r="W672" i="10"/>
  <c r="Y670" i="10"/>
  <c r="W670" i="10"/>
  <c r="W668" i="10"/>
  <c r="W666" i="10"/>
  <c r="W664" i="10"/>
  <c r="W662" i="10"/>
  <c r="Y660" i="10"/>
  <c r="W660" i="10"/>
  <c r="T657" i="10"/>
  <c r="Y645" i="10"/>
  <c r="T643" i="10"/>
  <c r="X617" i="10"/>
  <c r="Z617" i="10" s="1"/>
  <c r="T614" i="10"/>
  <c r="W606" i="10"/>
  <c r="W604" i="10"/>
  <c r="W602" i="10"/>
  <c r="W600" i="10"/>
  <c r="Y598" i="10"/>
  <c r="W598" i="10"/>
  <c r="W596" i="10"/>
  <c r="W594" i="10"/>
  <c r="W592" i="10"/>
  <c r="W590" i="10"/>
  <c r="W588" i="10"/>
  <c r="W586" i="10"/>
  <c r="W584" i="10"/>
  <c r="W582" i="10"/>
  <c r="W580" i="10"/>
  <c r="Y578" i="10"/>
  <c r="Z578" i="10" s="1"/>
  <c r="W578" i="10"/>
  <c r="W559" i="10"/>
  <c r="W557" i="10"/>
  <c r="W555" i="10"/>
  <c r="W528" i="10"/>
  <c r="T509" i="10"/>
  <c r="W505" i="10"/>
  <c r="Y503" i="10"/>
  <c r="W503" i="10"/>
  <c r="W490" i="10"/>
  <c r="W488" i="10"/>
  <c r="W486" i="10"/>
  <c r="W469" i="10"/>
  <c r="W467" i="10"/>
  <c r="X454" i="10"/>
  <c r="W414" i="10"/>
  <c r="Y412" i="10"/>
  <c r="W412" i="10"/>
  <c r="W410" i="10"/>
  <c r="Y408" i="10"/>
  <c r="W408" i="10"/>
  <c r="W357" i="10"/>
  <c r="W355" i="10"/>
  <c r="Q418" i="10"/>
  <c r="Q426" i="10"/>
  <c r="Q430" i="10"/>
  <c r="Q450" i="10"/>
  <c r="Q454" i="10"/>
  <c r="Q474" i="10"/>
  <c r="Q478" i="10"/>
  <c r="Q482" i="10"/>
  <c r="Q490" i="10"/>
  <c r="Q493" i="10"/>
  <c r="Q501" i="10"/>
  <c r="Q505" i="10"/>
  <c r="Q739" i="10"/>
  <c r="Q731" i="10"/>
  <c r="Q723" i="10"/>
  <c r="Q707" i="10"/>
  <c r="Q667" i="10"/>
  <c r="Q651" i="10"/>
  <c r="Q595" i="10"/>
  <c r="Q539" i="10"/>
  <c r="Q523" i="10"/>
  <c r="Q515" i="10"/>
  <c r="Q498" i="10"/>
  <c r="Q694" i="10"/>
  <c r="Q678" i="10"/>
  <c r="Q662" i="10"/>
  <c r="Q634" i="10"/>
  <c r="Q602" i="10"/>
  <c r="Q542" i="10"/>
  <c r="Q514" i="10"/>
  <c r="Q392" i="10"/>
  <c r="X747" i="10"/>
  <c r="Z747" i="10" s="1"/>
  <c r="X739" i="10"/>
  <c r="X733" i="10"/>
  <c r="Y730" i="10"/>
  <c r="T725" i="10"/>
  <c r="Y720" i="10"/>
  <c r="Y713" i="10"/>
  <c r="X706" i="10"/>
  <c r="Y705" i="10"/>
  <c r="Z705" i="10" s="1"/>
  <c r="Y704" i="10"/>
  <c r="Y702" i="10"/>
  <c r="Y699" i="10"/>
  <c r="X691" i="10"/>
  <c r="Y690" i="10"/>
  <c r="Y689" i="10"/>
  <c r="T683" i="10"/>
  <c r="T674" i="10"/>
  <c r="X671" i="10"/>
  <c r="T656" i="10"/>
  <c r="X646" i="10"/>
  <c r="Y643" i="10"/>
  <c r="X641" i="10"/>
  <c r="X640" i="10"/>
  <c r="X639" i="10"/>
  <c r="T545" i="10"/>
  <c r="Y542" i="10"/>
  <c r="Z510" i="10"/>
  <c r="X475" i="10"/>
  <c r="Z417" i="10"/>
  <c r="T736" i="10"/>
  <c r="T734" i="10"/>
  <c r="X730" i="10"/>
  <c r="Z730" i="10" s="1"/>
  <c r="X726" i="10"/>
  <c r="Y725" i="10"/>
  <c r="Y724" i="10"/>
  <c r="Y712" i="10"/>
  <c r="Y711" i="10"/>
  <c r="T706" i="10"/>
  <c r="T692" i="10"/>
  <c r="Y681" i="10"/>
  <c r="Y679" i="10"/>
  <c r="Y674" i="10"/>
  <c r="X666" i="10"/>
  <c r="X665" i="10"/>
  <c r="Y664" i="10"/>
  <c r="T661" i="10"/>
  <c r="T660" i="10"/>
  <c r="X657" i="10"/>
  <c r="Z657" i="10" s="1"/>
  <c r="Y656" i="10"/>
  <c r="T649" i="10"/>
  <c r="T647" i="10"/>
  <c r="T646" i="10"/>
  <c r="T645" i="10"/>
  <c r="X643" i="10"/>
  <c r="T639" i="10"/>
  <c r="X602" i="10"/>
  <c r="X601" i="10"/>
  <c r="X600" i="10"/>
  <c r="T579" i="10"/>
  <c r="X562" i="10"/>
  <c r="Y545" i="10"/>
  <c r="T538" i="10"/>
  <c r="T537" i="10"/>
  <c r="X519" i="10"/>
  <c r="X518" i="10"/>
  <c r="Z518" i="10" s="1"/>
  <c r="X481" i="10"/>
  <c r="Y480" i="10"/>
  <c r="T388" i="10"/>
  <c r="X381" i="10"/>
  <c r="X370" i="10"/>
  <c r="X354" i="10"/>
  <c r="Q728" i="10"/>
  <c r="Q716" i="10"/>
  <c r="Q708" i="10"/>
  <c r="Q692" i="10"/>
  <c r="Q676" i="10"/>
  <c r="Q652" i="10"/>
  <c r="Q628" i="10"/>
  <c r="Q576" i="10"/>
  <c r="Q572" i="10"/>
  <c r="Q568" i="10"/>
  <c r="Q540" i="10"/>
  <c r="Q536" i="10"/>
  <c r="Q512" i="10"/>
  <c r="AF698" i="10"/>
  <c r="T606" i="10"/>
  <c r="T602" i="10"/>
  <c r="T601" i="10"/>
  <c r="T600" i="10"/>
  <c r="X592" i="10"/>
  <c r="X587" i="10"/>
  <c r="X586" i="10"/>
  <c r="X585" i="10"/>
  <c r="Y574" i="10"/>
  <c r="T571" i="10"/>
  <c r="T566" i="10"/>
  <c r="X546" i="10"/>
  <c r="Y513" i="10"/>
  <c r="T487" i="10"/>
  <c r="Y484" i="10"/>
  <c r="T481" i="10"/>
  <c r="T455" i="10"/>
  <c r="X439" i="10"/>
  <c r="Y438" i="10"/>
  <c r="Z438" i="10" s="1"/>
  <c r="Y436" i="10"/>
  <c r="T423" i="10"/>
  <c r="T412" i="10"/>
  <c r="T402" i="10"/>
  <c r="Y388" i="10"/>
  <c r="Y385" i="10"/>
  <c r="Y383" i="10"/>
  <c r="Y382" i="10"/>
  <c r="Z382" i="10" s="1"/>
  <c r="Y381" i="10"/>
  <c r="Y377" i="10"/>
  <c r="Y376" i="10"/>
  <c r="Y356" i="10"/>
  <c r="Y352" i="10"/>
  <c r="Y351" i="10"/>
  <c r="X748" i="10"/>
  <c r="X718" i="10"/>
  <c r="Z718" i="10" s="1"/>
  <c r="X700" i="10"/>
  <c r="Z638" i="10"/>
  <c r="X462" i="10"/>
  <c r="Z462" i="10" s="1"/>
  <c r="T440" i="10"/>
  <c r="T439" i="10"/>
  <c r="AF541" i="10"/>
  <c r="Q351" i="10"/>
  <c r="AI351" i="10"/>
  <c r="AF353" i="10"/>
  <c r="Q355" i="10"/>
  <c r="AI355" i="10"/>
  <c r="AF357" i="10"/>
  <c r="Q359" i="10"/>
  <c r="AI359" i="10"/>
  <c r="AF361" i="10"/>
  <c r="Q363" i="10"/>
  <c r="AI363" i="10"/>
  <c r="AF365" i="10"/>
  <c r="Q367" i="10"/>
  <c r="AI367" i="10"/>
  <c r="AF369" i="10"/>
  <c r="Q371" i="10"/>
  <c r="AI371" i="10"/>
  <c r="AF373" i="10"/>
  <c r="Q375" i="10"/>
  <c r="AI375" i="10"/>
  <c r="AF377" i="10"/>
  <c r="Q379" i="10"/>
  <c r="AI379" i="10"/>
  <c r="AF381" i="10"/>
  <c r="Q383" i="10"/>
  <c r="AI383" i="10"/>
  <c r="AF385" i="10"/>
  <c r="Q387" i="10"/>
  <c r="AI387" i="10"/>
  <c r="AF389" i="10"/>
  <c r="Q391" i="10"/>
  <c r="AI391" i="10"/>
  <c r="AF393" i="10"/>
  <c r="Q395" i="10"/>
  <c r="AI395" i="10"/>
  <c r="AF397" i="10"/>
  <c r="Q399" i="10"/>
  <c r="AI399" i="10"/>
  <c r="AF401" i="10"/>
  <c r="Q403" i="10"/>
  <c r="AI403" i="10"/>
  <c r="AF405" i="10"/>
  <c r="Q407" i="10"/>
  <c r="AI407" i="10"/>
  <c r="AF409" i="10"/>
  <c r="AI410" i="10"/>
  <c r="AF411" i="10"/>
  <c r="AI412" i="10"/>
  <c r="AF413" i="10"/>
  <c r="AI414" i="10"/>
  <c r="AF415" i="10"/>
  <c r="AI416" i="10"/>
  <c r="AF417" i="10"/>
  <c r="AI418" i="10"/>
  <c r="AF419" i="10"/>
  <c r="AI420" i="10"/>
  <c r="AF421" i="10"/>
  <c r="AI422" i="10"/>
  <c r="AF423" i="10"/>
  <c r="AI424" i="10"/>
  <c r="AF425" i="10"/>
  <c r="AI426" i="10"/>
  <c r="AF427" i="10"/>
  <c r="AI428" i="10"/>
  <c r="AF429" i="10"/>
  <c r="AI430" i="10"/>
  <c r="AF431" i="10"/>
  <c r="AI432" i="10"/>
  <c r="AF433" i="10"/>
  <c r="AI434" i="10"/>
  <c r="AF435" i="10"/>
  <c r="AI436" i="10"/>
  <c r="AF437" i="10"/>
  <c r="AI438" i="10"/>
  <c r="AF439" i="10"/>
  <c r="AI440" i="10"/>
  <c r="AF441" i="10"/>
  <c r="AI442" i="10"/>
  <c r="AF443" i="10"/>
  <c r="AI444" i="10"/>
  <c r="AF445" i="10"/>
  <c r="AI446" i="10"/>
  <c r="AF447" i="10"/>
  <c r="AI448" i="10"/>
  <c r="AF449" i="10"/>
  <c r="AI450" i="10"/>
  <c r="AF451" i="10"/>
  <c r="AI452" i="10"/>
  <c r="AF453" i="10"/>
  <c r="AI454" i="10"/>
  <c r="AF455" i="10"/>
  <c r="AI456" i="10"/>
  <c r="AF457" i="10"/>
  <c r="AI458" i="10"/>
  <c r="AF459" i="10"/>
  <c r="AI460" i="10"/>
  <c r="AF461" i="10"/>
  <c r="AI462" i="10"/>
  <c r="AF463" i="10"/>
  <c r="AI464" i="10"/>
  <c r="AF465" i="10"/>
  <c r="AI466" i="10"/>
  <c r="AF467" i="10"/>
  <c r="AI468" i="10"/>
  <c r="AF469" i="10"/>
  <c r="AI470" i="10"/>
  <c r="AF471" i="10"/>
  <c r="AI543" i="10"/>
  <c r="AF545" i="10"/>
  <c r="AI547" i="10"/>
  <c r="AF549" i="10"/>
  <c r="AI551" i="10"/>
  <c r="AF553" i="10"/>
  <c r="AI555" i="10"/>
  <c r="AF557" i="10"/>
  <c r="AI559" i="10"/>
  <c r="AF561" i="10"/>
  <c r="AI563" i="10"/>
  <c r="AF565" i="10"/>
  <c r="AI567" i="10"/>
  <c r="AF569" i="10"/>
  <c r="AI571" i="10"/>
  <c r="AF573" i="10"/>
  <c r="AI575" i="10"/>
  <c r="AF577" i="10"/>
  <c r="AI579" i="10"/>
  <c r="AF581" i="10"/>
  <c r="AI583" i="10"/>
  <c r="AF585" i="10"/>
  <c r="AI587" i="10"/>
  <c r="AF589" i="10"/>
  <c r="AI591" i="10"/>
  <c r="AF593" i="10"/>
  <c r="AI595" i="10"/>
  <c r="AF597" i="10"/>
  <c r="AI599" i="10"/>
  <c r="AF601" i="10"/>
  <c r="AF602" i="10"/>
  <c r="AF603" i="10"/>
  <c r="AF604" i="10"/>
  <c r="AF605" i="10"/>
  <c r="AF606" i="10"/>
  <c r="AF607" i="10"/>
  <c r="AF608" i="10"/>
  <c r="AF609" i="10"/>
  <c r="AF610" i="10"/>
  <c r="AF611" i="10"/>
  <c r="AF612" i="10"/>
  <c r="AF613" i="10"/>
  <c r="AF614" i="10"/>
  <c r="AF615" i="10"/>
  <c r="AF616" i="10"/>
  <c r="AF617" i="10"/>
  <c r="AF618" i="10"/>
  <c r="AF619" i="10"/>
  <c r="AF620" i="10"/>
  <c r="AF621" i="10"/>
  <c r="AF622" i="10"/>
  <c r="AF623" i="10"/>
  <c r="AF624" i="10"/>
  <c r="AF625" i="10"/>
  <c r="AF626" i="10"/>
  <c r="AF627" i="10"/>
  <c r="AF628" i="10"/>
  <c r="AF629" i="10"/>
  <c r="AF630" i="10"/>
  <c r="AF631" i="10"/>
  <c r="AF632" i="10"/>
  <c r="AF633" i="10"/>
  <c r="AF634" i="10"/>
  <c r="AF635" i="10"/>
  <c r="AF636" i="10"/>
  <c r="AF637" i="10"/>
  <c r="AF638" i="10"/>
  <c r="AF639" i="10"/>
  <c r="AF640" i="10"/>
  <c r="AF641" i="10"/>
  <c r="AF642" i="10"/>
  <c r="AF643" i="10"/>
  <c r="AF644" i="10"/>
  <c r="AF645" i="10"/>
  <c r="AF646" i="10"/>
  <c r="AF647" i="10"/>
  <c r="AF648" i="10"/>
  <c r="AF649" i="10"/>
  <c r="AF650" i="10"/>
  <c r="AF651" i="10"/>
  <c r="AF652" i="10"/>
  <c r="AF653" i="10"/>
  <c r="AF654" i="10"/>
  <c r="AF655" i="10"/>
  <c r="AF656" i="10"/>
  <c r="AF657" i="10"/>
  <c r="AF658" i="10"/>
  <c r="AF659" i="10"/>
  <c r="AF660" i="10"/>
  <c r="AF661" i="10"/>
  <c r="AF662" i="10"/>
  <c r="AF663" i="10"/>
  <c r="AF664" i="10"/>
  <c r="AF665" i="10"/>
  <c r="AF666" i="10"/>
  <c r="AF667" i="10"/>
  <c r="AF668" i="10"/>
  <c r="AF669" i="10"/>
  <c r="AF670" i="10"/>
  <c r="AF671" i="10"/>
  <c r="AF672" i="10"/>
  <c r="AF673" i="10"/>
  <c r="AF674" i="10"/>
  <c r="AF675" i="10"/>
  <c r="AF676" i="10"/>
  <c r="AF677" i="10"/>
  <c r="AF678" i="10"/>
  <c r="AF679" i="10"/>
  <c r="AF680" i="10"/>
  <c r="AF681" i="10"/>
  <c r="AF682" i="10"/>
  <c r="AF683" i="10"/>
  <c r="AF684" i="10"/>
  <c r="AF685" i="10"/>
  <c r="AF686" i="10"/>
  <c r="AF687" i="10"/>
  <c r="AF688" i="10"/>
  <c r="AF689" i="10"/>
  <c r="AF690" i="10"/>
  <c r="AF691" i="10"/>
  <c r="AF692" i="10"/>
  <c r="AF693" i="10"/>
  <c r="AF694" i="10"/>
  <c r="AF695" i="10"/>
  <c r="AF696" i="10"/>
  <c r="AF697" i="10"/>
  <c r="AF699" i="10"/>
  <c r="AF700" i="10"/>
  <c r="AF701" i="10"/>
  <c r="AF702" i="10"/>
  <c r="AF703" i="10"/>
  <c r="AF704" i="10"/>
  <c r="AF705" i="10"/>
  <c r="Y729" i="10"/>
  <c r="Y368" i="10"/>
  <c r="T368" i="10"/>
  <c r="AF706" i="10"/>
  <c r="AF707" i="10"/>
  <c r="AF708" i="10"/>
  <c r="AF709" i="10"/>
  <c r="AF710" i="10"/>
  <c r="AF711" i="10"/>
  <c r="AF712" i="10"/>
  <c r="AF713" i="10"/>
  <c r="AF714" i="10"/>
  <c r="AF715" i="10"/>
  <c r="AF716" i="10"/>
  <c r="AF717" i="10"/>
  <c r="AF718" i="10"/>
  <c r="AF719" i="10"/>
  <c r="AF720" i="10"/>
  <c r="AF721" i="10"/>
  <c r="AF722" i="10"/>
  <c r="AF723" i="10"/>
  <c r="AF724" i="10"/>
  <c r="AF725" i="10"/>
  <c r="AF726" i="10"/>
  <c r="AF727" i="10"/>
  <c r="AF728" i="10"/>
  <c r="AF729" i="10"/>
  <c r="AF730" i="10"/>
  <c r="AF731" i="10"/>
  <c r="AF732" i="10"/>
  <c r="AF733" i="10"/>
  <c r="AF734" i="10"/>
  <c r="AF735" i="10"/>
  <c r="AF736" i="10"/>
  <c r="AF737" i="10"/>
  <c r="AF738" i="10"/>
  <c r="AF739" i="10"/>
  <c r="AF740" i="10"/>
  <c r="AF741" i="10"/>
  <c r="AF742" i="10"/>
  <c r="AF743" i="10"/>
  <c r="AF744" i="10"/>
  <c r="AF745" i="10"/>
  <c r="AF746" i="10"/>
  <c r="AF747" i="10"/>
  <c r="AF748" i="10"/>
  <c r="AF749" i="10"/>
  <c r="AF750" i="10"/>
  <c r="AF751" i="10"/>
  <c r="AF752" i="10"/>
  <c r="AF753" i="10"/>
  <c r="X725" i="10"/>
  <c r="Z690" i="10"/>
  <c r="T688" i="10"/>
  <c r="T605" i="10"/>
  <c r="T555" i="10"/>
  <c r="Y380" i="10"/>
  <c r="AF598" i="10"/>
  <c r="Y753" i="10"/>
  <c r="Y750" i="10"/>
  <c r="Y745" i="10"/>
  <c r="Z745" i="10" s="1"/>
  <c r="Y744" i="10"/>
  <c r="Y742" i="10"/>
  <c r="Y741" i="10"/>
  <c r="Y728" i="10"/>
  <c r="Y709" i="10"/>
  <c r="Y669" i="10"/>
  <c r="T544" i="10"/>
  <c r="Y522" i="10"/>
  <c r="Z522" i="10" s="1"/>
  <c r="T522" i="10"/>
  <c r="AI472" i="10"/>
  <c r="AF473" i="10"/>
  <c r="AI474" i="10"/>
  <c r="AF475" i="10"/>
  <c r="AI476" i="10"/>
  <c r="AF477" i="10"/>
  <c r="AI478" i="10"/>
  <c r="AF479" i="10"/>
  <c r="AI480" i="10"/>
  <c r="AF481" i="10"/>
  <c r="AI482" i="10"/>
  <c r="AF483" i="10"/>
  <c r="AI484" i="10"/>
  <c r="AF485" i="10"/>
  <c r="AI486" i="10"/>
  <c r="AF487" i="10"/>
  <c r="AI488" i="10"/>
  <c r="AF489" i="10"/>
  <c r="AI490" i="10"/>
  <c r="AI509" i="10"/>
  <c r="AF511" i="10"/>
  <c r="AI513" i="10"/>
  <c r="AF515" i="10"/>
  <c r="AI517" i="10"/>
  <c r="AF519" i="10"/>
  <c r="AI521" i="10"/>
  <c r="AF523" i="10"/>
  <c r="AI525" i="10"/>
  <c r="AF527" i="10"/>
  <c r="AI529" i="10"/>
  <c r="AF531" i="10"/>
  <c r="AI533" i="10"/>
  <c r="AF535" i="10"/>
  <c r="AI537" i="10"/>
  <c r="AF539" i="10"/>
  <c r="AI541" i="10"/>
  <c r="AF543" i="10"/>
  <c r="AI545" i="10"/>
  <c r="AF547" i="10"/>
  <c r="AI549" i="10"/>
  <c r="AF551" i="10"/>
  <c r="AI553" i="10"/>
  <c r="AF555" i="10"/>
  <c r="AI557" i="10"/>
  <c r="AF559" i="10"/>
  <c r="AI561" i="10"/>
  <c r="AF563" i="10"/>
  <c r="AI565" i="10"/>
  <c r="AF567" i="10"/>
  <c r="AI569" i="10"/>
  <c r="AF571" i="10"/>
  <c r="AI573" i="10"/>
  <c r="AF575" i="10"/>
  <c r="AI577" i="10"/>
  <c r="AF579" i="10"/>
  <c r="AI581" i="10"/>
  <c r="AF583" i="10"/>
  <c r="AI585" i="10"/>
  <c r="AF587" i="10"/>
  <c r="AI589" i="10"/>
  <c r="AF591" i="10"/>
  <c r="AI593" i="10"/>
  <c r="AF595" i="10"/>
  <c r="AI597" i="10"/>
  <c r="AF599" i="10"/>
  <c r="AI601" i="10"/>
  <c r="AI602" i="10"/>
  <c r="AI603" i="10"/>
  <c r="AI604" i="10"/>
  <c r="AI605" i="10"/>
  <c r="AI606" i="10"/>
  <c r="AI607" i="10"/>
  <c r="AI608" i="10"/>
  <c r="AI609" i="10"/>
  <c r="AI610" i="10"/>
  <c r="AI611" i="10"/>
  <c r="AI612" i="10"/>
  <c r="AI613" i="10"/>
  <c r="AI614" i="10"/>
  <c r="AI615" i="10"/>
  <c r="AI616" i="10"/>
  <c r="AI617" i="10"/>
  <c r="AI618" i="10"/>
  <c r="AI619" i="10"/>
  <c r="AI620" i="10"/>
  <c r="AI621" i="10"/>
  <c r="AI622" i="10"/>
  <c r="AI623" i="10"/>
  <c r="AI624" i="10"/>
  <c r="AI625" i="10"/>
  <c r="AI626" i="10"/>
  <c r="AI627" i="10"/>
  <c r="AI628" i="10"/>
  <c r="AI629" i="10"/>
  <c r="AI630" i="10"/>
  <c r="AI631" i="10"/>
  <c r="AI632" i="10"/>
  <c r="AI633" i="10"/>
  <c r="AI634" i="10"/>
  <c r="AI635" i="10"/>
  <c r="AI636" i="10"/>
  <c r="AI637" i="10"/>
  <c r="AI638" i="10"/>
  <c r="AI639" i="10"/>
  <c r="AI640" i="10"/>
  <c r="AI641" i="10"/>
  <c r="AI642" i="10"/>
  <c r="AI643" i="10"/>
  <c r="AI644" i="10"/>
  <c r="AI645" i="10"/>
  <c r="AI646" i="10"/>
  <c r="AI647" i="10"/>
  <c r="AI648" i="10"/>
  <c r="AI649" i="10"/>
  <c r="AI650" i="10"/>
  <c r="AI651" i="10"/>
  <c r="AI652" i="10"/>
  <c r="AI653" i="10"/>
  <c r="AI654" i="10"/>
  <c r="AI655" i="10"/>
  <c r="AI656" i="10"/>
  <c r="AI657" i="10"/>
  <c r="AI658" i="10"/>
  <c r="AI659" i="10"/>
  <c r="Y749" i="10"/>
  <c r="Y740" i="10"/>
  <c r="Y739" i="10"/>
  <c r="Z739" i="10" s="1"/>
  <c r="T737" i="10"/>
  <c r="Y732" i="10"/>
  <c r="Y731" i="10"/>
  <c r="Y726" i="10"/>
  <c r="Y722" i="10"/>
  <c r="Z722" i="10" s="1"/>
  <c r="Y721" i="10"/>
  <c r="T717" i="10"/>
  <c r="X714" i="10"/>
  <c r="X713" i="10"/>
  <c r="Z713" i="10" s="1"/>
  <c r="T712" i="10"/>
  <c r="X708" i="10"/>
  <c r="T707" i="10"/>
  <c r="T677" i="10"/>
  <c r="T659" i="10"/>
  <c r="T658" i="10"/>
  <c r="T655" i="10"/>
  <c r="T654" i="10"/>
  <c r="T653" i="10"/>
  <c r="Y653" i="10"/>
  <c r="T650" i="10"/>
  <c r="T629" i="10"/>
  <c r="T628" i="10"/>
  <c r="T565" i="10"/>
  <c r="T563" i="10"/>
  <c r="X545" i="10"/>
  <c r="T516" i="10"/>
  <c r="X514" i="10"/>
  <c r="T514" i="10"/>
  <c r="T512" i="10"/>
  <c r="Y497" i="10"/>
  <c r="T497" i="10"/>
  <c r="Y449" i="10"/>
  <c r="T448" i="10"/>
  <c r="X703" i="10"/>
  <c r="X702" i="10"/>
  <c r="X692" i="10"/>
  <c r="Z692" i="10" s="1"/>
  <c r="X689" i="10"/>
  <c r="Y680" i="10"/>
  <c r="T672" i="10"/>
  <c r="X669" i="10"/>
  <c r="Z669" i="10" s="1"/>
  <c r="Y668" i="10"/>
  <c r="Y667" i="10"/>
  <c r="Y658" i="10"/>
  <c r="Y654" i="10"/>
  <c r="Y650" i="10"/>
  <c r="Y640" i="10"/>
  <c r="T637" i="10"/>
  <c r="X630" i="10"/>
  <c r="Z630" i="10" s="1"/>
  <c r="Y628" i="10"/>
  <c r="X623" i="10"/>
  <c r="T613" i="10"/>
  <c r="X607" i="10"/>
  <c r="Y605" i="10"/>
  <c r="Y604" i="10"/>
  <c r="X596" i="10"/>
  <c r="X595" i="10"/>
  <c r="T594" i="10"/>
  <c r="T590" i="10"/>
  <c r="T589" i="10"/>
  <c r="X583" i="10"/>
  <c r="Y581" i="10"/>
  <c r="Y577" i="10"/>
  <c r="X566" i="10"/>
  <c r="Z566" i="10" s="1"/>
  <c r="X560" i="10"/>
  <c r="Z560" i="10" s="1"/>
  <c r="Y559" i="10"/>
  <c r="Z559" i="10" s="1"/>
  <c r="Y558" i="10"/>
  <c r="X550" i="10"/>
  <c r="X548" i="10"/>
  <c r="Y544" i="10"/>
  <c r="X539" i="10"/>
  <c r="Y530" i="10"/>
  <c r="Z530" i="10" s="1"/>
  <c r="Y529" i="10"/>
  <c r="X527" i="10"/>
  <c r="Y521" i="10"/>
  <c r="Y520" i="10"/>
  <c r="Y519" i="10"/>
  <c r="Y516" i="10"/>
  <c r="X513" i="10"/>
  <c r="Z513" i="10" s="1"/>
  <c r="T496" i="10"/>
  <c r="Q691" i="10"/>
  <c r="Q675" i="10"/>
  <c r="Q659" i="10"/>
  <c r="Q635" i="10"/>
  <c r="Q627" i="10"/>
  <c r="Q611" i="10"/>
  <c r="Q607" i="10"/>
  <c r="Q603" i="10"/>
  <c r="Q587" i="10"/>
  <c r="Q579" i="10"/>
  <c r="Q571" i="10"/>
  <c r="Q563" i="10"/>
  <c r="Q555" i="10"/>
  <c r="Q531" i="10"/>
  <c r="Q511" i="10"/>
  <c r="AI731" i="10"/>
  <c r="X753" i="10"/>
  <c r="X750" i="10"/>
  <c r="Z750" i="10" s="1"/>
  <c r="X735" i="10"/>
  <c r="Y733" i="10"/>
  <c r="X731" i="10"/>
  <c r="Z731" i="10" s="1"/>
  <c r="X729" i="10"/>
  <c r="T728" i="10"/>
  <c r="T727" i="10"/>
  <c r="T724" i="10"/>
  <c r="Y716" i="10"/>
  <c r="Z716" i="10" s="1"/>
  <c r="T705" i="10"/>
  <c r="T703" i="10"/>
  <c r="X701" i="10"/>
  <c r="Y700" i="10"/>
  <c r="T699" i="10"/>
  <c r="X698" i="10"/>
  <c r="T696" i="10"/>
  <c r="T694" i="10"/>
  <c r="T693" i="10"/>
  <c r="X686" i="10"/>
  <c r="Y685" i="10"/>
  <c r="Y676" i="10"/>
  <c r="X673" i="10"/>
  <c r="Y672" i="10"/>
  <c r="Y666" i="10"/>
  <c r="Z666" i="10" s="1"/>
  <c r="T664" i="10"/>
  <c r="X658" i="10"/>
  <c r="X654" i="10"/>
  <c r="Y652" i="10"/>
  <c r="X650" i="10"/>
  <c r="Y637" i="10"/>
  <c r="T632" i="10"/>
  <c r="X631" i="10"/>
  <c r="T625" i="10"/>
  <c r="T623" i="10"/>
  <c r="T620" i="10"/>
  <c r="X614" i="10"/>
  <c r="Z614" i="10" s="1"/>
  <c r="T612" i="10"/>
  <c r="Y608" i="10"/>
  <c r="T607" i="10"/>
  <c r="T597" i="10"/>
  <c r="Y596" i="10"/>
  <c r="Z596" i="10" s="1"/>
  <c r="T595" i="10"/>
  <c r="Y591" i="10"/>
  <c r="Y590" i="10"/>
  <c r="Y589" i="10"/>
  <c r="Y588" i="10"/>
  <c r="T584" i="10"/>
  <c r="X580" i="10"/>
  <c r="Y572" i="10"/>
  <c r="X571" i="10"/>
  <c r="X558" i="10"/>
  <c r="X556" i="10"/>
  <c r="T553" i="10"/>
  <c r="T548" i="10"/>
  <c r="T547" i="10"/>
  <c r="T541" i="10"/>
  <c r="Y538" i="10"/>
  <c r="Z538" i="10" s="1"/>
  <c r="T533" i="10"/>
  <c r="X529" i="10"/>
  <c r="Y523" i="10"/>
  <c r="X517" i="10"/>
  <c r="X515" i="10"/>
  <c r="T513" i="10"/>
  <c r="X512" i="10"/>
  <c r="Z512" i="10" s="1"/>
  <c r="T482" i="10"/>
  <c r="T460" i="10"/>
  <c r="T428" i="10"/>
  <c r="T426" i="10"/>
  <c r="T409" i="10"/>
  <c r="T400" i="10"/>
  <c r="T399" i="10"/>
  <c r="Z385" i="10"/>
  <c r="Z383" i="10"/>
  <c r="Y509" i="10"/>
  <c r="Y508" i="10"/>
  <c r="X504" i="10"/>
  <c r="X503" i="10"/>
  <c r="Z503" i="10" s="1"/>
  <c r="T500" i="10"/>
  <c r="Y496" i="10"/>
  <c r="X473" i="10"/>
  <c r="X469" i="10"/>
  <c r="Y460" i="10"/>
  <c r="Y455" i="10"/>
  <c r="T452" i="10"/>
  <c r="X449" i="10"/>
  <c r="Y445" i="10"/>
  <c r="Y440" i="10"/>
  <c r="X437" i="10"/>
  <c r="X435" i="10"/>
  <c r="Y422" i="10"/>
  <c r="Y415" i="10"/>
  <c r="X414" i="10"/>
  <c r="X410" i="10"/>
  <c r="Y409" i="10"/>
  <c r="Y400" i="10"/>
  <c r="Y399" i="10"/>
  <c r="Y374" i="10"/>
  <c r="T372" i="10"/>
  <c r="X368" i="10"/>
  <c r="T356" i="10"/>
  <c r="X351" i="10"/>
  <c r="Z351" i="10" s="1"/>
  <c r="X509" i="10"/>
  <c r="Y505" i="10"/>
  <c r="Z505" i="10" s="1"/>
  <c r="T504" i="10"/>
  <c r="X502" i="10"/>
  <c r="Z502" i="10" s="1"/>
  <c r="X501" i="10"/>
  <c r="X483" i="10"/>
  <c r="X478" i="10"/>
  <c r="T474" i="10"/>
  <c r="Y469" i="10"/>
  <c r="X465" i="10"/>
  <c r="X464" i="10"/>
  <c r="X463" i="10"/>
  <c r="X461" i="10"/>
  <c r="X458" i="10"/>
  <c r="X457" i="10"/>
  <c r="X456" i="10"/>
  <c r="X455" i="10"/>
  <c r="X453" i="10"/>
  <c r="X447" i="10"/>
  <c r="X444" i="10"/>
  <c r="X442" i="10"/>
  <c r="X441" i="10"/>
  <c r="Y437" i="10"/>
  <c r="Z437" i="10" s="1"/>
  <c r="X430" i="10"/>
  <c r="Z430" i="10" s="1"/>
  <c r="X427" i="10"/>
  <c r="X426" i="10"/>
  <c r="Z415" i="10"/>
  <c r="Y414" i="10"/>
  <c r="T410" i="10"/>
  <c r="Y405" i="10"/>
  <c r="T404" i="10"/>
  <c r="X399" i="10"/>
  <c r="Y397" i="10"/>
  <c r="Z397" i="10" s="1"/>
  <c r="T386" i="10"/>
  <c r="T385" i="10"/>
  <c r="T383" i="10"/>
  <c r="T381" i="10"/>
  <c r="T375" i="10"/>
  <c r="Y373" i="10"/>
  <c r="Z373" i="10" s="1"/>
  <c r="Y372" i="10"/>
  <c r="Y364" i="10"/>
  <c r="T359" i="10"/>
  <c r="T352" i="10"/>
  <c r="T351" i="10"/>
  <c r="Q748" i="10"/>
  <c r="Q740" i="10"/>
  <c r="Q732" i="10"/>
  <c r="Q724" i="10"/>
  <c r="Q684" i="10"/>
  <c r="Q668" i="10"/>
  <c r="Q660" i="10"/>
  <c r="Q644" i="10"/>
  <c r="Q636" i="10"/>
  <c r="Q620" i="10"/>
  <c r="Q612" i="10"/>
  <c r="Q604" i="10"/>
  <c r="Q596" i="10"/>
  <c r="Q588" i="10"/>
  <c r="Q580" i="10"/>
  <c r="Q564" i="10"/>
  <c r="Q556" i="10"/>
  <c r="Q548" i="10"/>
  <c r="Q532" i="10"/>
  <c r="Q524" i="10"/>
  <c r="Q516" i="10"/>
  <c r="T697" i="10"/>
  <c r="Y697" i="10"/>
  <c r="Z697" i="10" s="1"/>
  <c r="Q350" i="10"/>
  <c r="AI350" i="10"/>
  <c r="AF352" i="10"/>
  <c r="Q354" i="10"/>
  <c r="AI354" i="10"/>
  <c r="AF356" i="10"/>
  <c r="Q358" i="10"/>
  <c r="AI358" i="10"/>
  <c r="AF360" i="10"/>
  <c r="Q362" i="10"/>
  <c r="AI362" i="10"/>
  <c r="AF364" i="10"/>
  <c r="Q366" i="10"/>
  <c r="AI366" i="10"/>
  <c r="AF368" i="10"/>
  <c r="Q370" i="10"/>
  <c r="AI370" i="10"/>
  <c r="AF372" i="10"/>
  <c r="Q374" i="10"/>
  <c r="AI374" i="10"/>
  <c r="AF376" i="10"/>
  <c r="Q378" i="10"/>
  <c r="AI378" i="10"/>
  <c r="AF380" i="10"/>
  <c r="Q382" i="10"/>
  <c r="AI382" i="10"/>
  <c r="AF384" i="10"/>
  <c r="Q386" i="10"/>
  <c r="AI386" i="10"/>
  <c r="AF388" i="10"/>
  <c r="Q390" i="10"/>
  <c r="AI390" i="10"/>
  <c r="AF392" i="10"/>
  <c r="Q394" i="10"/>
  <c r="AI394" i="10"/>
  <c r="AF396" i="10"/>
  <c r="Q398" i="10"/>
  <c r="AI398" i="10"/>
  <c r="AF400" i="10"/>
  <c r="Q402" i="10"/>
  <c r="AI402" i="10"/>
  <c r="AF404" i="10"/>
  <c r="Q406" i="10"/>
  <c r="AI406" i="10"/>
  <c r="AF408" i="10"/>
  <c r="AI491" i="10"/>
  <c r="AF492" i="10"/>
  <c r="AI493" i="10"/>
  <c r="AF494" i="10"/>
  <c r="AI495" i="10"/>
  <c r="AF496" i="10"/>
  <c r="AI497" i="10"/>
  <c r="AF498" i="10"/>
  <c r="AI499" i="10"/>
  <c r="AF500" i="10"/>
  <c r="AI501" i="10"/>
  <c r="AF502" i="10"/>
  <c r="AI503" i="10"/>
  <c r="AF504" i="10"/>
  <c r="AI505" i="10"/>
  <c r="AF506" i="10"/>
  <c r="AI507" i="10"/>
  <c r="AF508" i="10"/>
  <c r="AI510" i="10"/>
  <c r="AF512" i="10"/>
  <c r="AI514" i="10"/>
  <c r="AF516" i="10"/>
  <c r="AI518" i="10"/>
  <c r="AF520" i="10"/>
  <c r="AI522" i="10"/>
  <c r="AF524" i="10"/>
  <c r="AI526" i="10"/>
  <c r="AF528" i="10"/>
  <c r="AI530" i="10"/>
  <c r="AF532" i="10"/>
  <c r="AI534" i="10"/>
  <c r="AF536" i="10"/>
  <c r="AI538" i="10"/>
  <c r="AF540" i="10"/>
  <c r="AI542" i="10"/>
  <c r="AF544" i="10"/>
  <c r="AI546" i="10"/>
  <c r="AF548" i="10"/>
  <c r="AI550" i="10"/>
  <c r="AF552" i="10"/>
  <c r="AI554" i="10"/>
  <c r="AF556" i="10"/>
  <c r="AI558" i="10"/>
  <c r="AF560" i="10"/>
  <c r="AI562" i="10"/>
  <c r="AF564" i="10"/>
  <c r="AI566" i="10"/>
  <c r="AF568" i="10"/>
  <c r="AI570" i="10"/>
  <c r="AF572" i="10"/>
  <c r="AI574" i="10"/>
  <c r="AF576" i="10"/>
  <c r="AI578" i="10"/>
  <c r="AF580" i="10"/>
  <c r="AI582" i="10"/>
  <c r="AF584" i="10"/>
  <c r="AI586" i="10"/>
  <c r="AF588" i="10"/>
  <c r="AI590" i="10"/>
  <c r="AF592" i="10"/>
  <c r="AI594" i="10"/>
  <c r="AF596" i="10"/>
  <c r="AI598" i="10"/>
  <c r="AF600" i="10"/>
  <c r="T582" i="10"/>
  <c r="Y582" i="10"/>
  <c r="Z582" i="10" s="1"/>
  <c r="AF351" i="10"/>
  <c r="Q353" i="10"/>
  <c r="AI353" i="10"/>
  <c r="AF355" i="10"/>
  <c r="Q357" i="10"/>
  <c r="AI357" i="10"/>
  <c r="AF359" i="10"/>
  <c r="Q361" i="10"/>
  <c r="AI361" i="10"/>
  <c r="AF363" i="10"/>
  <c r="Q365" i="10"/>
  <c r="AI365" i="10"/>
  <c r="AF367" i="10"/>
  <c r="Q369" i="10"/>
  <c r="AI369" i="10"/>
  <c r="AF371" i="10"/>
  <c r="Q373" i="10"/>
  <c r="AI373" i="10"/>
  <c r="AF375" i="10"/>
  <c r="Q377" i="10"/>
  <c r="AI377" i="10"/>
  <c r="AF379" i="10"/>
  <c r="Q381" i="10"/>
  <c r="AI381" i="10"/>
  <c r="AF383" i="10"/>
  <c r="Q385" i="10"/>
  <c r="AI385" i="10"/>
  <c r="AF387" i="10"/>
  <c r="Q389" i="10"/>
  <c r="AI389" i="10"/>
  <c r="AF391" i="10"/>
  <c r="Q393" i="10"/>
  <c r="AI393" i="10"/>
  <c r="AF395" i="10"/>
  <c r="Q397" i="10"/>
  <c r="AI397" i="10"/>
  <c r="AF399" i="10"/>
  <c r="Q401" i="10"/>
  <c r="AI401" i="10"/>
  <c r="AF403" i="10"/>
  <c r="Q405" i="10"/>
  <c r="AI405" i="10"/>
  <c r="AF407" i="10"/>
  <c r="Q409" i="10"/>
  <c r="AI409" i="10"/>
  <c r="AF410" i="10"/>
  <c r="AI411" i="10"/>
  <c r="AF412" i="10"/>
  <c r="AI413" i="10"/>
  <c r="AF414" i="10"/>
  <c r="AI415" i="10"/>
  <c r="AF416" i="10"/>
  <c r="AI417" i="10"/>
  <c r="AF418" i="10"/>
  <c r="AI419" i="10"/>
  <c r="AF420" i="10"/>
  <c r="AI421" i="10"/>
  <c r="AF422" i="10"/>
  <c r="AI423" i="10"/>
  <c r="AF424" i="10"/>
  <c r="AI425" i="10"/>
  <c r="AF426" i="10"/>
  <c r="AI427" i="10"/>
  <c r="AF428" i="10"/>
  <c r="AI429" i="10"/>
  <c r="AF430" i="10"/>
  <c r="AI431" i="10"/>
  <c r="AF432" i="10"/>
  <c r="AI433" i="10"/>
  <c r="AF434" i="10"/>
  <c r="AI435" i="10"/>
  <c r="AF436" i="10"/>
  <c r="AI437" i="10"/>
  <c r="AF438" i="10"/>
  <c r="AI439" i="10"/>
  <c r="AF440" i="10"/>
  <c r="AI441" i="10"/>
  <c r="AF442" i="10"/>
  <c r="AI443" i="10"/>
  <c r="AF444" i="10"/>
  <c r="AI445" i="10"/>
  <c r="AF446" i="10"/>
  <c r="AI447" i="10"/>
  <c r="AF448" i="10"/>
  <c r="AI449" i="10"/>
  <c r="AF450" i="10"/>
  <c r="AI451" i="10"/>
  <c r="AF452" i="10"/>
  <c r="AI453" i="10"/>
  <c r="AF454" i="10"/>
  <c r="AI455" i="10"/>
  <c r="AF456" i="10"/>
  <c r="AI457" i="10"/>
  <c r="AF458" i="10"/>
  <c r="AI459" i="10"/>
  <c r="AF460" i="10"/>
  <c r="AI461" i="10"/>
  <c r="AF462" i="10"/>
  <c r="AI463" i="10"/>
  <c r="AF464" i="10"/>
  <c r="AI465" i="10"/>
  <c r="AF466" i="10"/>
  <c r="AI467" i="10"/>
  <c r="AF468" i="10"/>
  <c r="AI469" i="10"/>
  <c r="AF470" i="10"/>
  <c r="AI471" i="10"/>
  <c r="AF472" i="10"/>
  <c r="AI473" i="10"/>
  <c r="AF474" i="10"/>
  <c r="AI475" i="10"/>
  <c r="AF476" i="10"/>
  <c r="AI477" i="10"/>
  <c r="AF478" i="10"/>
  <c r="AI479" i="10"/>
  <c r="AF480" i="10"/>
  <c r="AI481" i="10"/>
  <c r="AF482" i="10"/>
  <c r="AI483" i="10"/>
  <c r="AF484" i="10"/>
  <c r="AI485" i="10"/>
  <c r="AF486" i="10"/>
  <c r="AI487" i="10"/>
  <c r="AF488" i="10"/>
  <c r="AI489" i="10"/>
  <c r="AF490" i="10"/>
  <c r="AF509" i="10"/>
  <c r="AI511" i="10"/>
  <c r="AF513" i="10"/>
  <c r="AI515" i="10"/>
  <c r="AF517" i="10"/>
  <c r="AI519" i="10"/>
  <c r="AF521" i="10"/>
  <c r="AI523" i="10"/>
  <c r="AF525" i="10"/>
  <c r="AI527" i="10"/>
  <c r="AF529" i="10"/>
  <c r="AI531" i="10"/>
  <c r="AF533" i="10"/>
  <c r="AI535" i="10"/>
  <c r="AF537" i="10"/>
  <c r="AI539" i="10"/>
  <c r="X742" i="10"/>
  <c r="Z742" i="10" s="1"/>
  <c r="T702" i="10"/>
  <c r="Y665" i="10"/>
  <c r="Y649" i="10"/>
  <c r="AF350" i="10"/>
  <c r="Q352" i="10"/>
  <c r="AI352" i="10"/>
  <c r="AF354" i="10"/>
  <c r="Q356" i="10"/>
  <c r="AI356" i="10"/>
  <c r="AF358" i="10"/>
  <c r="Q360" i="10"/>
  <c r="AI360" i="10"/>
  <c r="AF362" i="10"/>
  <c r="Q364" i="10"/>
  <c r="AI364" i="10"/>
  <c r="AF366" i="10"/>
  <c r="Q368" i="10"/>
  <c r="AI368" i="10"/>
  <c r="AF370" i="10"/>
  <c r="Q372" i="10"/>
  <c r="AI372" i="10"/>
  <c r="AF374" i="10"/>
  <c r="Q376" i="10"/>
  <c r="AI376" i="10"/>
  <c r="AF378" i="10"/>
  <c r="Q380" i="10"/>
  <c r="AI380" i="10"/>
  <c r="AF382" i="10"/>
  <c r="Q384" i="10"/>
  <c r="AI384" i="10"/>
  <c r="AF386" i="10"/>
  <c r="Q388" i="10"/>
  <c r="AI388" i="10"/>
  <c r="AF390" i="10"/>
  <c r="AI392" i="10"/>
  <c r="AF394" i="10"/>
  <c r="Q396" i="10"/>
  <c r="AI396" i="10"/>
  <c r="AF398" i="10"/>
  <c r="Q400" i="10"/>
  <c r="AI400" i="10"/>
  <c r="AF402" i="10"/>
  <c r="Q404" i="10"/>
  <c r="AI404" i="10"/>
  <c r="AF406" i="10"/>
  <c r="Q408" i="10"/>
  <c r="AI408" i="10"/>
  <c r="AF491" i="10"/>
  <c r="AI492" i="10"/>
  <c r="AF493" i="10"/>
  <c r="AI494" i="10"/>
  <c r="AF495" i="10"/>
  <c r="AI496" i="10"/>
  <c r="AF497" i="10"/>
  <c r="AI498" i="10"/>
  <c r="AF499" i="10"/>
  <c r="AI500" i="10"/>
  <c r="AF501" i="10"/>
  <c r="AI502" i="10"/>
  <c r="AF503" i="10"/>
  <c r="AI504" i="10"/>
  <c r="AF505" i="10"/>
  <c r="AI506" i="10"/>
  <c r="AF507" i="10"/>
  <c r="AI508" i="10"/>
  <c r="AF510" i="10"/>
  <c r="AI512" i="10"/>
  <c r="AF514" i="10"/>
  <c r="AI516" i="10"/>
  <c r="AF518" i="10"/>
  <c r="AI520" i="10"/>
  <c r="AF522" i="10"/>
  <c r="AI524" i="10"/>
  <c r="AF526" i="10"/>
  <c r="AI528" i="10"/>
  <c r="AF530" i="10"/>
  <c r="AI532" i="10"/>
  <c r="AF534" i="10"/>
  <c r="AI536" i="10"/>
  <c r="AF538" i="10"/>
  <c r="AI540" i="10"/>
  <c r="AF542" i="10"/>
  <c r="AI544" i="10"/>
  <c r="AF546" i="10"/>
  <c r="AI548" i="10"/>
  <c r="AF550" i="10"/>
  <c r="AI552" i="10"/>
  <c r="AF554" i="10"/>
  <c r="AI556" i="10"/>
  <c r="AF558" i="10"/>
  <c r="AI560" i="10"/>
  <c r="AF562" i="10"/>
  <c r="AI564" i="10"/>
  <c r="AF566" i="10"/>
  <c r="AI568" i="10"/>
  <c r="AF570" i="10"/>
  <c r="AI572" i="10"/>
  <c r="AF574" i="10"/>
  <c r="AI576" i="10"/>
  <c r="AF578" i="10"/>
  <c r="AI580" i="10"/>
  <c r="AF582" i="10"/>
  <c r="AI584" i="10"/>
  <c r="AF586" i="10"/>
  <c r="AI588" i="10"/>
  <c r="AF590" i="10"/>
  <c r="AI592" i="10"/>
  <c r="AF594" i="10"/>
  <c r="AI596" i="10"/>
  <c r="AI600" i="10"/>
  <c r="Z753" i="10"/>
  <c r="T742" i="10"/>
  <c r="T732" i="10"/>
  <c r="X721" i="10"/>
  <c r="Z721" i="10" s="1"/>
  <c r="T662" i="10"/>
  <c r="Y662" i="10"/>
  <c r="Z662" i="10" s="1"/>
  <c r="T752" i="10"/>
  <c r="X740" i="10"/>
  <c r="Z740" i="10" s="1"/>
  <c r="Y734" i="10"/>
  <c r="Z734" i="10" s="1"/>
  <c r="X732" i="10"/>
  <c r="X724" i="10"/>
  <c r="Z724" i="10" s="1"/>
  <c r="T723" i="10"/>
  <c r="T720" i="10"/>
  <c r="T715" i="10"/>
  <c r="X709" i="10"/>
  <c r="T691" i="10"/>
  <c r="Z678" i="10"/>
  <c r="Z625" i="10"/>
  <c r="Z610" i="10"/>
  <c r="T608" i="10"/>
  <c r="T583" i="10"/>
  <c r="Y583" i="10"/>
  <c r="AI660" i="10"/>
  <c r="AI661" i="10"/>
  <c r="AI662" i="10"/>
  <c r="AI663" i="10"/>
  <c r="AI664" i="10"/>
  <c r="AI665" i="10"/>
  <c r="AI666" i="10"/>
  <c r="AI667" i="10"/>
  <c r="AI668" i="10"/>
  <c r="AI669" i="10"/>
  <c r="AI670" i="10"/>
  <c r="AI671" i="10"/>
  <c r="AI672" i="10"/>
  <c r="AI673" i="10"/>
  <c r="AI674" i="10"/>
  <c r="AI675" i="10"/>
  <c r="AI676" i="10"/>
  <c r="AI677" i="10"/>
  <c r="AI678" i="10"/>
  <c r="AI679" i="10"/>
  <c r="AI680" i="10"/>
  <c r="AI681" i="10"/>
  <c r="AI682" i="10"/>
  <c r="AI683" i="10"/>
  <c r="AI684" i="10"/>
  <c r="AI685" i="10"/>
  <c r="AI686" i="10"/>
  <c r="AI687" i="10"/>
  <c r="AI688" i="10"/>
  <c r="AI689" i="10"/>
  <c r="AI690" i="10"/>
  <c r="AI691" i="10"/>
  <c r="AI692" i="10"/>
  <c r="AI693" i="10"/>
  <c r="AI694" i="10"/>
  <c r="AI695" i="10"/>
  <c r="AI696" i="10"/>
  <c r="AI697" i="10"/>
  <c r="AI699" i="10"/>
  <c r="AI700" i="10"/>
  <c r="AI701" i="10"/>
  <c r="AI702" i="10"/>
  <c r="AI703" i="10"/>
  <c r="AI704" i="10"/>
  <c r="AI705" i="10"/>
  <c r="AI706" i="10"/>
  <c r="AI707" i="10"/>
  <c r="AI708" i="10"/>
  <c r="AI709" i="10"/>
  <c r="AI710" i="10"/>
  <c r="AI711" i="10"/>
  <c r="AI712" i="10"/>
  <c r="AI713" i="10"/>
  <c r="AI714" i="10"/>
  <c r="AI715" i="10"/>
  <c r="AI716" i="10"/>
  <c r="AI717" i="10"/>
  <c r="AI718" i="10"/>
  <c r="AI719" i="10"/>
  <c r="AI720" i="10"/>
  <c r="AI721" i="10"/>
  <c r="AI722" i="10"/>
  <c r="AI723" i="10"/>
  <c r="AI724" i="10"/>
  <c r="AI725" i="10"/>
  <c r="AI726" i="10"/>
  <c r="AI727" i="10"/>
  <c r="AI728" i="10"/>
  <c r="AI729" i="10"/>
  <c r="AI730" i="10"/>
  <c r="AI732" i="10"/>
  <c r="AI733" i="10"/>
  <c r="AI734" i="10"/>
  <c r="AI735" i="10"/>
  <c r="AI736" i="10"/>
  <c r="AI737" i="10"/>
  <c r="AI738" i="10"/>
  <c r="AI739" i="10"/>
  <c r="AI740" i="10"/>
  <c r="AI741" i="10"/>
  <c r="AI742" i="10"/>
  <c r="AI743" i="10"/>
  <c r="AI744" i="10"/>
  <c r="AI745" i="10"/>
  <c r="AI746" i="10"/>
  <c r="AI747" i="10"/>
  <c r="AI748" i="10"/>
  <c r="AI749" i="10"/>
  <c r="AI750" i="10"/>
  <c r="AI751" i="10"/>
  <c r="AI752" i="10"/>
  <c r="AI753" i="10"/>
  <c r="X749" i="10"/>
  <c r="Z749" i="10" s="1"/>
  <c r="Y748" i="10"/>
  <c r="T747" i="10"/>
  <c r="T744" i="10"/>
  <c r="T735" i="10"/>
  <c r="T730" i="10"/>
  <c r="X728" i="10"/>
  <c r="Z728" i="10" s="1"/>
  <c r="Y723" i="10"/>
  <c r="Z723" i="10" s="1"/>
  <c r="X717" i="10"/>
  <c r="Z717" i="10" s="1"/>
  <c r="Y715" i="10"/>
  <c r="Z715" i="10" s="1"/>
  <c r="T714" i="10"/>
  <c r="X711" i="10"/>
  <c r="Z711" i="10" s="1"/>
  <c r="Y710" i="10"/>
  <c r="Z710" i="10" s="1"/>
  <c r="Y708" i="10"/>
  <c r="Z708" i="10" s="1"/>
  <c r="T704" i="10"/>
  <c r="Y698" i="10"/>
  <c r="Z698" i="10" s="1"/>
  <c r="T689" i="10"/>
  <c r="T681" i="10"/>
  <c r="Y677" i="10"/>
  <c r="Z677" i="10" s="1"/>
  <c r="X674" i="10"/>
  <c r="X670" i="10"/>
  <c r="Z670" i="10" s="1"/>
  <c r="T666" i="10"/>
  <c r="T641" i="10"/>
  <c r="T634" i="10"/>
  <c r="T633" i="10"/>
  <c r="T626" i="10"/>
  <c r="Y622" i="10"/>
  <c r="Z622" i="10" s="1"/>
  <c r="X618" i="10"/>
  <c r="Z618" i="10" s="1"/>
  <c r="X609" i="10"/>
  <c r="Z609" i="10" s="1"/>
  <c r="Y606" i="10"/>
  <c r="Z606" i="10" s="1"/>
  <c r="X605" i="10"/>
  <c r="Z605" i="10" s="1"/>
  <c r="Y602" i="10"/>
  <c r="Z602" i="10" s="1"/>
  <c r="Y600" i="10"/>
  <c r="Y586" i="10"/>
  <c r="Z586" i="10" s="1"/>
  <c r="T578" i="10"/>
  <c r="T577" i="10"/>
  <c r="Z574" i="10"/>
  <c r="T574" i="10"/>
  <c r="T444" i="10"/>
  <c r="Y444" i="10"/>
  <c r="X752" i="10"/>
  <c r="Z752" i="10" s="1"/>
  <c r="X751" i="10"/>
  <c r="Y743" i="10"/>
  <c r="Z743" i="10" s="1"/>
  <c r="T731" i="10"/>
  <c r="X727" i="10"/>
  <c r="T722" i="10"/>
  <c r="X720" i="10"/>
  <c r="Z720" i="10" s="1"/>
  <c r="X719" i="10"/>
  <c r="T711" i="10"/>
  <c r="Y703" i="10"/>
  <c r="Z703" i="10" s="1"/>
  <c r="T687" i="10"/>
  <c r="Z681" i="10"/>
  <c r="T678" i="10"/>
  <c r="T675" i="10"/>
  <c r="T671" i="10"/>
  <c r="T670" i="10"/>
  <c r="X661" i="10"/>
  <c r="Z658" i="10"/>
  <c r="Y646" i="10"/>
  <c r="Z646" i="10" s="1"/>
  <c r="Z641" i="10"/>
  <c r="Y636" i="10"/>
  <c r="X629" i="10"/>
  <c r="T610" i="10"/>
  <c r="T604" i="10"/>
  <c r="T603" i="10"/>
  <c r="T588" i="10"/>
  <c r="Y584" i="10"/>
  <c r="Z584" i="10" s="1"/>
  <c r="X555" i="10"/>
  <c r="Z509" i="10"/>
  <c r="Z508" i="10"/>
  <c r="X445" i="10"/>
  <c r="Z445" i="10" s="1"/>
  <c r="T445" i="10"/>
  <c r="Q443" i="10"/>
  <c r="T557" i="10"/>
  <c r="T552" i="10"/>
  <c r="Z542" i="10"/>
  <c r="X537" i="10"/>
  <c r="T536" i="10"/>
  <c r="T528" i="10"/>
  <c r="T525" i="10"/>
  <c r="X521" i="10"/>
  <c r="Z521" i="10" s="1"/>
  <c r="Z497" i="10"/>
  <c r="X496" i="10"/>
  <c r="Z496" i="10" s="1"/>
  <c r="X482" i="10"/>
  <c r="X460" i="10"/>
  <c r="Z460" i="10" s="1"/>
  <c r="T401" i="10"/>
  <c r="Y401" i="10"/>
  <c r="Z401" i="10" s="1"/>
  <c r="X696" i="10"/>
  <c r="Z696" i="10" s="1"/>
  <c r="X695" i="10"/>
  <c r="Y694" i="10"/>
  <c r="Z694" i="10" s="1"/>
  <c r="X693" i="10"/>
  <c r="Z693" i="10" s="1"/>
  <c r="Y691" i="10"/>
  <c r="X685" i="10"/>
  <c r="Z685" i="10" s="1"/>
  <c r="Y684" i="10"/>
  <c r="Y682" i="10"/>
  <c r="Z682" i="10" s="1"/>
  <c r="T680" i="10"/>
  <c r="Y675" i="10"/>
  <c r="Z675" i="10" s="1"/>
  <c r="X672" i="10"/>
  <c r="Y671" i="10"/>
  <c r="Z671" i="10" s="1"/>
  <c r="Y659" i="10"/>
  <c r="X656" i="10"/>
  <c r="Z656" i="10" s="1"/>
  <c r="Y655" i="10"/>
  <c r="Z655" i="10" s="1"/>
  <c r="T648" i="10"/>
  <c r="X647" i="10"/>
  <c r="T644" i="10"/>
  <c r="Y642" i="10"/>
  <c r="Z642" i="10" s="1"/>
  <c r="T640" i="10"/>
  <c r="Y635" i="10"/>
  <c r="X619" i="10"/>
  <c r="Z619" i="10" s="1"/>
  <c r="Y612" i="10"/>
  <c r="Y603" i="10"/>
  <c r="X597" i="10"/>
  <c r="Z597" i="10" s="1"/>
  <c r="T596" i="10"/>
  <c r="X588" i="10"/>
  <c r="Y576" i="10"/>
  <c r="Z576" i="10" s="1"/>
  <c r="X572" i="10"/>
  <c r="X567" i="10"/>
  <c r="X563" i="10"/>
  <c r="X553" i="10"/>
  <c r="Z553" i="10" s="1"/>
  <c r="Y552" i="10"/>
  <c r="Y551" i="10"/>
  <c r="Z545" i="10"/>
  <c r="Y543" i="10"/>
  <c r="X541" i="10"/>
  <c r="Z541" i="10" s="1"/>
  <c r="X540" i="10"/>
  <c r="Z540" i="10" s="1"/>
  <c r="Y536" i="10"/>
  <c r="Z536" i="10" s="1"/>
  <c r="X535" i="10"/>
  <c r="X532" i="10"/>
  <c r="Y531" i="10"/>
  <c r="Y528" i="10"/>
  <c r="Z528" i="10" s="1"/>
  <c r="Y511" i="10"/>
  <c r="Z511" i="10" s="1"/>
  <c r="Y504" i="10"/>
  <c r="Y501" i="10"/>
  <c r="Z501" i="10" s="1"/>
  <c r="Y495" i="10"/>
  <c r="Z495" i="10" s="1"/>
  <c r="T484" i="10"/>
  <c r="Z481" i="10"/>
  <c r="X480" i="10"/>
  <c r="Z480" i="10" s="1"/>
  <c r="Y454" i="10"/>
  <c r="Z454" i="10" s="1"/>
  <c r="T369" i="10"/>
  <c r="Y369" i="10"/>
  <c r="Z369" i="10" s="1"/>
  <c r="T353" i="10"/>
  <c r="Y353" i="10"/>
  <c r="Z353" i="10" s="1"/>
  <c r="X699" i="10"/>
  <c r="Z699" i="10" s="1"/>
  <c r="T695" i="10"/>
  <c r="T690" i="10"/>
  <c r="X688" i="10"/>
  <c r="Z688" i="10" s="1"/>
  <c r="X687" i="10"/>
  <c r="Y686" i="10"/>
  <c r="X684" i="10"/>
  <c r="T676" i="10"/>
  <c r="Z665" i="10"/>
  <c r="X663" i="10"/>
  <c r="Y661" i="10"/>
  <c r="Z661" i="10" s="1"/>
  <c r="Z653" i="10"/>
  <c r="X649" i="10"/>
  <c r="Z649" i="10" s="1"/>
  <c r="Y648" i="10"/>
  <c r="X645" i="10"/>
  <c r="Z645" i="10" s="1"/>
  <c r="Y644" i="10"/>
  <c r="X635" i="10"/>
  <c r="T631" i="10"/>
  <c r="Y629" i="10"/>
  <c r="Y627" i="10"/>
  <c r="Z627" i="10" s="1"/>
  <c r="X624" i="10"/>
  <c r="Z624" i="10" s="1"/>
  <c r="Y623" i="10"/>
  <c r="Z623" i="10" s="1"/>
  <c r="T616" i="10"/>
  <c r="T615" i="10"/>
  <c r="Y613" i="10"/>
  <c r="Z613" i="10" s="1"/>
  <c r="Y611" i="10"/>
  <c r="Z611" i="10" s="1"/>
  <c r="X608" i="10"/>
  <c r="Z608" i="10" s="1"/>
  <c r="Y607" i="10"/>
  <c r="X603" i="10"/>
  <c r="Z603" i="10" s="1"/>
  <c r="T599" i="10"/>
  <c r="T598" i="10"/>
  <c r="T591" i="10"/>
  <c r="T581" i="10"/>
  <c r="X577" i="10"/>
  <c r="Z577" i="10" s="1"/>
  <c r="X575" i="10"/>
  <c r="T568" i="10"/>
  <c r="X565" i="10"/>
  <c r="Z565" i="10" s="1"/>
  <c r="X561" i="10"/>
  <c r="Z561" i="10" s="1"/>
  <c r="T560" i="10"/>
  <c r="X557" i="10"/>
  <c r="Z557" i="10" s="1"/>
  <c r="Y556" i="10"/>
  <c r="Z556" i="10" s="1"/>
  <c r="T549" i="10"/>
  <c r="X547" i="10"/>
  <c r="T540" i="10"/>
  <c r="Y535" i="10"/>
  <c r="Z535" i="10" s="1"/>
  <c r="T532" i="10"/>
  <c r="T530" i="10"/>
  <c r="Y526" i="10"/>
  <c r="Z526" i="10" s="1"/>
  <c r="T506" i="10"/>
  <c r="X499" i="10"/>
  <c r="X492" i="10"/>
  <c r="Z492" i="10" s="1"/>
  <c r="T490" i="10"/>
  <c r="Y486" i="10"/>
  <c r="T480" i="10"/>
  <c r="X476" i="10"/>
  <c r="Z476" i="10" s="1"/>
  <c r="Y473" i="10"/>
  <c r="X472" i="10"/>
  <c r="Z472" i="10" s="1"/>
  <c r="Y471" i="10"/>
  <c r="Z471" i="10" s="1"/>
  <c r="Y463" i="10"/>
  <c r="Y420" i="10"/>
  <c r="Z399" i="10"/>
  <c r="X488" i="10"/>
  <c r="Y487" i="10"/>
  <c r="Z487" i="10" s="1"/>
  <c r="X486" i="10"/>
  <c r="Y479" i="10"/>
  <c r="Z479" i="10" s="1"/>
  <c r="T472" i="10"/>
  <c r="X467" i="10"/>
  <c r="X459" i="10"/>
  <c r="X451" i="10"/>
  <c r="Y448" i="10"/>
  <c r="Y447" i="10"/>
  <c r="X446" i="10"/>
  <c r="X443" i="10"/>
  <c r="Y441" i="10"/>
  <c r="Z441" i="10" s="1"/>
  <c r="X440" i="10"/>
  <c r="Y439" i="10"/>
  <c r="Z439" i="10" s="1"/>
  <c r="T436" i="10"/>
  <c r="T434" i="10"/>
  <c r="X428" i="10"/>
  <c r="Z428" i="10" s="1"/>
  <c r="X424" i="10"/>
  <c r="Y423" i="10"/>
  <c r="Z423" i="10" s="1"/>
  <c r="X422" i="10"/>
  <c r="X419" i="10"/>
  <c r="X416" i="10"/>
  <c r="X400" i="10"/>
  <c r="X392" i="10"/>
  <c r="Y391" i="10"/>
  <c r="Z391" i="10" s="1"/>
  <c r="X390" i="10"/>
  <c r="X384" i="10"/>
  <c r="X376" i="10"/>
  <c r="Z376" i="10" s="1"/>
  <c r="Y375" i="10"/>
  <c r="Z375" i="10" s="1"/>
  <c r="X371" i="10"/>
  <c r="Z368" i="10"/>
  <c r="Y367" i="10"/>
  <c r="Z367" i="10" s="1"/>
  <c r="X366" i="10"/>
  <c r="X364" i="10"/>
  <c r="Z364" i="10" s="1"/>
  <c r="X360" i="10"/>
  <c r="Y359" i="10"/>
  <c r="Z359" i="10" s="1"/>
  <c r="Y358" i="10"/>
  <c r="X352" i="10"/>
  <c r="Z352" i="10" s="1"/>
  <c r="Q750" i="10"/>
  <c r="Q746" i="10"/>
  <c r="Q742" i="10"/>
  <c r="Q738" i="10"/>
  <c r="Q734" i="10"/>
  <c r="Q730" i="10"/>
  <c r="Q722" i="10"/>
  <c r="Q718" i="10"/>
  <c r="Q714" i="10"/>
  <c r="Q710" i="10"/>
  <c r="Q706" i="10"/>
  <c r="Q702" i="10"/>
  <c r="Q698" i="10"/>
  <c r="Q690" i="10"/>
  <c r="Q686" i="10"/>
  <c r="Q682" i="10"/>
  <c r="Q674" i="10"/>
  <c r="Q666" i="10"/>
  <c r="Q658" i="10"/>
  <c r="Q654" i="10"/>
  <c r="Q650" i="10"/>
  <c r="Q646" i="10"/>
  <c r="Q642" i="10"/>
  <c r="Q638" i="10"/>
  <c r="Q630" i="10"/>
  <c r="Q626" i="10"/>
  <c r="Q622" i="10"/>
  <c r="Q614" i="10"/>
  <c r="Q610" i="10"/>
  <c r="Q606" i="10"/>
  <c r="Q598" i="10"/>
  <c r="Q594" i="10"/>
  <c r="Q590" i="10"/>
  <c r="Q586" i="10"/>
  <c r="Q582" i="10"/>
  <c r="Q578" i="10"/>
  <c r="Q574" i="10"/>
  <c r="Q566" i="10"/>
  <c r="Q562" i="10"/>
  <c r="Q558" i="10"/>
  <c r="Q554" i="10"/>
  <c r="Q550" i="10"/>
  <c r="Q546" i="10"/>
  <c r="Q538" i="10"/>
  <c r="Q534" i="10"/>
  <c r="Q530" i="10"/>
  <c r="Q526" i="10"/>
  <c r="Q522" i="10"/>
  <c r="Q518" i="10"/>
  <c r="Q510" i="10"/>
  <c r="Q506" i="10"/>
  <c r="Q502" i="10"/>
  <c r="Q494" i="10"/>
  <c r="Q486" i="10"/>
  <c r="Q470" i="10"/>
  <c r="Q466" i="10"/>
  <c r="Q462" i="10"/>
  <c r="Q458" i="10"/>
  <c r="Q446" i="10"/>
  <c r="Q442" i="10"/>
  <c r="Q438" i="10"/>
  <c r="Q434" i="10"/>
  <c r="Q422" i="10"/>
  <c r="Q414" i="10"/>
  <c r="Q410" i="10"/>
  <c r="X411" i="10"/>
  <c r="X408" i="10"/>
  <c r="Z408" i="10" s="1"/>
  <c r="X404" i="10"/>
  <c r="Z404" i="10" s="1"/>
  <c r="X403" i="10"/>
  <c r="Z396" i="10"/>
  <c r="X388" i="10"/>
  <c r="Z388" i="10" s="1"/>
  <c r="T376" i="10"/>
  <c r="X363" i="10"/>
  <c r="X358" i="10"/>
  <c r="X355" i="10"/>
  <c r="X448" i="10"/>
  <c r="Z433" i="10"/>
  <c r="T433" i="10"/>
  <c r="T432" i="10"/>
  <c r="Y431" i="10"/>
  <c r="Z431" i="10" s="1"/>
  <c r="T420" i="10"/>
  <c r="T418" i="10"/>
  <c r="T408" i="10"/>
  <c r="Z405" i="10"/>
  <c r="Y384" i="10"/>
  <c r="Z384" i="10" s="1"/>
  <c r="T382" i="10"/>
  <c r="T378" i="10"/>
  <c r="T355" i="10"/>
  <c r="T350" i="10"/>
  <c r="Q753" i="10"/>
  <c r="Q745" i="10"/>
  <c r="Q729" i="10"/>
  <c r="Q721" i="10"/>
  <c r="Q713" i="10"/>
  <c r="Q705" i="10"/>
  <c r="Q689" i="10"/>
  <c r="Q673" i="10"/>
  <c r="Q649" i="10"/>
  <c r="Q641" i="10"/>
  <c r="Q625" i="10"/>
  <c r="Q617" i="10"/>
  <c r="Q609" i="10"/>
  <c r="Q601" i="10"/>
  <c r="Q593" i="10"/>
  <c r="Q585" i="10"/>
  <c r="Q569" i="10"/>
  <c r="Q561" i="10"/>
  <c r="Q553" i="10"/>
  <c r="Q545" i="10"/>
  <c r="Q537" i="10"/>
  <c r="Q529" i="10"/>
  <c r="Q521" i="10"/>
  <c r="Q497" i="10"/>
  <c r="Q489" i="10"/>
  <c r="Q481" i="10"/>
  <c r="Q473" i="10"/>
  <c r="Q465" i="10"/>
  <c r="Q449" i="10"/>
  <c r="Q441" i="10"/>
  <c r="Q433" i="10"/>
  <c r="Q417" i="10"/>
  <c r="Q752" i="10"/>
  <c r="Q744" i="10"/>
  <c r="Q736" i="10"/>
  <c r="Q720" i="10"/>
  <c r="Q712" i="10"/>
  <c r="Q704" i="10"/>
  <c r="Q696" i="10"/>
  <c r="Q688" i="10"/>
  <c r="Q680" i="10"/>
  <c r="Q672" i="10"/>
  <c r="Q664" i="10"/>
  <c r="Q656" i="10"/>
  <c r="Q648" i="10"/>
  <c r="Q640" i="10"/>
  <c r="Q632" i="10"/>
  <c r="Q624" i="10"/>
  <c r="Q608" i="10"/>
  <c r="Q600" i="10"/>
  <c r="Q592" i="10"/>
  <c r="Q584" i="10"/>
  <c r="Q552" i="10"/>
  <c r="Q544" i="10"/>
  <c r="Q520" i="10"/>
  <c r="Q504" i="10"/>
  <c r="Q496" i="10"/>
  <c r="Q488" i="10"/>
  <c r="Q480" i="10"/>
  <c r="Q472" i="10"/>
  <c r="Q464" i="10"/>
  <c r="Q456" i="10"/>
  <c r="Q448" i="10"/>
  <c r="Q440" i="10"/>
  <c r="Q432" i="10"/>
  <c r="Q424" i="10"/>
  <c r="Q416" i="10"/>
  <c r="Q711" i="10"/>
  <c r="Q695" i="10"/>
  <c r="Q655" i="10"/>
  <c r="Q551" i="10"/>
  <c r="Q535" i="10"/>
  <c r="Q503" i="10"/>
  <c r="Q479" i="10"/>
  <c r="Q471" i="10"/>
  <c r="Q463" i="10"/>
  <c r="Q455" i="10"/>
  <c r="Q447" i="10"/>
  <c r="Q431" i="10"/>
  <c r="Q423" i="10"/>
  <c r="Q415" i="10"/>
  <c r="Q751" i="10"/>
  <c r="Q743" i="10"/>
  <c r="Q735" i="10"/>
  <c r="Q727" i="10"/>
  <c r="Q719" i="10"/>
  <c r="Q703" i="10"/>
  <c r="Q687" i="10"/>
  <c r="Q679" i="10"/>
  <c r="Q671" i="10"/>
  <c r="Q663" i="10"/>
  <c r="Q647" i="10"/>
  <c r="Q639" i="10"/>
  <c r="Q631" i="10"/>
  <c r="Q623" i="10"/>
  <c r="Q615" i="10"/>
  <c r="Q599" i="10"/>
  <c r="Q591" i="10"/>
  <c r="Q583" i="10"/>
  <c r="Q575" i="10"/>
  <c r="Q567" i="10"/>
  <c r="Q559" i="10"/>
  <c r="Q543" i="10"/>
  <c r="Q527" i="10"/>
  <c r="Q519" i="10"/>
  <c r="Z686" i="10"/>
  <c r="T520" i="10"/>
  <c r="X520" i="10"/>
  <c r="Z520" i="10" s="1"/>
  <c r="T517" i="10"/>
  <c r="Y517" i="10"/>
  <c r="Z517" i="10" s="1"/>
  <c r="T464" i="10"/>
  <c r="Y464" i="10"/>
  <c r="T395" i="10"/>
  <c r="Y395" i="10"/>
  <c r="X651" i="10"/>
  <c r="Z651" i="10" s="1"/>
  <c r="T494" i="10"/>
  <c r="Y494" i="10"/>
  <c r="Z494" i="10" s="1"/>
  <c r="T477" i="10"/>
  <c r="Y477" i="10"/>
  <c r="Z477" i="10" s="1"/>
  <c r="Z691" i="10"/>
  <c r="T467" i="10"/>
  <c r="Y467" i="10"/>
  <c r="Z467" i="10" s="1"/>
  <c r="Y738" i="10"/>
  <c r="Z738" i="10" s="1"/>
  <c r="Y706" i="10"/>
  <c r="Z706" i="10" s="1"/>
  <c r="Z679" i="10"/>
  <c r="Y751" i="10"/>
  <c r="Y746" i="10"/>
  <c r="Z746" i="10" s="1"/>
  <c r="X736" i="10"/>
  <c r="Z736" i="10" s="1"/>
  <c r="Z726" i="10"/>
  <c r="Y719" i="10"/>
  <c r="Z719" i="10" s="1"/>
  <c r="Y714" i="10"/>
  <c r="X707" i="10"/>
  <c r="Z707" i="10" s="1"/>
  <c r="X704" i="10"/>
  <c r="Z704" i="10" s="1"/>
  <c r="Y687" i="10"/>
  <c r="Z687" i="10" s="1"/>
  <c r="X667" i="10"/>
  <c r="Z667" i="10" s="1"/>
  <c r="T592" i="10"/>
  <c r="Y592" i="10"/>
  <c r="Z592" i="10" s="1"/>
  <c r="T478" i="10"/>
  <c r="Y478" i="10"/>
  <c r="T465" i="10"/>
  <c r="Y465" i="10"/>
  <c r="X744" i="10"/>
  <c r="Y727" i="10"/>
  <c r="Z727" i="10" s="1"/>
  <c r="X712" i="10"/>
  <c r="Z712" i="10" s="1"/>
  <c r="Y695" i="10"/>
  <c r="Z695" i="10" s="1"/>
  <c r="T739" i="10"/>
  <c r="Z683" i="10"/>
  <c r="T585" i="10"/>
  <c r="Y585" i="10"/>
  <c r="Z659" i="10"/>
  <c r="Z523" i="10"/>
  <c r="T499" i="10"/>
  <c r="Y499" i="10"/>
  <c r="Y350" i="10"/>
  <c r="Z350" i="10" s="1"/>
  <c r="X680" i="10"/>
  <c r="Z680" i="10" s="1"/>
  <c r="T491" i="10"/>
  <c r="Y491" i="10"/>
  <c r="Z491" i="10" s="1"/>
  <c r="Y446" i="10"/>
  <c r="T429" i="10"/>
  <c r="Y429" i="10"/>
  <c r="Z429" i="10" s="1"/>
  <c r="Y366" i="10"/>
  <c r="Z366" i="10" s="1"/>
  <c r="X660" i="10"/>
  <c r="Z660" i="10" s="1"/>
  <c r="X644" i="10"/>
  <c r="Z644" i="10" s="1"/>
  <c r="X628" i="10"/>
  <c r="X612" i="10"/>
  <c r="Y601" i="10"/>
  <c r="Z601" i="10" s="1"/>
  <c r="X568" i="10"/>
  <c r="Z568" i="10" s="1"/>
  <c r="Y563" i="10"/>
  <c r="Y562" i="10"/>
  <c r="Z562" i="10" s="1"/>
  <c r="T562" i="10"/>
  <c r="Z551" i="10"/>
  <c r="Y547" i="10"/>
  <c r="Y546" i="10"/>
  <c r="T546" i="10"/>
  <c r="T523" i="10"/>
  <c r="T515" i="10"/>
  <c r="Y515" i="10"/>
  <c r="Z515" i="10" s="1"/>
  <c r="T357" i="10"/>
  <c r="Y357" i="10"/>
  <c r="Z357" i="10" s="1"/>
  <c r="Y575" i="10"/>
  <c r="Z575" i="10" s="1"/>
  <c r="T483" i="10"/>
  <c r="Y483" i="10"/>
  <c r="Z483" i="10" s="1"/>
  <c r="Y432" i="10"/>
  <c r="Z432" i="10" s="1"/>
  <c r="Y416" i="10"/>
  <c r="T392" i="10"/>
  <c r="Y392" i="10"/>
  <c r="Z392" i="10" s="1"/>
  <c r="X676" i="10"/>
  <c r="Z676" i="10" s="1"/>
  <c r="X589" i="10"/>
  <c r="Z589" i="10" s="1"/>
  <c r="T567" i="10"/>
  <c r="Y567" i="10"/>
  <c r="T398" i="10"/>
  <c r="Y398" i="10"/>
  <c r="Z398" i="10" s="1"/>
  <c r="Y663" i="10"/>
  <c r="Y647" i="10"/>
  <c r="Z647" i="10" s="1"/>
  <c r="Y631" i="10"/>
  <c r="Y615" i="10"/>
  <c r="Z615" i="10" s="1"/>
  <c r="X598" i="10"/>
  <c r="Z598" i="10" s="1"/>
  <c r="X594" i="10"/>
  <c r="Z594" i="10" s="1"/>
  <c r="X590" i="10"/>
  <c r="T453" i="10"/>
  <c r="Y453" i="10"/>
  <c r="T430" i="10"/>
  <c r="T414" i="10"/>
  <c r="T393" i="10"/>
  <c r="Y393" i="10"/>
  <c r="Z393" i="10" s="1"/>
  <c r="T389" i="10"/>
  <c r="Y389" i="10"/>
  <c r="Z389" i="10" s="1"/>
  <c r="Y365" i="10"/>
  <c r="Z365" i="10" s="1"/>
  <c r="T365" i="10"/>
  <c r="T361" i="10"/>
  <c r="Y361" i="10"/>
  <c r="Z361" i="10" s="1"/>
  <c r="Z635" i="10"/>
  <c r="Y461" i="10"/>
  <c r="Z461" i="10" s="1"/>
  <c r="T461" i="10"/>
  <c r="T457" i="10"/>
  <c r="Y457" i="10"/>
  <c r="T435" i="10"/>
  <c r="Y435" i="10"/>
  <c r="T419" i="10"/>
  <c r="Y419" i="10"/>
  <c r="Z419" i="10" s="1"/>
  <c r="X664" i="10"/>
  <c r="Z664" i="10" s="1"/>
  <c r="X648" i="10"/>
  <c r="Z648" i="10" s="1"/>
  <c r="X632" i="10"/>
  <c r="X616" i="10"/>
  <c r="X599" i="10"/>
  <c r="Z599" i="10" s="1"/>
  <c r="Y595" i="10"/>
  <c r="X593" i="10"/>
  <c r="Z593" i="10" s="1"/>
  <c r="X591" i="10"/>
  <c r="Z591" i="10" s="1"/>
  <c r="Y587" i="10"/>
  <c r="Z587" i="10" s="1"/>
  <c r="X570" i="10"/>
  <c r="X564" i="10"/>
  <c r="X552" i="10"/>
  <c r="Z552" i="10" s="1"/>
  <c r="Z544" i="10"/>
  <c r="Z531" i="10"/>
  <c r="T493" i="10"/>
  <c r="Y493" i="10"/>
  <c r="Z493" i="10" s="1"/>
  <c r="T427" i="10"/>
  <c r="Y427" i="10"/>
  <c r="Z427" i="10" s="1"/>
  <c r="X668" i="10"/>
  <c r="T667" i="10"/>
  <c r="X652" i="10"/>
  <c r="T651" i="10"/>
  <c r="X636" i="10"/>
  <c r="T635" i="10"/>
  <c r="X620" i="10"/>
  <c r="Z620" i="10" s="1"/>
  <c r="T619" i="10"/>
  <c r="X604" i="10"/>
  <c r="Z604" i="10" s="1"/>
  <c r="T593" i="10"/>
  <c r="Z588" i="10"/>
  <c r="X581" i="10"/>
  <c r="Z581" i="10" s="1"/>
  <c r="T564" i="10"/>
  <c r="T462" i="10"/>
  <c r="T451" i="10"/>
  <c r="Y451" i="10"/>
  <c r="T371" i="10"/>
  <c r="Y371" i="10"/>
  <c r="Y564" i="10"/>
  <c r="Y555" i="10"/>
  <c r="Z555" i="10" s="1"/>
  <c r="T551" i="10"/>
  <c r="Y548" i="10"/>
  <c r="T531" i="10"/>
  <c r="X525" i="10"/>
  <c r="X516" i="10"/>
  <c r="Z516" i="10" s="1"/>
  <c r="X500" i="10"/>
  <c r="Z500" i="10" s="1"/>
  <c r="T456" i="10"/>
  <c r="Y456" i="10"/>
  <c r="Z456" i="10" s="1"/>
  <c r="X452" i="10"/>
  <c r="X436" i="10"/>
  <c r="Z422" i="10"/>
  <c r="T387" i="10"/>
  <c r="Y387" i="10"/>
  <c r="Z387" i="10" s="1"/>
  <c r="T360" i="10"/>
  <c r="Y360" i="10"/>
  <c r="X356" i="10"/>
  <c r="Y580" i="10"/>
  <c r="X573" i="10"/>
  <c r="Z573" i="10" s="1"/>
  <c r="T572" i="10"/>
  <c r="X549" i="10"/>
  <c r="Z549" i="10" s="1"/>
  <c r="Z543" i="10"/>
  <c r="Y539" i="10"/>
  <c r="Z539" i="10" s="1"/>
  <c r="X533" i="10"/>
  <c r="Z533" i="10" s="1"/>
  <c r="Y524" i="10"/>
  <c r="Z524" i="10" s="1"/>
  <c r="T488" i="10"/>
  <c r="Y488" i="10"/>
  <c r="Z488" i="10" s="1"/>
  <c r="X484" i="10"/>
  <c r="Z484" i="10" s="1"/>
  <c r="X468" i="10"/>
  <c r="Z468" i="10" s="1"/>
  <c r="T424" i="10"/>
  <c r="Y424" i="10"/>
  <c r="X420" i="10"/>
  <c r="T403" i="10"/>
  <c r="Y403" i="10"/>
  <c r="Z403" i="10" s="1"/>
  <c r="X372" i="10"/>
  <c r="Z372" i="10" s="1"/>
  <c r="T550" i="10"/>
  <c r="Y550" i="10"/>
  <c r="Z550" i="10" s="1"/>
  <c r="T534" i="10"/>
  <c r="Y534" i="10"/>
  <c r="Z534" i="10" s="1"/>
  <c r="T489" i="10"/>
  <c r="Y489" i="10"/>
  <c r="Z489" i="10" s="1"/>
  <c r="T485" i="10"/>
  <c r="Y485" i="10"/>
  <c r="Z485" i="10" s="1"/>
  <c r="T459" i="10"/>
  <c r="Y459" i="10"/>
  <c r="T425" i="10"/>
  <c r="Y425" i="10"/>
  <c r="Z425" i="10" s="1"/>
  <c r="T421" i="10"/>
  <c r="Y421" i="10"/>
  <c r="Z421" i="10" s="1"/>
  <c r="T363" i="10"/>
  <c r="Y363" i="10"/>
  <c r="Z363" i="10" s="1"/>
  <c r="Y579" i="10"/>
  <c r="Z579" i="10" s="1"/>
  <c r="Y571" i="10"/>
  <c r="Z571" i="10" s="1"/>
  <c r="T559" i="10"/>
  <c r="T543" i="10"/>
  <c r="T542" i="10"/>
  <c r="T527" i="10"/>
  <c r="T526" i="10"/>
  <c r="T505" i="10"/>
  <c r="T502" i="10"/>
  <c r="T501" i="10"/>
  <c r="T473" i="10"/>
  <c r="T470" i="10"/>
  <c r="T469" i="10"/>
  <c r="T441" i="10"/>
  <c r="T438" i="10"/>
  <c r="T437" i="10"/>
  <c r="T406" i="10"/>
  <c r="T374" i="10"/>
  <c r="Y532" i="10"/>
  <c r="T507" i="10"/>
  <c r="Y507" i="10"/>
  <c r="Z507" i="10" s="1"/>
  <c r="T475" i="10"/>
  <c r="Y475" i="10"/>
  <c r="Z475" i="10" s="1"/>
  <c r="T443" i="10"/>
  <c r="Y443" i="10"/>
  <c r="X412" i="10"/>
  <c r="T411" i="10"/>
  <c r="Y411" i="10"/>
  <c r="X380" i="10"/>
  <c r="Z380" i="10" s="1"/>
  <c r="T379" i="10"/>
  <c r="Y379" i="10"/>
  <c r="Z379" i="10" s="1"/>
  <c r="Y355" i="10"/>
  <c r="Z355" i="10" s="1"/>
  <c r="T535" i="10"/>
  <c r="T519" i="10"/>
  <c r="T518" i="10"/>
  <c r="T486" i="10"/>
  <c r="Z470" i="10"/>
  <c r="T454" i="10"/>
  <c r="T422" i="10"/>
  <c r="Z409" i="10"/>
  <c r="T390" i="10"/>
  <c r="Z377" i="10"/>
  <c r="Z374" i="10"/>
  <c r="T358" i="10"/>
  <c r="Y514" i="10"/>
  <c r="Z514" i="10" s="1"/>
  <c r="Y506" i="10"/>
  <c r="Z506" i="10" s="1"/>
  <c r="Y498" i="10"/>
  <c r="Z498" i="10" s="1"/>
  <c r="Y490" i="10"/>
  <c r="Z490" i="10" s="1"/>
  <c r="Y482" i="10"/>
  <c r="Z482" i="10" s="1"/>
  <c r="Y474" i="10"/>
  <c r="Z474" i="10" s="1"/>
  <c r="Y466" i="10"/>
  <c r="Z466" i="10" s="1"/>
  <c r="Y458" i="10"/>
  <c r="Z458" i="10" s="1"/>
  <c r="Y450" i="10"/>
  <c r="Z450" i="10" s="1"/>
  <c r="Y442" i="10"/>
  <c r="Z442" i="10" s="1"/>
  <c r="Y434" i="10"/>
  <c r="Z434" i="10" s="1"/>
  <c r="Y426" i="10"/>
  <c r="Y418" i="10"/>
  <c r="Z418" i="10" s="1"/>
  <c r="Y410" i="10"/>
  <c r="Z410" i="10" s="1"/>
  <c r="Y402" i="10"/>
  <c r="Z402" i="10" s="1"/>
  <c r="Y394" i="10"/>
  <c r="Z394" i="10" s="1"/>
  <c r="Y386" i="10"/>
  <c r="Z386" i="10" s="1"/>
  <c r="Y378" i="10"/>
  <c r="Z378" i="10" s="1"/>
  <c r="Y370" i="10"/>
  <c r="Z370" i="10" s="1"/>
  <c r="Y362" i="10"/>
  <c r="Z362" i="10" s="1"/>
  <c r="Y354" i="10"/>
  <c r="AF189" i="10"/>
  <c r="AF193" i="10"/>
  <c r="AF225" i="10"/>
  <c r="AF283" i="10"/>
  <c r="BG674" i="10"/>
  <c r="BD486" i="10"/>
  <c r="BD499" i="10"/>
  <c r="BG506" i="10"/>
  <c r="BK687" i="10"/>
  <c r="BK703" i="10"/>
  <c r="BK733" i="10"/>
  <c r="BD626" i="10"/>
  <c r="BK734" i="10"/>
  <c r="BK738" i="10"/>
  <c r="BL46" i="10"/>
  <c r="BL52" i="10"/>
  <c r="Y56" i="10"/>
  <c r="BL58" i="10"/>
  <c r="Y60" i="10"/>
  <c r="BL102" i="10"/>
  <c r="BL104" i="10"/>
  <c r="BL152" i="10"/>
  <c r="BL154" i="10"/>
  <c r="BL160" i="10"/>
  <c r="Y162" i="10"/>
  <c r="Y166" i="10"/>
  <c r="BL166" i="10"/>
  <c r="BL168" i="10"/>
  <c r="BK589" i="10"/>
  <c r="T196" i="10"/>
  <c r="BG196" i="10"/>
  <c r="BG637" i="10"/>
  <c r="BG638" i="10"/>
  <c r="Y190" i="10"/>
  <c r="BL190" i="10"/>
  <c r="X5" i="10"/>
  <c r="X13" i="10"/>
  <c r="BK13" i="10"/>
  <c r="X15" i="10"/>
  <c r="BK17" i="10"/>
  <c r="X19" i="10"/>
  <c r="BK19" i="10"/>
  <c r="X21" i="10"/>
  <c r="BK37" i="10"/>
  <c r="BD716" i="10"/>
  <c r="BK367" i="10"/>
  <c r="BL586" i="10"/>
  <c r="BL530" i="10"/>
  <c r="BL544" i="10"/>
  <c r="BK559" i="10"/>
  <c r="Y196" i="10"/>
  <c r="BG598" i="10"/>
  <c r="T332" i="10"/>
  <c r="BD395" i="10"/>
  <c r="BG530" i="10"/>
  <c r="BD533" i="10"/>
  <c r="BD251" i="10"/>
  <c r="BD253" i="10"/>
  <c r="BD323" i="10"/>
  <c r="BD325" i="10"/>
  <c r="BG199" i="10"/>
  <c r="BG209" i="10"/>
  <c r="T313" i="10"/>
  <c r="T321" i="10"/>
  <c r="AF222" i="10"/>
  <c r="AF224" i="10"/>
  <c r="AF250" i="10"/>
  <c r="AF282" i="10"/>
  <c r="AF284" i="10"/>
  <c r="AF290" i="10"/>
  <c r="AF300" i="10"/>
  <c r="AF332" i="10"/>
  <c r="BD507" i="10"/>
  <c r="BL209" i="10"/>
  <c r="Y235" i="10"/>
  <c r="Y239" i="10"/>
  <c r="Y249" i="10"/>
  <c r="Y265" i="10"/>
  <c r="BL297" i="10"/>
  <c r="Y301" i="10"/>
  <c r="BL301" i="10"/>
  <c r="Y305" i="10"/>
  <c r="BL307" i="10"/>
  <c r="Y309" i="10"/>
  <c r="Y311" i="10"/>
  <c r="Y313" i="10"/>
  <c r="Y321" i="10"/>
  <c r="Y323" i="10"/>
  <c r="Y327" i="10"/>
  <c r="Y329" i="10"/>
  <c r="BD706" i="10"/>
  <c r="BL478" i="10"/>
  <c r="BG396" i="10"/>
  <c r="BD220" i="10"/>
  <c r="BD228" i="10"/>
  <c r="BD230" i="10"/>
  <c r="BK582" i="10"/>
  <c r="X6" i="10"/>
  <c r="X46" i="10"/>
  <c r="X102" i="10"/>
  <c r="X104" i="10"/>
  <c r="BK180" i="10"/>
  <c r="AI234" i="10"/>
  <c r="AI264" i="10"/>
  <c r="BL573" i="10"/>
  <c r="BK574" i="10"/>
  <c r="BL659" i="10"/>
  <c r="BD358" i="10"/>
  <c r="BG478" i="10"/>
  <c r="BD483" i="10"/>
  <c r="BD484" i="10"/>
  <c r="BG487" i="10"/>
  <c r="BK635" i="10"/>
  <c r="BL676" i="10"/>
  <c r="BL682" i="10"/>
  <c r="BL684" i="10"/>
  <c r="BL686" i="10"/>
  <c r="BG349" i="10"/>
  <c r="BK460" i="10"/>
  <c r="X186" i="10"/>
  <c r="X188" i="10"/>
  <c r="BK188" i="10"/>
  <c r="BK190" i="10"/>
  <c r="X192" i="10"/>
  <c r="BK194" i="10"/>
  <c r="BK196" i="10"/>
  <c r="BK202" i="10"/>
  <c r="BL737" i="10"/>
  <c r="BD45" i="10"/>
  <c r="BD673" i="10"/>
  <c r="BD674" i="10"/>
  <c r="BD677" i="10"/>
  <c r="BD679" i="10"/>
  <c r="BD680" i="10"/>
  <c r="BD681" i="10"/>
  <c r="BD690" i="10"/>
  <c r="BD693" i="10"/>
  <c r="BD695" i="10"/>
  <c r="BD696" i="10"/>
  <c r="BD697" i="10"/>
  <c r="BG753" i="10"/>
  <c r="X47" i="10"/>
  <c r="X105" i="10"/>
  <c r="X189" i="10"/>
  <c r="X193" i="10"/>
  <c r="X265" i="10"/>
  <c r="X307" i="10"/>
  <c r="T5" i="10"/>
  <c r="T19" i="10"/>
  <c r="T21" i="10"/>
  <c r="BL21" i="10"/>
  <c r="BL27" i="10"/>
  <c r="BL61" i="10"/>
  <c r="BL63" i="10"/>
  <c r="BL73" i="10"/>
  <c r="BL95" i="10"/>
  <c r="BD370" i="10"/>
  <c r="BD498" i="10"/>
  <c r="BG682" i="10"/>
  <c r="AI166" i="10"/>
  <c r="BD296" i="10"/>
  <c r="BD304" i="10"/>
  <c r="Q308" i="10"/>
  <c r="Q318" i="10"/>
  <c r="Q322" i="10"/>
  <c r="BL361" i="10"/>
  <c r="BG635" i="10"/>
  <c r="BK673" i="10"/>
  <c r="X282" i="10"/>
  <c r="BK362" i="10"/>
  <c r="BK498" i="10"/>
  <c r="BL726" i="10"/>
  <c r="BL40" i="10"/>
  <c r="BL42" i="10"/>
  <c r="AF55" i="10"/>
  <c r="AF57" i="10"/>
  <c r="BD63" i="10"/>
  <c r="BD71" i="10"/>
  <c r="BD73" i="10"/>
  <c r="BD75" i="10"/>
  <c r="BD79" i="10"/>
  <c r="BD115" i="10"/>
  <c r="Q141" i="10"/>
  <c r="AF163" i="10"/>
  <c r="BD167" i="10"/>
  <c r="BD171" i="10"/>
  <c r="BD173" i="10"/>
  <c r="Y206" i="10"/>
  <c r="BL208" i="10"/>
  <c r="Y240" i="10"/>
  <c r="BK462" i="10"/>
  <c r="BK466" i="10"/>
  <c r="BL492" i="10"/>
  <c r="BD531" i="10"/>
  <c r="BD649" i="10"/>
  <c r="BD651" i="10"/>
  <c r="BD654" i="10"/>
  <c r="BD657" i="10"/>
  <c r="BD659" i="10"/>
  <c r="BD660" i="10"/>
  <c r="BD665" i="10"/>
  <c r="AI11" i="10"/>
  <c r="AI19" i="10"/>
  <c r="BG39" i="10"/>
  <c r="BG47" i="10"/>
  <c r="X49" i="10"/>
  <c r="T51" i="10"/>
  <c r="AI71" i="10"/>
  <c r="AI77" i="10"/>
  <c r="T79" i="10"/>
  <c r="AI83" i="10"/>
  <c r="X85" i="10"/>
  <c r="BG85" i="10"/>
  <c r="AI95" i="10"/>
  <c r="BG103" i="10"/>
  <c r="BG105" i="10"/>
  <c r="BG109" i="10"/>
  <c r="T111" i="10"/>
  <c r="AI115" i="10"/>
  <c r="T119" i="10"/>
  <c r="T121" i="10"/>
  <c r="BG125" i="10"/>
  <c r="BG131" i="10"/>
  <c r="BG135" i="10"/>
  <c r="BG139" i="10"/>
  <c r="BG149" i="10"/>
  <c r="Q181" i="10"/>
  <c r="AI233" i="10"/>
  <c r="BD436" i="10"/>
  <c r="BG439" i="10"/>
  <c r="BG464" i="10"/>
  <c r="BG651" i="10"/>
  <c r="BG652" i="10"/>
  <c r="BK544" i="10"/>
  <c r="BD62" i="10"/>
  <c r="BD72" i="10"/>
  <c r="BD84" i="10"/>
  <c r="BD90" i="10"/>
  <c r="BD94" i="10"/>
  <c r="BD96" i="10"/>
  <c r="AF106" i="10"/>
  <c r="AF110" i="10"/>
  <c r="BD116" i="10"/>
  <c r="AF120" i="10"/>
  <c r="AF124" i="10"/>
  <c r="AF126" i="10"/>
  <c r="Q132" i="10"/>
  <c r="Q136" i="10"/>
  <c r="Q138" i="10"/>
  <c r="AF140" i="10"/>
  <c r="BD156" i="10"/>
  <c r="BD158" i="10"/>
  <c r="BD164" i="10"/>
  <c r="BD166" i="10"/>
  <c r="BD174" i="10"/>
  <c r="BD178" i="10"/>
  <c r="BD180" i="10"/>
  <c r="BL183" i="10"/>
  <c r="AF204" i="10"/>
  <c r="BL263" i="10"/>
  <c r="T325" i="10"/>
  <c r="AF330" i="10"/>
  <c r="BK363" i="10"/>
  <c r="BG395" i="10"/>
  <c r="BD584" i="10"/>
  <c r="BK368" i="10"/>
  <c r="BL543" i="10"/>
  <c r="BL547" i="10"/>
  <c r="X205" i="10"/>
  <c r="X289" i="10"/>
  <c r="BL420" i="10"/>
  <c r="BL461" i="10"/>
  <c r="BL464" i="10"/>
  <c r="BD471" i="10"/>
  <c r="BG474" i="10"/>
  <c r="BG493" i="10"/>
  <c r="BK537" i="10"/>
  <c r="BG540" i="10"/>
  <c r="BG6" i="10"/>
  <c r="BG10" i="10"/>
  <c r="BG12" i="10"/>
  <c r="X32" i="10"/>
  <c r="T42" i="10"/>
  <c r="BG42" i="10"/>
  <c r="BG44" i="10"/>
  <c r="T64" i="10"/>
  <c r="BG66" i="10"/>
  <c r="BG102" i="10"/>
  <c r="BG106" i="10"/>
  <c r="BG112" i="10"/>
  <c r="BG148" i="10"/>
  <c r="BG166" i="10"/>
  <c r="AI184" i="10"/>
  <c r="AI284" i="10"/>
  <c r="AI294" i="10"/>
  <c r="Q330" i="10"/>
  <c r="BD365" i="10"/>
  <c r="BG523" i="10"/>
  <c r="BD20" i="10"/>
  <c r="BD30" i="10"/>
  <c r="BD32" i="10"/>
  <c r="T53" i="10"/>
  <c r="T55" i="10"/>
  <c r="T61" i="10"/>
  <c r="T67" i="10"/>
  <c r="T71" i="10"/>
  <c r="T151" i="10"/>
  <c r="BG173" i="10"/>
  <c r="BG179" i="10"/>
  <c r="BG191" i="10"/>
  <c r="BD201" i="10"/>
  <c r="BD203" i="10"/>
  <c r="Q205" i="10"/>
  <c r="T252" i="10"/>
  <c r="T254" i="10"/>
  <c r="T264" i="10"/>
  <c r="T266" i="10"/>
  <c r="BL272" i="10"/>
  <c r="AF275" i="10"/>
  <c r="T278" i="10"/>
  <c r="AF279" i="10"/>
  <c r="T296" i="10"/>
  <c r="BD414" i="10"/>
  <c r="BD422" i="10"/>
  <c r="BG433" i="10"/>
  <c r="BD438" i="10"/>
  <c r="BG441" i="10"/>
  <c r="BG445" i="10"/>
  <c r="BD446" i="10"/>
  <c r="BD451" i="10"/>
  <c r="BG458" i="10"/>
  <c r="BG550" i="10"/>
  <c r="BG569" i="10"/>
  <c r="BD571" i="10"/>
  <c r="BD581" i="10"/>
  <c r="BD595" i="10"/>
  <c r="BD601" i="10"/>
  <c r="BD603" i="10"/>
  <c r="BD604" i="10"/>
  <c r="BD605" i="10"/>
  <c r="BD607" i="10"/>
  <c r="BD608" i="10"/>
  <c r="BD620" i="10"/>
  <c r="BG627" i="10"/>
  <c r="BG741" i="10"/>
  <c r="BG742" i="10"/>
  <c r="BG744" i="10"/>
  <c r="BG746" i="10"/>
  <c r="BG750" i="10"/>
  <c r="X121" i="10"/>
  <c r="X163" i="10"/>
  <c r="BL496" i="10"/>
  <c r="BL631" i="10"/>
  <c r="BL47" i="10"/>
  <c r="BL51" i="10"/>
  <c r="Y147" i="10"/>
  <c r="BL147" i="10"/>
  <c r="Y149" i="10"/>
  <c r="Y151" i="10"/>
  <c r="AF184" i="10"/>
  <c r="AI203" i="10"/>
  <c r="Y226" i="10"/>
  <c r="BL226" i="10"/>
  <c r="Y228" i="10"/>
  <c r="BL228" i="10"/>
  <c r="Y230" i="10"/>
  <c r="BL230" i="10"/>
  <c r="AF297" i="10"/>
  <c r="X302" i="10"/>
  <c r="X308" i="10"/>
  <c r="AF319" i="10"/>
  <c r="BK324" i="10"/>
  <c r="X349" i="10"/>
  <c r="BK349" i="10"/>
  <c r="BL354" i="10"/>
  <c r="BD371" i="10"/>
  <c r="BK409" i="10"/>
  <c r="BD530" i="10"/>
  <c r="BD597" i="10"/>
  <c r="BK621" i="10"/>
  <c r="BK624" i="10"/>
  <c r="BG655" i="10"/>
  <c r="BL666" i="10"/>
  <c r="BK732" i="10"/>
  <c r="BK69" i="10"/>
  <c r="BK129" i="10"/>
  <c r="BK167" i="10"/>
  <c r="X250" i="10"/>
  <c r="X264" i="10"/>
  <c r="BL412" i="10"/>
  <c r="BL428" i="10"/>
  <c r="BL465" i="10"/>
  <c r="BK666" i="10"/>
  <c r="Y125" i="10"/>
  <c r="AI74" i="10"/>
  <c r="AI84" i="10"/>
  <c r="AI174" i="10"/>
  <c r="T205" i="10"/>
  <c r="BK365" i="10"/>
  <c r="BK370" i="10"/>
  <c r="BL417" i="10"/>
  <c r="BD456" i="10"/>
  <c r="BL462" i="10"/>
  <c r="BL569" i="10"/>
  <c r="BD586" i="10"/>
  <c r="BG603" i="10"/>
  <c r="BK653" i="10"/>
  <c r="BK655" i="10"/>
  <c r="BK665" i="10"/>
  <c r="BK53" i="10"/>
  <c r="BK59" i="10"/>
  <c r="BK252" i="10"/>
  <c r="BK470" i="10"/>
  <c r="BK520" i="10"/>
  <c r="BL633" i="10"/>
  <c r="BL688" i="10"/>
  <c r="Y51" i="10"/>
  <c r="BL105" i="10"/>
  <c r="BL121" i="10"/>
  <c r="BL127" i="10"/>
  <c r="BL149" i="10"/>
  <c r="T14" i="10"/>
  <c r="AI40" i="10"/>
  <c r="AI42" i="10"/>
  <c r="AI80" i="10"/>
  <c r="AI82" i="10"/>
  <c r="Q190" i="10"/>
  <c r="BL290" i="10"/>
  <c r="BD303" i="10"/>
  <c r="Y44" i="10"/>
  <c r="T54" i="10"/>
  <c r="T58" i="10"/>
  <c r="T78" i="10"/>
  <c r="T80" i="10"/>
  <c r="T90" i="10"/>
  <c r="AF113" i="10"/>
  <c r="T136" i="10"/>
  <c r="BG136" i="10"/>
  <c r="AF141" i="10"/>
  <c r="AF145" i="10"/>
  <c r="BK199" i="10"/>
  <c r="X201" i="10"/>
  <c r="Y233" i="10"/>
  <c r="T255" i="10"/>
  <c r="T263" i="10"/>
  <c r="X297" i="10"/>
  <c r="BL360" i="10"/>
  <c r="BL383" i="10"/>
  <c r="BK386" i="10"/>
  <c r="BG565" i="10"/>
  <c r="BK602" i="10"/>
  <c r="BK603" i="10"/>
  <c r="BK620" i="10"/>
  <c r="BL652" i="10"/>
  <c r="BK121" i="10"/>
  <c r="X151" i="10"/>
  <c r="BK179" i="10"/>
  <c r="BL504" i="10"/>
  <c r="BL509" i="10"/>
  <c r="BL519" i="10"/>
  <c r="BL532" i="10"/>
  <c r="BL634" i="10"/>
  <c r="BK672" i="10"/>
  <c r="Q42" i="10"/>
  <c r="BL49" i="10"/>
  <c r="Y121" i="10"/>
  <c r="BL141" i="10"/>
  <c r="AI178" i="10"/>
  <c r="BG201" i="10"/>
  <c r="BK56" i="10"/>
  <c r="BK72" i="10"/>
  <c r="BK74" i="10"/>
  <c r="X76" i="10"/>
  <c r="BK76" i="10"/>
  <c r="X78" i="10"/>
  <c r="BK80" i="10"/>
  <c r="BK84" i="10"/>
  <c r="BK88" i="10"/>
  <c r="BK94" i="10"/>
  <c r="BK96" i="10"/>
  <c r="X98" i="10"/>
  <c r="BK98" i="10"/>
  <c r="X100" i="10"/>
  <c r="X132" i="10"/>
  <c r="BK132" i="10"/>
  <c r="X136" i="10"/>
  <c r="BK136" i="10"/>
  <c r="BK166" i="10"/>
  <c r="X170" i="10"/>
  <c r="BD179" i="10"/>
  <c r="BK209" i="10"/>
  <c r="X211" i="10"/>
  <c r="BK211" i="10"/>
  <c r="X215" i="10"/>
  <c r="X219" i="10"/>
  <c r="X245" i="10"/>
  <c r="BK245" i="10"/>
  <c r="X247" i="10"/>
  <c r="BK247" i="10"/>
  <c r="X261" i="10"/>
  <c r="BK261" i="10"/>
  <c r="X263" i="10"/>
  <c r="BL426" i="10"/>
  <c r="BL446" i="10"/>
  <c r="BL455" i="10"/>
  <c r="BK481" i="10"/>
  <c r="BL506" i="10"/>
  <c r="BD575" i="10"/>
  <c r="BL581" i="10"/>
  <c r="BK593" i="10"/>
  <c r="BL596" i="10"/>
  <c r="BG684" i="10"/>
  <c r="BD727" i="10"/>
  <c r="X101" i="10"/>
  <c r="X117" i="10"/>
  <c r="X157" i="10"/>
  <c r="BK173" i="10"/>
  <c r="BL629" i="10"/>
  <c r="BL690" i="10"/>
  <c r="Q44" i="10"/>
  <c r="Q48" i="10"/>
  <c r="Q50" i="10"/>
  <c r="BL101" i="10"/>
  <c r="Y123" i="10"/>
  <c r="Y127" i="10"/>
  <c r="Q140" i="10"/>
  <c r="T28" i="10"/>
  <c r="AI72" i="10"/>
  <c r="AI172" i="10"/>
  <c r="AF198" i="10"/>
  <c r="AI263" i="10"/>
  <c r="Y304" i="10"/>
  <c r="Y318" i="10"/>
  <c r="Y324" i="10"/>
  <c r="Y328" i="10"/>
  <c r="Q143" i="10"/>
  <c r="Q147" i="10"/>
  <c r="BD191" i="10"/>
  <c r="BG200" i="10"/>
  <c r="BG202" i="10"/>
  <c r="BD234" i="10"/>
  <c r="AI258" i="10"/>
  <c r="Y261" i="10"/>
  <c r="BD284" i="10"/>
  <c r="BD290" i="10"/>
  <c r="BD292" i="10"/>
  <c r="BD294" i="10"/>
  <c r="BD349" i="10"/>
  <c r="BK351" i="10"/>
  <c r="BL358" i="10"/>
  <c r="BK366" i="10"/>
  <c r="BD396" i="10"/>
  <c r="BG412" i="10"/>
  <c r="BK420" i="10"/>
  <c r="BD421" i="10"/>
  <c r="BG424" i="10"/>
  <c r="BD429" i="10"/>
  <c r="BG457" i="10"/>
  <c r="BD462" i="10"/>
  <c r="BD497" i="10"/>
  <c r="BG508" i="10"/>
  <c r="BG519" i="10"/>
  <c r="BD577" i="10"/>
  <c r="BD621" i="10"/>
  <c r="BD623" i="10"/>
  <c r="BD627" i="10"/>
  <c r="BG630" i="10"/>
  <c r="BG631" i="10"/>
  <c r="BG633" i="10"/>
  <c r="BK694" i="10"/>
  <c r="BG705" i="10"/>
  <c r="BG706" i="10"/>
  <c r="Q2" i="10"/>
  <c r="AF16" i="10"/>
  <c r="AF28" i="10"/>
  <c r="AF30" i="10"/>
  <c r="AF36" i="10"/>
  <c r="BL45" i="10"/>
  <c r="AI53" i="10"/>
  <c r="BD55" i="10"/>
  <c r="AF75" i="10"/>
  <c r="AF83" i="10"/>
  <c r="AF87" i="10"/>
  <c r="AF95" i="10"/>
  <c r="AF97" i="10"/>
  <c r="T110" i="10"/>
  <c r="BL114" i="10"/>
  <c r="AF8" i="10"/>
  <c r="BL5" i="10"/>
  <c r="BD10" i="10"/>
  <c r="Y11" i="10"/>
  <c r="Q12" i="10"/>
  <c r="Y17" i="10"/>
  <c r="Y19" i="10"/>
  <c r="BL37" i="10"/>
  <c r="AF40" i="10"/>
  <c r="X41" i="10"/>
  <c r="AF52" i="10"/>
  <c r="AI61" i="10"/>
  <c r="Y78" i="10"/>
  <c r="BL78" i="10"/>
  <c r="Y88" i="10"/>
  <c r="AF103" i="10"/>
  <c r="BK104" i="10"/>
  <c r="X106" i="10"/>
  <c r="BK108" i="10"/>
  <c r="X110" i="10"/>
  <c r="BK110" i="10"/>
  <c r="T116" i="10"/>
  <c r="BG120" i="10"/>
  <c r="T122" i="10"/>
  <c r="BG122" i="10"/>
  <c r="BG124" i="10"/>
  <c r="BG128" i="10"/>
  <c r="BD142" i="10"/>
  <c r="BD148" i="10"/>
  <c r="BD150" i="10"/>
  <c r="BG151" i="10"/>
  <c r="T163" i="10"/>
  <c r="AF166" i="10"/>
  <c r="BD197" i="10"/>
  <c r="BD199" i="10"/>
  <c r="T202" i="10"/>
  <c r="T204" i="10"/>
  <c r="AI216" i="10"/>
  <c r="AI220" i="10"/>
  <c r="Q286" i="10"/>
  <c r="T34" i="10"/>
  <c r="BG34" i="10"/>
  <c r="X53" i="10"/>
  <c r="AF243" i="10"/>
  <c r="AF251" i="10"/>
  <c r="AF255" i="10"/>
  <c r="AF257" i="10"/>
  <c r="T77" i="10"/>
  <c r="T91" i="10"/>
  <c r="T93" i="10"/>
  <c r="T99" i="10"/>
  <c r="T101" i="10"/>
  <c r="AI113" i="10"/>
  <c r="AF176" i="10"/>
  <c r="X14" i="10"/>
  <c r="X16" i="10"/>
  <c r="BK16" i="10"/>
  <c r="X22" i="10"/>
  <c r="BK22" i="10"/>
  <c r="X24" i="10"/>
  <c r="BK24" i="10"/>
  <c r="X28" i="10"/>
  <c r="AF31" i="10"/>
  <c r="AF33" i="10"/>
  <c r="T40" i="10"/>
  <c r="BL57" i="10"/>
  <c r="Q58" i="10"/>
  <c r="Y59" i="10"/>
  <c r="BL59" i="10"/>
  <c r="Q60" i="10"/>
  <c r="BD64" i="10"/>
  <c r="BD68" i="10"/>
  <c r="Y69" i="10"/>
  <c r="BL69" i="10"/>
  <c r="X71" i="10"/>
  <c r="BK71" i="10"/>
  <c r="BK79" i="10"/>
  <c r="BK83" i="10"/>
  <c r="BK89" i="10"/>
  <c r="X93" i="10"/>
  <c r="BK93" i="10"/>
  <c r="X97" i="10"/>
  <c r="T107" i="10"/>
  <c r="Y116" i="10"/>
  <c r="Y120" i="10"/>
  <c r="Q129" i="10"/>
  <c r="Q131" i="10"/>
  <c r="BD237" i="10"/>
  <c r="Q243" i="10"/>
  <c r="Q247" i="10"/>
  <c r="Q249" i="10"/>
  <c r="BD249" i="10"/>
  <c r="Y250" i="10"/>
  <c r="Y258" i="10"/>
  <c r="BL264" i="10"/>
  <c r="X3" i="10"/>
  <c r="BL6" i="10"/>
  <c r="Y8" i="10"/>
  <c r="Y14" i="10"/>
  <c r="Q15" i="10"/>
  <c r="Y16" i="10"/>
  <c r="BL20" i="10"/>
  <c r="Y22" i="10"/>
  <c r="Q23" i="10"/>
  <c r="Y28" i="10"/>
  <c r="BD31" i="10"/>
  <c r="Y32" i="10"/>
  <c r="Y34" i="10"/>
  <c r="BL34" i="10"/>
  <c r="Y36" i="10"/>
  <c r="BK38" i="10"/>
  <c r="X40" i="10"/>
  <c r="X56" i="10"/>
  <c r="AI64" i="10"/>
  <c r="X66" i="10"/>
  <c r="AI68" i="10"/>
  <c r="Y79" i="10"/>
  <c r="BL79" i="10"/>
  <c r="BD80" i="10"/>
  <c r="BL81" i="10"/>
  <c r="BL89" i="10"/>
  <c r="AI90" i="10"/>
  <c r="BD92" i="10"/>
  <c r="X107" i="10"/>
  <c r="X109" i="10"/>
  <c r="X111" i="10"/>
  <c r="X113" i="10"/>
  <c r="BG119" i="10"/>
  <c r="X142" i="10"/>
  <c r="Q145" i="10"/>
  <c r="T158" i="10"/>
  <c r="BG158" i="10"/>
  <c r="T160" i="10"/>
  <c r="BG160" i="10"/>
  <c r="T162" i="10"/>
  <c r="T164" i="10"/>
  <c r="T166" i="10"/>
  <c r="BK168" i="10"/>
  <c r="X172" i="10"/>
  <c r="X174" i="10"/>
  <c r="Q315" i="10"/>
  <c r="Q325" i="10"/>
  <c r="BG5" i="10"/>
  <c r="BG7" i="10"/>
  <c r="BG9" i="10"/>
  <c r="BG11" i="10"/>
  <c r="T13" i="10"/>
  <c r="AI21" i="10"/>
  <c r="T27" i="10"/>
  <c r="BG29" i="10"/>
  <c r="T35" i="10"/>
  <c r="BG37" i="10"/>
  <c r="Y62" i="10"/>
  <c r="T72" i="10"/>
  <c r="BG74" i="10"/>
  <c r="AI78" i="10"/>
  <c r="BG82" i="10"/>
  <c r="T88" i="10"/>
  <c r="BG90" i="10"/>
  <c r="AI92" i="10"/>
  <c r="AI98" i="10"/>
  <c r="BG100" i="10"/>
  <c r="BL133" i="10"/>
  <c r="AF138" i="10"/>
  <c r="BL150" i="10"/>
  <c r="BD151" i="10"/>
  <c r="X154" i="10"/>
  <c r="BK154" i="10"/>
  <c r="X156" i="10"/>
  <c r="BK156" i="10"/>
  <c r="BD157" i="10"/>
  <c r="BK158" i="10"/>
  <c r="BD163" i="10"/>
  <c r="X164" i="10"/>
  <c r="BK164" i="10"/>
  <c r="BD165" i="10"/>
  <c r="BD541" i="10"/>
  <c r="BG551" i="10"/>
  <c r="AF196" i="10"/>
  <c r="BG197" i="10"/>
  <c r="T216" i="10"/>
  <c r="T218" i="10"/>
  <c r="AF232" i="10"/>
  <c r="BD232" i="10"/>
  <c r="AI237" i="10"/>
  <c r="AI241" i="10"/>
  <c r="BG241" i="10"/>
  <c r="T243" i="10"/>
  <c r="AI253" i="10"/>
  <c r="BG255" i="10"/>
  <c r="X259" i="10"/>
  <c r="BL262" i="10"/>
  <c r="X266" i="10"/>
  <c r="X268" i="10"/>
  <c r="BK268" i="10"/>
  <c r="BD271" i="10"/>
  <c r="Q273" i="10"/>
  <c r="BK276" i="10"/>
  <c r="Q277" i="10"/>
  <c r="BD277" i="10"/>
  <c r="AI286" i="10"/>
  <c r="AI288" i="10"/>
  <c r="Y303" i="10"/>
  <c r="T311" i="10"/>
  <c r="T323" i="10"/>
  <c r="AF331" i="10"/>
  <c r="X334" i="10"/>
  <c r="BL392" i="10"/>
  <c r="BK395" i="10"/>
  <c r="BL400" i="10"/>
  <c r="BK408" i="10"/>
  <c r="BD417" i="10"/>
  <c r="BL419" i="10"/>
  <c r="BK431" i="10"/>
  <c r="BG460" i="10"/>
  <c r="BL476" i="10"/>
  <c r="BL493" i="10"/>
  <c r="BK513" i="10"/>
  <c r="BL521" i="10"/>
  <c r="BK522" i="10"/>
  <c r="BG524" i="10"/>
  <c r="BK526" i="10"/>
  <c r="BG554" i="10"/>
  <c r="BD556" i="10"/>
  <c r="BK588" i="10"/>
  <c r="BG589" i="10"/>
  <c r="BK637" i="10"/>
  <c r="BK639" i="10"/>
  <c r="BL654" i="10"/>
  <c r="BL655" i="10"/>
  <c r="BK716" i="10"/>
  <c r="BK722" i="10"/>
  <c r="BG203" i="10"/>
  <c r="X210" i="10"/>
  <c r="Q211" i="10"/>
  <c r="X212" i="10"/>
  <c r="BK212" i="10"/>
  <c r="BD213" i="10"/>
  <c r="X214" i="10"/>
  <c r="X216" i="10"/>
  <c r="BD217" i="10"/>
  <c r="BD219" i="10"/>
  <c r="BG220" i="10"/>
  <c r="BG224" i="10"/>
  <c r="Q265" i="10"/>
  <c r="Y268" i="10"/>
  <c r="BL284" i="10"/>
  <c r="Y295" i="10"/>
  <c r="X301" i="10"/>
  <c r="BD302" i="10"/>
  <c r="X305" i="10"/>
  <c r="BD310" i="10"/>
  <c r="Y332" i="10"/>
  <c r="BL332" i="10"/>
  <c r="AI333" i="10"/>
  <c r="BK354" i="10"/>
  <c r="BG413" i="10"/>
  <c r="BG440" i="10"/>
  <c r="BD458" i="10"/>
  <c r="BL513" i="10"/>
  <c r="BG516" i="10"/>
  <c r="BD519" i="10"/>
  <c r="BK524" i="10"/>
  <c r="BD544" i="10"/>
  <c r="BL551" i="10"/>
  <c r="BK554" i="10"/>
  <c r="BG556" i="10"/>
  <c r="BG563" i="10"/>
  <c r="BK594" i="10"/>
  <c r="BK616" i="10"/>
  <c r="BK628" i="10"/>
  <c r="BK630" i="10"/>
  <c r="BL637" i="10"/>
  <c r="BG676" i="10"/>
  <c r="BD700" i="10"/>
  <c r="BL717" i="10"/>
  <c r="BL719" i="10"/>
  <c r="BL720" i="10"/>
  <c r="BD753" i="10"/>
  <c r="X313" i="10"/>
  <c r="BD324" i="10"/>
  <c r="Q326" i="10"/>
  <c r="BD328" i="10"/>
  <c r="BL398" i="10"/>
  <c r="BL677" i="10"/>
  <c r="X203" i="10"/>
  <c r="X213" i="10"/>
  <c r="AI217" i="10"/>
  <c r="AI219" i="10"/>
  <c r="Q244" i="10"/>
  <c r="BD244" i="10"/>
  <c r="Q246" i="10"/>
  <c r="BD246" i="10"/>
  <c r="Q260" i="10"/>
  <c r="T269" i="10"/>
  <c r="BL269" i="10"/>
  <c r="T271" i="10"/>
  <c r="BG273" i="10"/>
  <c r="T275" i="10"/>
  <c r="T279" i="10"/>
  <c r="BK352" i="10"/>
  <c r="BL391" i="10"/>
  <c r="BK402" i="10"/>
  <c r="BL437" i="10"/>
  <c r="BK477" i="10"/>
  <c r="BK675" i="10"/>
  <c r="BK683" i="10"/>
  <c r="Y170" i="10"/>
  <c r="BL201" i="10"/>
  <c r="T211" i="10"/>
  <c r="T215" i="10"/>
  <c r="BD223" i="10"/>
  <c r="Q225" i="10"/>
  <c r="BK226" i="10"/>
  <c r="AF227" i="10"/>
  <c r="X228" i="10"/>
  <c r="BK228" i="10"/>
  <c r="X230" i="10"/>
  <c r="BK230" i="10"/>
  <c r="BK232" i="10"/>
  <c r="AF233" i="10"/>
  <c r="BD233" i="10"/>
  <c r="BG234" i="10"/>
  <c r="BG240" i="10"/>
  <c r="T242" i="10"/>
  <c r="AI242" i="10"/>
  <c r="T250" i="10"/>
  <c r="BG256" i="10"/>
  <c r="BK265" i="10"/>
  <c r="X267" i="10"/>
  <c r="X269" i="10"/>
  <c r="Q276" i="10"/>
  <c r="Q278" i="10"/>
  <c r="BD280" i="10"/>
  <c r="T285" i="10"/>
  <c r="AI285" i="10"/>
  <c r="BL300" i="10"/>
  <c r="Y306" i="10"/>
  <c r="T314" i="10"/>
  <c r="T316" i="10"/>
  <c r="BG322" i="10"/>
  <c r="BG326" i="10"/>
  <c r="T328" i="10"/>
  <c r="X331" i="10"/>
  <c r="BK333" i="10"/>
  <c r="BD334" i="10"/>
  <c r="BD427" i="10"/>
  <c r="BD447" i="10"/>
  <c r="BG470" i="10"/>
  <c r="BG483" i="10"/>
  <c r="BD489" i="10"/>
  <c r="BG492" i="10"/>
  <c r="BG532" i="10"/>
  <c r="BK547" i="10"/>
  <c r="BL556" i="10"/>
  <c r="BD561" i="10"/>
  <c r="BK571" i="10"/>
  <c r="BL582" i="10"/>
  <c r="BK585" i="10"/>
  <c r="BD599" i="10"/>
  <c r="BD638" i="10"/>
  <c r="BD639" i="10"/>
  <c r="BD641" i="10"/>
  <c r="BD645" i="10"/>
  <c r="BD646" i="10"/>
  <c r="BL751" i="10"/>
  <c r="BL287" i="10"/>
  <c r="BL291" i="10"/>
  <c r="BL293" i="10"/>
  <c r="Q299" i="10"/>
  <c r="Q303" i="10"/>
  <c r="BD377" i="10"/>
  <c r="BD385" i="10"/>
  <c r="BG387" i="10"/>
  <c r="BL389" i="10"/>
  <c r="BG392" i="10"/>
  <c r="BD420" i="10"/>
  <c r="BG423" i="10"/>
  <c r="BD476" i="10"/>
  <c r="BL484" i="10"/>
  <c r="BG505" i="10"/>
  <c r="BD514" i="10"/>
  <c r="BG521" i="10"/>
  <c r="BG574" i="10"/>
  <c r="BG625" i="10"/>
  <c r="BD629" i="10"/>
  <c r="BD632" i="10"/>
  <c r="BD634" i="10"/>
  <c r="BD723" i="10"/>
  <c r="BD729" i="10"/>
  <c r="BD748" i="10"/>
  <c r="BD750" i="10"/>
  <c r="AF2" i="10"/>
  <c r="BK3" i="10"/>
  <c r="T7" i="10"/>
  <c r="T9" i="10"/>
  <c r="T11" i="10"/>
  <c r="AI13" i="10"/>
  <c r="X17" i="10"/>
  <c r="X26" i="10"/>
  <c r="Y30" i="10"/>
  <c r="BL32" i="10"/>
  <c r="T36" i="10"/>
  <c r="Q40" i="10"/>
  <c r="Y41" i="10"/>
  <c r="BK41" i="10"/>
  <c r="X43" i="10"/>
  <c r="BK43" i="10"/>
  <c r="AF44" i="10"/>
  <c r="BD53" i="10"/>
  <c r="X54" i="10"/>
  <c r="T56" i="10"/>
  <c r="AI58" i="10"/>
  <c r="T60" i="10"/>
  <c r="Y61" i="10"/>
  <c r="AI62" i="10"/>
  <c r="BK65" i="10"/>
  <c r="BD66" i="10"/>
  <c r="T69" i="10"/>
  <c r="BG69" i="10"/>
  <c r="Y72" i="10"/>
  <c r="BL72" i="10"/>
  <c r="BL74" i="10"/>
  <c r="Y84" i="10"/>
  <c r="BL84" i="10"/>
  <c r="AI88" i="10"/>
  <c r="X91" i="10"/>
  <c r="BK91" i="10"/>
  <c r="Y96" i="10"/>
  <c r="Y98" i="10"/>
  <c r="BL98" i="10"/>
  <c r="T104" i="10"/>
  <c r="AF112" i="10"/>
  <c r="AI117" i="10"/>
  <c r="AF133" i="10"/>
  <c r="AF135" i="10"/>
  <c r="BK147" i="10"/>
  <c r="Q155" i="10"/>
  <c r="Q163" i="10"/>
  <c r="T168" i="10"/>
  <c r="BG182" i="10"/>
  <c r="AI188" i="10"/>
  <c r="AI192" i="10"/>
  <c r="Q198" i="10"/>
  <c r="BL207" i="10"/>
  <c r="AF215" i="10"/>
  <c r="AI251" i="10"/>
  <c r="BG280" i="10"/>
  <c r="BL280" i="10"/>
  <c r="Y3" i="10"/>
  <c r="BL3" i="10"/>
  <c r="BK5" i="10"/>
  <c r="X7" i="10"/>
  <c r="X11" i="10"/>
  <c r="BL13" i="10"/>
  <c r="BL15" i="10"/>
  <c r="BL22" i="10"/>
  <c r="AI25" i="10"/>
  <c r="Y26" i="10"/>
  <c r="X30" i="10"/>
  <c r="X36" i="10"/>
  <c r="X38" i="10"/>
  <c r="BL41" i="10"/>
  <c r="Y43" i="10"/>
  <c r="BD46" i="10"/>
  <c r="X51" i="10"/>
  <c r="BK51" i="10"/>
  <c r="Y54" i="10"/>
  <c r="X62" i="10"/>
  <c r="BG62" i="10"/>
  <c r="Y65" i="10"/>
  <c r="BL65" i="10"/>
  <c r="BL67" i="10"/>
  <c r="X75" i="10"/>
  <c r="BG75" i="10"/>
  <c r="BK78" i="10"/>
  <c r="X86" i="10"/>
  <c r="BL88" i="10"/>
  <c r="X99" i="10"/>
  <c r="BG99" i="10"/>
  <c r="T106" i="10"/>
  <c r="X108" i="10"/>
  <c r="BL111" i="10"/>
  <c r="Y113" i="10"/>
  <c r="BL113" i="10"/>
  <c r="BD114" i="10"/>
  <c r="Q133" i="10"/>
  <c r="Q135" i="10"/>
  <c r="Q137" i="10"/>
  <c r="BD139" i="10"/>
  <c r="BG142" i="10"/>
  <c r="BG153" i="10"/>
  <c r="BG155" i="10"/>
  <c r="BG161" i="10"/>
  <c r="AI163" i="10"/>
  <c r="BG165" i="10"/>
  <c r="BL171" i="10"/>
  <c r="BD176" i="10"/>
  <c r="X177" i="10"/>
  <c r="X182" i="10"/>
  <c r="BK182" i="10"/>
  <c r="AF185" i="10"/>
  <c r="T188" i="10"/>
  <c r="T192" i="10"/>
  <c r="T194" i="10"/>
  <c r="AI198" i="10"/>
  <c r="BL199" i="10"/>
  <c r="BK201" i="10"/>
  <c r="AF206" i="10"/>
  <c r="Y209" i="10"/>
  <c r="T327" i="10"/>
  <c r="T2" i="10"/>
  <c r="AI35" i="10"/>
  <c r="AF100" i="10"/>
  <c r="Q146" i="10"/>
  <c r="T167" i="10"/>
  <c r="X2" i="10"/>
  <c r="AF3" i="10"/>
  <c r="X4" i="10"/>
  <c r="T8" i="10"/>
  <c r="T10" i="10"/>
  <c r="BL10" i="10"/>
  <c r="BD22" i="10"/>
  <c r="T29" i="10"/>
  <c r="T33" i="10"/>
  <c r="T37" i="10"/>
  <c r="BL38" i="10"/>
  <c r="T48" i="10"/>
  <c r="BL48" i="10"/>
  <c r="BG52" i="10"/>
  <c r="AF54" i="10"/>
  <c r="X57" i="10"/>
  <c r="BG57" i="10"/>
  <c r="BL62" i="10"/>
  <c r="BD65" i="10"/>
  <c r="X70" i="10"/>
  <c r="AI70" i="10"/>
  <c r="BG70" i="10"/>
  <c r="Y71" i="10"/>
  <c r="BL71" i="10"/>
  <c r="BD74" i="10"/>
  <c r="X77" i="10"/>
  <c r="BK77" i="10"/>
  <c r="BD82" i="10"/>
  <c r="X89" i="10"/>
  <c r="AF91" i="10"/>
  <c r="BL93" i="10"/>
  <c r="AI96" i="10"/>
  <c r="BL99" i="10"/>
  <c r="T103" i="10"/>
  <c r="BL108" i="10"/>
  <c r="Y110" i="10"/>
  <c r="AI122" i="10"/>
  <c r="AI124" i="10"/>
  <c r="X144" i="10"/>
  <c r="Q152" i="10"/>
  <c r="Q154" i="10"/>
  <c r="Y155" i="10"/>
  <c r="Y159" i="10"/>
  <c r="BL161" i="10"/>
  <c r="X167" i="10"/>
  <c r="BK170" i="10"/>
  <c r="AF171" i="10"/>
  <c r="BK172" i="10"/>
  <c r="X176" i="10"/>
  <c r="AI185" i="10"/>
  <c r="AI195" i="10"/>
  <c r="AI202" i="10"/>
  <c r="BK204" i="10"/>
  <c r="Q210" i="10"/>
  <c r="BD210" i="10"/>
  <c r="BL211" i="10"/>
  <c r="AF212" i="10"/>
  <c r="AF214" i="10"/>
  <c r="T217" i="10"/>
  <c r="T304" i="10"/>
  <c r="T4" i="10"/>
  <c r="Q16" i="10"/>
  <c r="AI55" i="10"/>
  <c r="AF76" i="10"/>
  <c r="AF82" i="10"/>
  <c r="AI87" i="10"/>
  <c r="AF107" i="10"/>
  <c r="AF197" i="10"/>
  <c r="X8" i="10"/>
  <c r="X20" i="10"/>
  <c r="Y23" i="10"/>
  <c r="X31" i="10"/>
  <c r="BK33" i="10"/>
  <c r="BL44" i="10"/>
  <c r="BK46" i="10"/>
  <c r="BK48" i="10"/>
  <c r="X50" i="10"/>
  <c r="Y52" i="10"/>
  <c r="X55" i="10"/>
  <c r="BK55" i="10"/>
  <c r="BL66" i="10"/>
  <c r="Y68" i="10"/>
  <c r="BL77" i="10"/>
  <c r="Y80" i="10"/>
  <c r="X82" i="10"/>
  <c r="X84" i="10"/>
  <c r="BL85" i="10"/>
  <c r="X87" i="10"/>
  <c r="BK87" i="10"/>
  <c r="Y92" i="10"/>
  <c r="X94" i="10"/>
  <c r="X103" i="10"/>
  <c r="T105" i="10"/>
  <c r="AI107" i="10"/>
  <c r="BD113" i="10"/>
  <c r="Q115" i="10"/>
  <c r="AI141" i="10"/>
  <c r="T146" i="10"/>
  <c r="BK152" i="10"/>
  <c r="BG154" i="10"/>
  <c r="AI160" i="10"/>
  <c r="BG162" i="10"/>
  <c r="Y167" i="10"/>
  <c r="BD168" i="10"/>
  <c r="BG169" i="10"/>
  <c r="BK176" i="10"/>
  <c r="X178" i="10"/>
  <c r="X181" i="10"/>
  <c r="BD182" i="10"/>
  <c r="BK183" i="10"/>
  <c r="BL189" i="10"/>
  <c r="BL191" i="10"/>
  <c r="AF192" i="10"/>
  <c r="X197" i="10"/>
  <c r="X199" i="10"/>
  <c r="Y204" i="10"/>
  <c r="AF205" i="10"/>
  <c r="BK206" i="10"/>
  <c r="AF207" i="10"/>
  <c r="AF209" i="10"/>
  <c r="BL213" i="10"/>
  <c r="BL215" i="10"/>
  <c r="AI223" i="10"/>
  <c r="T318" i="10"/>
  <c r="AF334" i="10"/>
  <c r="AF39" i="10"/>
  <c r="BD70" i="10"/>
  <c r="T85" i="10"/>
  <c r="AI101" i="10"/>
  <c r="AF109" i="10"/>
  <c r="Q126" i="10"/>
  <c r="BL2" i="10"/>
  <c r="BD7" i="10"/>
  <c r="BD11" i="10"/>
  <c r="Q13" i="10"/>
  <c r="BD13" i="10"/>
  <c r="AI24" i="10"/>
  <c r="T26" i="10"/>
  <c r="AI26" i="10"/>
  <c r="BG26" i="10"/>
  <c r="T43" i="10"/>
  <c r="AI43" i="10"/>
  <c r="BG45" i="10"/>
  <c r="BD56" i="10"/>
  <c r="T63" i="10"/>
  <c r="T65" i="10"/>
  <c r="AI65" i="10"/>
  <c r="AI67" i="10"/>
  <c r="BD69" i="10"/>
  <c r="BK85" i="10"/>
  <c r="BG91" i="10"/>
  <c r="T98" i="10"/>
  <c r="T100" i="10"/>
  <c r="AI111" i="10"/>
  <c r="X116" i="10"/>
  <c r="BK116" i="10"/>
  <c r="BK118" i="10"/>
  <c r="BD121" i="10"/>
  <c r="X146" i="10"/>
  <c r="BK146" i="10"/>
  <c r="Q149" i="10"/>
  <c r="BG171" i="10"/>
  <c r="X180" i="10"/>
  <c r="BG180" i="10"/>
  <c r="X185" i="10"/>
  <c r="BK185" i="10"/>
  <c r="BD186" i="10"/>
  <c r="BK193" i="10"/>
  <c r="X195" i="10"/>
  <c r="X202" i="10"/>
  <c r="BL203" i="10"/>
  <c r="Q207" i="10"/>
  <c r="Y208" i="10"/>
  <c r="T212" i="10"/>
  <c r="BD288" i="10"/>
  <c r="Q227" i="10"/>
  <c r="BD227" i="10"/>
  <c r="Q233" i="10"/>
  <c r="AI244" i="10"/>
  <c r="AI246" i="10"/>
  <c r="AI248" i="10"/>
  <c r="AF253" i="10"/>
  <c r="AI260" i="10"/>
  <c r="Q262" i="10"/>
  <c r="Q267" i="10"/>
  <c r="T282" i="10"/>
  <c r="Q284" i="10"/>
  <c r="AI296" i="10"/>
  <c r="BD308" i="10"/>
  <c r="Q312" i="10"/>
  <c r="AF325" i="10"/>
  <c r="BG358" i="10"/>
  <c r="BD364" i="10"/>
  <c r="BK392" i="10"/>
  <c r="BG406" i="10"/>
  <c r="BD464" i="10"/>
  <c r="BD610" i="10"/>
  <c r="BD614" i="10"/>
  <c r="BD615" i="10"/>
  <c r="BG214" i="10"/>
  <c r="BD216" i="10"/>
  <c r="BG225" i="10"/>
  <c r="T227" i="10"/>
  <c r="AI227" i="10"/>
  <c r="BG227" i="10"/>
  <c r="T233" i="10"/>
  <c r="BG233" i="10"/>
  <c r="BD235" i="10"/>
  <c r="AF241" i="10"/>
  <c r="Y252" i="10"/>
  <c r="BL252" i="10"/>
  <c r="T260" i="10"/>
  <c r="X262" i="10"/>
  <c r="BL268" i="10"/>
  <c r="BL276" i="10"/>
  <c r="AF281" i="10"/>
  <c r="AF286" i="10"/>
  <c r="Y292" i="10"/>
  <c r="BL292" i="10"/>
  <c r="Y294" i="10"/>
  <c r="T300" i="10"/>
  <c r="AI302" i="10"/>
  <c r="T305" i="10"/>
  <c r="X310" i="10"/>
  <c r="AI310" i="10"/>
  <c r="AI312" i="10"/>
  <c r="Q314" i="10"/>
  <c r="AF316" i="10"/>
  <c r="BD316" i="10"/>
  <c r="AI323" i="10"/>
  <c r="Y334" i="10"/>
  <c r="BK334" i="10"/>
  <c r="BL353" i="10"/>
  <c r="BL355" i="10"/>
  <c r="BK358" i="10"/>
  <c r="BL368" i="10"/>
  <c r="BL375" i="10"/>
  <c r="BL380" i="10"/>
  <c r="BK383" i="10"/>
  <c r="BL388" i="10"/>
  <c r="BK393" i="10"/>
  <c r="BK398" i="10"/>
  <c r="BK406" i="10"/>
  <c r="BL408" i="10"/>
  <c r="BG409" i="10"/>
  <c r="BG448" i="10"/>
  <c r="BD449" i="10"/>
  <c r="BD450" i="10"/>
  <c r="BD457" i="10"/>
  <c r="BK463" i="10"/>
  <c r="BL466" i="10"/>
  <c r="BL548" i="10"/>
  <c r="BK578" i="10"/>
  <c r="BK744" i="10"/>
  <c r="BK745" i="10"/>
  <c r="BK746" i="10"/>
  <c r="BK747" i="10"/>
  <c r="BK218" i="10"/>
  <c r="X221" i="10"/>
  <c r="BD222" i="10"/>
  <c r="X223" i="10"/>
  <c r="BK223" i="10"/>
  <c r="AI235" i="10"/>
  <c r="Y242" i="10"/>
  <c r="BL242" i="10"/>
  <c r="BD243" i="10"/>
  <c r="Y251" i="10"/>
  <c r="BG251" i="10"/>
  <c r="BG253" i="10"/>
  <c r="Y256" i="10"/>
  <c r="BL256" i="10"/>
  <c r="BL267" i="10"/>
  <c r="BK282" i="10"/>
  <c r="Y285" i="10"/>
  <c r="T291" i="10"/>
  <c r="T293" i="10"/>
  <c r="BL306" i="10"/>
  <c r="BD318" i="10"/>
  <c r="X321" i="10"/>
  <c r="BK321" i="10"/>
  <c r="BG325" i="10"/>
  <c r="BD357" i="10"/>
  <c r="BG371" i="10"/>
  <c r="BD397" i="10"/>
  <c r="BD528" i="10"/>
  <c r="BG560" i="10"/>
  <c r="BL566" i="10"/>
  <c r="BG579" i="10"/>
  <c r="BK695" i="10"/>
  <c r="BL715" i="10"/>
  <c r="X220" i="10"/>
  <c r="AI222" i="10"/>
  <c r="AI245" i="10"/>
  <c r="AI247" i="10"/>
  <c r="AI249" i="10"/>
  <c r="AF254" i="10"/>
  <c r="Q268" i="10"/>
  <c r="BK271" i="10"/>
  <c r="X273" i="10"/>
  <c r="BK273" i="10"/>
  <c r="BK277" i="10"/>
  <c r="X279" i="10"/>
  <c r="AF280" i="10"/>
  <c r="T281" i="10"/>
  <c r="Y289" i="10"/>
  <c r="BD297" i="10"/>
  <c r="Y298" i="10"/>
  <c r="Y307" i="10"/>
  <c r="Y310" i="10"/>
  <c r="Y312" i="10"/>
  <c r="AI318" i="10"/>
  <c r="Q324" i="10"/>
  <c r="AI327" i="10"/>
  <c r="BL331" i="10"/>
  <c r="BL333" i="10"/>
  <c r="Y349" i="10"/>
  <c r="BL409" i="10"/>
  <c r="BG422" i="10"/>
  <c r="BL436" i="10"/>
  <c r="BD504" i="10"/>
  <c r="BG534" i="10"/>
  <c r="BL704" i="10"/>
  <c r="BL706" i="10"/>
  <c r="BL707" i="10"/>
  <c r="BL710" i="10"/>
  <c r="BL712" i="10"/>
  <c r="BL739" i="10"/>
  <c r="AI213" i="10"/>
  <c r="Y216" i="10"/>
  <c r="Y224" i="10"/>
  <c r="AI232" i="10"/>
  <c r="BK235" i="10"/>
  <c r="AF236" i="10"/>
  <c r="X237" i="10"/>
  <c r="BK237" i="10"/>
  <c r="AF238" i="10"/>
  <c r="X239" i="10"/>
  <c r="BK239" i="10"/>
  <c r="AF240" i="10"/>
  <c r="BD240" i="10"/>
  <c r="X241" i="10"/>
  <c r="AF242" i="10"/>
  <c r="BD242" i="10"/>
  <c r="AF248" i="10"/>
  <c r="BL251" i="10"/>
  <c r="Q252" i="10"/>
  <c r="Y253" i="10"/>
  <c r="BL253" i="10"/>
  <c r="BD254" i="10"/>
  <c r="X255" i="10"/>
  <c r="T261" i="10"/>
  <c r="AI261" i="10"/>
  <c r="Q263" i="10"/>
  <c r="AI266" i="10"/>
  <c r="Q270" i="10"/>
  <c r="Y271" i="10"/>
  <c r="Y275" i="10"/>
  <c r="AI290" i="10"/>
  <c r="Q294" i="10"/>
  <c r="AI301" i="10"/>
  <c r="BL302" i="10"/>
  <c r="BL305" i="10"/>
  <c r="AF306" i="10"/>
  <c r="T307" i="10"/>
  <c r="X309" i="10"/>
  <c r="T324" i="10"/>
  <c r="AF326" i="10"/>
  <c r="Q334" i="10"/>
  <c r="BL352" i="10"/>
  <c r="BG357" i="10"/>
  <c r="BL359" i="10"/>
  <c r="BK360" i="10"/>
  <c r="BG382" i="10"/>
  <c r="BG482" i="10"/>
  <c r="BD488" i="10"/>
  <c r="BD510" i="10"/>
  <c r="BD511" i="10"/>
  <c r="BL560" i="10"/>
  <c r="BL579" i="10"/>
  <c r="BK580" i="10"/>
  <c r="BK581" i="10"/>
  <c r="BL616" i="10"/>
  <c r="BL644" i="10"/>
  <c r="BL645" i="10"/>
  <c r="BL658" i="10"/>
  <c r="BL660" i="10"/>
  <c r="BL663" i="10"/>
  <c r="BL664" i="10"/>
  <c r="BK249" i="10"/>
  <c r="Y255" i="10"/>
  <c r="BD258" i="10"/>
  <c r="BL266" i="10"/>
  <c r="BG272" i="10"/>
  <c r="BG274" i="10"/>
  <c r="X276" i="10"/>
  <c r="BG276" i="10"/>
  <c r="BL286" i="10"/>
  <c r="X295" i="10"/>
  <c r="Y299" i="10"/>
  <c r="X304" i="10"/>
  <c r="X306" i="10"/>
  <c r="Y316" i="10"/>
  <c r="Q319" i="10"/>
  <c r="BD319" i="10"/>
  <c r="BD321" i="10"/>
  <c r="BK327" i="10"/>
  <c r="T334" i="10"/>
  <c r="AI334" i="10"/>
  <c r="AF349" i="10"/>
  <c r="BK350" i="10"/>
  <c r="BK355" i="10"/>
  <c r="BK357" i="10"/>
  <c r="BG365" i="10"/>
  <c r="BG375" i="10"/>
  <c r="BG377" i="10"/>
  <c r="BD378" i="10"/>
  <c r="BL379" i="10"/>
  <c r="BD383" i="10"/>
  <c r="BL387" i="10"/>
  <c r="BK397" i="10"/>
  <c r="BG403" i="10"/>
  <c r="BL407" i="10"/>
  <c r="BG408" i="10"/>
  <c r="BL410" i="10"/>
  <c r="BL411" i="10"/>
  <c r="BL433" i="10"/>
  <c r="BD480" i="10"/>
  <c r="BK482" i="10"/>
  <c r="BL495" i="10"/>
  <c r="BK540" i="10"/>
  <c r="BD569" i="10"/>
  <c r="BD413" i="10"/>
  <c r="BG416" i="10"/>
  <c r="BD439" i="10"/>
  <c r="BK441" i="10"/>
  <c r="BL448" i="10"/>
  <c r="BD455" i="10"/>
  <c r="BL467" i="10"/>
  <c r="BL474" i="10"/>
  <c r="BG475" i="10"/>
  <c r="BL482" i="10"/>
  <c r="BL487" i="10"/>
  <c r="BL503" i="10"/>
  <c r="BL515" i="10"/>
  <c r="BG518" i="10"/>
  <c r="BK534" i="10"/>
  <c r="BL549" i="10"/>
  <c r="BG552" i="10"/>
  <c r="BD562" i="10"/>
  <c r="BD585" i="10"/>
  <c r="BG612" i="10"/>
  <c r="BG614" i="10"/>
  <c r="BG616" i="10"/>
  <c r="BL620" i="10"/>
  <c r="BL621" i="10"/>
  <c r="BD667" i="10"/>
  <c r="BD668" i="10"/>
  <c r="BD671" i="10"/>
  <c r="BG673" i="10"/>
  <c r="BL694" i="10"/>
  <c r="BK707" i="10"/>
  <c r="BK711" i="10"/>
  <c r="BD717" i="10"/>
  <c r="BD719" i="10"/>
  <c r="BD720" i="10"/>
  <c r="BG731" i="10"/>
  <c r="BL740" i="10"/>
  <c r="BL741" i="10"/>
  <c r="BL742" i="10"/>
  <c r="BL744" i="10"/>
  <c r="BL746" i="10"/>
  <c r="BL750" i="10"/>
  <c r="BL449" i="10"/>
  <c r="BL508" i="10"/>
  <c r="BL516" i="10"/>
  <c r="BD587" i="10"/>
  <c r="BD588" i="10"/>
  <c r="BD598" i="10"/>
  <c r="BK610" i="10"/>
  <c r="BD618" i="10"/>
  <c r="BD619" i="10"/>
  <c r="BD647" i="10"/>
  <c r="BK686" i="10"/>
  <c r="BG722" i="10"/>
  <c r="BL416" i="10"/>
  <c r="BG425" i="10"/>
  <c r="BD426" i="10"/>
  <c r="BL442" i="10"/>
  <c r="BD444" i="10"/>
  <c r="BG462" i="10"/>
  <c r="BL469" i="10"/>
  <c r="BK472" i="10"/>
  <c r="BK489" i="10"/>
  <c r="BL511" i="10"/>
  <c r="BL518" i="10"/>
  <c r="BL529" i="10"/>
  <c r="BG546" i="10"/>
  <c r="BL552" i="10"/>
  <c r="BK562" i="10"/>
  <c r="BK576" i="10"/>
  <c r="BK596" i="10"/>
  <c r="BK617" i="10"/>
  <c r="BK648" i="10"/>
  <c r="BK649" i="10"/>
  <c r="BD663" i="10"/>
  <c r="BL669" i="10"/>
  <c r="BL672" i="10"/>
  <c r="BK677" i="10"/>
  <c r="BL716" i="10"/>
  <c r="BL721" i="10"/>
  <c r="BL723" i="10"/>
  <c r="BL724" i="10"/>
  <c r="BL729" i="10"/>
  <c r="BK749" i="10"/>
  <c r="BG429" i="10"/>
  <c r="BD430" i="10"/>
  <c r="BD437" i="10"/>
  <c r="BG444" i="10"/>
  <c r="BL447" i="10"/>
  <c r="BL452" i="10"/>
  <c r="BK458" i="10"/>
  <c r="BG486" i="10"/>
  <c r="BD500" i="10"/>
  <c r="BG514" i="10"/>
  <c r="BD567" i="10"/>
  <c r="BG644" i="10"/>
  <c r="BG645" i="10"/>
  <c r="BG647" i="10"/>
  <c r="BG658" i="10"/>
  <c r="BK660" i="10"/>
  <c r="BG664" i="10"/>
  <c r="BK685" i="10"/>
  <c r="BG686" i="10"/>
  <c r="BG692" i="10"/>
  <c r="BD712" i="10"/>
  <c r="BD713" i="10"/>
  <c r="BG714" i="10"/>
  <c r="BG715" i="10"/>
  <c r="BK721" i="10"/>
  <c r="BD726" i="10"/>
  <c r="BD734" i="10"/>
  <c r="BL749" i="10"/>
  <c r="AF20" i="10"/>
  <c r="T12" i="10"/>
  <c r="Q20" i="10"/>
  <c r="BD39" i="10"/>
  <c r="BL76" i="10"/>
  <c r="AI103" i="10"/>
  <c r="BL8" i="10"/>
  <c r="AF49" i="10"/>
  <c r="T57" i="10"/>
  <c r="BL87" i="10"/>
  <c r="AF102" i="10"/>
  <c r="BL129" i="10"/>
  <c r="BK187" i="10"/>
  <c r="BG187" i="10"/>
  <c r="AF6" i="10"/>
  <c r="X18" i="10"/>
  <c r="BL35" i="10"/>
  <c r="T39" i="10"/>
  <c r="AI45" i="10"/>
  <c r="BL50" i="10"/>
  <c r="AI91" i="10"/>
  <c r="BK92" i="10"/>
  <c r="T126" i="10"/>
  <c r="Q175" i="10"/>
  <c r="BL53" i="10"/>
  <c r="AI66" i="10"/>
  <c r="AF86" i="10"/>
  <c r="T18" i="10"/>
  <c r="AF47" i="10"/>
  <c r="X112" i="10"/>
  <c r="BD6" i="10"/>
  <c r="BG28" i="10"/>
  <c r="X39" i="10"/>
  <c r="T45" i="10"/>
  <c r="T70" i="10"/>
  <c r="AF99" i="10"/>
  <c r="T109" i="10"/>
  <c r="BD117" i="10"/>
  <c r="AI171" i="10"/>
  <c r="AI10" i="10"/>
  <c r="Y7" i="10"/>
  <c r="BD23" i="10"/>
  <c r="BD25" i="10"/>
  <c r="BD155" i="10"/>
  <c r="T95" i="10"/>
  <c r="T117" i="10"/>
  <c r="BD137" i="10"/>
  <c r="BK68" i="10"/>
  <c r="BL83" i="10"/>
  <c r="T86" i="10"/>
  <c r="AF89" i="10"/>
  <c r="BK95" i="10"/>
  <c r="AF105" i="10"/>
  <c r="AI109" i="10"/>
  <c r="AI114" i="10"/>
  <c r="BK115" i="10"/>
  <c r="Y118" i="10"/>
  <c r="AF121" i="10"/>
  <c r="X124" i="10"/>
  <c r="AF125" i="10"/>
  <c r="BG175" i="10"/>
  <c r="BK175" i="10"/>
  <c r="AF199" i="10"/>
  <c r="T6" i="10"/>
  <c r="Y13" i="10"/>
  <c r="T20" i="10"/>
  <c r="Y35" i="10"/>
  <c r="T44" i="10"/>
  <c r="T52" i="10"/>
  <c r="AI63" i="10"/>
  <c r="BL68" i="10"/>
  <c r="Y70" i="10"/>
  <c r="T75" i="10"/>
  <c r="Y90" i="10"/>
  <c r="T133" i="10"/>
  <c r="T137" i="10"/>
  <c r="Q150" i="10"/>
  <c r="Q328" i="10"/>
  <c r="T3" i="10"/>
  <c r="BL4" i="10"/>
  <c r="AF5" i="10"/>
  <c r="BL7" i="10"/>
  <c r="AI9" i="10"/>
  <c r="Q11" i="10"/>
  <c r="BL12" i="10"/>
  <c r="Y15" i="10"/>
  <c r="BK15" i="10"/>
  <c r="T17" i="10"/>
  <c r="AI17" i="10"/>
  <c r="BL18" i="10"/>
  <c r="BK23" i="10"/>
  <c r="X25" i="10"/>
  <c r="X27" i="10"/>
  <c r="BK27" i="10"/>
  <c r="BD29" i="10"/>
  <c r="BK30" i="10"/>
  <c r="T32" i="10"/>
  <c r="AI37" i="10"/>
  <c r="BD41" i="10"/>
  <c r="Y42" i="10"/>
  <c r="X44" i="10"/>
  <c r="AF46" i="10"/>
  <c r="T49" i="10"/>
  <c r="AI51" i="10"/>
  <c r="X52" i="10"/>
  <c r="BL54" i="10"/>
  <c r="BK64" i="10"/>
  <c r="AF65" i="10"/>
  <c r="Y67" i="10"/>
  <c r="AI69" i="10"/>
  <c r="X73" i="10"/>
  <c r="BK73" i="10"/>
  <c r="AF74" i="10"/>
  <c r="BK75" i="10"/>
  <c r="AF78" i="10"/>
  <c r="T81" i="10"/>
  <c r="T84" i="10"/>
  <c r="AI85" i="10"/>
  <c r="BL86" i="10"/>
  <c r="BL91" i="10"/>
  <c r="Y94" i="10"/>
  <c r="AI94" i="10"/>
  <c r="T96" i="10"/>
  <c r="BL97" i="10"/>
  <c r="BD98" i="10"/>
  <c r="AF101" i="10"/>
  <c r="BL103" i="10"/>
  <c r="AF104" i="10"/>
  <c r="AI105" i="10"/>
  <c r="BL106" i="10"/>
  <c r="T108" i="10"/>
  <c r="BG108" i="10"/>
  <c r="BK112" i="10"/>
  <c r="X114" i="10"/>
  <c r="BK114" i="10"/>
  <c r="BL117" i="10"/>
  <c r="BL119" i="10"/>
  <c r="Y126" i="10"/>
  <c r="BK128" i="10"/>
  <c r="AF132" i="10"/>
  <c r="X133" i="10"/>
  <c r="BK133" i="10"/>
  <c r="X135" i="10"/>
  <c r="AF136" i="10"/>
  <c r="X137" i="10"/>
  <c r="BK137" i="10"/>
  <c r="BK155" i="10"/>
  <c r="AF162" i="10"/>
  <c r="BD162" i="10"/>
  <c r="BG163" i="10"/>
  <c r="AF174" i="10"/>
  <c r="X270" i="10"/>
  <c r="T326" i="10"/>
  <c r="Y21" i="10"/>
  <c r="AI27" i="10"/>
  <c r="BL31" i="10"/>
  <c r="BL33" i="10"/>
  <c r="X35" i="10"/>
  <c r="BL36" i="10"/>
  <c r="BK40" i="10"/>
  <c r="BD47" i="10"/>
  <c r="BL55" i="10"/>
  <c r="X90" i="10"/>
  <c r="X95" i="10"/>
  <c r="AF108" i="10"/>
  <c r="BL110" i="10"/>
  <c r="AF116" i="10"/>
  <c r="AF123" i="10"/>
  <c r="AI137" i="10"/>
  <c r="BG140" i="10"/>
  <c r="Y241" i="10"/>
  <c r="BK4" i="10"/>
  <c r="X10" i="10"/>
  <c r="Y18" i="10"/>
  <c r="Q22" i="10"/>
  <c r="BG23" i="10"/>
  <c r="BL28" i="10"/>
  <c r="T38" i="10"/>
  <c r="AF41" i="10"/>
  <c r="AI52" i="10"/>
  <c r="Q56" i="10"/>
  <c r="AF59" i="10"/>
  <c r="Y64" i="10"/>
  <c r="BL92" i="10"/>
  <c r="BK97" i="10"/>
  <c r="AI99" i="10"/>
  <c r="BL100" i="10"/>
  <c r="BK106" i="10"/>
  <c r="Y117" i="10"/>
  <c r="Q121" i="10"/>
  <c r="BK126" i="10"/>
  <c r="AI139" i="10"/>
  <c r="BK140" i="10"/>
  <c r="AF186" i="10"/>
  <c r="T189" i="10"/>
  <c r="X12" i="10"/>
  <c r="AI14" i="10"/>
  <c r="BD16" i="10"/>
  <c r="BL17" i="10"/>
  <c r="Y20" i="10"/>
  <c r="BK20" i="10"/>
  <c r="T22" i="10"/>
  <c r="BD24" i="10"/>
  <c r="Q26" i="10"/>
  <c r="Y27" i="10"/>
  <c r="AI29" i="10"/>
  <c r="BL30" i="10"/>
  <c r="BK32" i="10"/>
  <c r="X34" i="10"/>
  <c r="BL39" i="10"/>
  <c r="T41" i="10"/>
  <c r="BD48" i="10"/>
  <c r="BK49" i="10"/>
  <c r="X59" i="10"/>
  <c r="BL60" i="10"/>
  <c r="X63" i="10"/>
  <c r="BK63" i="10"/>
  <c r="BL64" i="10"/>
  <c r="Y66" i="10"/>
  <c r="BL70" i="10"/>
  <c r="Y73" i="10"/>
  <c r="BL75" i="10"/>
  <c r="BD76" i="10"/>
  <c r="AI79" i="10"/>
  <c r="X81" i="10"/>
  <c r="BK81" i="10"/>
  <c r="BL82" i="10"/>
  <c r="BD83" i="10"/>
  <c r="BG84" i="10"/>
  <c r="BK86" i="10"/>
  <c r="BD87" i="10"/>
  <c r="BD88" i="10"/>
  <c r="BL90" i="10"/>
  <c r="BL94" i="10"/>
  <c r="BL96" i="10"/>
  <c r="BG98" i="10"/>
  <c r="Y102" i="10"/>
  <c r="BK102" i="10"/>
  <c r="BL109" i="10"/>
  <c r="BG111" i="10"/>
  <c r="BL112" i="10"/>
  <c r="Y114" i="10"/>
  <c r="BL116" i="10"/>
  <c r="BK117" i="10"/>
  <c r="BD118" i="10"/>
  <c r="T127" i="10"/>
  <c r="BG127" i="10"/>
  <c r="BL131" i="10"/>
  <c r="BL135" i="10"/>
  <c r="BG141" i="10"/>
  <c r="BK163" i="10"/>
  <c r="AF164" i="10"/>
  <c r="BD181" i="10"/>
  <c r="T184" i="10"/>
  <c r="BL187" i="10"/>
  <c r="AI15" i="10"/>
  <c r="BL16" i="10"/>
  <c r="AI23" i="10"/>
  <c r="BK35" i="10"/>
  <c r="AI39" i="10"/>
  <c r="Y48" i="10"/>
  <c r="Y50" i="10"/>
  <c r="BD57" i="10"/>
  <c r="AF69" i="10"/>
  <c r="AF94" i="10"/>
  <c r="BK100" i="10"/>
  <c r="BL107" i="10"/>
  <c r="BK120" i="10"/>
  <c r="Y4" i="10"/>
  <c r="AI12" i="10"/>
  <c r="Q14" i="10"/>
  <c r="AI32" i="10"/>
  <c r="AI34" i="10"/>
  <c r="X42" i="10"/>
  <c r="X45" i="10"/>
  <c r="AI57" i="10"/>
  <c r="T66" i="10"/>
  <c r="X67" i="10"/>
  <c r="T73" i="10"/>
  <c r="Y82" i="10"/>
  <c r="Y97" i="10"/>
  <c r="T102" i="10"/>
  <c r="AF111" i="10"/>
  <c r="BL115" i="10"/>
  <c r="BL120" i="10"/>
  <c r="Q125" i="10"/>
  <c r="X126" i="10"/>
  <c r="X9" i="10"/>
  <c r="Y12" i="10"/>
  <c r="BL14" i="10"/>
  <c r="BL29" i="10"/>
  <c r="X37" i="10"/>
  <c r="BK39" i="10"/>
  <c r="BD40" i="10"/>
  <c r="BL43" i="10"/>
  <c r="Y46" i="10"/>
  <c r="BD58" i="10"/>
  <c r="Y63" i="10"/>
  <c r="BG65" i="10"/>
  <c r="T68" i="10"/>
  <c r="X74" i="10"/>
  <c r="AI76" i="10"/>
  <c r="BG78" i="10"/>
  <c r="X80" i="10"/>
  <c r="BK82" i="10"/>
  <c r="Y86" i="10"/>
  <c r="BK90" i="10"/>
  <c r="T92" i="10"/>
  <c r="BD95" i="10"/>
  <c r="BG101" i="10"/>
  <c r="BG104" i="10"/>
  <c r="BG113" i="10"/>
  <c r="BG143" i="10"/>
  <c r="BD145" i="10"/>
  <c r="BG156" i="10"/>
  <c r="BK165" i="10"/>
  <c r="T15" i="10"/>
  <c r="BK21" i="10"/>
  <c r="Q32" i="10"/>
  <c r="Q34" i="10"/>
  <c r="AF38" i="10"/>
  <c r="Y40" i="10"/>
  <c r="X58" i="10"/>
  <c r="BL80" i="10"/>
  <c r="Y83" i="10"/>
  <c r="Y87" i="10"/>
  <c r="T112" i="10"/>
  <c r="BL138" i="10"/>
  <c r="X140" i="10"/>
  <c r="BK18" i="10"/>
  <c r="AF22" i="10"/>
  <c r="BD37" i="10"/>
  <c r="AF43" i="10"/>
  <c r="T47" i="10"/>
  <c r="BK54" i="10"/>
  <c r="AF56" i="10"/>
  <c r="BK67" i="10"/>
  <c r="Y95" i="10"/>
  <c r="Y106" i="10"/>
  <c r="BL124" i="10"/>
  <c r="X187" i="10"/>
  <c r="BG195" i="10"/>
  <c r="AF4" i="10"/>
  <c r="BD4" i="10"/>
  <c r="AF7" i="10"/>
  <c r="BG8" i="10"/>
  <c r="BL9" i="10"/>
  <c r="BL11" i="10"/>
  <c r="T16" i="10"/>
  <c r="Q18" i="10"/>
  <c r="AF18" i="10"/>
  <c r="BD18" i="10"/>
  <c r="BL19" i="10"/>
  <c r="T24" i="10"/>
  <c r="BG24" i="10"/>
  <c r="BL26" i="10"/>
  <c r="X29" i="10"/>
  <c r="T31" i="10"/>
  <c r="BG31" i="10"/>
  <c r="X33" i="10"/>
  <c r="BG36" i="10"/>
  <c r="Y38" i="10"/>
  <c r="X48" i="10"/>
  <c r="AI48" i="10"/>
  <c r="T50" i="10"/>
  <c r="AI50" i="10"/>
  <c r="BG55" i="10"/>
  <c r="BK57" i="10"/>
  <c r="BG61" i="10"/>
  <c r="BD67" i="10"/>
  <c r="Y76" i="10"/>
  <c r="T83" i="10"/>
  <c r="BG83" i="10"/>
  <c r="T87" i="10"/>
  <c r="BG87" i="10"/>
  <c r="BD97" i="10"/>
  <c r="BG107" i="10"/>
  <c r="BG110" i="10"/>
  <c r="T120" i="10"/>
  <c r="BG129" i="10"/>
  <c r="AF137" i="10"/>
  <c r="BK138" i="10"/>
  <c r="BD140" i="10"/>
  <c r="T181" i="10"/>
  <c r="BK181" i="10"/>
  <c r="BG181" i="10"/>
  <c r="AF324" i="10"/>
  <c r="BG198" i="10"/>
  <c r="AI215" i="10"/>
  <c r="T219" i="10"/>
  <c r="T225" i="10"/>
  <c r="AI225" i="10"/>
  <c r="Q272" i="10"/>
  <c r="BD272" i="10"/>
  <c r="Q274" i="10"/>
  <c r="BD300" i="10"/>
  <c r="BD326" i="10"/>
  <c r="T330" i="10"/>
  <c r="AI330" i="10"/>
  <c r="AI332" i="10"/>
  <c r="BD379" i="10"/>
  <c r="BG454" i="10"/>
  <c r="AI194" i="10"/>
  <c r="AI200" i="10"/>
  <c r="BL204" i="10"/>
  <c r="T210" i="10"/>
  <c r="AI210" i="10"/>
  <c r="BL212" i="10"/>
  <c r="AF213" i="10"/>
  <c r="BD214" i="10"/>
  <c r="Q217" i="10"/>
  <c r="Y220" i="10"/>
  <c r="Y234" i="10"/>
  <c r="BL235" i="10"/>
  <c r="BD236" i="10"/>
  <c r="Y237" i="10"/>
  <c r="BD238" i="10"/>
  <c r="AI257" i="10"/>
  <c r="BL258" i="10"/>
  <c r="Q259" i="10"/>
  <c r="X260" i="10"/>
  <c r="BK260" i="10"/>
  <c r="T270" i="10"/>
  <c r="AI270" i="10"/>
  <c r="Q290" i="10"/>
  <c r="AI291" i="10"/>
  <c r="AI298" i="10"/>
  <c r="AI320" i="10"/>
  <c r="AI326" i="10"/>
  <c r="AF329" i="10"/>
  <c r="BG369" i="10"/>
  <c r="BG376" i="10"/>
  <c r="BL378" i="10"/>
  <c r="BK381" i="10"/>
  <c r="BG384" i="10"/>
  <c r="BL386" i="10"/>
  <c r="BK391" i="10"/>
  <c r="BG394" i="10"/>
  <c r="BK396" i="10"/>
  <c r="BG451" i="10"/>
  <c r="BL639" i="10"/>
  <c r="Q142" i="10"/>
  <c r="AF144" i="10"/>
  <c r="BD144" i="10"/>
  <c r="T150" i="10"/>
  <c r="BG150" i="10"/>
  <c r="T155" i="10"/>
  <c r="BL156" i="10"/>
  <c r="Q157" i="10"/>
  <c r="Y158" i="10"/>
  <c r="AF159" i="10"/>
  <c r="X160" i="10"/>
  <c r="BK160" i="10"/>
  <c r="Y163" i="10"/>
  <c r="BL163" i="10"/>
  <c r="X169" i="10"/>
  <c r="BK169" i="10"/>
  <c r="BL176" i="10"/>
  <c r="Q177" i="10"/>
  <c r="BG178" i="10"/>
  <c r="AI191" i="10"/>
  <c r="BG194" i="10"/>
  <c r="BL198" i="10"/>
  <c r="T200" i="10"/>
  <c r="X207" i="10"/>
  <c r="BD209" i="10"/>
  <c r="T214" i="10"/>
  <c r="AI214" i="10"/>
  <c r="BK215" i="10"/>
  <c r="AI218" i="10"/>
  <c r="Y219" i="10"/>
  <c r="BK220" i="10"/>
  <c r="AF221" i="10"/>
  <c r="Y225" i="10"/>
  <c r="AF226" i="10"/>
  <c r="X227" i="10"/>
  <c r="BK227" i="10"/>
  <c r="X229" i="10"/>
  <c r="BK229" i="10"/>
  <c r="X231" i="10"/>
  <c r="BK231" i="10"/>
  <c r="BK234" i="10"/>
  <c r="AF235" i="10"/>
  <c r="AI236" i="10"/>
  <c r="AI238" i="10"/>
  <c r="AI243" i="10"/>
  <c r="AI254" i="10"/>
  <c r="AF256" i="10"/>
  <c r="X257" i="10"/>
  <c r="Y260" i="10"/>
  <c r="BL260" i="10"/>
  <c r="T267" i="10"/>
  <c r="AI267" i="10"/>
  <c r="T274" i="10"/>
  <c r="AI293" i="10"/>
  <c r="X296" i="10"/>
  <c r="Q302" i="10"/>
  <c r="BL304" i="10"/>
  <c r="T320" i="10"/>
  <c r="AF328" i="10"/>
  <c r="Q329" i="10"/>
  <c r="BK364" i="10"/>
  <c r="BK451" i="10"/>
  <c r="BL143" i="10"/>
  <c r="Q144" i="10"/>
  <c r="X145" i="10"/>
  <c r="X150" i="10"/>
  <c r="BL153" i="10"/>
  <c r="X155" i="10"/>
  <c r="AI157" i="10"/>
  <c r="Q159" i="10"/>
  <c r="AI168" i="10"/>
  <c r="Y169" i="10"/>
  <c r="T171" i="10"/>
  <c r="Y172" i="10"/>
  <c r="T174" i="10"/>
  <c r="BK178" i="10"/>
  <c r="AF179" i="10"/>
  <c r="Y181" i="10"/>
  <c r="BG183" i="10"/>
  <c r="X184" i="10"/>
  <c r="BK184" i="10"/>
  <c r="T191" i="10"/>
  <c r="T193" i="10"/>
  <c r="X194" i="10"/>
  <c r="AF203" i="10"/>
  <c r="T206" i="10"/>
  <c r="BD206" i="10"/>
  <c r="Y207" i="10"/>
  <c r="T209" i="10"/>
  <c r="Y210" i="10"/>
  <c r="Q212" i="10"/>
  <c r="BL220" i="10"/>
  <c r="Y222" i="10"/>
  <c r="BL225" i="10"/>
  <c r="Q226" i="10"/>
  <c r="BD226" i="10"/>
  <c r="Y227" i="10"/>
  <c r="BL227" i="10"/>
  <c r="BL229" i="10"/>
  <c r="BL231" i="10"/>
  <c r="BL234" i="10"/>
  <c r="Q242" i="10"/>
  <c r="Q256" i="10"/>
  <c r="BD256" i="10"/>
  <c r="BK257" i="10"/>
  <c r="Q269" i="10"/>
  <c r="Y270" i="10"/>
  <c r="BK270" i="10"/>
  <c r="AF271" i="10"/>
  <c r="AF273" i="10"/>
  <c r="X274" i="10"/>
  <c r="Y288" i="10"/>
  <c r="X291" i="10"/>
  <c r="AF292" i="10"/>
  <c r="BL294" i="10"/>
  <c r="X300" i="10"/>
  <c r="AI315" i="10"/>
  <c r="AI325" i="10"/>
  <c r="X326" i="10"/>
  <c r="AI144" i="10"/>
  <c r="BG144" i="10"/>
  <c r="BD146" i="10"/>
  <c r="Q151" i="10"/>
  <c r="T157" i="10"/>
  <c r="AI159" i="10"/>
  <c r="X162" i="10"/>
  <c r="BG164" i="10"/>
  <c r="BG168" i="10"/>
  <c r="BL178" i="10"/>
  <c r="Y184" i="10"/>
  <c r="Q188" i="10"/>
  <c r="BK189" i="10"/>
  <c r="X191" i="10"/>
  <c r="BL194" i="10"/>
  <c r="Y200" i="10"/>
  <c r="BL200" i="10"/>
  <c r="Q201" i="10"/>
  <c r="AF201" i="10"/>
  <c r="Q204" i="10"/>
  <c r="X206" i="10"/>
  <c r="T208" i="10"/>
  <c r="X209" i="10"/>
  <c r="BL210" i="10"/>
  <c r="AF211" i="10"/>
  <c r="BD212" i="10"/>
  <c r="Y214" i="10"/>
  <c r="X218" i="10"/>
  <c r="BK221" i="10"/>
  <c r="BK222" i="10"/>
  <c r="AF223" i="10"/>
  <c r="X224" i="10"/>
  <c r="T226" i="10"/>
  <c r="AI226" i="10"/>
  <c r="BG226" i="10"/>
  <c r="AI228" i="10"/>
  <c r="AI230" i="10"/>
  <c r="T232" i="10"/>
  <c r="T235" i="10"/>
  <c r="X236" i="10"/>
  <c r="BK236" i="10"/>
  <c r="AF237" i="10"/>
  <c r="X238" i="10"/>
  <c r="BK238" i="10"/>
  <c r="AF239" i="10"/>
  <c r="X240" i="10"/>
  <c r="AF244" i="10"/>
  <c r="AF246" i="10"/>
  <c r="T249" i="10"/>
  <c r="BG250" i="10"/>
  <c r="T253" i="10"/>
  <c r="X254" i="10"/>
  <c r="BK254" i="10"/>
  <c r="AI256" i="10"/>
  <c r="AF258" i="10"/>
  <c r="Q266" i="10"/>
  <c r="Y267" i="10"/>
  <c r="BK267" i="10"/>
  <c r="AI269" i="10"/>
  <c r="BL270" i="10"/>
  <c r="BL285" i="10"/>
  <c r="T287" i="10"/>
  <c r="AI287" i="10"/>
  <c r="Y291" i="10"/>
  <c r="Q292" i="10"/>
  <c r="BL298" i="10"/>
  <c r="BD299" i="10"/>
  <c r="Y300" i="10"/>
  <c r="BD312" i="10"/>
  <c r="T315" i="10"/>
  <c r="Q321" i="10"/>
  <c r="BG459" i="10"/>
  <c r="BG461" i="10"/>
  <c r="BK142" i="10"/>
  <c r="T144" i="10"/>
  <c r="X166" i="10"/>
  <c r="X168" i="10"/>
  <c r="X173" i="10"/>
  <c r="BK177" i="10"/>
  <c r="Q182" i="10"/>
  <c r="BK186" i="10"/>
  <c r="AF187" i="10"/>
  <c r="Y189" i="10"/>
  <c r="BD195" i="10"/>
  <c r="BK197" i="10"/>
  <c r="AI204" i="10"/>
  <c r="BL206" i="10"/>
  <c r="AI212" i="10"/>
  <c r="BG213" i="10"/>
  <c r="BL214" i="10"/>
  <c r="Y218" i="10"/>
  <c r="Y232" i="10"/>
  <c r="BL233" i="10"/>
  <c r="Y236" i="10"/>
  <c r="BG242" i="10"/>
  <c r="BL243" i="10"/>
  <c r="Y245" i="10"/>
  <c r="BL245" i="10"/>
  <c r="Y247" i="10"/>
  <c r="BL247" i="10"/>
  <c r="BD248" i="10"/>
  <c r="BG249" i="10"/>
  <c r="BD252" i="10"/>
  <c r="Y254" i="10"/>
  <c r="BL261" i="10"/>
  <c r="Y264" i="10"/>
  <c r="BK264" i="10"/>
  <c r="BG275" i="10"/>
  <c r="BD281" i="10"/>
  <c r="X285" i="10"/>
  <c r="BD286" i="10"/>
  <c r="BL288" i="10"/>
  <c r="BD307" i="10"/>
  <c r="Y308" i="10"/>
  <c r="BG310" i="10"/>
  <c r="T312" i="10"/>
  <c r="BG312" i="10"/>
  <c r="BK313" i="10"/>
  <c r="X315" i="10"/>
  <c r="BL390" i="10"/>
  <c r="BL142" i="10"/>
  <c r="Q148" i="10"/>
  <c r="Q156" i="10"/>
  <c r="AI158" i="10"/>
  <c r="BD160" i="10"/>
  <c r="Y168" i="10"/>
  <c r="AI176" i="10"/>
  <c r="Y177" i="10"/>
  <c r="BL179" i="10"/>
  <c r="BG185" i="10"/>
  <c r="X196" i="10"/>
  <c r="BL197" i="10"/>
  <c r="AF200" i="10"/>
  <c r="BG204" i="10"/>
  <c r="BD207" i="10"/>
  <c r="BG211" i="10"/>
  <c r="BG212" i="10"/>
  <c r="BK214" i="10"/>
  <c r="BD215" i="10"/>
  <c r="BK216" i="10"/>
  <c r="Y217" i="10"/>
  <c r="BD225" i="10"/>
  <c r="BD229" i="10"/>
  <c r="BD231" i="10"/>
  <c r="T234" i="10"/>
  <c r="BG235" i="10"/>
  <c r="T244" i="10"/>
  <c r="BG244" i="10"/>
  <c r="T246" i="10"/>
  <c r="BG246" i="10"/>
  <c r="BG258" i="10"/>
  <c r="AF274" i="10"/>
  <c r="BG277" i="10"/>
  <c r="BG279" i="10"/>
  <c r="AI307" i="10"/>
  <c r="BG393" i="10"/>
  <c r="BD394" i="10"/>
  <c r="BD399" i="10"/>
  <c r="BK401" i="10"/>
  <c r="BD412" i="10"/>
  <c r="BD416" i="10"/>
  <c r="BK459" i="10"/>
  <c r="BD448" i="10"/>
  <c r="Y238" i="10"/>
  <c r="BD239" i="10"/>
  <c r="X244" i="10"/>
  <c r="BK244" i="10"/>
  <c r="AF245" i="10"/>
  <c r="X246" i="10"/>
  <c r="BK246" i="10"/>
  <c r="AF247" i="10"/>
  <c r="X248" i="10"/>
  <c r="BL249" i="10"/>
  <c r="T259" i="10"/>
  <c r="AI259" i="10"/>
  <c r="T262" i="10"/>
  <c r="AI262" i="10"/>
  <c r="Y263" i="10"/>
  <c r="BK263" i="10"/>
  <c r="Y266" i="10"/>
  <c r="BK266" i="10"/>
  <c r="Q271" i="10"/>
  <c r="BL277" i="10"/>
  <c r="BG281" i="10"/>
  <c r="Y284" i="10"/>
  <c r="X287" i="10"/>
  <c r="AF288" i="10"/>
  <c r="Y290" i="10"/>
  <c r="AI292" i="10"/>
  <c r="Y297" i="10"/>
  <c r="X303" i="10"/>
  <c r="T309" i="10"/>
  <c r="BL310" i="10"/>
  <c r="BD311" i="10"/>
  <c r="Y315" i="10"/>
  <c r="BL315" i="10"/>
  <c r="Q316" i="10"/>
  <c r="Q323" i="10"/>
  <c r="Q327" i="10"/>
  <c r="T333" i="10"/>
  <c r="BG333" i="10"/>
  <c r="BG353" i="10"/>
  <c r="BD354" i="10"/>
  <c r="BD356" i="10"/>
  <c r="BL357" i="10"/>
  <c r="BL364" i="10"/>
  <c r="BK369" i="10"/>
  <c r="BK371" i="10"/>
  <c r="BD372" i="10"/>
  <c r="BD375" i="10"/>
  <c r="BK376" i="10"/>
  <c r="BG379" i="10"/>
  <c r="BD380" i="10"/>
  <c r="BL381" i="10"/>
  <c r="BK382" i="10"/>
  <c r="BG410" i="10"/>
  <c r="BG417" i="10"/>
  <c r="BK428" i="10"/>
  <c r="BK437" i="10"/>
  <c r="BL443" i="10"/>
  <c r="BD445" i="10"/>
  <c r="BK447" i="10"/>
  <c r="BK454" i="10"/>
  <c r="BD463" i="10"/>
  <c r="AI239" i="10"/>
  <c r="Y244" i="10"/>
  <c r="BL244" i="10"/>
  <c r="Q245" i="10"/>
  <c r="BD245" i="10"/>
  <c r="Y246" i="10"/>
  <c r="BL246" i="10"/>
  <c r="BD247" i="10"/>
  <c r="BK248" i="10"/>
  <c r="T251" i="10"/>
  <c r="BD255" i="10"/>
  <c r="BK256" i="10"/>
  <c r="T258" i="10"/>
  <c r="BL259" i="10"/>
  <c r="Q261" i="10"/>
  <c r="Q264" i="10"/>
  <c r="T265" i="10"/>
  <c r="AI265" i="10"/>
  <c r="T268" i="10"/>
  <c r="AI268" i="10"/>
  <c r="Y269" i="10"/>
  <c r="BK269" i="10"/>
  <c r="X271" i="10"/>
  <c r="AI271" i="10"/>
  <c r="BK274" i="10"/>
  <c r="Q275" i="10"/>
  <c r="BG278" i="10"/>
  <c r="BK281" i="10"/>
  <c r="Q282" i="10"/>
  <c r="Q301" i="10"/>
  <c r="AI311" i="10"/>
  <c r="BL312" i="10"/>
  <c r="Q313" i="10"/>
  <c r="AI314" i="10"/>
  <c r="AF318" i="10"/>
  <c r="BK353" i="10"/>
  <c r="BD366" i="10"/>
  <c r="BL369" i="10"/>
  <c r="BK379" i="10"/>
  <c r="BK387" i="10"/>
  <c r="BK389" i="10"/>
  <c r="BK414" i="10"/>
  <c r="BK424" i="10"/>
  <c r="BD432" i="10"/>
  <c r="BD453" i="10"/>
  <c r="BK455" i="10"/>
  <c r="BD241" i="10"/>
  <c r="Y243" i="10"/>
  <c r="BG243" i="10"/>
  <c r="T245" i="10"/>
  <c r="BG245" i="10"/>
  <c r="T247" i="10"/>
  <c r="BG247" i="10"/>
  <c r="BD250" i="10"/>
  <c r="BD257" i="10"/>
  <c r="Y259" i="10"/>
  <c r="BK259" i="10"/>
  <c r="Y262" i="10"/>
  <c r="BK262" i="10"/>
  <c r="BL265" i="10"/>
  <c r="BL271" i="10"/>
  <c r="BL274" i="10"/>
  <c r="Y281" i="10"/>
  <c r="BD298" i="10"/>
  <c r="BG323" i="10"/>
  <c r="BG327" i="10"/>
  <c r="BD330" i="10"/>
  <c r="BD332" i="10"/>
  <c r="BD350" i="10"/>
  <c r="BD406" i="10"/>
  <c r="BK417" i="10"/>
  <c r="BD419" i="10"/>
  <c r="BL424" i="10"/>
  <c r="BG428" i="10"/>
  <c r="BD433" i="10"/>
  <c r="BL434" i="10"/>
  <c r="BL444" i="10"/>
  <c r="BD509" i="10"/>
  <c r="AF277" i="10"/>
  <c r="X278" i="10"/>
  <c r="Q279" i="10"/>
  <c r="BK280" i="10"/>
  <c r="BD282" i="10"/>
  <c r="BG283" i="10"/>
  <c r="Y287" i="10"/>
  <c r="Q288" i="10"/>
  <c r="T289" i="10"/>
  <c r="AI289" i="10"/>
  <c r="X293" i="10"/>
  <c r="AF294" i="10"/>
  <c r="BD295" i="10"/>
  <c r="Y296" i="10"/>
  <c r="AF301" i="10"/>
  <c r="Y302" i="10"/>
  <c r="Q305" i="10"/>
  <c r="T306" i="10"/>
  <c r="BK308" i="10"/>
  <c r="BL311" i="10"/>
  <c r="X319" i="10"/>
  <c r="AF323" i="10"/>
  <c r="AI324" i="10"/>
  <c r="Y326" i="10"/>
  <c r="BD329" i="10"/>
  <c r="X330" i="10"/>
  <c r="BG332" i="10"/>
  <c r="BL349" i="10"/>
  <c r="BK356" i="10"/>
  <c r="BK359" i="10"/>
  <c r="BG361" i="10"/>
  <c r="BL365" i="10"/>
  <c r="BK377" i="10"/>
  <c r="BK385" i="10"/>
  <c r="BD390" i="10"/>
  <c r="BK394" i="10"/>
  <c r="BG402" i="10"/>
  <c r="BK404" i="10"/>
  <c r="BD407" i="10"/>
  <c r="BK415" i="10"/>
  <c r="BG419" i="10"/>
  <c r="BK426" i="10"/>
  <c r="BL429" i="10"/>
  <c r="BL441" i="10"/>
  <c r="BK446" i="10"/>
  <c r="BL450" i="10"/>
  <c r="BK456" i="10"/>
  <c r="BL459" i="10"/>
  <c r="BL275" i="10"/>
  <c r="BD276" i="10"/>
  <c r="BL278" i="10"/>
  <c r="Y280" i="10"/>
  <c r="BK283" i="10"/>
  <c r="Y286" i="10"/>
  <c r="BL289" i="10"/>
  <c r="Y293" i="10"/>
  <c r="T295" i="10"/>
  <c r="BL296" i="10"/>
  <c r="X298" i="10"/>
  <c r="BL299" i="10"/>
  <c r="T301" i="10"/>
  <c r="BL303" i="10"/>
  <c r="BL308" i="10"/>
  <c r="X311" i="10"/>
  <c r="AF313" i="10"/>
  <c r="BK316" i="10"/>
  <c r="AF317" i="10"/>
  <c r="Y319" i="10"/>
  <c r="BK319" i="10"/>
  <c r="Y325" i="10"/>
  <c r="BK325" i="10"/>
  <c r="AF327" i="10"/>
  <c r="BD327" i="10"/>
  <c r="AI329" i="10"/>
  <c r="Y330" i="10"/>
  <c r="BK330" i="10"/>
  <c r="X332" i="10"/>
  <c r="BK332" i="10"/>
  <c r="BL356" i="10"/>
  <c r="BK361" i="10"/>
  <c r="BD362" i="10"/>
  <c r="BL363" i="10"/>
  <c r="BK373" i="10"/>
  <c r="BL377" i="10"/>
  <c r="BD381" i="10"/>
  <c r="BL385" i="10"/>
  <c r="BG386" i="10"/>
  <c r="BK390" i="10"/>
  <c r="BG397" i="10"/>
  <c r="BG400" i="10"/>
  <c r="BK419" i="10"/>
  <c r="BD424" i="10"/>
  <c r="BK427" i="10"/>
  <c r="BK439" i="10"/>
  <c r="BK443" i="10"/>
  <c r="BD478" i="10"/>
  <c r="BL545" i="10"/>
  <c r="BD590" i="10"/>
  <c r="BD466" i="10"/>
  <c r="BK486" i="10"/>
  <c r="BG494" i="10"/>
  <c r="BD524" i="10"/>
  <c r="BG529" i="10"/>
  <c r="BK549" i="10"/>
  <c r="BD557" i="10"/>
  <c r="BG561" i="10"/>
  <c r="BK568" i="10"/>
  <c r="BD583" i="10"/>
  <c r="BL588" i="10"/>
  <c r="BD591" i="10"/>
  <c r="BG609" i="10"/>
  <c r="BK611" i="10"/>
  <c r="BL623" i="10"/>
  <c r="BG634" i="10"/>
  <c r="BK657" i="10"/>
  <c r="BG663" i="10"/>
  <c r="BG689" i="10"/>
  <c r="BG690" i="10"/>
  <c r="BD699" i="10"/>
  <c r="BD703" i="10"/>
  <c r="BK713" i="10"/>
  <c r="BD749" i="10"/>
  <c r="BD751" i="10"/>
  <c r="BD752" i="10"/>
  <c r="BL468" i="10"/>
  <c r="BD475" i="10"/>
  <c r="BK480" i="10"/>
  <c r="BL490" i="10"/>
  <c r="BK494" i="10"/>
  <c r="BG495" i="10"/>
  <c r="BK514" i="10"/>
  <c r="BL527" i="10"/>
  <c r="BK535" i="10"/>
  <c r="BL536" i="10"/>
  <c r="BL539" i="10"/>
  <c r="BK555" i="10"/>
  <c r="BG562" i="10"/>
  <c r="BD566" i="10"/>
  <c r="BG571" i="10"/>
  <c r="BD573" i="10"/>
  <c r="BL575" i="10"/>
  <c r="BD578" i="10"/>
  <c r="BG583" i="10"/>
  <c r="BL589" i="10"/>
  <c r="BD592" i="10"/>
  <c r="BD594" i="10"/>
  <c r="BK613" i="10"/>
  <c r="BK634" i="10"/>
  <c r="BK659" i="10"/>
  <c r="BG660" i="10"/>
  <c r="BG667" i="10"/>
  <c r="BK689" i="10"/>
  <c r="BK691" i="10"/>
  <c r="BD701" i="10"/>
  <c r="BD704" i="10"/>
  <c r="BD705" i="10"/>
  <c r="BL728" i="10"/>
  <c r="BD741" i="10"/>
  <c r="BG749" i="10"/>
  <c r="BK468" i="10"/>
  <c r="BD472" i="10"/>
  <c r="BD482" i="10"/>
  <c r="BD485" i="10"/>
  <c r="BD492" i="10"/>
  <c r="BD496" i="10"/>
  <c r="BK511" i="10"/>
  <c r="BL540" i="10"/>
  <c r="BG549" i="10"/>
  <c r="BD551" i="10"/>
  <c r="BG564" i="10"/>
  <c r="BD579" i="10"/>
  <c r="BD593" i="10"/>
  <c r="BG599" i="10"/>
  <c r="BG605" i="10"/>
  <c r="BG606" i="10"/>
  <c r="BG608" i="10"/>
  <c r="BD625" i="10"/>
  <c r="BL630" i="10"/>
  <c r="BG639" i="10"/>
  <c r="BL648" i="10"/>
  <c r="BK661" i="10"/>
  <c r="BG672" i="10"/>
  <c r="BG680" i="10"/>
  <c r="BG697" i="10"/>
  <c r="BG698" i="10"/>
  <c r="BD707" i="10"/>
  <c r="BD709" i="10"/>
  <c r="BD711" i="10"/>
  <c r="BD714" i="10"/>
  <c r="BG716" i="10"/>
  <c r="BD722" i="10"/>
  <c r="BG726" i="10"/>
  <c r="BG727" i="10"/>
  <c r="BD732" i="10"/>
  <c r="BG736" i="10"/>
  <c r="BG737" i="10"/>
  <c r="BD739" i="10"/>
  <c r="BD743" i="10"/>
  <c r="BD745" i="10"/>
  <c r="BK503" i="10"/>
  <c r="BG512" i="10"/>
  <c r="BD525" i="10"/>
  <c r="BG543" i="10"/>
  <c r="BD552" i="10"/>
  <c r="BD553" i="10"/>
  <c r="BG558" i="10"/>
  <c r="BD560" i="10"/>
  <c r="BL563" i="10"/>
  <c r="BK565" i="10"/>
  <c r="BL571" i="10"/>
  <c r="BK572" i="10"/>
  <c r="BK577" i="10"/>
  <c r="BL578" i="10"/>
  <c r="BL584" i="10"/>
  <c r="BG585" i="10"/>
  <c r="BL590" i="10"/>
  <c r="BK591" i="10"/>
  <c r="BL594" i="10"/>
  <c r="BK599" i="10"/>
  <c r="BK600" i="10"/>
  <c r="BL601" i="10"/>
  <c r="BL602" i="10"/>
  <c r="BK608" i="10"/>
  <c r="BD611" i="10"/>
  <c r="BD612" i="10"/>
  <c r="BK679" i="10"/>
  <c r="BL681" i="10"/>
  <c r="BG683" i="10"/>
  <c r="BD684" i="10"/>
  <c r="BD685" i="10"/>
  <c r="BD687" i="10"/>
  <c r="BK696" i="10"/>
  <c r="BG717" i="10"/>
  <c r="BD724" i="10"/>
  <c r="BK726" i="10"/>
  <c r="BK737" i="10"/>
  <c r="BK743" i="10"/>
  <c r="BK751" i="10"/>
  <c r="BG472" i="10"/>
  <c r="BG485" i="10"/>
  <c r="BL517" i="10"/>
  <c r="BD537" i="10"/>
  <c r="BG544" i="10"/>
  <c r="BD548" i="10"/>
  <c r="BL557" i="10"/>
  <c r="BK558" i="10"/>
  <c r="BL564" i="10"/>
  <c r="BD568" i="10"/>
  <c r="BD576" i="10"/>
  <c r="BG588" i="10"/>
  <c r="BK592" i="10"/>
  <c r="BL593" i="10"/>
  <c r="BL599" i="10"/>
  <c r="BL606" i="10"/>
  <c r="BL608" i="10"/>
  <c r="BK626" i="10"/>
  <c r="BK640" i="10"/>
  <c r="BK642" i="10"/>
  <c r="BK645" i="10"/>
  <c r="BK652" i="10"/>
  <c r="BL671" i="10"/>
  <c r="BL678" i="10"/>
  <c r="BK681" i="10"/>
  <c r="BL698" i="10"/>
  <c r="BL702" i="10"/>
  <c r="BK705" i="10"/>
  <c r="BG709" i="10"/>
  <c r="BL711" i="10"/>
  <c r="BG712" i="10"/>
  <c r="BL714" i="10"/>
  <c r="BK717" i="10"/>
  <c r="BG724" i="10"/>
  <c r="BL731" i="10"/>
  <c r="BL735" i="10"/>
  <c r="BL736" i="10"/>
  <c r="BG473" i="10"/>
  <c r="BK485" i="10"/>
  <c r="BD487" i="10"/>
  <c r="BD490" i="10"/>
  <c r="BK496" i="10"/>
  <c r="BG497" i="10"/>
  <c r="BL499" i="10"/>
  <c r="BG513" i="10"/>
  <c r="BG536" i="10"/>
  <c r="BG539" i="10"/>
  <c r="BG545" i="10"/>
  <c r="BK546" i="10"/>
  <c r="BG548" i="10"/>
  <c r="BD549" i="10"/>
  <c r="BL550" i="10"/>
  <c r="BD570" i="10"/>
  <c r="BG575" i="10"/>
  <c r="BG611" i="10"/>
  <c r="BK612" i="10"/>
  <c r="BG622" i="10"/>
  <c r="BG629" i="10"/>
  <c r="BL647" i="10"/>
  <c r="BD661" i="10"/>
  <c r="BD688" i="10"/>
  <c r="BG713" i="10"/>
  <c r="BG729" i="10"/>
  <c r="BG730" i="10"/>
  <c r="BG747" i="10"/>
  <c r="BK157" i="10"/>
  <c r="BG157" i="10"/>
  <c r="AI7" i="10"/>
  <c r="Q25" i="10"/>
  <c r="AI28" i="10"/>
  <c r="AF48" i="10"/>
  <c r="AF62" i="10"/>
  <c r="AF67" i="10"/>
  <c r="Q7" i="10"/>
  <c r="Q8" i="10"/>
  <c r="Q9" i="10"/>
  <c r="AF13" i="10"/>
  <c r="AF14" i="10"/>
  <c r="AF15" i="10"/>
  <c r="AF17" i="10"/>
  <c r="AF19" i="10"/>
  <c r="T23" i="10"/>
  <c r="Q28" i="10"/>
  <c r="BK31" i="10"/>
  <c r="Q3" i="10"/>
  <c r="Q4" i="10"/>
  <c r="Q5" i="10"/>
  <c r="Q6" i="10"/>
  <c r="AF9" i="10"/>
  <c r="BD9" i="10"/>
  <c r="AF10" i="10"/>
  <c r="AF11" i="10"/>
  <c r="AF12" i="10"/>
  <c r="BD12" i="10"/>
  <c r="BD14" i="10"/>
  <c r="BD15" i="10"/>
  <c r="AI16" i="10"/>
  <c r="BG16" i="10"/>
  <c r="BD17" i="10"/>
  <c r="AI18" i="10"/>
  <c r="BG18" i="10"/>
  <c r="BD19" i="10"/>
  <c r="AI20" i="10"/>
  <c r="BG20" i="10"/>
  <c r="BD21" i="10"/>
  <c r="AI22" i="10"/>
  <c r="BG22" i="10"/>
  <c r="X23" i="10"/>
  <c r="BK25" i="10"/>
  <c r="AF26" i="10"/>
  <c r="BD26" i="10"/>
  <c r="BD27" i="10"/>
  <c r="AF29" i="10"/>
  <c r="Q30" i="10"/>
  <c r="BK34" i="10"/>
  <c r="Y37" i="10"/>
  <c r="AI38" i="10"/>
  <c r="BG38" i="10"/>
  <c r="AI41" i="10"/>
  <c r="BG41" i="10"/>
  <c r="AF42" i="10"/>
  <c r="BD42" i="10"/>
  <c r="BD43" i="10"/>
  <c r="AF45" i="10"/>
  <c r="Q46" i="10"/>
  <c r="BK50" i="10"/>
  <c r="Y53" i="10"/>
  <c r="AI54" i="10"/>
  <c r="BG54" i="10"/>
  <c r="Y58" i="10"/>
  <c r="BK58" i="10"/>
  <c r="AF61" i="10"/>
  <c r="Q62" i="10"/>
  <c r="X65" i="10"/>
  <c r="X69" i="10"/>
  <c r="X79" i="10"/>
  <c r="Y81" i="10"/>
  <c r="X83" i="10"/>
  <c r="AI86" i="10"/>
  <c r="BG86" i="10"/>
  <c r="X88" i="10"/>
  <c r="Y91" i="10"/>
  <c r="X92" i="10"/>
  <c r="BG92" i="10"/>
  <c r="AI93" i="10"/>
  <c r="BG93" i="10"/>
  <c r="T94" i="10"/>
  <c r="BG95" i="10"/>
  <c r="T97" i="10"/>
  <c r="Y99" i="10"/>
  <c r="BK99" i="10"/>
  <c r="AI102" i="10"/>
  <c r="Y103" i="10"/>
  <c r="BK103" i="10"/>
  <c r="AI106" i="10"/>
  <c r="Y107" i="10"/>
  <c r="BK107" i="10"/>
  <c r="AI110" i="10"/>
  <c r="Y111" i="10"/>
  <c r="BK111" i="10"/>
  <c r="Q116" i="10"/>
  <c r="BG126" i="10"/>
  <c r="Q128" i="10"/>
  <c r="T153" i="10"/>
  <c r="X158" i="10"/>
  <c r="T176" i="10"/>
  <c r="Y176" i="10"/>
  <c r="AI182" i="10"/>
  <c r="BK191" i="10"/>
  <c r="AF195" i="10"/>
  <c r="T248" i="10"/>
  <c r="Y248" i="10"/>
  <c r="AI5" i="10"/>
  <c r="AI8" i="10"/>
  <c r="AF32" i="10"/>
  <c r="AI47" i="10"/>
  <c r="AF73" i="10"/>
  <c r="AF84" i="10"/>
  <c r="BD5" i="10"/>
  <c r="BD8" i="10"/>
  <c r="BG13" i="10"/>
  <c r="BG14" i="10"/>
  <c r="BG15" i="10"/>
  <c r="BG17" i="10"/>
  <c r="BG19" i="10"/>
  <c r="BG21" i="10"/>
  <c r="Y24" i="10"/>
  <c r="BG27" i="10"/>
  <c r="BD28" i="10"/>
  <c r="BK36" i="10"/>
  <c r="Y39" i="10"/>
  <c r="BG40" i="10"/>
  <c r="BG43" i="10"/>
  <c r="BD44" i="10"/>
  <c r="BK52" i="10"/>
  <c r="Y55" i="10"/>
  <c r="Y57" i="10"/>
  <c r="Y89" i="10"/>
  <c r="BG94" i="10"/>
  <c r="X96" i="10"/>
  <c r="X122" i="10"/>
  <c r="T30" i="10"/>
  <c r="Q36" i="10"/>
  <c r="T46" i="10"/>
  <c r="BD59" i="10"/>
  <c r="T62" i="10"/>
  <c r="AF63" i="10"/>
  <c r="AF70" i="10"/>
  <c r="T74" i="10"/>
  <c r="T76" i="10"/>
  <c r="AF114" i="10"/>
  <c r="Q139" i="10"/>
  <c r="AI180" i="10"/>
  <c r="AI2" i="10"/>
  <c r="BG2" i="10"/>
  <c r="AI3" i="10"/>
  <c r="BG3" i="10"/>
  <c r="AI4" i="10"/>
  <c r="BG4" i="10"/>
  <c r="Y9" i="10"/>
  <c r="Y10" i="10"/>
  <c r="BK11" i="10"/>
  <c r="BK12" i="10"/>
  <c r="Q24" i="10"/>
  <c r="BK26" i="10"/>
  <c r="Y29" i="10"/>
  <c r="AI30" i="10"/>
  <c r="BG30" i="10"/>
  <c r="AI33" i="10"/>
  <c r="BG33" i="10"/>
  <c r="AF34" i="10"/>
  <c r="BD34" i="10"/>
  <c r="BD35" i="10"/>
  <c r="AF37" i="10"/>
  <c r="Q38" i="10"/>
  <c r="BK42" i="10"/>
  <c r="Y45" i="10"/>
  <c r="AI46" i="10"/>
  <c r="BG46" i="10"/>
  <c r="AI49" i="10"/>
  <c r="BG49" i="10"/>
  <c r="AF50" i="10"/>
  <c r="BD50" i="10"/>
  <c r="BD51" i="10"/>
  <c r="AF53" i="10"/>
  <c r="Q54" i="10"/>
  <c r="BL56" i="10"/>
  <c r="AF58" i="10"/>
  <c r="T59" i="10"/>
  <c r="AI60" i="10"/>
  <c r="BG60" i="10"/>
  <c r="X61" i="10"/>
  <c r="AI75" i="10"/>
  <c r="AF79" i="10"/>
  <c r="AF81" i="10"/>
  <c r="BD81" i="10"/>
  <c r="T82" i="10"/>
  <c r="BD91" i="10"/>
  <c r="AF92" i="10"/>
  <c r="AI100" i="10"/>
  <c r="Y101" i="10"/>
  <c r="BK101" i="10"/>
  <c r="AI104" i="10"/>
  <c r="Y105" i="10"/>
  <c r="BK105" i="10"/>
  <c r="AI108" i="10"/>
  <c r="Y109" i="10"/>
  <c r="BK109" i="10"/>
  <c r="AI112" i="10"/>
  <c r="Q114" i="10"/>
  <c r="T123" i="10"/>
  <c r="T125" i="10"/>
  <c r="Q130" i="10"/>
  <c r="T149" i="10"/>
  <c r="T159" i="10"/>
  <c r="BL169" i="10"/>
  <c r="T286" i="10"/>
  <c r="X286" i="10"/>
  <c r="BD49" i="10"/>
  <c r="Q52" i="10"/>
  <c r="Y5" i="10"/>
  <c r="Y6" i="10"/>
  <c r="BK7" i="10"/>
  <c r="BK8" i="10"/>
  <c r="Y25" i="10"/>
  <c r="BK28" i="10"/>
  <c r="Y31" i="10"/>
  <c r="BG32" i="10"/>
  <c r="BG35" i="10"/>
  <c r="BD36" i="10"/>
  <c r="BK44" i="10"/>
  <c r="Y47" i="10"/>
  <c r="BG48" i="10"/>
  <c r="BG51" i="10"/>
  <c r="BD52" i="10"/>
  <c r="X60" i="10"/>
  <c r="BG63" i="10"/>
  <c r="BG67" i="10"/>
  <c r="BG71" i="10"/>
  <c r="Y74" i="10"/>
  <c r="BD78" i="10"/>
  <c r="BD89" i="10"/>
  <c r="X123" i="10"/>
  <c r="X149" i="10"/>
  <c r="X159" i="10"/>
  <c r="BK162" i="10"/>
  <c r="BL195" i="10"/>
  <c r="BG314" i="10"/>
  <c r="BK314" i="10"/>
  <c r="BD2" i="10"/>
  <c r="AI6" i="10"/>
  <c r="AI31" i="10"/>
  <c r="BD33" i="10"/>
  <c r="AF35" i="10"/>
  <c r="AI44" i="10"/>
  <c r="AF71" i="10"/>
  <c r="AF90" i="10"/>
  <c r="Y2" i="10"/>
  <c r="BK29" i="10"/>
  <c r="Y33" i="10"/>
  <c r="BD38" i="10"/>
  <c r="BK45" i="10"/>
  <c r="Y49" i="10"/>
  <c r="BG50" i="10"/>
  <c r="BG53" i="10"/>
  <c r="BD54" i="10"/>
  <c r="BG58" i="10"/>
  <c r="BK61" i="10"/>
  <c r="X64" i="10"/>
  <c r="X68" i="10"/>
  <c r="X72" i="10"/>
  <c r="Y75" i="10"/>
  <c r="BG76" i="10"/>
  <c r="BG77" i="10"/>
  <c r="BG79" i="10"/>
  <c r="BD86" i="10"/>
  <c r="Y100" i="10"/>
  <c r="Y104" i="10"/>
  <c r="Y108" i="10"/>
  <c r="Y112" i="10"/>
  <c r="AF117" i="10"/>
  <c r="T130" i="10"/>
  <c r="BG130" i="10"/>
  <c r="Q153" i="10"/>
  <c r="BL167" i="10"/>
  <c r="BG167" i="10"/>
  <c r="AI173" i="10"/>
  <c r="BD3" i="10"/>
  <c r="AF51" i="10"/>
  <c r="AF66" i="10"/>
  <c r="BK9" i="10"/>
  <c r="Q10" i="10"/>
  <c r="AF21" i="10"/>
  <c r="BG25" i="10"/>
  <c r="AF27" i="10"/>
  <c r="AI36" i="10"/>
  <c r="BK47" i="10"/>
  <c r="T89" i="10"/>
  <c r="T288" i="10"/>
  <c r="X288" i="10"/>
  <c r="BK60" i="10"/>
  <c r="AF64" i="10"/>
  <c r="BK66" i="10"/>
  <c r="BG68" i="10"/>
  <c r="AF72" i="10"/>
  <c r="AF77" i="10"/>
  <c r="BD77" i="10"/>
  <c r="BG80" i="10"/>
  <c r="AI81" i="10"/>
  <c r="BG81" i="10"/>
  <c r="Y85" i="10"/>
  <c r="AF88" i="10"/>
  <c r="AF93" i="10"/>
  <c r="BD93" i="10"/>
  <c r="BG96" i="10"/>
  <c r="AI97" i="10"/>
  <c r="BG97" i="10"/>
  <c r="T113" i="10"/>
  <c r="T114" i="10"/>
  <c r="T118" i="10"/>
  <c r="AI118" i="10"/>
  <c r="Y119" i="10"/>
  <c r="AI121" i="10"/>
  <c r="Y122" i="10"/>
  <c r="BK122" i="10"/>
  <c r="BD124" i="10"/>
  <c r="BL125" i="10"/>
  <c r="BL126" i="10"/>
  <c r="AF127" i="10"/>
  <c r="BD127" i="10"/>
  <c r="X128" i="10"/>
  <c r="X129" i="10"/>
  <c r="AF131" i="10"/>
  <c r="T132" i="10"/>
  <c r="BG132" i="10"/>
  <c r="Q134" i="10"/>
  <c r="AF134" i="10"/>
  <c r="T135" i="10"/>
  <c r="X138" i="10"/>
  <c r="BG138" i="10"/>
  <c r="BK139" i="10"/>
  <c r="BL140" i="10"/>
  <c r="BD141" i="10"/>
  <c r="T142" i="10"/>
  <c r="X143" i="10"/>
  <c r="X147" i="10"/>
  <c r="BG147" i="10"/>
  <c r="BL148" i="10"/>
  <c r="AI151" i="10"/>
  <c r="X152" i="10"/>
  <c r="BG152" i="10"/>
  <c r="X153" i="10"/>
  <c r="T156" i="10"/>
  <c r="Y157" i="10"/>
  <c r="BL158" i="10"/>
  <c r="Q160" i="10"/>
  <c r="X161" i="10"/>
  <c r="AI165" i="10"/>
  <c r="AI167" i="10"/>
  <c r="T169" i="10"/>
  <c r="T175" i="10"/>
  <c r="BL175" i="10"/>
  <c r="Y180" i="10"/>
  <c r="BL181" i="10"/>
  <c r="Q185" i="10"/>
  <c r="BG186" i="10"/>
  <c r="AF188" i="10"/>
  <c r="T190" i="10"/>
  <c r="BG190" i="10"/>
  <c r="Y198" i="10"/>
  <c r="BK198" i="10"/>
  <c r="T207" i="10"/>
  <c r="BG207" i="10"/>
  <c r="BK207" i="10"/>
  <c r="X208" i="10"/>
  <c r="BK213" i="10"/>
  <c r="AF218" i="10"/>
  <c r="AF228" i="10"/>
  <c r="AF230" i="10"/>
  <c r="AF249" i="10"/>
  <c r="AI252" i="10"/>
  <c r="T256" i="10"/>
  <c r="AF278" i="10"/>
  <c r="T290" i="10"/>
  <c r="X290" i="10"/>
  <c r="BL295" i="10"/>
  <c r="BD99" i="10"/>
  <c r="BD100" i="10"/>
  <c r="BD101" i="10"/>
  <c r="BD102" i="10"/>
  <c r="BD103" i="10"/>
  <c r="BD104" i="10"/>
  <c r="BD105" i="10"/>
  <c r="BD106" i="10"/>
  <c r="BD107" i="10"/>
  <c r="BD108" i="10"/>
  <c r="BD109" i="10"/>
  <c r="BD110" i="10"/>
  <c r="BD111" i="10"/>
  <c r="BD112" i="10"/>
  <c r="BG118" i="10"/>
  <c r="BD120" i="10"/>
  <c r="BL122" i="10"/>
  <c r="T124" i="10"/>
  <c r="X125" i="10"/>
  <c r="BK125" i="10"/>
  <c r="BK135" i="10"/>
  <c r="BG137" i="10"/>
  <c r="BL139" i="10"/>
  <c r="BL144" i="10"/>
  <c r="BG146" i="10"/>
  <c r="BD149" i="10"/>
  <c r="BD154" i="10"/>
  <c r="BL157" i="10"/>
  <c r="AF158" i="10"/>
  <c r="BK161" i="10"/>
  <c r="BL162" i="10"/>
  <c r="BK171" i="10"/>
  <c r="BD193" i="10"/>
  <c r="Y229" i="10"/>
  <c r="Y231" i="10"/>
  <c r="X256" i="10"/>
  <c r="AF119" i="10"/>
  <c r="AI120" i="10"/>
  <c r="AF130" i="10"/>
  <c r="T131" i="10"/>
  <c r="T134" i="10"/>
  <c r="BG134" i="10"/>
  <c r="T141" i="10"/>
  <c r="AI149" i="10"/>
  <c r="BK149" i="10"/>
  <c r="Q164" i="10"/>
  <c r="BL173" i="10"/>
  <c r="Y174" i="10"/>
  <c r="BD177" i="10"/>
  <c r="Q183" i="10"/>
  <c r="AF191" i="10"/>
  <c r="T199" i="10"/>
  <c r="AF210" i="10"/>
  <c r="T213" i="10"/>
  <c r="Q216" i="10"/>
  <c r="AF216" i="10"/>
  <c r="BG218" i="10"/>
  <c r="BL218" i="10"/>
  <c r="AF234" i="10"/>
  <c r="AI240" i="10"/>
  <c r="AI250" i="10"/>
  <c r="AI255" i="10"/>
  <c r="T280" i="10"/>
  <c r="T283" i="10"/>
  <c r="T292" i="10"/>
  <c r="X292" i="10"/>
  <c r="BG418" i="10"/>
  <c r="BK418" i="10"/>
  <c r="AI56" i="10"/>
  <c r="BG56" i="10"/>
  <c r="AI59" i="10"/>
  <c r="BG59" i="10"/>
  <c r="AF60" i="10"/>
  <c r="BD60" i="10"/>
  <c r="BD61" i="10"/>
  <c r="BK62" i="10"/>
  <c r="BG64" i="10"/>
  <c r="AF68" i="10"/>
  <c r="BK70" i="10"/>
  <c r="BG72" i="10"/>
  <c r="AI73" i="10"/>
  <c r="BG73" i="10"/>
  <c r="Y77" i="10"/>
  <c r="AF80" i="10"/>
  <c r="AF85" i="10"/>
  <c r="BD85" i="10"/>
  <c r="BG88" i="10"/>
  <c r="AI89" i="10"/>
  <c r="BG89" i="10"/>
  <c r="Y93" i="10"/>
  <c r="AF96" i="10"/>
  <c r="BG114" i="10"/>
  <c r="Y115" i="10"/>
  <c r="BG117" i="10"/>
  <c r="BL118" i="10"/>
  <c r="X120" i="10"/>
  <c r="AF122" i="10"/>
  <c r="Y124" i="10"/>
  <c r="BK124" i="10"/>
  <c r="X127" i="10"/>
  <c r="BK127" i="10"/>
  <c r="BL128" i="10"/>
  <c r="AF129" i="10"/>
  <c r="X131" i="10"/>
  <c r="BK131" i="10"/>
  <c r="BG133" i="10"/>
  <c r="X134" i="10"/>
  <c r="BK134" i="10"/>
  <c r="BL137" i="10"/>
  <c r="BD138" i="10"/>
  <c r="T140" i="10"/>
  <c r="AI140" i="10"/>
  <c r="X141" i="10"/>
  <c r="AF142" i="10"/>
  <c r="BD143" i="10"/>
  <c r="T145" i="10"/>
  <c r="AI145" i="10"/>
  <c r="BG145" i="10"/>
  <c r="BL146" i="10"/>
  <c r="AF147" i="10"/>
  <c r="BD147" i="10"/>
  <c r="BK150" i="10"/>
  <c r="BL151" i="10"/>
  <c r="BD152" i="10"/>
  <c r="AF153" i="10"/>
  <c r="BD153" i="10"/>
  <c r="T154" i="10"/>
  <c r="BL155" i="10"/>
  <c r="BD159" i="10"/>
  <c r="Y160" i="10"/>
  <c r="AF161" i="10"/>
  <c r="BD161" i="10"/>
  <c r="AI162" i="10"/>
  <c r="AI164" i="10"/>
  <c r="BL165" i="10"/>
  <c r="X171" i="10"/>
  <c r="Q172" i="10"/>
  <c r="T173" i="10"/>
  <c r="Q174" i="10"/>
  <c r="BG174" i="10"/>
  <c r="AF180" i="10"/>
  <c r="AF182" i="10"/>
  <c r="BG184" i="10"/>
  <c r="Y185" i="10"/>
  <c r="T187" i="10"/>
  <c r="BG188" i="10"/>
  <c r="BG189" i="10"/>
  <c r="AI199" i="10"/>
  <c r="BK200" i="10"/>
  <c r="BL202" i="10"/>
  <c r="Y205" i="10"/>
  <c r="AF208" i="10"/>
  <c r="AI211" i="10"/>
  <c r="BK219" i="10"/>
  <c r="AF220" i="10"/>
  <c r="BD224" i="10"/>
  <c r="X226" i="10"/>
  <c r="AF229" i="10"/>
  <c r="AF231" i="10"/>
  <c r="T257" i="10"/>
  <c r="Y257" i="10"/>
  <c r="BK275" i="10"/>
  <c r="X280" i="10"/>
  <c r="X283" i="10"/>
  <c r="T310" i="10"/>
  <c r="T139" i="10"/>
  <c r="AI143" i="10"/>
  <c r="T148" i="10"/>
  <c r="AF151" i="10"/>
  <c r="AI153" i="10"/>
  <c r="AF155" i="10"/>
  <c r="BG159" i="10"/>
  <c r="AI161" i="10"/>
  <c r="Q167" i="10"/>
  <c r="Q168" i="10"/>
  <c r="Q179" i="10"/>
  <c r="T180" i="10"/>
  <c r="BG192" i="10"/>
  <c r="Q196" i="10"/>
  <c r="T197" i="10"/>
  <c r="T198" i="10"/>
  <c r="Q202" i="10"/>
  <c r="AF202" i="10"/>
  <c r="BG216" i="10"/>
  <c r="AI224" i="10"/>
  <c r="AI229" i="10"/>
  <c r="AI231" i="10"/>
  <c r="AF252" i="10"/>
  <c r="T294" i="10"/>
  <c r="X294" i="10"/>
  <c r="AF98" i="10"/>
  <c r="AF115" i="10"/>
  <c r="AF118" i="10"/>
  <c r="X119" i="10"/>
  <c r="BK119" i="10"/>
  <c r="BK123" i="10"/>
  <c r="T129" i="10"/>
  <c r="X130" i="10"/>
  <c r="BK130" i="10"/>
  <c r="T138" i="10"/>
  <c r="X139" i="10"/>
  <c r="T143" i="10"/>
  <c r="BL145" i="10"/>
  <c r="T147" i="10"/>
  <c r="X148" i="10"/>
  <c r="BK148" i="10"/>
  <c r="T152" i="10"/>
  <c r="BK159" i="10"/>
  <c r="AF160" i="10"/>
  <c r="T170" i="10"/>
  <c r="BG172" i="10"/>
  <c r="AI181" i="10"/>
  <c r="Y183" i="10"/>
  <c r="BL184" i="10"/>
  <c r="AI186" i="10"/>
  <c r="BK192" i="10"/>
  <c r="Q194" i="10"/>
  <c r="AF194" i="10"/>
  <c r="X198" i="10"/>
  <c r="Y211" i="10"/>
  <c r="Y213" i="10"/>
  <c r="BK217" i="10"/>
  <c r="BL221" i="10"/>
  <c r="BK272" i="10"/>
  <c r="Y282" i="10"/>
  <c r="BG282" i="10"/>
  <c r="BL282" i="10"/>
  <c r="T284" i="10"/>
  <c r="X284" i="10"/>
  <c r="X324" i="10"/>
  <c r="AF173" i="10"/>
  <c r="X175" i="10"/>
  <c r="BG176" i="10"/>
  <c r="AF178" i="10"/>
  <c r="AI179" i="10"/>
  <c r="BL180" i="10"/>
  <c r="AF181" i="10"/>
  <c r="BL186" i="10"/>
  <c r="Q187" i="10"/>
  <c r="Y192" i="10"/>
  <c r="BL192" i="10"/>
  <c r="Q193" i="10"/>
  <c r="T195" i="10"/>
  <c r="AI196" i="10"/>
  <c r="X200" i="10"/>
  <c r="Y202" i="10"/>
  <c r="BK203" i="10"/>
  <c r="Y212" i="10"/>
  <c r="Q214" i="10"/>
  <c r="BG215" i="10"/>
  <c r="BD218" i="10"/>
  <c r="T220" i="10"/>
  <c r="Q221" i="10"/>
  <c r="BD221" i="10"/>
  <c r="T222" i="10"/>
  <c r="Q223" i="10"/>
  <c r="Q224" i="10"/>
  <c r="BL224" i="10"/>
  <c r="BK225" i="10"/>
  <c r="BG228" i="10"/>
  <c r="BG229" i="10"/>
  <c r="BG230" i="10"/>
  <c r="BG231" i="10"/>
  <c r="X233" i="10"/>
  <c r="T236" i="10"/>
  <c r="T237" i="10"/>
  <c r="T238" i="10"/>
  <c r="T239" i="10"/>
  <c r="Q240" i="10"/>
  <c r="BL240" i="10"/>
  <c r="Q241" i="10"/>
  <c r="BL241" i="10"/>
  <c r="BK242" i="10"/>
  <c r="BK243" i="10"/>
  <c r="BL250" i="10"/>
  <c r="Q251" i="10"/>
  <c r="BK251" i="10"/>
  <c r="BG252" i="10"/>
  <c r="X253" i="10"/>
  <c r="BL255" i="10"/>
  <c r="X258" i="10"/>
  <c r="BD259" i="10"/>
  <c r="BD260" i="10"/>
  <c r="BD261" i="10"/>
  <c r="BD262" i="10"/>
  <c r="BD263" i="10"/>
  <c r="BD264" i="10"/>
  <c r="BD265" i="10"/>
  <c r="BD266" i="10"/>
  <c r="BD267" i="10"/>
  <c r="BD268" i="10"/>
  <c r="BD269" i="10"/>
  <c r="BD270" i="10"/>
  <c r="BL273" i="10"/>
  <c r="T276" i="10"/>
  <c r="T277" i="10"/>
  <c r="Y279" i="10"/>
  <c r="BK279" i="10"/>
  <c r="Q280" i="10"/>
  <c r="BL281" i="10"/>
  <c r="Q283" i="10"/>
  <c r="BL283" i="10"/>
  <c r="Q296" i="10"/>
  <c r="AF296" i="10"/>
  <c r="Q297" i="10"/>
  <c r="T299" i="10"/>
  <c r="AF299" i="10"/>
  <c r="AI300" i="10"/>
  <c r="BG307" i="10"/>
  <c r="T308" i="10"/>
  <c r="AF308" i="10"/>
  <c r="BD309" i="10"/>
  <c r="X312" i="10"/>
  <c r="BD313" i="10"/>
  <c r="BL314" i="10"/>
  <c r="AF315" i="10"/>
  <c r="T319" i="10"/>
  <c r="Y320" i="10"/>
  <c r="BL320" i="10"/>
  <c r="AF321" i="10"/>
  <c r="BG331" i="10"/>
  <c r="BK331" i="10"/>
  <c r="BK378" i="10"/>
  <c r="BD204" i="10"/>
  <c r="Q208" i="10"/>
  <c r="Y215" i="10"/>
  <c r="T221" i="10"/>
  <c r="AI221" i="10"/>
  <c r="T223" i="10"/>
  <c r="T224" i="10"/>
  <c r="BG232" i="10"/>
  <c r="X234" i="10"/>
  <c r="X235" i="10"/>
  <c r="T240" i="10"/>
  <c r="T241" i="10"/>
  <c r="BG248" i="10"/>
  <c r="X249" i="10"/>
  <c r="BG257" i="10"/>
  <c r="BG259" i="10"/>
  <c r="BG260" i="10"/>
  <c r="BG261" i="10"/>
  <c r="BG262" i="10"/>
  <c r="BG263" i="10"/>
  <c r="BG264" i="10"/>
  <c r="BG265" i="10"/>
  <c r="BG266" i="10"/>
  <c r="BG267" i="10"/>
  <c r="BG268" i="10"/>
  <c r="BG269" i="10"/>
  <c r="BG270" i="10"/>
  <c r="BD274" i="10"/>
  <c r="X277" i="10"/>
  <c r="BK278" i="10"/>
  <c r="BL279" i="10"/>
  <c r="Q281" i="10"/>
  <c r="Q285" i="10"/>
  <c r="Q287" i="10"/>
  <c r="Q289" i="10"/>
  <c r="Q291" i="10"/>
  <c r="Q293" i="10"/>
  <c r="Q295" i="10"/>
  <c r="T297" i="10"/>
  <c r="BG311" i="10"/>
  <c r="BG351" i="10"/>
  <c r="BL351" i="10"/>
  <c r="BG367" i="10"/>
  <c r="BL367" i="10"/>
  <c r="Q228" i="10"/>
  <c r="Q229" i="10"/>
  <c r="Q230" i="10"/>
  <c r="Q231" i="10"/>
  <c r="Q248" i="10"/>
  <c r="Q257" i="10"/>
  <c r="AF272" i="10"/>
  <c r="AI274" i="10"/>
  <c r="AF285" i="10"/>
  <c r="AF287" i="10"/>
  <c r="AF289" i="10"/>
  <c r="AF291" i="10"/>
  <c r="AF293" i="10"/>
  <c r="AI297" i="10"/>
  <c r="Q304" i="10"/>
  <c r="Q317" i="10"/>
  <c r="Q320" i="10"/>
  <c r="AI170" i="10"/>
  <c r="Y171" i="10"/>
  <c r="BK174" i="10"/>
  <c r="T177" i="10"/>
  <c r="AI177" i="10"/>
  <c r="AI183" i="10"/>
  <c r="BD184" i="10"/>
  <c r="T185" i="10"/>
  <c r="BD185" i="10"/>
  <c r="Y188" i="10"/>
  <c r="Q189" i="10"/>
  <c r="BG193" i="10"/>
  <c r="Y194" i="10"/>
  <c r="BK195" i="10"/>
  <c r="BL196" i="10"/>
  <c r="Q197" i="10"/>
  <c r="Q200" i="10"/>
  <c r="T201" i="10"/>
  <c r="T203" i="10"/>
  <c r="X204" i="10"/>
  <c r="BG205" i="10"/>
  <c r="AI206" i="10"/>
  <c r="BG206" i="10"/>
  <c r="AI207" i="10"/>
  <c r="BD211" i="10"/>
  <c r="Q215" i="10"/>
  <c r="BG217" i="10"/>
  <c r="Y221" i="10"/>
  <c r="Y223" i="10"/>
  <c r="T228" i="10"/>
  <c r="T229" i="10"/>
  <c r="T230" i="10"/>
  <c r="T231" i="10"/>
  <c r="Q232" i="10"/>
  <c r="BL232" i="10"/>
  <c r="BK233" i="10"/>
  <c r="BG236" i="10"/>
  <c r="BG237" i="10"/>
  <c r="BG238" i="10"/>
  <c r="BG239" i="10"/>
  <c r="X242" i="10"/>
  <c r="X243" i="10"/>
  <c r="BL248" i="10"/>
  <c r="X251" i="10"/>
  <c r="Q253" i="10"/>
  <c r="BK253" i="10"/>
  <c r="BG254" i="10"/>
  <c r="BL257" i="10"/>
  <c r="Q258" i="10"/>
  <c r="BK258" i="10"/>
  <c r="T273" i="10"/>
  <c r="AI273" i="10"/>
  <c r="Y274" i="10"/>
  <c r="X275" i="10"/>
  <c r="BD278" i="10"/>
  <c r="AI281" i="10"/>
  <c r="AI282" i="10"/>
  <c r="BD285" i="10"/>
  <c r="BD287" i="10"/>
  <c r="BD289" i="10"/>
  <c r="BD291" i="10"/>
  <c r="BD293" i="10"/>
  <c r="AI295" i="10"/>
  <c r="X299" i="10"/>
  <c r="T302" i="10"/>
  <c r="AF302" i="10"/>
  <c r="AF307" i="10"/>
  <c r="BL309" i="10"/>
  <c r="BL313" i="10"/>
  <c r="T317" i="10"/>
  <c r="AI317" i="10"/>
  <c r="X318" i="10"/>
  <c r="BG324" i="10"/>
  <c r="X325" i="10"/>
  <c r="BK326" i="10"/>
  <c r="Q219" i="10"/>
  <c r="Q234" i="10"/>
  <c r="Q235" i="10"/>
  <c r="X252" i="10"/>
  <c r="Q254" i="10"/>
  <c r="T272" i="10"/>
  <c r="AF276" i="10"/>
  <c r="AI278" i="10"/>
  <c r="X281" i="10"/>
  <c r="Y283" i="10"/>
  <c r="AI304" i="10"/>
  <c r="AF305" i="10"/>
  <c r="BD306" i="10"/>
  <c r="AF310" i="10"/>
  <c r="Q311" i="10"/>
  <c r="AI322" i="10"/>
  <c r="X323" i="10"/>
  <c r="BG328" i="10"/>
  <c r="BK328" i="10"/>
  <c r="AF333" i="10"/>
  <c r="BG350" i="10"/>
  <c r="BL350" i="10"/>
  <c r="BG366" i="10"/>
  <c r="BL366" i="10"/>
  <c r="BL205" i="10"/>
  <c r="Q206" i="10"/>
  <c r="AI209" i="10"/>
  <c r="X217" i="10"/>
  <c r="AF217" i="10"/>
  <c r="AF219" i="10"/>
  <c r="Q220" i="10"/>
  <c r="Q222" i="10"/>
  <c r="BL222" i="10"/>
  <c r="BK224" i="10"/>
  <c r="X232" i="10"/>
  <c r="Q236" i="10"/>
  <c r="BL236" i="10"/>
  <c r="Q237" i="10"/>
  <c r="BL237" i="10"/>
  <c r="Q238" i="10"/>
  <c r="BL238" i="10"/>
  <c r="Q239" i="10"/>
  <c r="BL239" i="10"/>
  <c r="BK240" i="10"/>
  <c r="BK241" i="10"/>
  <c r="Q250" i="10"/>
  <c r="BK250" i="10"/>
  <c r="BL254" i="10"/>
  <c r="Q255" i="10"/>
  <c r="BK255" i="10"/>
  <c r="AF259" i="10"/>
  <c r="AF260" i="10"/>
  <c r="AF261" i="10"/>
  <c r="AF262" i="10"/>
  <c r="AF263" i="10"/>
  <c r="AF264" i="10"/>
  <c r="AF265" i="10"/>
  <c r="AF266" i="10"/>
  <c r="AF267" i="10"/>
  <c r="AF268" i="10"/>
  <c r="AF269" i="10"/>
  <c r="AF270" i="10"/>
  <c r="X272" i="10"/>
  <c r="AI277" i="10"/>
  <c r="Y278" i="10"/>
  <c r="Q298" i="10"/>
  <c r="AI303" i="10"/>
  <c r="BD305" i="10"/>
  <c r="AF309" i="10"/>
  <c r="T322" i="10"/>
  <c r="BK323" i="10"/>
  <c r="BG388" i="10"/>
  <c r="BK388" i="10"/>
  <c r="AI299" i="10"/>
  <c r="BD301" i="10"/>
  <c r="T303" i="10"/>
  <c r="AF303" i="10"/>
  <c r="AF304" i="10"/>
  <c r="Q306" i="10"/>
  <c r="Q307" i="10"/>
  <c r="AI308" i="10"/>
  <c r="BG308" i="10"/>
  <c r="AI309" i="10"/>
  <c r="BG309" i="10"/>
  <c r="AF311" i="10"/>
  <c r="AF312" i="10"/>
  <c r="BD314" i="10"/>
  <c r="BD315" i="10"/>
  <c r="AI316" i="10"/>
  <c r="Y317" i="10"/>
  <c r="BK317" i="10"/>
  <c r="AF320" i="10"/>
  <c r="BD320" i="10"/>
  <c r="AI321" i="10"/>
  <c r="X322" i="10"/>
  <c r="BK322" i="10"/>
  <c r="BL323" i="10"/>
  <c r="BL324" i="10"/>
  <c r="BL325" i="10"/>
  <c r="BL326" i="10"/>
  <c r="BL327" i="10"/>
  <c r="BL328" i="10"/>
  <c r="Q331" i="10"/>
  <c r="BD331" i="10"/>
  <c r="Y333" i="10"/>
  <c r="BD353" i="10"/>
  <c r="BD360" i="10"/>
  <c r="BG363" i="10"/>
  <c r="BD369" i="10"/>
  <c r="BG385" i="10"/>
  <c r="BD393" i="10"/>
  <c r="BL403" i="10"/>
  <c r="BG404" i="10"/>
  <c r="BG411" i="10"/>
  <c r="BK411" i="10"/>
  <c r="BG427" i="10"/>
  <c r="BD441" i="10"/>
  <c r="BD468" i="10"/>
  <c r="X316" i="10"/>
  <c r="Y322" i="10"/>
  <c r="BL322" i="10"/>
  <c r="T331" i="10"/>
  <c r="AI331" i="10"/>
  <c r="BK372" i="10"/>
  <c r="BL376" i="10"/>
  <c r="BG391" i="10"/>
  <c r="BD409" i="10"/>
  <c r="BG488" i="10"/>
  <c r="BK517" i="10"/>
  <c r="BG517" i="10"/>
  <c r="BG362" i="10"/>
  <c r="BG373" i="10"/>
  <c r="AF295" i="10"/>
  <c r="T298" i="10"/>
  <c r="AF298" i="10"/>
  <c r="Q300" i="10"/>
  <c r="AI305" i="10"/>
  <c r="AI306" i="10"/>
  <c r="BG306" i="10"/>
  <c r="Q309" i="10"/>
  <c r="Q310" i="10"/>
  <c r="BK311" i="10"/>
  <c r="AI313" i="10"/>
  <c r="BG313" i="10"/>
  <c r="BK315" i="10"/>
  <c r="BD317" i="10"/>
  <c r="AI319" i="10"/>
  <c r="X320" i="10"/>
  <c r="BK320" i="10"/>
  <c r="AF322" i="10"/>
  <c r="BD322" i="10"/>
  <c r="AI328" i="10"/>
  <c r="BG330" i="10"/>
  <c r="Y331" i="10"/>
  <c r="Q333" i="10"/>
  <c r="BD333" i="10"/>
  <c r="BG334" i="10"/>
  <c r="BD352" i="10"/>
  <c r="BG355" i="10"/>
  <c r="BD361" i="10"/>
  <c r="BD368" i="10"/>
  <c r="BK375" i="10"/>
  <c r="BD376" i="10"/>
  <c r="BD392" i="10"/>
  <c r="BK400" i="10"/>
  <c r="BG405" i="10"/>
  <c r="BG432" i="10"/>
  <c r="BG435" i="10"/>
  <c r="X327" i="10"/>
  <c r="X328" i="10"/>
  <c r="Q332" i="10"/>
  <c r="Q349" i="10"/>
  <c r="BG359" i="10"/>
  <c r="BG401" i="10"/>
  <c r="BG469" i="10"/>
  <c r="BK469" i="10"/>
  <c r="X317" i="10"/>
  <c r="BK318" i="10"/>
  <c r="BL330" i="10"/>
  <c r="X333" i="10"/>
  <c r="BL334" i="10"/>
  <c r="BG354" i="10"/>
  <c r="BL362" i="10"/>
  <c r="BG370" i="10"/>
  <c r="BG374" i="10"/>
  <c r="BK380" i="10"/>
  <c r="BL382" i="10"/>
  <c r="BL384" i="10"/>
  <c r="T349" i="10"/>
  <c r="AI349" i="10"/>
  <c r="BD351" i="10"/>
  <c r="BG352" i="10"/>
  <c r="BD359" i="10"/>
  <c r="BG360" i="10"/>
  <c r="BD367" i="10"/>
  <c r="BG368" i="10"/>
  <c r="BD374" i="10"/>
  <c r="BG381" i="10"/>
  <c r="BD382" i="10"/>
  <c r="BG383" i="10"/>
  <c r="BD384" i="10"/>
  <c r="BD386" i="10"/>
  <c r="BD389" i="10"/>
  <c r="BD391" i="10"/>
  <c r="BL395" i="10"/>
  <c r="BG398" i="10"/>
  <c r="BD401" i="10"/>
  <c r="BD403" i="10"/>
  <c r="BD405" i="10"/>
  <c r="BL406" i="10"/>
  <c r="BD411" i="10"/>
  <c r="BD418" i="10"/>
  <c r="BK421" i="10"/>
  <c r="BD425" i="10"/>
  <c r="BL431" i="10"/>
  <c r="BK433" i="10"/>
  <c r="BG434" i="10"/>
  <c r="BD435" i="10"/>
  <c r="BD440" i="10"/>
  <c r="BG442" i="10"/>
  <c r="BK449" i="10"/>
  <c r="BD452" i="10"/>
  <c r="BL453" i="10"/>
  <c r="BL454" i="10"/>
  <c r="BK471" i="10"/>
  <c r="BL491" i="10"/>
  <c r="BD521" i="10"/>
  <c r="BK551" i="10"/>
  <c r="BL565" i="10"/>
  <c r="BL617" i="10"/>
  <c r="BL414" i="10"/>
  <c r="BL415" i="10"/>
  <c r="BK422" i="10"/>
  <c r="BD423" i="10"/>
  <c r="BD443" i="10"/>
  <c r="BG450" i="10"/>
  <c r="BG452" i="10"/>
  <c r="BD477" i="10"/>
  <c r="BL489" i="10"/>
  <c r="BL535" i="10"/>
  <c r="BL559" i="10"/>
  <c r="BL567" i="10"/>
  <c r="BK678" i="10"/>
  <c r="BG678" i="10"/>
  <c r="BD355" i="10"/>
  <c r="BG356" i="10"/>
  <c r="BD363" i="10"/>
  <c r="BG364" i="10"/>
  <c r="BG372" i="10"/>
  <c r="BD373" i="10"/>
  <c r="BK374" i="10"/>
  <c r="BG378" i="10"/>
  <c r="BG380" i="10"/>
  <c r="BK384" i="10"/>
  <c r="BD387" i="10"/>
  <c r="BD388" i="10"/>
  <c r="BG399" i="10"/>
  <c r="BD400" i="10"/>
  <c r="BD402" i="10"/>
  <c r="BD404" i="10"/>
  <c r="BK405" i="10"/>
  <c r="BG407" i="10"/>
  <c r="BD408" i="10"/>
  <c r="BL413" i="10"/>
  <c r="BL423" i="10"/>
  <c r="BD428" i="10"/>
  <c r="BK435" i="10"/>
  <c r="BK438" i="10"/>
  <c r="BK440" i="10"/>
  <c r="BG443" i="10"/>
  <c r="BD460" i="10"/>
  <c r="BK461" i="10"/>
  <c r="BG463" i="10"/>
  <c r="BL470" i="10"/>
  <c r="BD474" i="10"/>
  <c r="BK475" i="10"/>
  <c r="BK490" i="10"/>
  <c r="BK497" i="10"/>
  <c r="BL555" i="10"/>
  <c r="BD398" i="10"/>
  <c r="BK399" i="10"/>
  <c r="BK403" i="10"/>
  <c r="BK407" i="10"/>
  <c r="BL418" i="10"/>
  <c r="BK425" i="10"/>
  <c r="BG426" i="10"/>
  <c r="BK430" i="10"/>
  <c r="BD431" i="10"/>
  <c r="BK432" i="10"/>
  <c r="BK450" i="10"/>
  <c r="BG453" i="10"/>
  <c r="BL457" i="10"/>
  <c r="BD459" i="10"/>
  <c r="BL463" i="10"/>
  <c r="BG466" i="10"/>
  <c r="BG468" i="10"/>
  <c r="BL475" i="10"/>
  <c r="BG481" i="10"/>
  <c r="BK488" i="10"/>
  <c r="BK504" i="10"/>
  <c r="BD505" i="10"/>
  <c r="BK507" i="10"/>
  <c r="BL522" i="10"/>
  <c r="BL525" i="10"/>
  <c r="BL541" i="10"/>
  <c r="BK412" i="10"/>
  <c r="BD415" i="10"/>
  <c r="BK416" i="10"/>
  <c r="BK423" i="10"/>
  <c r="BL425" i="10"/>
  <c r="BL432" i="10"/>
  <c r="BK448" i="10"/>
  <c r="BD470" i="10"/>
  <c r="BK473" i="10"/>
  <c r="BD479" i="10"/>
  <c r="BK515" i="10"/>
  <c r="BG515" i="10"/>
  <c r="BG528" i="10"/>
  <c r="BL421" i="10"/>
  <c r="BL439" i="10"/>
  <c r="BK444" i="10"/>
  <c r="BL591" i="10"/>
  <c r="BG591" i="10"/>
  <c r="BL576" i="10"/>
  <c r="BG576" i="10"/>
  <c r="BK720" i="10"/>
  <c r="BG720" i="10"/>
  <c r="BD473" i="10"/>
  <c r="BK474" i="10"/>
  <c r="BK478" i="10"/>
  <c r="BD481" i="10"/>
  <c r="BK487" i="10"/>
  <c r="BK493" i="10"/>
  <c r="BG496" i="10"/>
  <c r="BD502" i="10"/>
  <c r="BK509" i="10"/>
  <c r="BD517" i="10"/>
  <c r="BK518" i="10"/>
  <c r="BD520" i="10"/>
  <c r="BK521" i="10"/>
  <c r="BD523" i="10"/>
  <c r="BG525" i="10"/>
  <c r="BD526" i="10"/>
  <c r="BK527" i="10"/>
  <c r="BK529" i="10"/>
  <c r="BG535" i="10"/>
  <c r="BD536" i="10"/>
  <c r="BD538" i="10"/>
  <c r="BG541" i="10"/>
  <c r="BD542" i="10"/>
  <c r="BG547" i="10"/>
  <c r="BG555" i="10"/>
  <c r="BG559" i="10"/>
  <c r="BD563" i="10"/>
  <c r="BK564" i="10"/>
  <c r="BG573" i="10"/>
  <c r="BG624" i="10"/>
  <c r="BD630" i="10"/>
  <c r="BL675" i="10"/>
  <c r="BG502" i="10"/>
  <c r="BD503" i="10"/>
  <c r="BG507" i="10"/>
  <c r="BG510" i="10"/>
  <c r="BD515" i="10"/>
  <c r="BK516" i="10"/>
  <c r="BK519" i="10"/>
  <c r="BD532" i="10"/>
  <c r="BL534" i="10"/>
  <c r="BD539" i="10"/>
  <c r="BD543" i="10"/>
  <c r="BL546" i="10"/>
  <c r="BK550" i="10"/>
  <c r="BL554" i="10"/>
  <c r="BL558" i="10"/>
  <c r="BL561" i="10"/>
  <c r="BD564" i="10"/>
  <c r="BG568" i="10"/>
  <c r="BD633" i="10"/>
  <c r="BL640" i="10"/>
  <c r="BG640" i="10"/>
  <c r="BL674" i="10"/>
  <c r="BD493" i="10"/>
  <c r="BL497" i="10"/>
  <c r="BD512" i="10"/>
  <c r="BL514" i="10"/>
  <c r="BD518" i="10"/>
  <c r="BK523" i="10"/>
  <c r="BG526" i="10"/>
  <c r="BL531" i="10"/>
  <c r="BG537" i="10"/>
  <c r="BL562" i="10"/>
  <c r="BK563" i="10"/>
  <c r="BL577" i="10"/>
  <c r="BG587" i="10"/>
  <c r="BK587" i="10"/>
  <c r="BK641" i="10"/>
  <c r="BK680" i="10"/>
  <c r="BK697" i="10"/>
  <c r="BK483" i="10"/>
  <c r="BL488" i="10"/>
  <c r="BD491" i="10"/>
  <c r="BK495" i="10"/>
  <c r="BL498" i="10"/>
  <c r="BL500" i="10"/>
  <c r="BD501" i="10"/>
  <c r="BL502" i="10"/>
  <c r="BL523" i="10"/>
  <c r="BK528" i="10"/>
  <c r="BK533" i="10"/>
  <c r="BD534" i="10"/>
  <c r="BL542" i="10"/>
  <c r="BD546" i="10"/>
  <c r="BD554" i="10"/>
  <c r="BK557" i="10"/>
  <c r="BD558" i="10"/>
  <c r="BK560" i="10"/>
  <c r="BL574" i="10"/>
  <c r="BK627" i="10"/>
  <c r="BL643" i="10"/>
  <c r="BL646" i="10"/>
  <c r="BK663" i="10"/>
  <c r="BK699" i="10"/>
  <c r="BD434" i="10"/>
  <c r="BK436" i="10"/>
  <c r="BG438" i="10"/>
  <c r="BL440" i="10"/>
  <c r="BL445" i="10"/>
  <c r="BL456" i="10"/>
  <c r="BL458" i="10"/>
  <c r="BD467" i="10"/>
  <c r="BD469" i="10"/>
  <c r="BL471" i="10"/>
  <c r="BL473" i="10"/>
  <c r="BL479" i="10"/>
  <c r="BL481" i="10"/>
  <c r="BL483" i="10"/>
  <c r="BG489" i="10"/>
  <c r="BK491" i="10"/>
  <c r="BK492" i="10"/>
  <c r="BD494" i="10"/>
  <c r="BK500" i="10"/>
  <c r="BG501" i="10"/>
  <c r="BL505" i="10"/>
  <c r="BD506" i="10"/>
  <c r="BK508" i="10"/>
  <c r="BD516" i="10"/>
  <c r="BD527" i="10"/>
  <c r="BL528" i="10"/>
  <c r="BK539" i="10"/>
  <c r="BK543" i="10"/>
  <c r="BD545" i="10"/>
  <c r="BD550" i="10"/>
  <c r="BK552" i="10"/>
  <c r="BD555" i="10"/>
  <c r="BG557" i="10"/>
  <c r="BK561" i="10"/>
  <c r="BD565" i="10"/>
  <c r="BK567" i="10"/>
  <c r="BK569" i="10"/>
  <c r="BD572" i="10"/>
  <c r="BK579" i="10"/>
  <c r="BL580" i="10"/>
  <c r="BG580" i="10"/>
  <c r="BL600" i="10"/>
  <c r="BG600" i="10"/>
  <c r="BG626" i="10"/>
  <c r="BK631" i="10"/>
  <c r="BK632" i="10"/>
  <c r="BL650" i="10"/>
  <c r="BD658" i="10"/>
  <c r="BL662" i="10"/>
  <c r="BK667" i="10"/>
  <c r="BL668" i="10"/>
  <c r="BK729" i="10"/>
  <c r="BK741" i="10"/>
  <c r="BG582" i="10"/>
  <c r="BL595" i="10"/>
  <c r="BG596" i="10"/>
  <c r="BK598" i="10"/>
  <c r="BG601" i="10"/>
  <c r="BG602" i="10"/>
  <c r="BG621" i="10"/>
  <c r="BD624" i="10"/>
  <c r="BD628" i="10"/>
  <c r="BG636" i="10"/>
  <c r="BD637" i="10"/>
  <c r="BD642" i="10"/>
  <c r="BD643" i="10"/>
  <c r="BG650" i="10"/>
  <c r="BD652" i="10"/>
  <c r="BK656" i="10"/>
  <c r="BG662" i="10"/>
  <c r="BG668" i="10"/>
  <c r="BK669" i="10"/>
  <c r="BD670" i="10"/>
  <c r="BL673" i="10"/>
  <c r="BD676" i="10"/>
  <c r="BG681" i="10"/>
  <c r="BK690" i="10"/>
  <c r="BD691" i="10"/>
  <c r="BL697" i="10"/>
  <c r="BL705" i="10"/>
  <c r="BD708" i="10"/>
  <c r="BG719" i="10"/>
  <c r="BG728" i="10"/>
  <c r="BD730" i="10"/>
  <c r="BD731" i="10"/>
  <c r="BD744" i="10"/>
  <c r="BG577" i="10"/>
  <c r="BG592" i="10"/>
  <c r="BL612" i="10"/>
  <c r="BG613" i="10"/>
  <c r="BG618" i="10"/>
  <c r="BG623" i="10"/>
  <c r="BG628" i="10"/>
  <c r="BL635" i="10"/>
  <c r="BG643" i="10"/>
  <c r="BK647" i="10"/>
  <c r="BL651" i="10"/>
  <c r="BD653" i="10"/>
  <c r="BG656" i="10"/>
  <c r="BL661" i="10"/>
  <c r="BK662" i="10"/>
  <c r="BL667" i="10"/>
  <c r="BK668" i="10"/>
  <c r="BG669" i="10"/>
  <c r="BG670" i="10"/>
  <c r="BD672" i="10"/>
  <c r="BG691" i="10"/>
  <c r="BD692" i="10"/>
  <c r="BD694" i="10"/>
  <c r="BL696" i="10"/>
  <c r="BK698" i="10"/>
  <c r="BG699" i="10"/>
  <c r="BK706" i="10"/>
  <c r="BG707" i="10"/>
  <c r="BK710" i="10"/>
  <c r="BG710" i="10"/>
  <c r="BG723" i="10"/>
  <c r="BD725" i="10"/>
  <c r="BD733" i="10"/>
  <c r="BD735" i="10"/>
  <c r="BD736" i="10"/>
  <c r="BK742" i="10"/>
  <c r="BL743" i="10"/>
  <c r="BL748" i="10"/>
  <c r="BG752" i="10"/>
  <c r="BG578" i="10"/>
  <c r="BG584" i="10"/>
  <c r="BL587" i="10"/>
  <c r="BG593" i="10"/>
  <c r="BG594" i="10"/>
  <c r="BL603" i="10"/>
  <c r="BL610" i="10"/>
  <c r="BL611" i="10"/>
  <c r="BG615" i="10"/>
  <c r="BD617" i="10"/>
  <c r="BG619" i="10"/>
  <c r="BL622" i="10"/>
  <c r="BK623" i="10"/>
  <c r="BL625" i="10"/>
  <c r="BL627" i="10"/>
  <c r="BK636" i="10"/>
  <c r="BD640" i="10"/>
  <c r="BK643" i="10"/>
  <c r="BD648" i="10"/>
  <c r="BK651" i="10"/>
  <c r="BD655" i="10"/>
  <c r="BL656" i="10"/>
  <c r="BG701" i="10"/>
  <c r="BK702" i="10"/>
  <c r="BG702" i="10"/>
  <c r="BL722" i="10"/>
  <c r="BK723" i="10"/>
  <c r="BK730" i="10"/>
  <c r="BK731" i="10"/>
  <c r="BD738" i="10"/>
  <c r="BD740" i="10"/>
  <c r="BD747" i="10"/>
  <c r="BK752" i="10"/>
  <c r="BL592" i="10"/>
  <c r="BL604" i="10"/>
  <c r="BK605" i="10"/>
  <c r="BK607" i="10"/>
  <c r="BK609" i="10"/>
  <c r="BL613" i="10"/>
  <c r="BL615" i="10"/>
  <c r="BL618" i="10"/>
  <c r="BK619" i="10"/>
  <c r="BK633" i="10"/>
  <c r="BL642" i="10"/>
  <c r="BL670" i="10"/>
  <c r="BL691" i="10"/>
  <c r="BK692" i="10"/>
  <c r="BG693" i="10"/>
  <c r="BL700" i="10"/>
  <c r="BK701" i="10"/>
  <c r="BL709" i="10"/>
  <c r="BK714" i="10"/>
  <c r="BD718" i="10"/>
  <c r="BK724" i="10"/>
  <c r="BG725" i="10"/>
  <c r="BK727" i="10"/>
  <c r="BL730" i="10"/>
  <c r="BL752" i="10"/>
  <c r="BK753" i="10"/>
  <c r="BK570" i="10"/>
  <c r="BD574" i="10"/>
  <c r="BD580" i="10"/>
  <c r="BG581" i="10"/>
  <c r="BL583" i="10"/>
  <c r="BL585" i="10"/>
  <c r="BL597" i="10"/>
  <c r="BL598" i="10"/>
  <c r="BD600" i="10"/>
  <c r="BD602" i="10"/>
  <c r="BL605" i="10"/>
  <c r="BK606" i="10"/>
  <c r="BL607" i="10"/>
  <c r="BL609" i="10"/>
  <c r="BL614" i="10"/>
  <c r="BK615" i="10"/>
  <c r="BG617" i="10"/>
  <c r="BL624" i="10"/>
  <c r="BK629" i="10"/>
  <c r="BD636" i="10"/>
  <c r="BL638" i="10"/>
  <c r="BK644" i="10"/>
  <c r="BG646" i="10"/>
  <c r="BG648" i="10"/>
  <c r="BD650" i="10"/>
  <c r="BG659" i="10"/>
  <c r="BD662" i="10"/>
  <c r="BK664" i="10"/>
  <c r="BG666" i="10"/>
  <c r="BK670" i="10"/>
  <c r="BK674" i="10"/>
  <c r="BD675" i="10"/>
  <c r="BL685" i="10"/>
  <c r="BD689" i="10"/>
  <c r="BL692" i="10"/>
  <c r="BK693" i="10"/>
  <c r="BG694" i="10"/>
  <c r="BL703" i="10"/>
  <c r="BG704" i="10"/>
  <c r="BK712" i="10"/>
  <c r="BL713" i="10"/>
  <c r="BK715" i="10"/>
  <c r="BD721" i="10"/>
  <c r="BK725" i="10"/>
  <c r="BL727" i="10"/>
  <c r="BK736" i="10"/>
  <c r="BL745" i="10"/>
  <c r="BK750" i="10"/>
  <c r="BL753" i="10"/>
  <c r="BK601" i="10"/>
  <c r="BD606" i="10"/>
  <c r="BD609" i="10"/>
  <c r="BG610" i="10"/>
  <c r="BD613" i="10"/>
  <c r="BG620" i="10"/>
  <c r="BD622" i="10"/>
  <c r="BL626" i="10"/>
  <c r="BL628" i="10"/>
  <c r="BD635" i="10"/>
  <c r="BL636" i="10"/>
  <c r="BG642" i="10"/>
  <c r="BD644" i="10"/>
  <c r="BK646" i="10"/>
  <c r="BG654" i="10"/>
  <c r="BD666" i="10"/>
  <c r="BG671" i="10"/>
  <c r="BL680" i="10"/>
  <c r="BK682" i="10"/>
  <c r="BD683" i="10"/>
  <c r="BG688" i="10"/>
  <c r="BL693" i="10"/>
  <c r="BL695" i="10"/>
  <c r="BG696" i="10"/>
  <c r="BD698" i="10"/>
  <c r="BL701" i="10"/>
  <c r="BL708" i="10"/>
  <c r="BK709" i="10"/>
  <c r="BG711" i="10"/>
  <c r="BD715" i="10"/>
  <c r="BL718" i="10"/>
  <c r="BK719" i="10"/>
  <c r="BD728" i="10"/>
  <c r="BD737" i="10"/>
  <c r="BG745" i="10"/>
  <c r="BD746" i="10"/>
  <c r="BL733" i="10"/>
  <c r="BG733" i="10"/>
  <c r="BL649" i="10"/>
  <c r="BL653" i="10"/>
  <c r="BL657" i="10"/>
  <c r="BL683" i="10"/>
  <c r="BK684" i="10"/>
  <c r="BG718" i="10"/>
  <c r="BK718" i="10"/>
  <c r="BL734" i="10"/>
  <c r="BG734" i="10"/>
  <c r="BG735" i="10"/>
  <c r="BK735" i="10"/>
  <c r="BG743" i="10"/>
  <c r="BL747" i="10"/>
  <c r="BK650" i="10"/>
  <c r="BK654" i="10"/>
  <c r="BD656" i="10"/>
  <c r="BK658" i="10"/>
  <c r="BG675" i="10"/>
  <c r="BL679" i="10"/>
  <c r="BD682" i="10"/>
  <c r="BK704" i="10"/>
  <c r="BK728" i="10"/>
  <c r="BG665" i="10"/>
  <c r="BD678" i="10"/>
  <c r="BG687" i="10"/>
  <c r="BG700" i="10"/>
  <c r="BK700" i="10"/>
  <c r="BD702" i="10"/>
  <c r="BG661" i="10"/>
  <c r="BD669" i="10"/>
  <c r="BK671" i="10"/>
  <c r="BK676" i="10"/>
  <c r="BG695" i="10"/>
  <c r="BL699" i="10"/>
  <c r="BG708" i="10"/>
  <c r="BK708" i="10"/>
  <c r="BD710" i="10"/>
  <c r="BG721" i="10"/>
  <c r="BL725" i="10"/>
  <c r="BK740" i="10"/>
  <c r="BG740" i="10"/>
  <c r="BD742" i="10"/>
  <c r="BG751" i="10"/>
  <c r="BG649" i="10"/>
  <c r="BG653" i="10"/>
  <c r="BG657" i="10"/>
  <c r="BL665" i="10"/>
  <c r="BL687" i="10"/>
  <c r="BK688" i="10"/>
  <c r="BG738" i="10"/>
  <c r="BL738" i="10"/>
  <c r="BK739" i="10"/>
  <c r="BG739" i="10"/>
  <c r="BD664" i="10"/>
  <c r="BG679" i="10"/>
  <c r="BD686" i="10"/>
  <c r="BG703" i="10"/>
  <c r="BL732" i="10"/>
  <c r="BG732" i="10"/>
  <c r="BK748" i="10"/>
  <c r="BG748" i="10"/>
  <c r="BG677" i="10"/>
  <c r="BG685" i="10"/>
  <c r="BL689" i="10"/>
  <c r="BG415" i="10"/>
  <c r="BG447" i="10"/>
  <c r="BG465" i="10"/>
  <c r="BK465" i="10"/>
  <c r="BK512" i="10"/>
  <c r="BK590" i="10"/>
  <c r="BG590" i="10"/>
  <c r="BL374" i="10"/>
  <c r="BL397" i="10"/>
  <c r="BL405" i="10"/>
  <c r="BK413" i="10"/>
  <c r="BG420" i="10"/>
  <c r="BG430" i="10"/>
  <c r="BG437" i="10"/>
  <c r="BL438" i="10"/>
  <c r="BK445" i="10"/>
  <c r="BG455" i="10"/>
  <c r="BG477" i="10"/>
  <c r="BK502" i="10"/>
  <c r="BD508" i="10"/>
  <c r="BK532" i="10"/>
  <c r="BK467" i="10"/>
  <c r="BG467" i="10"/>
  <c r="BL373" i="10"/>
  <c r="BL394" i="10"/>
  <c r="BL402" i="10"/>
  <c r="BK442" i="10"/>
  <c r="BK499" i="10"/>
  <c r="BG499" i="10"/>
  <c r="BL372" i="10"/>
  <c r="BL399" i="10"/>
  <c r="BL430" i="10"/>
  <c r="BK410" i="10"/>
  <c r="BL435" i="10"/>
  <c r="BL371" i="10"/>
  <c r="BG390" i="10"/>
  <c r="BL396" i="10"/>
  <c r="BL404" i="10"/>
  <c r="BD410" i="10"/>
  <c r="BL427" i="10"/>
  <c r="BG431" i="10"/>
  <c r="BK434" i="10"/>
  <c r="BD442" i="10"/>
  <c r="BL451" i="10"/>
  <c r="BK597" i="10"/>
  <c r="BG597" i="10"/>
  <c r="BL370" i="10"/>
  <c r="BG389" i="10"/>
  <c r="BL393" i="10"/>
  <c r="BL401" i="10"/>
  <c r="BG414" i="10"/>
  <c r="BG421" i="10"/>
  <c r="BL422" i="10"/>
  <c r="BK429" i="10"/>
  <c r="BG436" i="10"/>
  <c r="BG446" i="10"/>
  <c r="BG449" i="10"/>
  <c r="BG480" i="10"/>
  <c r="BK510" i="10"/>
  <c r="BD513" i="10"/>
  <c r="BK531" i="10"/>
  <c r="BG531" i="10"/>
  <c r="BK453" i="10"/>
  <c r="BG471" i="10"/>
  <c r="BL472" i="10"/>
  <c r="BG484" i="10"/>
  <c r="BL485" i="10"/>
  <c r="BD495" i="10"/>
  <c r="BG498" i="10"/>
  <c r="BK505" i="10"/>
  <c r="BL507" i="10"/>
  <c r="BG520" i="10"/>
  <c r="BL570" i="10"/>
  <c r="BG570" i="10"/>
  <c r="BK452" i="10"/>
  <c r="BD454" i="10"/>
  <c r="BK457" i="10"/>
  <c r="BD461" i="10"/>
  <c r="BK464" i="10"/>
  <c r="BG476" i="10"/>
  <c r="BL477" i="10"/>
  <c r="BG479" i="10"/>
  <c r="BL480" i="10"/>
  <c r="BK484" i="10"/>
  <c r="BG490" i="10"/>
  <c r="BG491" i="10"/>
  <c r="BL494" i="10"/>
  <c r="BK501" i="10"/>
  <c r="BG503" i="10"/>
  <c r="BG504" i="10"/>
  <c r="BL510" i="10"/>
  <c r="BL512" i="10"/>
  <c r="BK538" i="10"/>
  <c r="BG538" i="10"/>
  <c r="BK553" i="10"/>
  <c r="BG553" i="10"/>
  <c r="BK556" i="10"/>
  <c r="BG456" i="10"/>
  <c r="BL486" i="10"/>
  <c r="BL501" i="10"/>
  <c r="BK542" i="10"/>
  <c r="BG542" i="10"/>
  <c r="BL460" i="10"/>
  <c r="BD465" i="10"/>
  <c r="BK476" i="10"/>
  <c r="BK479" i="10"/>
  <c r="BG500" i="10"/>
  <c r="BK506" i="10"/>
  <c r="BG509" i="10"/>
  <c r="BG511" i="10"/>
  <c r="BD522" i="10"/>
  <c r="BG527" i="10"/>
  <c r="BG522" i="10"/>
  <c r="BL524" i="10"/>
  <c r="BL526" i="10"/>
  <c r="BD529" i="10"/>
  <c r="BK530" i="10"/>
  <c r="BL537" i="10"/>
  <c r="BD540" i="10"/>
  <c r="BK541" i="10"/>
  <c r="BG533" i="10"/>
  <c r="BD535" i="10"/>
  <c r="BL538" i="10"/>
  <c r="BD547" i="10"/>
  <c r="BK548" i="10"/>
  <c r="BL553" i="10"/>
  <c r="BG572" i="10"/>
  <c r="BL572" i="10"/>
  <c r="BK525" i="10"/>
  <c r="BK536" i="10"/>
  <c r="BK545" i="10"/>
  <c r="BG566" i="10"/>
  <c r="BK566" i="10"/>
  <c r="BL520" i="10"/>
  <c r="BL533" i="10"/>
  <c r="BD559" i="10"/>
  <c r="BD616" i="10"/>
  <c r="BL641" i="10"/>
  <c r="BK573" i="10"/>
  <c r="BK638" i="10"/>
  <c r="BL568" i="10"/>
  <c r="BK618" i="10"/>
  <c r="BK622" i="10"/>
  <c r="BK586" i="10"/>
  <c r="BG586" i="10"/>
  <c r="BG567" i="10"/>
  <c r="BK575" i="10"/>
  <c r="BD582" i="10"/>
  <c r="BK583" i="10"/>
  <c r="BD596" i="10"/>
  <c r="BK614" i="10"/>
  <c r="BK625" i="10"/>
  <c r="BG632" i="10"/>
  <c r="BK584" i="10"/>
  <c r="BD589" i="10"/>
  <c r="BK595" i="10"/>
  <c r="BG595" i="10"/>
  <c r="BK604" i="10"/>
  <c r="BG604" i="10"/>
  <c r="BD631" i="10"/>
  <c r="BL632" i="10"/>
  <c r="BG641" i="10"/>
  <c r="BG607" i="10"/>
  <c r="BL619" i="10"/>
  <c r="BG271" i="10"/>
  <c r="BG292" i="10"/>
  <c r="BK292" i="10"/>
  <c r="BG304" i="10"/>
  <c r="BK304" i="10"/>
  <c r="T329" i="10"/>
  <c r="BD275" i="10"/>
  <c r="BD279" i="10"/>
  <c r="BD283" i="10"/>
  <c r="BG305" i="10"/>
  <c r="BK305" i="10"/>
  <c r="AI275" i="10"/>
  <c r="AI279" i="10"/>
  <c r="BG284" i="10"/>
  <c r="BK284" i="10"/>
  <c r="BG294" i="10"/>
  <c r="BK294" i="10"/>
  <c r="BG302" i="10"/>
  <c r="BK302" i="10"/>
  <c r="BK310" i="10"/>
  <c r="BK329" i="10"/>
  <c r="BG329" i="10"/>
  <c r="Y272" i="10"/>
  <c r="AI272" i="10"/>
  <c r="BD273" i="10"/>
  <c r="AI276" i="10"/>
  <c r="AI280" i="10"/>
  <c r="BK307" i="10"/>
  <c r="AF314" i="10"/>
  <c r="BL318" i="10"/>
  <c r="X329" i="10"/>
  <c r="BG286" i="10"/>
  <c r="BK286" i="10"/>
  <c r="BG290" i="10"/>
  <c r="BK290" i="10"/>
  <c r="BG296" i="10"/>
  <c r="BK296" i="10"/>
  <c r="BG298" i="10"/>
  <c r="BK298" i="10"/>
  <c r="BG300" i="10"/>
  <c r="BK300" i="10"/>
  <c r="Y276" i="10"/>
  <c r="BK312" i="10"/>
  <c r="BL317" i="10"/>
  <c r="BL319" i="10"/>
  <c r="BG285" i="10"/>
  <c r="BK285" i="10"/>
  <c r="BG287" i="10"/>
  <c r="BK287" i="10"/>
  <c r="BG289" i="10"/>
  <c r="BK289" i="10"/>
  <c r="BG291" i="10"/>
  <c r="BK291" i="10"/>
  <c r="BG293" i="10"/>
  <c r="BK293" i="10"/>
  <c r="BG295" i="10"/>
  <c r="BK295" i="10"/>
  <c r="BG297" i="10"/>
  <c r="BK297" i="10"/>
  <c r="BG299" i="10"/>
  <c r="BK299" i="10"/>
  <c r="BG301" i="10"/>
  <c r="BK301" i="10"/>
  <c r="BG303" i="10"/>
  <c r="BK303" i="10"/>
  <c r="BK309" i="10"/>
  <c r="AI283" i="10"/>
  <c r="BG288" i="10"/>
  <c r="BK288" i="10"/>
  <c r="Y273" i="10"/>
  <c r="Y277" i="10"/>
  <c r="BK306" i="10"/>
  <c r="BL316" i="10"/>
  <c r="BL321" i="10"/>
  <c r="BG315" i="10"/>
  <c r="BG316" i="10"/>
  <c r="BG317" i="10"/>
  <c r="BG318" i="10"/>
  <c r="BG319" i="10"/>
  <c r="BG320" i="10"/>
  <c r="BG321" i="10"/>
  <c r="X314" i="10"/>
  <c r="BL329" i="10"/>
  <c r="Y314" i="10"/>
  <c r="Q64" i="10"/>
  <c r="Q68" i="10"/>
  <c r="Q17" i="10"/>
  <c r="Q37" i="10"/>
  <c r="Q39" i="10"/>
  <c r="Q41" i="10"/>
  <c r="Q43" i="10"/>
  <c r="Q45" i="10"/>
  <c r="Q47" i="10"/>
  <c r="Q49" i="10"/>
  <c r="Q51" i="10"/>
  <c r="Q53" i="10"/>
  <c r="Q55" i="10"/>
  <c r="Q57" i="10"/>
  <c r="Q59" i="10"/>
  <c r="Q61" i="10"/>
  <c r="X118" i="10"/>
  <c r="Q120" i="10"/>
  <c r="BL123" i="10"/>
  <c r="BG170" i="10"/>
  <c r="BL170" i="10"/>
  <c r="T25" i="10"/>
  <c r="Q66" i="10"/>
  <c r="Q70" i="10"/>
  <c r="Q72" i="10"/>
  <c r="Q78" i="10"/>
  <c r="Q80" i="10"/>
  <c r="Q82" i="10"/>
  <c r="Q90" i="10"/>
  <c r="Q94" i="10"/>
  <c r="Q96" i="10"/>
  <c r="Q21" i="10"/>
  <c r="T186" i="10"/>
  <c r="Y186" i="10"/>
  <c r="AF23" i="10"/>
  <c r="BL23" i="10"/>
  <c r="X115" i="10"/>
  <c r="T115" i="10"/>
  <c r="AI116" i="10"/>
  <c r="AI125" i="10"/>
  <c r="Q27" i="10"/>
  <c r="Q29" i="10"/>
  <c r="Q31" i="10"/>
  <c r="Q33" i="10"/>
  <c r="Q35" i="10"/>
  <c r="AF24" i="10"/>
  <c r="BL24" i="10"/>
  <c r="Q63" i="10"/>
  <c r="Q65" i="10"/>
  <c r="Q67" i="10"/>
  <c r="Q69" i="10"/>
  <c r="Q71" i="10"/>
  <c r="Q73" i="10"/>
  <c r="Q75" i="10"/>
  <c r="Q77" i="10"/>
  <c r="Q79" i="10"/>
  <c r="Q81" i="10"/>
  <c r="Q83" i="10"/>
  <c r="Q85" i="10"/>
  <c r="Q87" i="10"/>
  <c r="Q89" i="10"/>
  <c r="Q91" i="10"/>
  <c r="Q93" i="10"/>
  <c r="Q95" i="10"/>
  <c r="Q97" i="10"/>
  <c r="Q99" i="10"/>
  <c r="Q100" i="10"/>
  <c r="Q101" i="10"/>
  <c r="Q102" i="10"/>
  <c r="Q103" i="10"/>
  <c r="Q104" i="10"/>
  <c r="Q105" i="10"/>
  <c r="Q106" i="10"/>
  <c r="Q107" i="10"/>
  <c r="Q108" i="10"/>
  <c r="Q109" i="10"/>
  <c r="Q110" i="10"/>
  <c r="Q111" i="10"/>
  <c r="Q112" i="10"/>
  <c r="Q113" i="10"/>
  <c r="BD119" i="10"/>
  <c r="Q74" i="10"/>
  <c r="Q76" i="10"/>
  <c r="Q84" i="10"/>
  <c r="Q86" i="10"/>
  <c r="Q88" i="10"/>
  <c r="Q92" i="10"/>
  <c r="Q98" i="10"/>
  <c r="Q19" i="10"/>
  <c r="BK2" i="10"/>
  <c r="BK6" i="10"/>
  <c r="BK10" i="10"/>
  <c r="BK14" i="10"/>
  <c r="AF25" i="10"/>
  <c r="BL25" i="10"/>
  <c r="AI119" i="10"/>
  <c r="BD126" i="10"/>
  <c r="Q117" i="10"/>
  <c r="Q122" i="10"/>
  <c r="AI126" i="10"/>
  <c r="AF128" i="10"/>
  <c r="BL132" i="10"/>
  <c r="AF143" i="10"/>
  <c r="BL159" i="10"/>
  <c r="T161" i="10"/>
  <c r="Y161" i="10"/>
  <c r="Y173" i="10"/>
  <c r="BG177" i="10"/>
  <c r="BL177" i="10"/>
  <c r="Y182" i="10"/>
  <c r="T182" i="10"/>
  <c r="Y193" i="10"/>
  <c r="AI127" i="10"/>
  <c r="BG116" i="10"/>
  <c r="Q119" i="10"/>
  <c r="BD122" i="10"/>
  <c r="Q124" i="10"/>
  <c r="BL136" i="10"/>
  <c r="AF139" i="10"/>
  <c r="BK153" i="10"/>
  <c r="Q123" i="10"/>
  <c r="T128" i="10"/>
  <c r="Y164" i="10"/>
  <c r="BG121" i="10"/>
  <c r="BD123" i="10"/>
  <c r="Y129" i="10"/>
  <c r="BL130" i="10"/>
  <c r="BK145" i="10"/>
  <c r="T165" i="10"/>
  <c r="Y165" i="10"/>
  <c r="BK113" i="10"/>
  <c r="BL172" i="10"/>
  <c r="BL193" i="10"/>
  <c r="BG115" i="10"/>
  <c r="Q118" i="10"/>
  <c r="AI123" i="10"/>
  <c r="BG123" i="10"/>
  <c r="BD125" i="10"/>
  <c r="Q127" i="10"/>
  <c r="BL134" i="10"/>
  <c r="BK141" i="10"/>
  <c r="BK143" i="10"/>
  <c r="BK144" i="10"/>
  <c r="BK151" i="10"/>
  <c r="BL185" i="10"/>
  <c r="AI129" i="10"/>
  <c r="Y131" i="10"/>
  <c r="AI131" i="10"/>
  <c r="Y133" i="10"/>
  <c r="AI133" i="10"/>
  <c r="Y135" i="10"/>
  <c r="AI135" i="10"/>
  <c r="Y137" i="10"/>
  <c r="Y141" i="10"/>
  <c r="Y145" i="10"/>
  <c r="AI146" i="10"/>
  <c r="AF148" i="10"/>
  <c r="Y152" i="10"/>
  <c r="AI154" i="10"/>
  <c r="AF156" i="10"/>
  <c r="AI205" i="10"/>
  <c r="AI138" i="10"/>
  <c r="AI142" i="10"/>
  <c r="AI147" i="10"/>
  <c r="AF149" i="10"/>
  <c r="Y153" i="10"/>
  <c r="AI155" i="10"/>
  <c r="AF157" i="10"/>
  <c r="BL164" i="10"/>
  <c r="AF165" i="10"/>
  <c r="T179" i="10"/>
  <c r="AI190" i="10"/>
  <c r="BD128" i="10"/>
  <c r="BD130" i="10"/>
  <c r="BD132" i="10"/>
  <c r="BD134" i="10"/>
  <c r="BD136" i="10"/>
  <c r="Y138" i="10"/>
  <c r="Y142" i="10"/>
  <c r="Y146" i="10"/>
  <c r="AI148" i="10"/>
  <c r="AF150" i="10"/>
  <c r="Y154" i="10"/>
  <c r="AI156" i="10"/>
  <c r="BD169" i="10"/>
  <c r="BD170" i="10"/>
  <c r="AF177" i="10"/>
  <c r="T178" i="10"/>
  <c r="Y178" i="10"/>
  <c r="BD187" i="10"/>
  <c r="Y201" i="10"/>
  <c r="Y128" i="10"/>
  <c r="AI128" i="10"/>
  <c r="Y130" i="10"/>
  <c r="AI130" i="10"/>
  <c r="Y132" i="10"/>
  <c r="AI132" i="10"/>
  <c r="Y134" i="10"/>
  <c r="AI134" i="10"/>
  <c r="Y136" i="10"/>
  <c r="AI136" i="10"/>
  <c r="Y139" i="10"/>
  <c r="Y143" i="10"/>
  <c r="Y148" i="10"/>
  <c r="AI150" i="10"/>
  <c r="AF152" i="10"/>
  <c r="Y156" i="10"/>
  <c r="X165" i="10"/>
  <c r="AI169" i="10"/>
  <c r="BD172" i="10"/>
  <c r="BL182" i="10"/>
  <c r="Y197" i="10"/>
  <c r="BD129" i="10"/>
  <c r="BD131" i="10"/>
  <c r="BD133" i="10"/>
  <c r="BD135" i="10"/>
  <c r="Y140" i="10"/>
  <c r="Y144" i="10"/>
  <c r="AF146" i="10"/>
  <c r="Y150" i="10"/>
  <c r="AI152" i="10"/>
  <c r="AF154" i="10"/>
  <c r="AF168" i="10"/>
  <c r="Q170" i="10"/>
  <c r="Y175" i="10"/>
  <c r="X179" i="10"/>
  <c r="T183" i="10"/>
  <c r="AI187" i="10"/>
  <c r="BG210" i="10"/>
  <c r="BK210" i="10"/>
  <c r="Y179" i="10"/>
  <c r="X183" i="10"/>
  <c r="X190" i="10"/>
  <c r="AF170" i="10"/>
  <c r="AF172" i="10"/>
  <c r="Q178" i="10"/>
  <c r="Q209" i="10"/>
  <c r="Q158" i="10"/>
  <c r="Q162" i="10"/>
  <c r="Q166" i="10"/>
  <c r="AF167" i="10"/>
  <c r="Q169" i="10"/>
  <c r="T172" i="10"/>
  <c r="BL174" i="10"/>
  <c r="AF175" i="10"/>
  <c r="BD175" i="10"/>
  <c r="Y187" i="10"/>
  <c r="BL188" i="10"/>
  <c r="BD208" i="10"/>
  <c r="Q161" i="10"/>
  <c r="Q165" i="10"/>
  <c r="AF169" i="10"/>
  <c r="Q171" i="10"/>
  <c r="Q173" i="10"/>
  <c r="AI175" i="10"/>
  <c r="AF183" i="10"/>
  <c r="BD183" i="10"/>
  <c r="Q186" i="10"/>
  <c r="BD189" i="10"/>
  <c r="AF190" i="10"/>
  <c r="Q192" i="10"/>
  <c r="BD205" i="10"/>
  <c r="AI208" i="10"/>
  <c r="BG208" i="10"/>
  <c r="BK208" i="10"/>
  <c r="Q176" i="10"/>
  <c r="Q180" i="10"/>
  <c r="Q184" i="10"/>
  <c r="Q213" i="10"/>
  <c r="X225" i="10"/>
  <c r="BD188" i="10"/>
  <c r="BD192" i="10"/>
  <c r="BD196" i="10"/>
  <c r="BD200" i="10"/>
  <c r="BL217" i="10"/>
  <c r="Y191" i="10"/>
  <c r="Y195" i="10"/>
  <c r="Y199" i="10"/>
  <c r="Y203" i="10"/>
  <c r="AI189" i="10"/>
  <c r="BD190" i="10"/>
  <c r="Q191" i="10"/>
  <c r="AI193" i="10"/>
  <c r="BD194" i="10"/>
  <c r="Q195" i="10"/>
  <c r="AI197" i="10"/>
  <c r="BD198" i="10"/>
  <c r="Q199" i="10"/>
  <c r="AI201" i="10"/>
  <c r="BD202" i="10"/>
  <c r="Q203" i="10"/>
  <c r="BK205" i="10"/>
  <c r="BG219" i="10"/>
  <c r="BG223" i="10"/>
  <c r="BL219" i="10"/>
  <c r="BL223" i="10"/>
  <c r="Q218" i="10"/>
  <c r="BG221" i="10"/>
  <c r="X222" i="10"/>
  <c r="BL216" i="10"/>
  <c r="BG222" i="10"/>
  <c r="Z443" i="10" l="1"/>
  <c r="Z360" i="10"/>
  <c r="Z451" i="10"/>
  <c r="Z547" i="10"/>
  <c r="Z563" i="10"/>
  <c r="Z358" i="10"/>
  <c r="Z504" i="10"/>
  <c r="Z455" i="10"/>
  <c r="Z643" i="10"/>
  <c r="Z702" i="10"/>
  <c r="Z733" i="10"/>
  <c r="Z569" i="10"/>
  <c r="Z527" i="10"/>
  <c r="Z741" i="10"/>
  <c r="Z673" i="10"/>
  <c r="Z570" i="10"/>
  <c r="Z633" i="10"/>
  <c r="Z406" i="10"/>
  <c r="Z612" i="10"/>
  <c r="Z751" i="10"/>
  <c r="Z629" i="10"/>
  <c r="Z420" i="10"/>
  <c r="Z436" i="10"/>
  <c r="Z525" i="10"/>
  <c r="Z668" i="10"/>
  <c r="Z616" i="10"/>
  <c r="Z637" i="10"/>
  <c r="Z354" i="10"/>
  <c r="Z632" i="10"/>
  <c r="Z453" i="10"/>
  <c r="Z663" i="10"/>
  <c r="Z628" i="10"/>
  <c r="Z390" i="10"/>
  <c r="Z700" i="10"/>
  <c r="Z729" i="10"/>
  <c r="Z381" i="10"/>
  <c r="Z640" i="10"/>
  <c r="Z426" i="10"/>
  <c r="Z412" i="10"/>
  <c r="Z452" i="10"/>
  <c r="Z465" i="10"/>
  <c r="Z395" i="10"/>
  <c r="Z701" i="10"/>
  <c r="Z519" i="10"/>
  <c r="Z654" i="10"/>
  <c r="Z709" i="10"/>
  <c r="Z416" i="10"/>
  <c r="Z537" i="10"/>
  <c r="Z748" i="10"/>
  <c r="Z636" i="10"/>
  <c r="Z499" i="10"/>
  <c r="Z400" i="10"/>
  <c r="Z486" i="10"/>
  <c r="Z572" i="10"/>
  <c r="Z444" i="10"/>
  <c r="Z600" i="10"/>
  <c r="Z735" i="10"/>
  <c r="Z435" i="10"/>
  <c r="Z714" i="10"/>
  <c r="Z440" i="10"/>
  <c r="Z463" i="10"/>
  <c r="Z672" i="10"/>
  <c r="Z732" i="10"/>
  <c r="Z473" i="10"/>
  <c r="Z529" i="10"/>
  <c r="Z449" i="10"/>
  <c r="Z411" i="10"/>
  <c r="Z424" i="10"/>
  <c r="Z567" i="10"/>
  <c r="Z446" i="10"/>
  <c r="Z447" i="10"/>
  <c r="Z607" i="10"/>
  <c r="Z532" i="10"/>
  <c r="Z580" i="10"/>
  <c r="Z548" i="10"/>
  <c r="Z371" i="10"/>
  <c r="Z652" i="10"/>
  <c r="Z457" i="10"/>
  <c r="Z546" i="10"/>
  <c r="Z585" i="10"/>
  <c r="Z478" i="10"/>
  <c r="Z464" i="10"/>
  <c r="Z674" i="10"/>
  <c r="Z583" i="10"/>
  <c r="Z459" i="10"/>
  <c r="Z356" i="10"/>
  <c r="Z595" i="10"/>
  <c r="Z590" i="10"/>
  <c r="Z631" i="10"/>
  <c r="Z744" i="10"/>
  <c r="Z414" i="10"/>
  <c r="Z689" i="10"/>
  <c r="Z725" i="10"/>
  <c r="Z650" i="10"/>
  <c r="Z469" i="10"/>
  <c r="Z558" i="10"/>
  <c r="Z684" i="10"/>
  <c r="Z448" i="10"/>
  <c r="Z564" i="10"/>
  <c r="BM582" i="10"/>
  <c r="BM121" i="10"/>
  <c r="Z239" i="10"/>
  <c r="BM354" i="10"/>
  <c r="BM166" i="10"/>
  <c r="Z127" i="10"/>
  <c r="BM159" i="10"/>
  <c r="Z175" i="10"/>
  <c r="BM154" i="10"/>
  <c r="BM282" i="10"/>
  <c r="BM242" i="10"/>
  <c r="BM484" i="10"/>
  <c r="BM373" i="10"/>
  <c r="BM635" i="10"/>
  <c r="BM498" i="10"/>
  <c r="BM468" i="10"/>
  <c r="Z47" i="10"/>
  <c r="BM379" i="10"/>
  <c r="BM372" i="10"/>
  <c r="BM431" i="10"/>
  <c r="BM143" i="10"/>
  <c r="BM303" i="10"/>
  <c r="BM46" i="10"/>
  <c r="BM13" i="10"/>
  <c r="BM367" i="10"/>
  <c r="BM211" i="10"/>
  <c r="BM566" i="10"/>
  <c r="BM450" i="10"/>
  <c r="BM715" i="10"/>
  <c r="BM72" i="10"/>
  <c r="BM734" i="10"/>
  <c r="BM168" i="10"/>
  <c r="BM201" i="10"/>
  <c r="BM676" i="10"/>
  <c r="BM733" i="10"/>
  <c r="BM414" i="10"/>
  <c r="BM160" i="10"/>
  <c r="BM738" i="10"/>
  <c r="Z310" i="10"/>
  <c r="BM313" i="10"/>
  <c r="BM52" i="10"/>
  <c r="BM86" i="10"/>
  <c r="Z15" i="10"/>
  <c r="BM448" i="10"/>
  <c r="Z327" i="10"/>
  <c r="Z267" i="10"/>
  <c r="BM286" i="10"/>
  <c r="BM683" i="10"/>
  <c r="Z275" i="10"/>
  <c r="BM206" i="10"/>
  <c r="BM40" i="10"/>
  <c r="BM91" i="10"/>
  <c r="BM707" i="10"/>
  <c r="BM687" i="10"/>
  <c r="BM728" i="10"/>
  <c r="BM703" i="10"/>
  <c r="BM504" i="10"/>
  <c r="BM490" i="10"/>
  <c r="BM559" i="10"/>
  <c r="BM311" i="10"/>
  <c r="BM332" i="10"/>
  <c r="BM263" i="10"/>
  <c r="Z309" i="10"/>
  <c r="Z133" i="10"/>
  <c r="BM537" i="10"/>
  <c r="Z60" i="10"/>
  <c r="Z106" i="10"/>
  <c r="Z205" i="10"/>
  <c r="Z21" i="10"/>
  <c r="Z142" i="10"/>
  <c r="BM460" i="10"/>
  <c r="BM434" i="10"/>
  <c r="Z202" i="10"/>
  <c r="BM202" i="10"/>
  <c r="BM19" i="10"/>
  <c r="BM30" i="10"/>
  <c r="BM73" i="10"/>
  <c r="BM194" i="10"/>
  <c r="BM420" i="10"/>
  <c r="BM190" i="10"/>
  <c r="BM358" i="10"/>
  <c r="BM462" i="10"/>
  <c r="BM539" i="10"/>
  <c r="Z65" i="10"/>
  <c r="BM16" i="10"/>
  <c r="BM53" i="10"/>
  <c r="BM352" i="10"/>
  <c r="BM398" i="10"/>
  <c r="Z104" i="10"/>
  <c r="Z219" i="10"/>
  <c r="BM17" i="10"/>
  <c r="BM38" i="10"/>
  <c r="Z201" i="10"/>
  <c r="Z282" i="10"/>
  <c r="Z56" i="10"/>
  <c r="BM11" i="10"/>
  <c r="Z302" i="10"/>
  <c r="BM389" i="10"/>
  <c r="BM721" i="10"/>
  <c r="Z305" i="10"/>
  <c r="BM59" i="10"/>
  <c r="Z329" i="10"/>
  <c r="BM530" i="10"/>
  <c r="BM42" i="10"/>
  <c r="Z162" i="10"/>
  <c r="Z240" i="10"/>
  <c r="BM209" i="10"/>
  <c r="BM223" i="10"/>
  <c r="BM463" i="10"/>
  <c r="BM454" i="10"/>
  <c r="BM660" i="10"/>
  <c r="BM516" i="10"/>
  <c r="BM161" i="10"/>
  <c r="BM8" i="10"/>
  <c r="BM518" i="10"/>
  <c r="Z70" i="10"/>
  <c r="BM729" i="10"/>
  <c r="BM152" i="10"/>
  <c r="BM228" i="10"/>
  <c r="BM147" i="10"/>
  <c r="Z139" i="10"/>
  <c r="Z141" i="10"/>
  <c r="Z174" i="10"/>
  <c r="Z58" i="10"/>
  <c r="Z313" i="10"/>
  <c r="BM284" i="10"/>
  <c r="Z188" i="10"/>
  <c r="Z13" i="10"/>
  <c r="Z334" i="10"/>
  <c r="BM5" i="10"/>
  <c r="BM104" i="10"/>
  <c r="BM742" i="10"/>
  <c r="Z249" i="10"/>
  <c r="Z5" i="10"/>
  <c r="BM540" i="10"/>
  <c r="BM21" i="10"/>
  <c r="BM102" i="10"/>
  <c r="Z321" i="10"/>
  <c r="BM410" i="10"/>
  <c r="BM689" i="10"/>
  <c r="BM682" i="10"/>
  <c r="BM509" i="10"/>
  <c r="BM589" i="10"/>
  <c r="Z244" i="10"/>
  <c r="Z40" i="10"/>
  <c r="BM304" i="10"/>
  <c r="Z225" i="10"/>
  <c r="BM506" i="10"/>
  <c r="Z196" i="10"/>
  <c r="Z189" i="10"/>
  <c r="BM621" i="10"/>
  <c r="BM688" i="10"/>
  <c r="BM549" i="10"/>
  <c r="BM37" i="10"/>
  <c r="BM297" i="10"/>
  <c r="BM458" i="10"/>
  <c r="BM461" i="10"/>
  <c r="BM388" i="10"/>
  <c r="BM363" i="10"/>
  <c r="BM76" i="10"/>
  <c r="Z265" i="10"/>
  <c r="Z93" i="10"/>
  <c r="BM189" i="10"/>
  <c r="BM544" i="10"/>
  <c r="BM307" i="10"/>
  <c r="BM485" i="10"/>
  <c r="Z166" i="10"/>
  <c r="BM419" i="10"/>
  <c r="BM642" i="10"/>
  <c r="BM158" i="10"/>
  <c r="Z319" i="10"/>
  <c r="BM595" i="10"/>
  <c r="BM427" i="10"/>
  <c r="BM577" i="10"/>
  <c r="BM362" i="10"/>
  <c r="Z235" i="10"/>
  <c r="Z213" i="10"/>
  <c r="Z19" i="10"/>
  <c r="Z190" i="10"/>
  <c r="BM575" i="10"/>
  <c r="BM598" i="10"/>
  <c r="BM627" i="10"/>
  <c r="Z107" i="10"/>
  <c r="BM705" i="10"/>
  <c r="BM58" i="10"/>
  <c r="BM212" i="10"/>
  <c r="Z43" i="10"/>
  <c r="Z243" i="10"/>
  <c r="BM314" i="10"/>
  <c r="BM555" i="10"/>
  <c r="Z80" i="10"/>
  <c r="BM3" i="10"/>
  <c r="BM199" i="10"/>
  <c r="BM259" i="10"/>
  <c r="BM2" i="10"/>
  <c r="Z299" i="10"/>
  <c r="BM496" i="10"/>
  <c r="Z102" i="10"/>
  <c r="BM88" i="10"/>
  <c r="BM547" i="10"/>
  <c r="Z318" i="10"/>
  <c r="BM636" i="10"/>
  <c r="BM105" i="10"/>
  <c r="BM652" i="10"/>
  <c r="Z264" i="10"/>
  <c r="BM753" i="10"/>
  <c r="Z192" i="10"/>
  <c r="Z263" i="10"/>
  <c r="Z48" i="10"/>
  <c r="BM4" i="10"/>
  <c r="BM41" i="10"/>
  <c r="BM269" i="10"/>
  <c r="BM98" i="10"/>
  <c r="BM69" i="10"/>
  <c r="BM466" i="10"/>
  <c r="Z194" i="10"/>
  <c r="Z103" i="10"/>
  <c r="BM659" i="10"/>
  <c r="Z136" i="10"/>
  <c r="BM208" i="10"/>
  <c r="BM514" i="10"/>
  <c r="Z204" i="10"/>
  <c r="Z39" i="10"/>
  <c r="Z181" i="10"/>
  <c r="BM63" i="10"/>
  <c r="BM586" i="10"/>
  <c r="BM644" i="10"/>
  <c r="BM634" i="10"/>
  <c r="BM32" i="10"/>
  <c r="Z167" i="10"/>
  <c r="BM48" i="10"/>
  <c r="BM301" i="10"/>
  <c r="BM499" i="10"/>
  <c r="BM629" i="10"/>
  <c r="BM673" i="10"/>
  <c r="Z300" i="10"/>
  <c r="BM270" i="10"/>
  <c r="BM15" i="10"/>
  <c r="BM744" i="10"/>
  <c r="Z307" i="10"/>
  <c r="BM353" i="10"/>
  <c r="BM77" i="10"/>
  <c r="BM280" i="10"/>
  <c r="BM653" i="10"/>
  <c r="BM610" i="10"/>
  <c r="BM640" i="10"/>
  <c r="BM324" i="10"/>
  <c r="Z252" i="10"/>
  <c r="Z180" i="10"/>
  <c r="Z159" i="10"/>
  <c r="Z248" i="10"/>
  <c r="BM387" i="10"/>
  <c r="BM437" i="10"/>
  <c r="Z4" i="10"/>
  <c r="Z301" i="10"/>
  <c r="BM637" i="10"/>
  <c r="Z110" i="10"/>
  <c r="Z121" i="10"/>
  <c r="BM308" i="10"/>
  <c r="Z178" i="10"/>
  <c r="BM317" i="10"/>
  <c r="BM572" i="10"/>
  <c r="BM526" i="10"/>
  <c r="BM393" i="10"/>
  <c r="BM378" i="10"/>
  <c r="Z147" i="10"/>
  <c r="Z105" i="10"/>
  <c r="BM31" i="10"/>
  <c r="BM717" i="10"/>
  <c r="BM513" i="10"/>
  <c r="Z32" i="10"/>
  <c r="BM669" i="10"/>
  <c r="BM478" i="10"/>
  <c r="Z323" i="10"/>
  <c r="BM156" i="10"/>
  <c r="Z95" i="10"/>
  <c r="BM100" i="10"/>
  <c r="BM64" i="10"/>
  <c r="Z41" i="10"/>
  <c r="Z228" i="10"/>
  <c r="Z173" i="10"/>
  <c r="BM606" i="10"/>
  <c r="BM587" i="10"/>
  <c r="Z199" i="10"/>
  <c r="BM287" i="10"/>
  <c r="BM479" i="10"/>
  <c r="BM495" i="10"/>
  <c r="BM534" i="10"/>
  <c r="BM366" i="10"/>
  <c r="Z280" i="10"/>
  <c r="BM125" i="10"/>
  <c r="Z85" i="10"/>
  <c r="Z101" i="10"/>
  <c r="Z79" i="10"/>
  <c r="BM737" i="10"/>
  <c r="Z97" i="10"/>
  <c r="Z306" i="10"/>
  <c r="BM630" i="10"/>
  <c r="Z332" i="10"/>
  <c r="BM520" i="10"/>
  <c r="BM380" i="10"/>
  <c r="BM169" i="10"/>
  <c r="Z247" i="10"/>
  <c r="Z214" i="10"/>
  <c r="BM57" i="10"/>
  <c r="Z46" i="10"/>
  <c r="Z94" i="10"/>
  <c r="BM118" i="10"/>
  <c r="Z8" i="10"/>
  <c r="Z22" i="10"/>
  <c r="Z191" i="10"/>
  <c r="Z186" i="10"/>
  <c r="BM481" i="10"/>
  <c r="BM574" i="10"/>
  <c r="BM407" i="10"/>
  <c r="BM273" i="10"/>
  <c r="Z109" i="10"/>
  <c r="Z99" i="10"/>
  <c r="Z311" i="10"/>
  <c r="BM417" i="10"/>
  <c r="Z259" i="10"/>
  <c r="BM256" i="10"/>
  <c r="BM746" i="10"/>
  <c r="BM246" i="10"/>
  <c r="Z59" i="10"/>
  <c r="Z261" i="10"/>
  <c r="BM747" i="10"/>
  <c r="BM101" i="10"/>
  <c r="BM27" i="10"/>
  <c r="Z349" i="10"/>
  <c r="Z193" i="10"/>
  <c r="BM23" i="10"/>
  <c r="BM309" i="10"/>
  <c r="BM438" i="10"/>
  <c r="BM684" i="10"/>
  <c r="BM255" i="10"/>
  <c r="Z49" i="10"/>
  <c r="Z89" i="10"/>
  <c r="BM80" i="10"/>
  <c r="BM371" i="10"/>
  <c r="Z124" i="10"/>
  <c r="Z135" i="10"/>
  <c r="Z278" i="10"/>
  <c r="BM196" i="10"/>
  <c r="BM180" i="10"/>
  <c r="Z211" i="10"/>
  <c r="BM167" i="10"/>
  <c r="Z61" i="10"/>
  <c r="BM95" i="10"/>
  <c r="BM360" i="10"/>
  <c r="BM620" i="10"/>
  <c r="Z51" i="10"/>
  <c r="Z203" i="10"/>
  <c r="Z132" i="10"/>
  <c r="BM573" i="10"/>
  <c r="BM519" i="10"/>
  <c r="BM171" i="10"/>
  <c r="Z157" i="10"/>
  <c r="Z6" i="10"/>
  <c r="BM361" i="10"/>
  <c r="BM67" i="10"/>
  <c r="Z289" i="10"/>
  <c r="BM71" i="10"/>
  <c r="Z54" i="10"/>
  <c r="Z230" i="10"/>
  <c r="BM392" i="10"/>
  <c r="BM22" i="10"/>
  <c r="BM108" i="10"/>
  <c r="BM188" i="10"/>
  <c r="BM570" i="10"/>
  <c r="BM665" i="10"/>
  <c r="BM603" i="10"/>
  <c r="BM492" i="10"/>
  <c r="BM334" i="10"/>
  <c r="BM326" i="10"/>
  <c r="Z312" i="10"/>
  <c r="Z279" i="10"/>
  <c r="Z91" i="10"/>
  <c r="BM588" i="10"/>
  <c r="Z269" i="10"/>
  <c r="BM716" i="10"/>
  <c r="BM25" i="10"/>
  <c r="BM293" i="10"/>
  <c r="BM551" i="10"/>
  <c r="Z149" i="10"/>
  <c r="BM391" i="10"/>
  <c r="BM368" i="10"/>
  <c r="Z216" i="10"/>
  <c r="Z304" i="10"/>
  <c r="BM261" i="10"/>
  <c r="BM123" i="10"/>
  <c r="BM302" i="10"/>
  <c r="BM638" i="10"/>
  <c r="BM704" i="10"/>
  <c r="BM103" i="10"/>
  <c r="Z246" i="10"/>
  <c r="Z291" i="10"/>
  <c r="Z236" i="10"/>
  <c r="BM132" i="10"/>
  <c r="BM325" i="10"/>
  <c r="BM183" i="10"/>
  <c r="BM276" i="10"/>
  <c r="BM93" i="10"/>
  <c r="Z297" i="10"/>
  <c r="Z44" i="10"/>
  <c r="Z125" i="10"/>
  <c r="BM626" i="10"/>
  <c r="BM563" i="10"/>
  <c r="BM591" i="10"/>
  <c r="BM61" i="10"/>
  <c r="BM330" i="10"/>
  <c r="BM482" i="10"/>
  <c r="BM571" i="10"/>
  <c r="BM569" i="10"/>
  <c r="BM554" i="10"/>
  <c r="BM186" i="10"/>
  <c r="Z160" i="10"/>
  <c r="BM36" i="10"/>
  <c r="BM686" i="10"/>
  <c r="Z285" i="10"/>
  <c r="BM698" i="10"/>
  <c r="BM696" i="10"/>
  <c r="BM667" i="10"/>
  <c r="BM328" i="10"/>
  <c r="BM251" i="10"/>
  <c r="Z256" i="10"/>
  <c r="BM645" i="10"/>
  <c r="BM266" i="10"/>
  <c r="BM163" i="10"/>
  <c r="BM489" i="10"/>
  <c r="Z271" i="10"/>
  <c r="BM65" i="10"/>
  <c r="BM624" i="10"/>
  <c r="BM542" i="10"/>
  <c r="BM745" i="10"/>
  <c r="BM289" i="10"/>
  <c r="Z281" i="10"/>
  <c r="Z172" i="10"/>
  <c r="BM608" i="10"/>
  <c r="BM141" i="10"/>
  <c r="BM494" i="10"/>
  <c r="BM477" i="10"/>
  <c r="BM401" i="10"/>
  <c r="BM751" i="10"/>
  <c r="BM602" i="10"/>
  <c r="Z20" i="10"/>
  <c r="Z52" i="10"/>
  <c r="Z90" i="10"/>
  <c r="BM129" i="10"/>
  <c r="BM562" i="10"/>
  <c r="BM581" i="10"/>
  <c r="Z241" i="10"/>
  <c r="Z23" i="10"/>
  <c r="Z71" i="10"/>
  <c r="Z118" i="10"/>
  <c r="BM177" i="10"/>
  <c r="BM622" i="10"/>
  <c r="BM476" i="10"/>
  <c r="BM464" i="10"/>
  <c r="BM543" i="10"/>
  <c r="Z325" i="10"/>
  <c r="BM359" i="10"/>
  <c r="Z330" i="10"/>
  <c r="BM262" i="10"/>
  <c r="BM75" i="10"/>
  <c r="BM503" i="10"/>
  <c r="BM580" i="10"/>
  <c r="BM592" i="10"/>
  <c r="BM291" i="10"/>
  <c r="BM402" i="10"/>
  <c r="BM741" i="10"/>
  <c r="BM258" i="10"/>
  <c r="Z185" i="10"/>
  <c r="BM135" i="10"/>
  <c r="Z123" i="10"/>
  <c r="Z69" i="10"/>
  <c r="Z53" i="10"/>
  <c r="BM726" i="10"/>
  <c r="BM424" i="10"/>
  <c r="Z262" i="10"/>
  <c r="Z168" i="10"/>
  <c r="BM39" i="10"/>
  <c r="Z73" i="10"/>
  <c r="Z27" i="10"/>
  <c r="Z117" i="10"/>
  <c r="BM133" i="10"/>
  <c r="Z114" i="10"/>
  <c r="BM749" i="10"/>
  <c r="BM695" i="10"/>
  <c r="BM383" i="10"/>
  <c r="BM720" i="10"/>
  <c r="BM655" i="10"/>
  <c r="BM522" i="10"/>
  <c r="BM264" i="10"/>
  <c r="Z14" i="10"/>
  <c r="Z170" i="10"/>
  <c r="BM179" i="10"/>
  <c r="BM226" i="10"/>
  <c r="Z126" i="10"/>
  <c r="Z140" i="10"/>
  <c r="BM210" i="10"/>
  <c r="BM6" i="10"/>
  <c r="BM299" i="10"/>
  <c r="Z156" i="10"/>
  <c r="BM604" i="10"/>
  <c r="BM486" i="10"/>
  <c r="BM532" i="10"/>
  <c r="BM397" i="10"/>
  <c r="Z208" i="10"/>
  <c r="BM594" i="10"/>
  <c r="BM349" i="10"/>
  <c r="BM247" i="10"/>
  <c r="Z206" i="10"/>
  <c r="BM234" i="10"/>
  <c r="Z237" i="10"/>
  <c r="BM84" i="10"/>
  <c r="Z30" i="10"/>
  <c r="BM333" i="10"/>
  <c r="BM675" i="10"/>
  <c r="BM268" i="10"/>
  <c r="BM20" i="10"/>
  <c r="BM83" i="10"/>
  <c r="Z28" i="10"/>
  <c r="Z17" i="10"/>
  <c r="Z328" i="10"/>
  <c r="Z245" i="10"/>
  <c r="BM96" i="10"/>
  <c r="BM74" i="10"/>
  <c r="Z151" i="10"/>
  <c r="Z233" i="10"/>
  <c r="BM252" i="10"/>
  <c r="BM365" i="10"/>
  <c r="BM666" i="10"/>
  <c r="BM409" i="10"/>
  <c r="Z226" i="10"/>
  <c r="BM374" i="10"/>
  <c r="BM633" i="10"/>
  <c r="BM722" i="10"/>
  <c r="BM611" i="10"/>
  <c r="BM560" i="10"/>
  <c r="BM406" i="10"/>
  <c r="BM140" i="10"/>
  <c r="Z66" i="10"/>
  <c r="Z155" i="10"/>
  <c r="Z209" i="10"/>
  <c r="Z38" i="10"/>
  <c r="BM639" i="10"/>
  <c r="Z268" i="10"/>
  <c r="Z250" i="10"/>
  <c r="Z78" i="10"/>
  <c r="BM694" i="10"/>
  <c r="BM94" i="10"/>
  <c r="BM576" i="10"/>
  <c r="BM272" i="10"/>
  <c r="BM137" i="10"/>
  <c r="BM173" i="10"/>
  <c r="Z100" i="10"/>
  <c r="BM244" i="10"/>
  <c r="BM459" i="10"/>
  <c r="Z163" i="10"/>
  <c r="BM260" i="10"/>
  <c r="BM87" i="10"/>
  <c r="Z62" i="10"/>
  <c r="BM230" i="10"/>
  <c r="Z34" i="10"/>
  <c r="BM351" i="10"/>
  <c r="Z283" i="10"/>
  <c r="Z294" i="10"/>
  <c r="Z88" i="10"/>
  <c r="Z298" i="10"/>
  <c r="BM446" i="10"/>
  <c r="BM271" i="10"/>
  <c r="BM355" i="10"/>
  <c r="BM51" i="10"/>
  <c r="Z98" i="10"/>
  <c r="BM127" i="10"/>
  <c r="BM743" i="10"/>
  <c r="Z36" i="10"/>
  <c r="BM357" i="10"/>
  <c r="Z113" i="10"/>
  <c r="BM740" i="10"/>
  <c r="BM723" i="10"/>
  <c r="Z331" i="10"/>
  <c r="BM290" i="10"/>
  <c r="BM664" i="10"/>
  <c r="BM470" i="10"/>
  <c r="BM149" i="10"/>
  <c r="BM45" i="10"/>
  <c r="BM44" i="10"/>
  <c r="Z316" i="10"/>
  <c r="BM455" i="10"/>
  <c r="BM79" i="10"/>
  <c r="BM465" i="10"/>
  <c r="BM677" i="10"/>
  <c r="Z164" i="10"/>
  <c r="BM654" i="10"/>
  <c r="BM685" i="10"/>
  <c r="BM585" i="10"/>
  <c r="Z287" i="10"/>
  <c r="BM254" i="10"/>
  <c r="BM114" i="10"/>
  <c r="BM78" i="10"/>
  <c r="Z148" i="10"/>
  <c r="BM471" i="10"/>
  <c r="BM376" i="10"/>
  <c r="BM275" i="10"/>
  <c r="Z308" i="10"/>
  <c r="Z270" i="10"/>
  <c r="BM49" i="10"/>
  <c r="BM153" i="10"/>
  <c r="BM298" i="10"/>
  <c r="BM294" i="10"/>
  <c r="BM370" i="10"/>
  <c r="BM396" i="10"/>
  <c r="BM467" i="10"/>
  <c r="BM732" i="10"/>
  <c r="BM679" i="10"/>
  <c r="BM735" i="10"/>
  <c r="BM631" i="10"/>
  <c r="BM515" i="10"/>
  <c r="Z215" i="10"/>
  <c r="Z253" i="10"/>
  <c r="BM119" i="10"/>
  <c r="Z257" i="10"/>
  <c r="BM150" i="10"/>
  <c r="Z231" i="10"/>
  <c r="Z55" i="10"/>
  <c r="BM111" i="10"/>
  <c r="Z83" i="10"/>
  <c r="BM578" i="10"/>
  <c r="Z303" i="10"/>
  <c r="BM178" i="10"/>
  <c r="Z210" i="10"/>
  <c r="BM90" i="10"/>
  <c r="BM120" i="10"/>
  <c r="BM117" i="10"/>
  <c r="BM106" i="10"/>
  <c r="BM33" i="10"/>
  <c r="BM112" i="10"/>
  <c r="Z67" i="10"/>
  <c r="BM672" i="10"/>
  <c r="BM557" i="10"/>
  <c r="Z7" i="10"/>
  <c r="BM440" i="10"/>
  <c r="BM564" i="10"/>
  <c r="BM250" i="10"/>
  <c r="BM124" i="10"/>
  <c r="BM50" i="10"/>
  <c r="BM110" i="10"/>
  <c r="Z11" i="10"/>
  <c r="Z146" i="10"/>
  <c r="BM193" i="10"/>
  <c r="BM316" i="10"/>
  <c r="BM524" i="10"/>
  <c r="Z144" i="10"/>
  <c r="Z130" i="10"/>
  <c r="BM134" i="10"/>
  <c r="BM172" i="10"/>
  <c r="BM312" i="10"/>
  <c r="BM451" i="10"/>
  <c r="BM590" i="10"/>
  <c r="BM671" i="10"/>
  <c r="BM719" i="10"/>
  <c r="BM628" i="10"/>
  <c r="BM493" i="10"/>
  <c r="BM517" i="10"/>
  <c r="Z324" i="10"/>
  <c r="BM213" i="10"/>
  <c r="Z31" i="10"/>
  <c r="BM26" i="10"/>
  <c r="Z24" i="10"/>
  <c r="Z176" i="10"/>
  <c r="Z111" i="10"/>
  <c r="Z81" i="10"/>
  <c r="BM377" i="10"/>
  <c r="Z177" i="10"/>
  <c r="BM386" i="10"/>
  <c r="Z220" i="10"/>
  <c r="Z86" i="10"/>
  <c r="BM35" i="10"/>
  <c r="BM596" i="10"/>
  <c r="BM433" i="10"/>
  <c r="Z258" i="10"/>
  <c r="BM181" i="10"/>
  <c r="BM648" i="10"/>
  <c r="BM428" i="10"/>
  <c r="Z187" i="10"/>
  <c r="BM24" i="10"/>
  <c r="BM712" i="10"/>
  <c r="BM418" i="10"/>
  <c r="BM535" i="10"/>
  <c r="Z77" i="10"/>
  <c r="BM47" i="10"/>
  <c r="Z57" i="10"/>
  <c r="BM426" i="10"/>
  <c r="BM245" i="10"/>
  <c r="Z179" i="10"/>
  <c r="BM145" i="10"/>
  <c r="Z222" i="10"/>
  <c r="BM136" i="10"/>
  <c r="Z277" i="10"/>
  <c r="BM541" i="10"/>
  <c r="BM442" i="10"/>
  <c r="BM731" i="10"/>
  <c r="BM690" i="10"/>
  <c r="BM579" i="10"/>
  <c r="BM521" i="10"/>
  <c r="BM487" i="10"/>
  <c r="BM439" i="10"/>
  <c r="BM412" i="10"/>
  <c r="BM395" i="10"/>
  <c r="Z217" i="10"/>
  <c r="BM350" i="10"/>
  <c r="Z251" i="10"/>
  <c r="Z221" i="10"/>
  <c r="BM221" i="10"/>
  <c r="Z120" i="10"/>
  <c r="Z292" i="10"/>
  <c r="BM126" i="10"/>
  <c r="BM34" i="10"/>
  <c r="BM369" i="10"/>
  <c r="BM249" i="10"/>
  <c r="Z184" i="10"/>
  <c r="Z255" i="10"/>
  <c r="BM616" i="10"/>
  <c r="BM408" i="10"/>
  <c r="BM425" i="10"/>
  <c r="Z152" i="10"/>
  <c r="BM736" i="10"/>
  <c r="Z195" i="10"/>
  <c r="Z182" i="10"/>
  <c r="Z273" i="10"/>
  <c r="BM452" i="10"/>
  <c r="BM750" i="10"/>
  <c r="BM558" i="10"/>
  <c r="BM617" i="10"/>
  <c r="BM400" i="10"/>
  <c r="BM411" i="10"/>
  <c r="BM239" i="10"/>
  <c r="Z232" i="10"/>
  <c r="BM232" i="10"/>
  <c r="BM66" i="10"/>
  <c r="Z64" i="10"/>
  <c r="BM56" i="10"/>
  <c r="BM593" i="10"/>
  <c r="BM443" i="10"/>
  <c r="Z266" i="10"/>
  <c r="Z238" i="10"/>
  <c r="Z76" i="10"/>
  <c r="BM81" i="10"/>
  <c r="Z16" i="10"/>
  <c r="BM174" i="10"/>
  <c r="Z145" i="10"/>
  <c r="Z129" i="10"/>
  <c r="BM295" i="10"/>
  <c r="Z276" i="10"/>
  <c r="BM296" i="10"/>
  <c r="BM292" i="10"/>
  <c r="BM545" i="10"/>
  <c r="BM556" i="10"/>
  <c r="BM472" i="10"/>
  <c r="BM404" i="10"/>
  <c r="BM561" i="10"/>
  <c r="BM491" i="10"/>
  <c r="Z322" i="10"/>
  <c r="Z33" i="10"/>
  <c r="BM281" i="10"/>
  <c r="BM315" i="10"/>
  <c r="Z290" i="10"/>
  <c r="Z169" i="10"/>
  <c r="Z63" i="10"/>
  <c r="BM116" i="10"/>
  <c r="Z84" i="10"/>
  <c r="BM43" i="10"/>
  <c r="Z26" i="10"/>
  <c r="BM700" i="10"/>
  <c r="BM423" i="10"/>
  <c r="BM175" i="10"/>
  <c r="Z9" i="10"/>
  <c r="Z293" i="10"/>
  <c r="BM265" i="10"/>
  <c r="Z326" i="10"/>
  <c r="BM176" i="10"/>
  <c r="BM82" i="10"/>
  <c r="BM416" i="10"/>
  <c r="BM267" i="10"/>
  <c r="BM85" i="10"/>
  <c r="BM164" i="10"/>
  <c r="BM618" i="10"/>
  <c r="BM646" i="10"/>
  <c r="BM730" i="10"/>
  <c r="BM257" i="10"/>
  <c r="BM184" i="10"/>
  <c r="BM146" i="10"/>
  <c r="Z92" i="10"/>
  <c r="Z37" i="10"/>
  <c r="BM222" i="10"/>
  <c r="Z35" i="10"/>
  <c r="Z154" i="10"/>
  <c r="BM430" i="10"/>
  <c r="BM601" i="10"/>
  <c r="BM552" i="10"/>
  <c r="BM331" i="10"/>
  <c r="BM243" i="10"/>
  <c r="BM148" i="10"/>
  <c r="BM218" i="10"/>
  <c r="BM565" i="10"/>
  <c r="BM274" i="10"/>
  <c r="Z3" i="10"/>
  <c r="Z134" i="10"/>
  <c r="BM144" i="10"/>
  <c r="BM300" i="10"/>
  <c r="BM725" i="10"/>
  <c r="BM710" i="10"/>
  <c r="BM253" i="10"/>
  <c r="BM200" i="10"/>
  <c r="Z115" i="10"/>
  <c r="Z68" i="10"/>
  <c r="Z122" i="10"/>
  <c r="BM415" i="10"/>
  <c r="Z296" i="10"/>
  <c r="BM187" i="10"/>
  <c r="BM711" i="10"/>
  <c r="Z295" i="10"/>
  <c r="BM277" i="10"/>
  <c r="Z116" i="10"/>
  <c r="Z50" i="10"/>
  <c r="BM204" i="10"/>
  <c r="BM445" i="10"/>
  <c r="BM288" i="10"/>
  <c r="BM219" i="10"/>
  <c r="Z197" i="10"/>
  <c r="Z161" i="10"/>
  <c r="BM405" i="10"/>
  <c r="BM692" i="10"/>
  <c r="BM600" i="10"/>
  <c r="BM663" i="10"/>
  <c r="BM432" i="10"/>
  <c r="Z212" i="10"/>
  <c r="BM62" i="10"/>
  <c r="Z286" i="10"/>
  <c r="BM390" i="10"/>
  <c r="BM235" i="10"/>
  <c r="BM115" i="10"/>
  <c r="BM68" i="10"/>
  <c r="BM12" i="10"/>
  <c r="BM215" i="10"/>
  <c r="Z234" i="10"/>
  <c r="BM89" i="10"/>
  <c r="BM216" i="10"/>
  <c r="BM170" i="10"/>
  <c r="BM321" i="10"/>
  <c r="BM548" i="10"/>
  <c r="BM480" i="10"/>
  <c r="BM505" i="10"/>
  <c r="BM649" i="10"/>
  <c r="BM709" i="10"/>
  <c r="BM605" i="10"/>
  <c r="BM752" i="10"/>
  <c r="BM651" i="10"/>
  <c r="BM668" i="10"/>
  <c r="BM647" i="10"/>
  <c r="BM697" i="10"/>
  <c r="BM508" i="10"/>
  <c r="BM474" i="10"/>
  <c r="BM384" i="10"/>
  <c r="Z317" i="10"/>
  <c r="BM323" i="10"/>
  <c r="BM195" i="10"/>
  <c r="BM9" i="10"/>
  <c r="BM28" i="10"/>
  <c r="BM99" i="10"/>
  <c r="Z315" i="10"/>
  <c r="Z224" i="10"/>
  <c r="BM227" i="10"/>
  <c r="BM198" i="10"/>
  <c r="BM18" i="10"/>
  <c r="BM364" i="10"/>
  <c r="BM319" i="10"/>
  <c r="BM310" i="10"/>
  <c r="BM658" i="10"/>
  <c r="BM724" i="10"/>
  <c r="BM612" i="10"/>
  <c r="BM436" i="10"/>
  <c r="BM375" i="10"/>
  <c r="Z274" i="10"/>
  <c r="Z223" i="10"/>
  <c r="Z284" i="10"/>
  <c r="Z112" i="10"/>
  <c r="Z74" i="10"/>
  <c r="BM157" i="10"/>
  <c r="Z288" i="10"/>
  <c r="Z227" i="10"/>
  <c r="BM92" i="10"/>
  <c r="BM197" i="10"/>
  <c r="BM182" i="10"/>
  <c r="Z137" i="10"/>
  <c r="BM185" i="10"/>
  <c r="BM10" i="10"/>
  <c r="BM306" i="10"/>
  <c r="BM237" i="10"/>
  <c r="BM248" i="10"/>
  <c r="Z183" i="10"/>
  <c r="Z108" i="10"/>
  <c r="BM7" i="10"/>
  <c r="BM138" i="10"/>
  <c r="BM54" i="10"/>
  <c r="Z18" i="10"/>
  <c r="Z153" i="10"/>
  <c r="BM614" i="10"/>
  <c r="BM597" i="10"/>
  <c r="BM739" i="10"/>
  <c r="BM650" i="10"/>
  <c r="BM670" i="10"/>
  <c r="BM661" i="10"/>
  <c r="BM469" i="10"/>
  <c r="BM327" i="10"/>
  <c r="BM207" i="10"/>
  <c r="Z75" i="10"/>
  <c r="BM29" i="10"/>
  <c r="BM109" i="10"/>
  <c r="Z96" i="10"/>
  <c r="BM511" i="10"/>
  <c r="BM691" i="10"/>
  <c r="BM623" i="10"/>
  <c r="Z254" i="10"/>
  <c r="BM238" i="10"/>
  <c r="Z260" i="10"/>
  <c r="Z87" i="10"/>
  <c r="Z12" i="10"/>
  <c r="BM533" i="10"/>
  <c r="Z138" i="10"/>
  <c r="BM318" i="10"/>
  <c r="BM305" i="10"/>
  <c r="BM456" i="10"/>
  <c r="BM523" i="10"/>
  <c r="BM678" i="10"/>
  <c r="BM236" i="10"/>
  <c r="Z242" i="10"/>
  <c r="BM203" i="10"/>
  <c r="BM165" i="10"/>
  <c r="BM70" i="10"/>
  <c r="BM60" i="10"/>
  <c r="Z72" i="10"/>
  <c r="Z2" i="10"/>
  <c r="BM191" i="10"/>
  <c r="BM214" i="10"/>
  <c r="BM142" i="10"/>
  <c r="BM231" i="10"/>
  <c r="Z158" i="10"/>
  <c r="BM381" i="10"/>
  <c r="BM128" i="10"/>
  <c r="Z42" i="10"/>
  <c r="Z128" i="10"/>
  <c r="BM113" i="10"/>
  <c r="BM285" i="10"/>
  <c r="BM619" i="10"/>
  <c r="BM536" i="10"/>
  <c r="BM657" i="10"/>
  <c r="BM706" i="10"/>
  <c r="BM529" i="10"/>
  <c r="BM403" i="10"/>
  <c r="BM449" i="10"/>
  <c r="BM283" i="10"/>
  <c r="BM441" i="10"/>
  <c r="BM447" i="10"/>
  <c r="Z82" i="10"/>
  <c r="BM55" i="10"/>
  <c r="Z333" i="10"/>
  <c r="BM224" i="10"/>
  <c r="BM225" i="10"/>
  <c r="Z198" i="10"/>
  <c r="Z119" i="10"/>
  <c r="Z29" i="10"/>
  <c r="BM14" i="10"/>
  <c r="BM429" i="10"/>
  <c r="BM502" i="10"/>
  <c r="BM680" i="10"/>
  <c r="BM497" i="10"/>
  <c r="BM320" i="10"/>
  <c r="BM599" i="10"/>
  <c r="BM220" i="10"/>
  <c r="BM584" i="10"/>
  <c r="BM568" i="10"/>
  <c r="BM453" i="10"/>
  <c r="BM422" i="10"/>
  <c r="BM399" i="10"/>
  <c r="BM714" i="10"/>
  <c r="BM702" i="10"/>
  <c r="BM643" i="10"/>
  <c r="Z229" i="10"/>
  <c r="BM107" i="10"/>
  <c r="BM356" i="10"/>
  <c r="Z218" i="10"/>
  <c r="Z207" i="10"/>
  <c r="BM229" i="10"/>
  <c r="BM97" i="10"/>
  <c r="BM394" i="10"/>
  <c r="BM413" i="10"/>
  <c r="BM748" i="10"/>
  <c r="BM615" i="10"/>
  <c r="BM613" i="10"/>
  <c r="BM500" i="10"/>
  <c r="BM699" i="10"/>
  <c r="BM550" i="10"/>
  <c r="BM527" i="10"/>
  <c r="BM444" i="10"/>
  <c r="BM241" i="10"/>
  <c r="BM233" i="10"/>
  <c r="BM278" i="10"/>
  <c r="Z320" i="10"/>
  <c r="Z45" i="10"/>
  <c r="Z10" i="10"/>
  <c r="BM151" i="10"/>
  <c r="BM632" i="10"/>
  <c r="BM625" i="10"/>
  <c r="BM457" i="10"/>
  <c r="BM507" i="10"/>
  <c r="BM546" i="10"/>
  <c r="BM382" i="10"/>
  <c r="Z200" i="10"/>
  <c r="BM131" i="10"/>
  <c r="BM385" i="10"/>
  <c r="BM205" i="10"/>
  <c r="Z150" i="10"/>
  <c r="BM329" i="10"/>
  <c r="BM713" i="10"/>
  <c r="BM567" i="10"/>
  <c r="BM155" i="10"/>
  <c r="Z25" i="10"/>
  <c r="BM681" i="10"/>
  <c r="BM130" i="10"/>
  <c r="BM583" i="10"/>
  <c r="BM435" i="10"/>
  <c r="BM727" i="10"/>
  <c r="BM701" i="10"/>
  <c r="BM609" i="10"/>
  <c r="BM656" i="10"/>
  <c r="BM488" i="10"/>
  <c r="BM192" i="10"/>
  <c r="BM217" i="10"/>
  <c r="Z143" i="10"/>
  <c r="Z272" i="10"/>
  <c r="BM641" i="10"/>
  <c r="BM607" i="10"/>
  <c r="BM662" i="10"/>
  <c r="BM473" i="10"/>
  <c r="Z171" i="10"/>
  <c r="BM674" i="10"/>
  <c r="BM162" i="10"/>
  <c r="BM708" i="10"/>
  <c r="BM528" i="10"/>
  <c r="BM322" i="10"/>
  <c r="BM525" i="10"/>
  <c r="BM421" i="10"/>
  <c r="BM240" i="10"/>
  <c r="BM531" i="10"/>
  <c r="BM538" i="10"/>
  <c r="BM718" i="10"/>
  <c r="BM693" i="10"/>
  <c r="BM483" i="10"/>
  <c r="BM475" i="10"/>
  <c r="BM279" i="10"/>
  <c r="Z131" i="10"/>
  <c r="BM139" i="10"/>
  <c r="BM122" i="10"/>
  <c r="BM501" i="10"/>
  <c r="BM510" i="10"/>
  <c r="BM553" i="10"/>
  <c r="BM512" i="10"/>
  <c r="Z314" i="10"/>
  <c r="Z165" i="10"/>
</calcChain>
</file>

<file path=xl/sharedStrings.xml><?xml version="1.0" encoding="utf-8"?>
<sst xmlns="http://schemas.openxmlformats.org/spreadsheetml/2006/main" count="2330" uniqueCount="795">
  <si>
    <t>Name of the Nucleophile</t>
  </si>
  <si>
    <t>N</t>
  </si>
  <si>
    <t>Toluene</t>
  </si>
  <si>
    <t>2-Chloroprop-1-ene</t>
  </si>
  <si>
    <t>m-Xylene</t>
  </si>
  <si>
    <t>Hex-1-ene</t>
  </si>
  <si>
    <t>(E)-but-2-ene</t>
  </si>
  <si>
    <t>(Z)-but-2-ene</t>
  </si>
  <si>
    <t>Cyclopentene</t>
  </si>
  <si>
    <t>Anisole</t>
  </si>
  <si>
    <t>Thiophene</t>
  </si>
  <si>
    <t>Buta-1,3-diene</t>
  </si>
  <si>
    <t>Allylchlorodimethylsilane</t>
  </si>
  <si>
    <t>(1Z,3Z)-cycloocta-1,3-diene</t>
  </si>
  <si>
    <t>(E)-prop-1-en-1-ylbenzene</t>
  </si>
  <si>
    <t>Allyltriphenylsilane</t>
  </si>
  <si>
    <t>1-Methylcyclohex-1-ene</t>
  </si>
  <si>
    <t>(2-Methylallyl)benzene</t>
  </si>
  <si>
    <t>2-Methylbut-2-ene</t>
  </si>
  <si>
    <t>(Z)-Penta-1,3-diene</t>
  </si>
  <si>
    <t>Cyclohexa-1,3-diene</t>
  </si>
  <si>
    <t>Styrene</t>
  </si>
  <si>
    <t>2-Methylpent-1-ene</t>
  </si>
  <si>
    <t>Isoprene</t>
  </si>
  <si>
    <t>2-Methylprop-1-ene</t>
  </si>
  <si>
    <t>(2E,4E)-hexa-2,4-diene</t>
  </si>
  <si>
    <t>2,3-Dimethylbuta-1,3-diene</t>
  </si>
  <si>
    <t>1-Methylcyclopent-1-ene</t>
  </si>
  <si>
    <t>Furan</t>
  </si>
  <si>
    <t>2-Methylthiophene</t>
  </si>
  <si>
    <t>(E)-penta-1,3-diene</t>
  </si>
  <si>
    <t>Allyltrimethylsilane</t>
  </si>
  <si>
    <t>Cyclopenta-1,3-diene</t>
  </si>
  <si>
    <t>1,3-Dimethoxybenzene</t>
  </si>
  <si>
    <t>4-Methylpenta-1,3-diene</t>
  </si>
  <si>
    <t>Methylenecyclopentane</t>
  </si>
  <si>
    <t>(E)-2-methylpenta-1,3-diene</t>
  </si>
  <si>
    <t>Dimethyl(phenyl)silane</t>
  </si>
  <si>
    <t>Triethylsilane</t>
  </si>
  <si>
    <t>Tributylsilane</t>
  </si>
  <si>
    <t>(3,3,4,4,5,5,6,6,7,7,7-undecafluoro)-2-(trimethylsiloxy)hept-1-ene</t>
  </si>
  <si>
    <t>Propene</t>
  </si>
  <si>
    <t>3,3,3-Trifluoro-2-(trimethylsiloxy)propene</t>
  </si>
  <si>
    <t>2-(Trimethylsilyl)propene</t>
  </si>
  <si>
    <t>Alpha-(trimethylsilyl)styrene</t>
  </si>
  <si>
    <t>(Z)-phenylpropene</t>
  </si>
  <si>
    <t>Tetramethylethylene</t>
  </si>
  <si>
    <t>2-(Trimethylsilyl)thiophene</t>
  </si>
  <si>
    <t>1-(p-Tolyl)-1-(trimethylsilyl)ethene</t>
  </si>
  <si>
    <t>4,4,5,5-tetramethyl-2-prop-2-enyl-1,3,2-dioxaborolane</t>
  </si>
  <si>
    <t>(2-Methylallyl)trichlorosilane</t>
  </si>
  <si>
    <t>Methylenecyclopropane</t>
  </si>
  <si>
    <t>Beta-(trimethylsilyl)styrene</t>
  </si>
  <si>
    <t>Diethyl diazomalonate</t>
  </si>
  <si>
    <t>2-(Pentamethyldisilyl)propene</t>
  </si>
  <si>
    <t>Norbornene</t>
  </si>
  <si>
    <t xml:space="preserve">1H-Inden-1-yl)trimethylsilane </t>
  </si>
  <si>
    <t>Phenylacetylene</t>
  </si>
  <si>
    <t>2,3,3-Trimethyl-but-1-ene</t>
  </si>
  <si>
    <t>Cyclohepta-1,3-diene</t>
  </si>
  <si>
    <t>3-Methylanisole</t>
  </si>
  <si>
    <t>2,4-Dimethyl-penta-1,4-diene</t>
  </si>
  <si>
    <t>2-(Tris(pentafluorophenyl)siloxy)-propene</t>
  </si>
  <si>
    <t>2,3-dimethyl-but-1-ene</t>
  </si>
  <si>
    <t>2,4,6-Trimethylstyrene</t>
  </si>
  <si>
    <t>2,4,4-Trimethyl-pent-1-ene</t>
  </si>
  <si>
    <t>Trimethyl(prenyl)silane</t>
  </si>
  <si>
    <t>2-Methyl-but-1-ene</t>
  </si>
  <si>
    <t>2,5-Dimethyl-hexa-1,5-diene</t>
  </si>
  <si>
    <t>Methylenecyclohexane</t>
  </si>
  <si>
    <t>1-(perfluorophenyl)-1-(trimethylsiloxy)ethene</t>
  </si>
  <si>
    <t>Methylenecyclododecane</t>
  </si>
  <si>
    <t>2,7-Dimethylocta-1,7-diene</t>
  </si>
  <si>
    <t>Methylenecyclobutane</t>
  </si>
  <si>
    <t>Tert-butyl indole-1-carboxylate</t>
  </si>
  <si>
    <t>Methylenecyclopentadecane</t>
  </si>
  <si>
    <t>2,6-Dimethyl-hepta-1,6-diene</t>
  </si>
  <si>
    <t>(Z)-But-2-enyltrimethylsilane</t>
  </si>
  <si>
    <t>1-Methyl-4-vinyl-benzene</t>
  </si>
  <si>
    <t>3-(Trimethylsilyl)cyclopentene</t>
  </si>
  <si>
    <t>Allyl-tert.butyl-dimethylsilane</t>
  </si>
  <si>
    <t>(5-Methyl-furan-2-yl) MIDA boronate</t>
  </si>
  <si>
    <t>Allyltriethylsilane</t>
  </si>
  <si>
    <t>(E)-but-2-enyltrimethylsilane</t>
  </si>
  <si>
    <t>Allyltris(trimethylsilyl)silane</t>
  </si>
  <si>
    <t>3-(Trihexylsilyl)cyclopentene</t>
  </si>
  <si>
    <t>Allyltriisopropylsilane</t>
  </si>
  <si>
    <t>Allyltri-n-butylsilane</t>
  </si>
  <si>
    <t>Allyltrihexylsilane</t>
  </si>
  <si>
    <t>2-(Trimethylsilyl)furan</t>
  </si>
  <si>
    <t>2-(Triethylsilyl)furan</t>
  </si>
  <si>
    <t>Methylenecycloheptane</t>
  </si>
  <si>
    <t>Methylenecycloundecane</t>
  </si>
  <si>
    <t>Alpha-methylstyrene</t>
  </si>
  <si>
    <t>2-(Tributylsilyl)furan</t>
  </si>
  <si>
    <t>Methylenecyclononane</t>
  </si>
  <si>
    <t>2-Cyclopropylpropene</t>
  </si>
  <si>
    <t xml:space="preserve">Tri-p-tolylmethane </t>
  </si>
  <si>
    <t>Solvent</t>
  </si>
  <si>
    <t>MeCN</t>
  </si>
  <si>
    <t xml:space="preserve">Bis(4-methoxyphenyl)phenylmethane </t>
  </si>
  <si>
    <t>Tetraethylsilane</t>
  </si>
  <si>
    <t>(2,2-Diphenylethyl)diethyl(methyl)silane</t>
  </si>
  <si>
    <t>Dichloromethane</t>
  </si>
  <si>
    <t>Butyltrimethylsilane</t>
  </si>
  <si>
    <t>1,3-Bis(trimethylsilyl)propane</t>
  </si>
  <si>
    <t xml:space="preserve">Tris(4-methoxyphenyl)methane </t>
  </si>
  <si>
    <t>Diethylether</t>
  </si>
  <si>
    <t>Dimethoxymethane</t>
  </si>
  <si>
    <t>Trimethyl(3-(trimethylgermyl)propyl)silane</t>
  </si>
  <si>
    <t>1,6-Bis(trimethylsilyl)hexane</t>
  </si>
  <si>
    <t xml:space="preserve">Tetraethylgermane </t>
  </si>
  <si>
    <t>Triphenylmethane</t>
  </si>
  <si>
    <t xml:space="preserve">Bis(4-(dimethylamino)phenyl)phenylmethane </t>
  </si>
  <si>
    <t>Allylbenzene</t>
  </si>
  <si>
    <t>2-Isopropyl-4,5-dimethyl-1,3-dioxolane (ani)</t>
  </si>
  <si>
    <t>1,1-Dimethylsilolane</t>
  </si>
  <si>
    <t>1,3-Dioxepane</t>
  </si>
  <si>
    <t xml:space="preserve">Tetrahydrofuran </t>
  </si>
  <si>
    <t>2-Isopropyl-4,5-dimethyl-1,3-dioxolane (syn)</t>
  </si>
  <si>
    <t>Trimethyl(phenethyl)silane</t>
  </si>
  <si>
    <t>2-Methyl-1,3-dioxolane</t>
  </si>
  <si>
    <t>Tris(4-(dimethylamino)phenyl)methane</t>
  </si>
  <si>
    <t xml:space="preserve">1,2-Dihydronaphthalene </t>
  </si>
  <si>
    <t>Dichloro(methyl)silane</t>
  </si>
  <si>
    <t>3-Methyl-1,4-pentadiene</t>
  </si>
  <si>
    <t>2,4,5-Trimethyl-1,3-dioxolane (anti)</t>
  </si>
  <si>
    <t>1,4-Pentadiene</t>
  </si>
  <si>
    <t>2-Ethyl-4,5-dimethyl-1,3-dioxolane (anti)</t>
  </si>
  <si>
    <t>1,3-Dioxolane</t>
  </si>
  <si>
    <t>p-Cymene</t>
  </si>
  <si>
    <t xml:space="preserve">Isopropanol </t>
  </si>
  <si>
    <t>4,5-Dimethyl-2-vinyl-1,3-dioxolane</t>
  </si>
  <si>
    <t>2,4,5-Trimethyl-1,3-dioxolane (syn)</t>
  </si>
  <si>
    <t>1,4-dihydronaphthalene</t>
  </si>
  <si>
    <t>1,1-Dimethylsilinane</t>
  </si>
  <si>
    <t>4,5-Dimethyl-1,3-dioxolane (anti)</t>
  </si>
  <si>
    <t>2-Ethyl-4,5-dimethyl-1,3-dioxolane (syn)</t>
  </si>
  <si>
    <t>1,1-Dimethylsiletane</t>
  </si>
  <si>
    <t>Bis(4-methoxyphenyl)methane</t>
  </si>
  <si>
    <t>Triethoxysilane</t>
  </si>
  <si>
    <t>2-Propyl-1,3-dioxolane</t>
  </si>
  <si>
    <t>2-Phenyldioxolane</t>
  </si>
  <si>
    <t>3-Propylcyclopentene</t>
  </si>
  <si>
    <t>9,10-Dihydroanthracene</t>
  </si>
  <si>
    <t>(E,E)-2,5-heptadiene</t>
  </si>
  <si>
    <t>4-Methyl-2,5-heptadiene</t>
  </si>
  <si>
    <t>1,4-Dihydronaphthalene</t>
  </si>
  <si>
    <t>Phenylsilane</t>
  </si>
  <si>
    <t>1,4-Cyclohexadiene</t>
  </si>
  <si>
    <t>Hexylsilane</t>
  </si>
  <si>
    <t xml:space="preserve">1,4-Cyclohexadiene </t>
  </si>
  <si>
    <t>Cycloheptatriene</t>
  </si>
  <si>
    <t xml:space="preserve">Cycloheptatriene </t>
  </si>
  <si>
    <t>Xanthene</t>
  </si>
  <si>
    <t>Chlorodimethylsilane</t>
  </si>
  <si>
    <t>(Chloromethyl)dimethylsilane</t>
  </si>
  <si>
    <t>Methyl(neopentyl)(phenyl)silane</t>
  </si>
  <si>
    <t>(3-Chlorobenzyl)dimethylsilane</t>
  </si>
  <si>
    <t>Diphenylsilane</t>
  </si>
  <si>
    <t>1,4-Dimethylcyclohexa-1,4-diene</t>
  </si>
  <si>
    <t>Methyl(phenyl)silane</t>
  </si>
  <si>
    <t>1-Methylsilolane</t>
  </si>
  <si>
    <t>Dihexylsilane</t>
  </si>
  <si>
    <t>1-Methylsiletane</t>
  </si>
  <si>
    <t>Dimethyl(propoxy)silane</t>
  </si>
  <si>
    <t>Methyldiphenylsilane</t>
  </si>
  <si>
    <t>Benzyldimethylsilane</t>
  </si>
  <si>
    <t>(4-Chlorophenyl)dimethylsilane</t>
  </si>
  <si>
    <t>1,1,1,3,3-Pentamethyldisiloxane</t>
  </si>
  <si>
    <t>Trimethylsilane</t>
  </si>
  <si>
    <t>Ethyldimethylsilane</t>
  </si>
  <si>
    <t>Diethyl(methyl)silane</t>
  </si>
  <si>
    <t>Tris((dimethyl(phenyl)silyl)methyl)silane</t>
  </si>
  <si>
    <t>Dimethyl(neopentyl)silane</t>
  </si>
  <si>
    <t>Tris((trimethylsilyl)methyl)silane</t>
  </si>
  <si>
    <t>Tripropylsilane</t>
  </si>
  <si>
    <t>Tris((butyldimethylsilyl)methyl)silane</t>
  </si>
  <si>
    <t>Trihexylsilane</t>
  </si>
  <si>
    <t>10-Methyl-9,10-dihydroacridine</t>
  </si>
  <si>
    <t>1,2,4,5-Tetramethylcyclohexa-1,4-diene</t>
  </si>
  <si>
    <t>((Dimethylsilyl)methyl)trimethylsilane</t>
  </si>
  <si>
    <t>1,3,5-Trimethylcyclohexa-1,4-diene</t>
  </si>
  <si>
    <t>5-(4-(Methoxy)benzyl)-2,2-dimethyl-4,6-dioxo-1,3-dioxan-5-ide</t>
  </si>
  <si>
    <t>5-(4-(Dimethylamino)benzyl)-2,2-dimethyl-4,6-dioxo-1,3-dioxan-5-ide</t>
  </si>
  <si>
    <t>Bromoborane-triethylamine-complex</t>
  </si>
  <si>
    <t>N-phenyl-1,4-dihydronicotineamide</t>
  </si>
  <si>
    <t>N-(p-tolyl)-1,4-dihydronicotineamide</t>
  </si>
  <si>
    <t>Borane-trimethylamine-complex</t>
  </si>
  <si>
    <t>2-(4-Nitrophenyl)-1,3-dimethyl-benzimidazoline</t>
  </si>
  <si>
    <t>Borane-N,N-diethylaniline-complex</t>
  </si>
  <si>
    <t>N-benzyl-1,4-dihydronicotineamide</t>
  </si>
  <si>
    <t>2-(4-(Trifluoromethyl)phenyl)-1,3-dimethyl-benzimidazoline</t>
  </si>
  <si>
    <t>Borane-N,N-diisopropylaniline-complex</t>
  </si>
  <si>
    <t>Borane-triethylamine-complex</t>
  </si>
  <si>
    <t>Borane-N-ethyl-N-isopropylaniline-complex</t>
  </si>
  <si>
    <t>2-(3-Chlorophenyl)-1,3-dimethyl-benzimidazoline</t>
  </si>
  <si>
    <t>2-Phenyl-1,3-dimethyl-benzimidazoline</t>
  </si>
  <si>
    <t>Borane-pyridine-complex</t>
  </si>
  <si>
    <t>Water</t>
  </si>
  <si>
    <t>DMSO</t>
  </si>
  <si>
    <t>Borane-2,6-lutidine-complex</t>
  </si>
  <si>
    <t>Borane-4-tBu-pyridine-complex</t>
  </si>
  <si>
    <t xml:space="preserve">Tetrahydroborate ion </t>
  </si>
  <si>
    <t>Sulphite ion</t>
  </si>
  <si>
    <t>Thiocyanate ion</t>
  </si>
  <si>
    <t xml:space="preserve">O-isopropyl dithiocarbonate </t>
  </si>
  <si>
    <t xml:space="preserve">O-ethyl dithiocarbonate </t>
  </si>
  <si>
    <t xml:space="preserve">Phenylsulfinate </t>
  </si>
  <si>
    <t>Phenylsulfinate</t>
  </si>
  <si>
    <t xml:space="preserve">N,N-dimethyl dithiocarbamate </t>
  </si>
  <si>
    <t>Thioacetate</t>
  </si>
  <si>
    <t xml:space="preserve">Morpholin-1-yl dithiocarbamate </t>
  </si>
  <si>
    <t>Pyrrolidin-1-yl dithiocarbamate</t>
  </si>
  <si>
    <t xml:space="preserve">2-Sulfidoacetate </t>
  </si>
  <si>
    <t>Cysteine (dianionic)</t>
  </si>
  <si>
    <t>4-Methylpiperazin-1-yl dithiocarbamate</t>
  </si>
  <si>
    <t>Piperidin-1-yl dithiocarbamate (in MeCN)</t>
  </si>
  <si>
    <t>THF</t>
  </si>
  <si>
    <t>Trifluoroethanol</t>
  </si>
  <si>
    <t>Ethanol</t>
  </si>
  <si>
    <t xml:space="preserve">1-Methyl-benzotriazole </t>
  </si>
  <si>
    <t xml:space="preserve">1-Phenyl-N-(phenylmethyl)methanimine </t>
  </si>
  <si>
    <t xml:space="preserve">1-Methyl uracil anion </t>
  </si>
  <si>
    <t xml:space="preserve">N-methyl-1-phenylmethanimine </t>
  </si>
  <si>
    <t xml:space="preserve">N-phenylcyclohexanimine </t>
  </si>
  <si>
    <t xml:space="preserve">2-Methyl-imidazole </t>
  </si>
  <si>
    <t xml:space="preserve">Ammonia </t>
  </si>
  <si>
    <t xml:space="preserve">N-phenylpropan-2-imine </t>
  </si>
  <si>
    <t xml:space="preserve">Imidazole </t>
  </si>
  <si>
    <t xml:space="preserve">2-Methyl-4,5-dihydro-1,3-oxazole </t>
  </si>
  <si>
    <t xml:space="preserve">1-Methyl-imidazole </t>
  </si>
  <si>
    <t>2-Methyl-benzimidazole</t>
  </si>
  <si>
    <t xml:space="preserve">1-(2-Methyl-4,5-dihydro-1H-imidazol-1-yl)ethanone </t>
  </si>
  <si>
    <t xml:space="preserve">Theophylline anion </t>
  </si>
  <si>
    <t xml:space="preserve">2,2,2-Trifluoroethylamine </t>
  </si>
  <si>
    <t xml:space="preserve">2-Methyl-4,5-dihydrothiazole </t>
  </si>
  <si>
    <t xml:space="preserve">2,5-Dimethyl-benzimidazole </t>
  </si>
  <si>
    <t xml:space="preserve">Formohydrazide </t>
  </si>
  <si>
    <t xml:space="preserve">1-Methyl-benzimidazole </t>
  </si>
  <si>
    <t>Nicotine</t>
  </si>
  <si>
    <t xml:space="preserve">tert-Butylamine </t>
  </si>
  <si>
    <t xml:space="preserve">4-Chloropyridine </t>
  </si>
  <si>
    <t xml:space="preserve">Benzimidazole </t>
  </si>
  <si>
    <t xml:space="preserve">5-Methyl-benzimidazole </t>
  </si>
  <si>
    <t xml:space="preserve">Uracil anion </t>
  </si>
  <si>
    <t xml:space="preserve">9-Methyl guanine anion </t>
  </si>
  <si>
    <t xml:space="preserve">Saccharin anion </t>
  </si>
  <si>
    <t xml:space="preserve">Glycinenitrile </t>
  </si>
  <si>
    <t xml:space="preserve">6-Methoxy-quinoline </t>
  </si>
  <si>
    <t>3-Methylpyridine</t>
  </si>
  <si>
    <t xml:space="preserve">Adenine anion </t>
  </si>
  <si>
    <t xml:space="preserve">5-Methoxy-benzimidazole </t>
  </si>
  <si>
    <t xml:space="preserve">Purine anion </t>
  </si>
  <si>
    <t xml:space="preserve">Semicarbazide </t>
  </si>
  <si>
    <t xml:space="preserve">Pyridine </t>
  </si>
  <si>
    <t xml:space="preserve">2-Formyl-imidazole anion </t>
  </si>
  <si>
    <t xml:space="preserve">5,6-Dimethyl-benzimidazole </t>
  </si>
  <si>
    <t xml:space="preserve">4-Methylpyridine </t>
  </si>
  <si>
    <t xml:space="preserve">4-Amino-3,5-dibromo-pyridine </t>
  </si>
  <si>
    <t>N-(phenylmethyl)propan-2-imine (in CH2Cl2)</t>
  </si>
  <si>
    <t xml:space="preserve">Thymine anion </t>
  </si>
  <si>
    <t xml:space="preserve">1-Phenyl-imidazole </t>
  </si>
  <si>
    <t xml:space="preserve">4-Nitro-imidazole anion </t>
  </si>
  <si>
    <t xml:space="preserve">tert-Butyl hydrazinecarboxylate </t>
  </si>
  <si>
    <t>Hydroxylamine</t>
  </si>
  <si>
    <t xml:space="preserve">1-(Trimethylsilyl)-imidazole </t>
  </si>
  <si>
    <t>4-Methoxypyridine</t>
  </si>
  <si>
    <t xml:space="preserve">3-Methylpyridine </t>
  </si>
  <si>
    <t xml:space="preserve">2,4-Dimethyl-imidazole </t>
  </si>
  <si>
    <t xml:space="preserve">Benzotriazole anion </t>
  </si>
  <si>
    <t xml:space="preserve">4-Methyl-quinoline </t>
  </si>
  <si>
    <t xml:space="preserve">Guanine anion </t>
  </si>
  <si>
    <t>1,1-dimethylhydrazine (in MeCN)</t>
  </si>
  <si>
    <t xml:space="preserve">1,1-Dimethylhydrazine </t>
  </si>
  <si>
    <t xml:space="preserve">4-Methyl-imidazole </t>
  </si>
  <si>
    <t xml:space="preserve">Isopropylamine </t>
  </si>
  <si>
    <t xml:space="preserve">Methyl glycinate </t>
  </si>
  <si>
    <t xml:space="preserve">Guanosine anion </t>
  </si>
  <si>
    <t xml:space="preserve">Thiocyanate </t>
  </si>
  <si>
    <t xml:space="preserve">4-Aminopyridine </t>
  </si>
  <si>
    <t>Glycylglycylglycine (anionic)</t>
  </si>
  <si>
    <t xml:space="preserve">Propargylamine </t>
  </si>
  <si>
    <t xml:space="preserve">Glycineamide </t>
  </si>
  <si>
    <t xml:space="preserve">2-Phenyl-4,5-dihydro-1H-imidazole </t>
  </si>
  <si>
    <t xml:space="preserve">4-Pyrrolidinopyridine </t>
  </si>
  <si>
    <t>trimethylhydrazine (in MeCN)</t>
  </si>
  <si>
    <t xml:space="preserve">Trimethylhydrazine </t>
  </si>
  <si>
    <t>1,3-Dimethylimidazolidin-2-imine</t>
  </si>
  <si>
    <t>2-Pyridone anion</t>
  </si>
  <si>
    <t xml:space="preserve">Benzohydrazide </t>
  </si>
  <si>
    <t xml:space="preserve">Ethanolamine </t>
  </si>
  <si>
    <t xml:space="preserve">Aniline </t>
  </si>
  <si>
    <t>Threonine (anionic)</t>
  </si>
  <si>
    <t xml:space="preserve">Hydroxylamine </t>
  </si>
  <si>
    <t xml:space="preserve">Ethylamine </t>
  </si>
  <si>
    <t>Glycylglycine (anionic)</t>
  </si>
  <si>
    <t xml:space="preserve">4-Chloroaniline </t>
  </si>
  <si>
    <t xml:space="preserve">2-Methyl-4,5-dihydro-1H-imidazole </t>
  </si>
  <si>
    <t>(R)-2-(tert-Butyl)-3,4-dihydro-2H-benzo[4,5]thiazolo[3,2-a]pyrimidine</t>
  </si>
  <si>
    <t>Arginine (betaine)</t>
  </si>
  <si>
    <t>2,3,5,6-Tetrahydroimidazo[2,1-b]thiazole</t>
  </si>
  <si>
    <t xml:space="preserve">3-Bromo-4-(dimethylamino)pyridine </t>
  </si>
  <si>
    <t xml:space="preserve">p-Toluidine </t>
  </si>
  <si>
    <t xml:space="preserve">Diethanolamine </t>
  </si>
  <si>
    <t>3,5,6,7-Tetrahydro-2H-imidazo[2,1-b][1,3]thiazine</t>
  </si>
  <si>
    <t>Alanine (anionic)</t>
  </si>
  <si>
    <t>Asparagine (anionic)</t>
  </si>
  <si>
    <t xml:space="preserve">1-Benzyl-2-phenyl-4,5-dihydro-1H-imidazole </t>
  </si>
  <si>
    <t xml:space="preserve">2-Methyl-4,5-dihydro-3H-pyrrole </t>
  </si>
  <si>
    <t>Serine (anionic)</t>
  </si>
  <si>
    <t>Methionine (anionic)</t>
  </si>
  <si>
    <t xml:space="preserve">4-(Dimethylamino)pyridine </t>
  </si>
  <si>
    <t xml:space="preserve">Allylamine </t>
  </si>
  <si>
    <t>Di(methoxyethyl)amine</t>
  </si>
  <si>
    <t xml:space="preserve">4-Acetamido-pyridine </t>
  </si>
  <si>
    <t>Beta-alanine (anionic)</t>
  </si>
  <si>
    <t xml:space="preserve">Ethylenediamine </t>
  </si>
  <si>
    <t xml:space="preserve">n-Propylamine </t>
  </si>
  <si>
    <t xml:space="preserve">2-Phenylethylamine </t>
  </si>
  <si>
    <t xml:space="preserve">4-Methoxyaniline </t>
  </si>
  <si>
    <t>2,3-Dihydrobenzo[d]imidazo[2,1-b]thiazole</t>
  </si>
  <si>
    <t xml:space="preserve">Benzylamine </t>
  </si>
  <si>
    <t>Glutamine (anionic)</t>
  </si>
  <si>
    <t>(S)-2-Phenyl-3,4-dihydro-2H-benzo[4,5]thiazolo[3,2-a]pyrimidine</t>
  </si>
  <si>
    <t xml:space="preserve">Hydrazine </t>
  </si>
  <si>
    <t xml:space="preserve">N-methyl-glycinenitrile </t>
  </si>
  <si>
    <t>Glycine (anionic)</t>
  </si>
  <si>
    <t>Gamma-aminobutyric acid (anionic)</t>
  </si>
  <si>
    <t>1,1,3,3-Tetramethylguanidine</t>
  </si>
  <si>
    <t>Cyanate</t>
  </si>
  <si>
    <t>Valine (anionic)</t>
  </si>
  <si>
    <t xml:space="preserve">4-Methoxypyridine </t>
  </si>
  <si>
    <t>Aspartate (dianionic)</t>
  </si>
  <si>
    <t>Histidine (anionic)</t>
  </si>
  <si>
    <t xml:space="preserve">Methylamine </t>
  </si>
  <si>
    <t>DHPB (3,4-dihydro-2H-benzo[4,5]thiazolo[3,2-a]pyrimidine)</t>
  </si>
  <si>
    <t>Glutamate (dianionic)</t>
  </si>
  <si>
    <t>N-(1,3-dimethylimidazolidin-2-ylidene)-1-phenylmethanamine</t>
  </si>
  <si>
    <t>Leucine (anionic)</t>
  </si>
  <si>
    <t xml:space="preserve">1,3-Diaminopropane </t>
  </si>
  <si>
    <t>2,3,4,6,7,8-Hexahydropyrimido[2,1-b][1,3]thiazine</t>
  </si>
  <si>
    <t xml:space="preserve">N-methylhydroxylamine </t>
  </si>
  <si>
    <t>Phenylalanine (anionic)</t>
  </si>
  <si>
    <t xml:space="preserve">2-Bz super-dmap </t>
  </si>
  <si>
    <t xml:space="preserve">Ethyl glycinate </t>
  </si>
  <si>
    <t>2-Benzyl-1,1,3,3-tetramethylguanidine</t>
  </si>
  <si>
    <t xml:space="preserve">2-Aminobutan-1-ol </t>
  </si>
  <si>
    <t xml:space="preserve">2-Methyl-1,4,5,6-tetrahydropyrimidine </t>
  </si>
  <si>
    <t>1-Methyl-2,3,4,6,7,8-hexahydro-1H-pyrimido[1,2-a]pyrimidine (MeTBD)</t>
  </si>
  <si>
    <t>2,3,5,6-Tetrahydro-1H-imidazo[1,2-a]imidazole (TBO)</t>
  </si>
  <si>
    <t>THTP (3,5,6,7-tetrahydro-2H-thiazolo[3,2-a]pyrimidine)</t>
  </si>
  <si>
    <t xml:space="preserve">Dipropylamine </t>
  </si>
  <si>
    <t>4-(2-(Fluorodiphenylmethyl)pyrrolidin-1-yl)pyridine</t>
  </si>
  <si>
    <t xml:space="preserve">4-(Morpholino)pyridine </t>
  </si>
  <si>
    <t xml:space="preserve">2-Phenyl-1,4,5,6-tetrahydropyrimidine </t>
  </si>
  <si>
    <t xml:space="preserve">Diethylamine </t>
  </si>
  <si>
    <t xml:space="preserve">4-Pyridone anion </t>
  </si>
  <si>
    <t>Theophylline anion</t>
  </si>
  <si>
    <t xml:space="preserve">Maleimide anion </t>
  </si>
  <si>
    <t>DMF</t>
  </si>
  <si>
    <t>(2S,3S)-3-Isopropyl-2-phenyl-3,4-dihydro-2H-benzo[4,5]thiazolo[3,2-a]pyrimidine</t>
  </si>
  <si>
    <t>n-Propylamine</t>
  </si>
  <si>
    <t>Methylamine</t>
  </si>
  <si>
    <t xml:space="preserve">n-Butylamine </t>
  </si>
  <si>
    <t xml:space="preserve">DBU </t>
  </si>
  <si>
    <t>(R)-2-Benzhydryl-3,4-dihydro-2H-benzo[4,5]thiazolo[3,2-a]pyrimidine</t>
  </si>
  <si>
    <t xml:space="preserve">2-Ac super-dmap </t>
  </si>
  <si>
    <t xml:space="preserve">1-Aminopropan-2-ol </t>
  </si>
  <si>
    <t>DBN (in CH2Cl2)</t>
  </si>
  <si>
    <t>N-methyl-trifluoroacetamide anion (in DMSO)</t>
  </si>
  <si>
    <t>4-(dimethylamino)pyridine (in CH2Cl2)</t>
  </si>
  <si>
    <t>trifluoroacetamide anion (in DMSO)</t>
  </si>
  <si>
    <t>4-pyrrolidinopyridine (in CH2Cl2)</t>
  </si>
  <si>
    <t>4-(dimethylamino)pyridine (in THF)</t>
  </si>
  <si>
    <t>ethyl N-acetylcarbamate anion (in DMSO)</t>
  </si>
  <si>
    <t>succinimide anion (in DMSO)</t>
  </si>
  <si>
    <t>diacetamide anion (in DMSO)</t>
  </si>
  <si>
    <t>2-formyl-imidazole anion (in DMSO)</t>
  </si>
  <si>
    <t>ethanolamine (in DMSO)</t>
  </si>
  <si>
    <t>DBU (in THF)</t>
  </si>
  <si>
    <t>1,2-dimethylhydrazine (in MeCN)</t>
  </si>
  <si>
    <t>1,2,3,5,6,7-hexahydroimidazo[1,2-a]pyrimidine (TBN)</t>
  </si>
  <si>
    <t>2,3,4,6,7,8-hexahydro-1H-pyrimido[1,2-a]pyrimidine</t>
  </si>
  <si>
    <t>DBN (in MeCN)</t>
  </si>
  <si>
    <t>benzotriazole anion (in DMSO)</t>
  </si>
  <si>
    <t>1-methyl uracil anion (in DMSO)</t>
  </si>
  <si>
    <t>4-formyl-imidazole anion (in DMSO)</t>
  </si>
  <si>
    <t>(R)-2-isopropyl-3,4-dihydro-2H-benzo[4,5]thiazolo[3,2-a]pyrimidine</t>
  </si>
  <si>
    <t>N-methyl-morpholine (in CH2Cl2)</t>
  </si>
  <si>
    <t>2-Me super-dmap (in MeCN)</t>
  </si>
  <si>
    <t>1-methyl-2-phenylpyrrolidine (in CH2Cl2)</t>
  </si>
  <si>
    <t>N-methyl-morpholine (in MeCN)</t>
  </si>
  <si>
    <t>2-Et super-dmap (in MeCN)</t>
  </si>
  <si>
    <t>morpholine (in DMSO)</t>
  </si>
  <si>
    <t>uracil anion (in DMSO)</t>
  </si>
  <si>
    <t>triethylamine (in MeCN)</t>
  </si>
  <si>
    <t>dimethylamine (in water)</t>
  </si>
  <si>
    <t>p-toluenesulfonamide anion (in DMSO)</t>
  </si>
  <si>
    <t>piperidine (in DMSO)</t>
  </si>
  <si>
    <t>nitrite ion (in MeCN)</t>
  </si>
  <si>
    <t>pyrrolidine (in water)</t>
  </si>
  <si>
    <t>piperazine (in water)</t>
  </si>
  <si>
    <t>methylhydrazine (in water)</t>
  </si>
  <si>
    <t>triethylamine (in CH2Cl2)</t>
  </si>
  <si>
    <t>piperidine (in MeCN)</t>
  </si>
  <si>
    <t>hydantoin anion (in DMSO)</t>
  </si>
  <si>
    <t>4,4-dimethyl-glutarimide anion (in DMSO)</t>
  </si>
  <si>
    <t>thymine anion (in DMSO)</t>
  </si>
  <si>
    <t>2-Bn super-dmap (in MeCN)</t>
  </si>
  <si>
    <t>methylhydrazine (in MeCN)</t>
  </si>
  <si>
    <t>N-methylenepyrrolidin-1-amine (in CH2Cl2)</t>
  </si>
  <si>
    <t>dimethylamine (in MeCN)</t>
  </si>
  <si>
    <t>adenine anion (in DMSO)</t>
  </si>
  <si>
    <t>proline (anionic, in water)</t>
  </si>
  <si>
    <t>piperidine (in water)</t>
  </si>
  <si>
    <t>perhydroazepine (in water)</t>
  </si>
  <si>
    <t>methanesulfonamide anion (in DMSO)</t>
  </si>
  <si>
    <t>pyrrolidine (in MeCN)</t>
  </si>
  <si>
    <t>N-methyl-piperidine (in MeCN)</t>
  </si>
  <si>
    <t>DABCO (in MeCN)</t>
  </si>
  <si>
    <t>N-methyl-piperidine (in CH2Cl2)</t>
  </si>
  <si>
    <t>4-pyridone anion (in DMSO)</t>
  </si>
  <si>
    <t>benzimidazole anion (in DMSO)</t>
  </si>
  <si>
    <t>1,1-dimethyl-2-methylenehydrazine (in CH2Cl2)</t>
  </si>
  <si>
    <t>2-pyridone anion (in DMSO)</t>
  </si>
  <si>
    <t>2-pyridone anion (in MeCN)</t>
  </si>
  <si>
    <t>4-pyridone anion (in MeCN)</t>
  </si>
  <si>
    <t>cyanamide anion (in DMSO)</t>
  </si>
  <si>
    <t>azide ion (in DMSO)</t>
  </si>
  <si>
    <t>quinuclidine (in MeCN)</t>
  </si>
  <si>
    <t>N-methyl-pyrrolidine (in MeCN)</t>
  </si>
  <si>
    <t>N-methyl-pyrrolidine (in CH2Cl2)</t>
  </si>
  <si>
    <t>2,4-dimethyl-imidazole anion (in DMSO)</t>
  </si>
  <si>
    <t>2-methyl-imidazole anion (in DMSO)</t>
  </si>
  <si>
    <t>imidazole anion (in DMSO)</t>
  </si>
  <si>
    <t>4-methyl-imidazole anion (in DMSO)</t>
  </si>
  <si>
    <t>1,3-oxazolidin-2-one anion (in DMSO)</t>
  </si>
  <si>
    <t>(S)-4-benzyl-1,3-oxazolidin-2-one anion (in DMSO)</t>
  </si>
  <si>
    <t>trimethylamine (in MeCN)</t>
  </si>
  <si>
    <t>Acetone</t>
  </si>
  <si>
    <t>Propan-2-ol</t>
  </si>
  <si>
    <t>Methanol</t>
  </si>
  <si>
    <t>Hydroxide</t>
  </si>
  <si>
    <t>Dimethyl Sulfoxide</t>
  </si>
  <si>
    <t>Benzoate</t>
  </si>
  <si>
    <t>Acetate</t>
  </si>
  <si>
    <t>2,2,2-Trifluoroethanolate</t>
  </si>
  <si>
    <t>Bromite</t>
  </si>
  <si>
    <t xml:space="preserve">Cumene peroxy anion </t>
  </si>
  <si>
    <t>Beta-piperidinium-peroxypropionate</t>
  </si>
  <si>
    <t>Peroxy-beta-alanate</t>
  </si>
  <si>
    <t xml:space="preserve">t-Butylperoxy anion </t>
  </si>
  <si>
    <t>p-Methylphenolate</t>
  </si>
  <si>
    <t xml:space="preserve">p-Nitrophenolate </t>
  </si>
  <si>
    <t>Peroxy-GABA</t>
  </si>
  <si>
    <t xml:space="preserve">Peroxomonosulfate </t>
  </si>
  <si>
    <t xml:space="preserve">Hypochlorite </t>
  </si>
  <si>
    <t xml:space="preserve">3,5-Dinitrobenzoate </t>
  </si>
  <si>
    <t xml:space="preserve">p-Nitrobenzoate </t>
  </si>
  <si>
    <t>Dioxidanide</t>
  </si>
  <si>
    <t>o-Nitrophenolate</t>
  </si>
  <si>
    <t xml:space="preserve">Methanolate </t>
  </si>
  <si>
    <t xml:space="preserve">Ethanolate </t>
  </si>
  <si>
    <t xml:space="preserve">o-Nitrophenolate </t>
  </si>
  <si>
    <t>Phthalimidoperoxyhexanoate</t>
  </si>
  <si>
    <t>Propanol</t>
  </si>
  <si>
    <t xml:space="preserve">n-Propanolate </t>
  </si>
  <si>
    <t>Methyl carbonate</t>
  </si>
  <si>
    <t xml:space="preserve">Hypobromite </t>
  </si>
  <si>
    <t xml:space="preserve">(Z)-2-Phenyl-1-(1,3,4-triphenyl-4H-1,2,4-triazol-1-ium-5-yl)prop-1-en-1-olate </t>
  </si>
  <si>
    <t xml:space="preserve">Benzoate </t>
  </si>
  <si>
    <t xml:space="preserve">Acetate </t>
  </si>
  <si>
    <t xml:space="preserve">Isopropanolate </t>
  </si>
  <si>
    <t>4-Nitroperoxybenzoate</t>
  </si>
  <si>
    <t>4-Methoxyperoxybenzoate</t>
  </si>
  <si>
    <t>p-Cyanophenolate</t>
  </si>
  <si>
    <t xml:space="preserve">3,5-Dichloroperoxybenzoate </t>
  </si>
  <si>
    <t xml:space="preserve">4-Fluoroperoxybenzoate </t>
  </si>
  <si>
    <t xml:space="preserve">3-Chloroperoxybenzoate </t>
  </si>
  <si>
    <t>p-Chlorophenolate</t>
  </si>
  <si>
    <t>o-(Trifluoromethyl)phenolate</t>
  </si>
  <si>
    <t xml:space="preserve">2-Carboperoxybenzoate </t>
  </si>
  <si>
    <t>Phenolate</t>
  </si>
  <si>
    <t xml:space="preserve">3-Chloro-4-methoxyperoxybenzoate </t>
  </si>
  <si>
    <t>Peroxybenzoate</t>
  </si>
  <si>
    <t>3,5-Dinitrobenzoate</t>
  </si>
  <si>
    <t>m-Methoxyphenolate</t>
  </si>
  <si>
    <t xml:space="preserve">Phenolate </t>
  </si>
  <si>
    <t xml:space="preserve">p-(Trifluoromethyl)phenolate </t>
  </si>
  <si>
    <t xml:space="preserve">p-Methylphenolate </t>
  </si>
  <si>
    <t xml:space="preserve">p-Chlorophenolate </t>
  </si>
  <si>
    <t>p-(tert-Butyl)phenolate</t>
  </si>
  <si>
    <t xml:space="preserve">p-Methoxyphenolate </t>
  </si>
  <si>
    <t xml:space="preserve">o-(Trifluoromethyl)phenolate </t>
  </si>
  <si>
    <t>p-Methoxyphenolate</t>
  </si>
  <si>
    <t>o,o'-di-tert-Butylphenolate</t>
  </si>
  <si>
    <t xml:space="preserve">m-Nitrophenolate </t>
  </si>
  <si>
    <t xml:space="preserve">p-(tert-Butyl)phenolate </t>
  </si>
  <si>
    <t>m-Nitrophenolate</t>
  </si>
  <si>
    <t>m-(Trifluoromethyl)phenolate</t>
  </si>
  <si>
    <t xml:space="preserve">m-(Trifluoromethyl)phenolate </t>
  </si>
  <si>
    <t>S-Nucleophile</t>
  </si>
  <si>
    <t>4-(Dimethylamino)pyridine (in MeCN)</t>
  </si>
  <si>
    <t>Diethanolamine (in DMSO)</t>
  </si>
  <si>
    <t>Phthalimide anion (in DMSO)</t>
  </si>
  <si>
    <t>Morpholine (in water)</t>
  </si>
  <si>
    <t>Morpholine (in MeCN)</t>
  </si>
  <si>
    <t>2-(Naphthylmethyl)quinuclidine (in MeCN)</t>
  </si>
  <si>
    <t>N',N'-Dimethylformohydrazide (in MeCN)</t>
  </si>
  <si>
    <t>1-Methyl-2-phenylpyrrolidine (in MeCN)</t>
  </si>
  <si>
    <t>n-Propylamine (in DMSO)</t>
  </si>
  <si>
    <t>Type Of Nucleophile</t>
  </si>
  <si>
    <t>O-Nucleophile</t>
  </si>
  <si>
    <t>N-Nucleophile</t>
  </si>
  <si>
    <t>methylenecyclodecane</t>
  </si>
  <si>
    <t>(5-methyl-furan-2-yl) pinacol boronate</t>
  </si>
  <si>
    <t>5-cyano-indole</t>
  </si>
  <si>
    <t>(Z)-1,2-diphenyl-1-(trimethylsiloxy)ethene (in MeCN)</t>
  </si>
  <si>
    <t>3-methoxythiophene</t>
  </si>
  <si>
    <t>N-(triisopropylsilyl)pyrrole</t>
  </si>
  <si>
    <t>1-(phenylethynyl)pyrrolidin-2-one</t>
  </si>
  <si>
    <t>(2,3-dimethylbut-2-enyl)triethylsilane</t>
  </si>
  <si>
    <t>(triisopropylsiloxy)ethene</t>
  </si>
  <si>
    <t>4-cyanophenyl isocyanide</t>
  </si>
  <si>
    <t>2-methylfuran</t>
  </si>
  <si>
    <t>n-butyl vinyl ether</t>
  </si>
  <si>
    <t>3,3-dimethyl-2-(trimethylsiloxy)buten</t>
  </si>
  <si>
    <t>7-azaindole</t>
  </si>
  <si>
    <t>6,6-dimethylfulvene</t>
  </si>
  <si>
    <t>2-methyl-1-(trimethylsiloxy)propen</t>
  </si>
  <si>
    <t>diazoacetone</t>
  </si>
  <si>
    <t>1H-indole-5-carboxylic acid</t>
  </si>
  <si>
    <t>(2-methylallyl)triphenylsilane</t>
  </si>
  <si>
    <t>isobutylenyl-ethylether</t>
  </si>
  <si>
    <t>2,3-dihydrofuran</t>
  </si>
  <si>
    <t>5-bromo-indole</t>
  </si>
  <si>
    <t>(2-methylallyl)trimethylsilane</t>
  </si>
  <si>
    <t>5-chloro-indole</t>
  </si>
  <si>
    <t>1,2-bis(trimethylsiloxy)cyclohexene</t>
  </si>
  <si>
    <t>2,6-dimethylphenyl isocyanide</t>
  </si>
  <si>
    <t>1-(trimethylsiloxy)buta-1,3-diene</t>
  </si>
  <si>
    <t>N-(3,3-dimethylbut-1-en-2-yl)acetamide</t>
  </si>
  <si>
    <t>pyrrole</t>
  </si>
  <si>
    <t>2-(trimethylsiloxy)buta-1,3-diene</t>
  </si>
  <si>
    <t>ethyl diazoacetate</t>
  </si>
  <si>
    <t>N-(3,4-dihydronaphthalen-1-yl)acetamide</t>
  </si>
  <si>
    <t>N-vinylcarbazole</t>
  </si>
  <si>
    <t>1-(trimethylsiloxy)-3,4-dihydronaphthalene (in MeCN)</t>
  </si>
  <si>
    <t>1-(tris(trimethylsilyl)siloxy)cyclohexene</t>
  </si>
  <si>
    <t>(Z)-1-phenyl-1-(trimethylsiloxy)propene (in MeCN)</t>
  </si>
  <si>
    <t>1-(trimethylsiloxy)cyclohexene</t>
  </si>
  <si>
    <t>diphenyldiazomethane</t>
  </si>
  <si>
    <t>2-(triisopropylsiloxy)propene</t>
  </si>
  <si>
    <t>2-phenyl-allyltrimethylsilane</t>
  </si>
  <si>
    <t>2-(trimethylsiloxy)propene</t>
  </si>
  <si>
    <t>3-methyl-2-(trimethylsiloxy)but-1-ene</t>
  </si>
  <si>
    <t>4-methoxy-indole</t>
  </si>
  <si>
    <t>Indole</t>
  </si>
  <si>
    <t>2-(tert.butyldimethylsiloxy)propene</t>
  </si>
  <si>
    <t>Z-3-(trimethylsiloxy)pent-2-ene</t>
  </si>
  <si>
    <t>N-(1-(4-chlorophenyl)vinyl)acetamide</t>
  </si>
  <si>
    <t>N-(cyclohex-1-en-1-yl)acetamide</t>
  </si>
  <si>
    <t>N-(1-phenylvinyl)acetamide</t>
  </si>
  <si>
    <t>N-methylindole</t>
  </si>
  <si>
    <t>1-(triphenylsiloxy)cyclopentene</t>
  </si>
  <si>
    <t>N-methylpyrrole</t>
  </si>
  <si>
    <t>5-methyl-indole</t>
  </si>
  <si>
    <t>2-(tris(trimethylsilyl)siloxy)propene</t>
  </si>
  <si>
    <t>5-chloro-2-methylindole</t>
  </si>
  <si>
    <t>benzyl (1-phenylvinyl)carbamate</t>
  </si>
  <si>
    <t>1-phenyl-1-(trimethylsiloxy)ethene</t>
  </si>
  <si>
    <t>5-methoxy-indole</t>
  </si>
  <si>
    <t>lithium (5-methylthiophen-2-yl)(4-(trifluoromethyl)phenyl)pinacolborate</t>
  </si>
  <si>
    <t>N-(1-(naphthalen-2-yl)vinyl)acetamide</t>
  </si>
  <si>
    <t>lithium 2-benzyl-2-(3,5-bis(trifluoromethyl)phenyl)-4,4,5,5-tetramethyl-1,3,2-dioxaborolan-2-uide</t>
  </si>
  <si>
    <t>1-(trimethylsiloxy)cyclopentene (in MeCN)</t>
  </si>
  <si>
    <t>5-hydroxy-indole</t>
  </si>
  <si>
    <t>potassium (1-(tert-butoxycarbonyl)-1H-indol-2-yl)trifluoroborate</t>
  </si>
  <si>
    <t>lithium (5-methylthiophen-2-yl)(4-(trifluoromethyl)phenyl)catecholglycolborate</t>
  </si>
  <si>
    <t>1,2-dimethylindole</t>
  </si>
  <si>
    <t>1-(trimethylsiloxy)cyclopentene</t>
  </si>
  <si>
    <t>N-(1-(p-tolyl)vinyl)acetamide</t>
  </si>
  <si>
    <t>6-(4-dimethylamino-phenyl)fulvene</t>
  </si>
  <si>
    <t>lithium (5-methylthiophen-2-yl)(4-chlorophenyl)pinacolborate</t>
  </si>
  <si>
    <t>potassium trifluoro(furan-3-yl)borate</t>
  </si>
  <si>
    <t>2-methylindole</t>
  </si>
  <si>
    <t>lithium (5-methylthiophen-2-yl)(4-methylphenyl)pinacolborate</t>
  </si>
  <si>
    <t>N-(1-(4-methoxyphenyl)vinyl)acetamide</t>
  </si>
  <si>
    <t>N-(cyclopent-1-en-1-yl)acetamide</t>
  </si>
  <si>
    <t>lithium 2-benzyl-4,4,5,5-tetramethyl-2-(4-(trifluoromethyl)phenyl)-1,3,2-dioxaborolan-2-uide (in MeCN)</t>
  </si>
  <si>
    <t>(p-nitrophenyl)diazomethane</t>
  </si>
  <si>
    <t>(S,E)-5-benzyl-2,2,3-trimethyl-1-styrylimidazolidin-4-one</t>
  </si>
  <si>
    <t>2-(trimethylsiloxy)furan</t>
  </si>
  <si>
    <t>5-amino-indole</t>
  </si>
  <si>
    <t>2,5-dimethylindole</t>
  </si>
  <si>
    <t>5-methoxy-2-methylindole</t>
  </si>
  <si>
    <t>potassium trifluoro(3-methoxy-thiophen-2-yl)borate</t>
  </si>
  <si>
    <t>(p-cyanophenyl)diazomethane</t>
  </si>
  <si>
    <t>6-(julolidin-9-yl)fulvene</t>
  </si>
  <si>
    <t>(S,E)-3-benzyl-1-methyl-4-styryl-1,4-diazaspiro[4.4]nonan-2-one</t>
  </si>
  <si>
    <t>N,N-Dimethylbarbituric acid iodonium ylide (in CHCl2)</t>
  </si>
  <si>
    <t>2,5-dimethylpyrrole</t>
  </si>
  <si>
    <t>lithium (5-methylfuran-2-yl)(4-(trifluoromethyl)phenyl)pinacolborate</t>
  </si>
  <si>
    <t>5-(tris(pentafluorophenyl)siloxy)-2,3-dihydrofuran</t>
  </si>
  <si>
    <t>1-phenoxy-1-(trimethylsiloxy)ethene</t>
  </si>
  <si>
    <t>ethyl (E)-3-(N-morpholino)acrylate</t>
  </si>
  <si>
    <t>1,2,5-trimethylpyrrole</t>
  </si>
  <si>
    <t>lithium 2-allyl-2-(3,5-bis(trifluoromethyl)phenyl)-4,4,5,5-tetramethyl-1,3,2-dioxaborolan-2-uide (in MeCN)</t>
  </si>
  <si>
    <t>(E)-4-(1,2-diphenylvinyl)morpholine (in MeCN)</t>
  </si>
  <si>
    <t>(p-bromophenyl)diazomethane</t>
  </si>
  <si>
    <t>lithium 2-benzyl-4,4,5,5-tetramethyl-2-phenyl-1,3,2-dioxaborolan-2-uide (in MeCN)</t>
  </si>
  <si>
    <t>(trimethylsilyl)diazomethane</t>
  </si>
  <si>
    <t>1-methoxy-2-methyl-1-(trimethylsiloxy)propene</t>
  </si>
  <si>
    <t>1-methoxy-2-methyl-1-(trimethylsiloxy)propene (in MeCN)</t>
  </si>
  <si>
    <t>ethyl (E)-3-(dimethylamino)acrylate</t>
  </si>
  <si>
    <t>phenyldiazomethane</t>
  </si>
  <si>
    <t>1,1-diethoxyethene</t>
  </si>
  <si>
    <t>(E)-1-(1,2-diphenylvinyl)piperidine (in MeCN)</t>
  </si>
  <si>
    <t>alpha-(N-morpholino)styrene</t>
  </si>
  <si>
    <t>morpholinoisobutylene</t>
  </si>
  <si>
    <t>lithium (5-methylthiophen-2-yl)(3,5-bis(trifluoromethyl)phenyl)neopentylglycolborate</t>
  </si>
  <si>
    <t>(E)-1-styryl-2-tritylpyrrolidine (in CH2Cl2)</t>
  </si>
  <si>
    <t>lithium (5-methylthiophen-2-yl)(4-methoxyphenyl)pinacolborate</t>
  </si>
  <si>
    <t>1-butoxy-1-(trimethylsiloxy)ethene</t>
  </si>
  <si>
    <t>alpha-(N-morpholino)styrene (in MeCN)</t>
  </si>
  <si>
    <t>(E)-1-(2-(4-nitrophenyl)-1-phenylvinyl)pyrrolidine (in MeCN)</t>
  </si>
  <si>
    <t>MeO-Breslow 1b</t>
  </si>
  <si>
    <t>diazomethane</t>
  </si>
  <si>
    <t>2-(trimethylsiloxy)-5,6-dihydro-4H-pyran (in MeCN)</t>
  </si>
  <si>
    <t>(S,E)-2-(diphenyl(trimethylsiloxy)methyl)-1-styrylpyrrolidine</t>
  </si>
  <si>
    <t>2-(trimethylsiloxy)-5,6-dihydro-4H-pyran</t>
  </si>
  <si>
    <t>(E)-4-(2-phenyl-2-(pyrrolidin-1-yl)vinyl)benzonitrile (in MeCN)</t>
  </si>
  <si>
    <t>2,4-dimethylpyrrole</t>
  </si>
  <si>
    <t>anion of 2-nitropropane (in water)</t>
  </si>
  <si>
    <t>1-(phenylmethylamino)cyclohexene</t>
  </si>
  <si>
    <t>(E)-beta-(N-morpholino)styrene</t>
  </si>
  <si>
    <t>lithium 2-allyl-4,4,5,5-tetramethyl-2-phenyl-1,3,2-dioxaborolan-2-uide (in MeCN)</t>
  </si>
  <si>
    <t>lithium (5-methylthiophen-2-yl)(3,5-bis(trifluoromethyl)phenyl)glycolborate</t>
  </si>
  <si>
    <t>anion of nitroethane (in water)</t>
  </si>
  <si>
    <t>5-(triphenylsiloxy)-2,3-dihydrofuran</t>
  </si>
  <si>
    <t>(Z)-1-(1,3-dimesityl-1H-imidazol-3-ium-2-yl)-2-phenylprop-1-en-1-olate (in THF)</t>
  </si>
  <si>
    <t>anion of triethyl methanetricarboxylate (in DMSO)</t>
  </si>
  <si>
    <t>anion of ethyl cyanoacetate (in water)</t>
  </si>
  <si>
    <t>Dexoxy Breslow intermediate 6</t>
  </si>
  <si>
    <t>anion of 2-phenylmalononitrile (in DMSO)</t>
  </si>
  <si>
    <t>C-Nucleophile</t>
  </si>
  <si>
    <t>Diethyl 1,4-dihydro-2,6-dimethyl-3,5-pyridinedicarboxylate (Hantzsch ester)</t>
  </si>
  <si>
    <t>barbiturate anion (in DMSO)</t>
  </si>
  <si>
    <t>MeO-Breslow 1e</t>
  </si>
  <si>
    <t>(4-Me2N-C6H4)-(CO)-CH=SMe2 (in DMSO)</t>
  </si>
  <si>
    <t>bis(phenylsulfonyl)methanide (in DMSO)</t>
  </si>
  <si>
    <t>Me2S=CH-CO2Et (in DMSO)</t>
  </si>
  <si>
    <t>anion of ethyl 2-cyano-2-phenylacetate (in DMSO)</t>
  </si>
  <si>
    <t>1-(N-pyrrolidino)cyclopentene</t>
  </si>
  <si>
    <t>anion of 2-phenyl-2-(phenylsulfonyl)acetonitrile (in DMSO)</t>
  </si>
  <si>
    <t>anion of ethyl acetylacetate (in water)</t>
  </si>
  <si>
    <t>anion of 1-phenylbutane-1,3-dione (in DMSO)</t>
  </si>
  <si>
    <t>anion of diethyl malonate (in water)</t>
  </si>
  <si>
    <t>Me2S=CH-CN (in DMSO)</t>
  </si>
  <si>
    <t>cyanide (in MeCN)</t>
  </si>
  <si>
    <t>anion of dimedone (in DMSO)</t>
  </si>
  <si>
    <t>anion of 4-cyanobenzyl trifluoromethyl sulfone (in DMSO)</t>
  </si>
  <si>
    <t>anion of (4-nitrophenyl)nitromethane (in DMSO)</t>
  </si>
  <si>
    <t>1-(N-pyrrolidino)cyclohexene (in MeCN)</t>
  </si>
  <si>
    <t>3-(tert-butyl)-1-methyl-1H-imidazol-3-ium-2-ide (in THF)</t>
  </si>
  <si>
    <t>anion of 3-oxo-3-phenylpropanenitrile (in DMSO)</t>
  </si>
  <si>
    <t>MeO-Breslow 1c</t>
  </si>
  <si>
    <t>anion of (4-cyanophenyl)nitromethane (in DMSO)</t>
  </si>
  <si>
    <t>3-acetyl-2-oxotetrahydro-2H-pyran-3-ide (in DMSO)</t>
  </si>
  <si>
    <t>anion of 1-phenyl-2-(phenylsulfonyl)ethanone (in DMSO)</t>
  </si>
  <si>
    <t>methoxybis(phenylsulfonyl)methanide (in DMSO)</t>
  </si>
  <si>
    <t>anion of 4-(trifluoromethyl)benzyl trifluoromethyl sulfone (in DMSO)</t>
  </si>
  <si>
    <t>2-methoxy-2H-benzo[d][1,3]dithiol-2-ide 1,1,3,3-tetraoxide (in DMSO)</t>
  </si>
  <si>
    <t>anion of 1,3-diphenylpropane-1,3-dione (in DMSO)</t>
  </si>
  <si>
    <t>1-ethoxy-2-methyl-1,3-dioxobutan-2-ide (in DMSO)</t>
  </si>
  <si>
    <t>anion of 2-(4-NO2-C6H4)propionitrile (in DMSO)</t>
  </si>
  <si>
    <t>anion of ethyl cyanoacetate (in DMSO)</t>
  </si>
  <si>
    <t>anion of 4-nitrobenzyl-CN (in DMSO)</t>
  </si>
  <si>
    <t>bis(4-nitrophenyl)methanide (in DMSO)</t>
  </si>
  <si>
    <t>2-(4-NO2-C6H4)CH(-)CO2Et (in DMSO)</t>
  </si>
  <si>
    <t>1-(ethoxycarbonyl)-2-oxocyclooctan-1-ide (in DMSO)</t>
  </si>
  <si>
    <t>1-(isoquinolin-2-ium-2-yl)-2-oxo-2-phenylethan-1-ide (in DMSO)</t>
  </si>
  <si>
    <t>anion of diethyl malonate (in DMSO)</t>
  </si>
  <si>
    <t>3-(4-methoxyphenyl)-1-methyl-1H-imidazol-3-ium-2-ide (in THF)</t>
  </si>
  <si>
    <t>2-ethoxy-1-fluoro-2-oxo-1-(phenylsulfonyl)ethan-1-ide (in DMSO)</t>
  </si>
  <si>
    <t>1-(ethoxycarbonyl)-2-oxocyclododecan-1-ide (in DMSO)</t>
  </si>
  <si>
    <t>MeSO-CH-CO2Et (in DMSO)</t>
  </si>
  <si>
    <t>anion of 2-nitropropane (in DMSO)</t>
  </si>
  <si>
    <t>1,3-diethoxy-2-fluoro-1,3-dioxopropan-2-ide (in DMSO)</t>
  </si>
  <si>
    <t>anion of nitromethane (in DMSO)</t>
  </si>
  <si>
    <t>Me2S=CH(4-CN-C6H4) (in DMSO)</t>
  </si>
  <si>
    <t>3-mesityl-1-methyl-1H-imidazol-3-ium-2-ide (in THF)</t>
  </si>
  <si>
    <t>anion of nitroethane (in DMSO)</t>
  </si>
  <si>
    <t>3-(2,6-dimethoxyphenyl)-1-methyl-1H-imidazol-3-ium-2-ide (in THF)</t>
  </si>
  <si>
    <t>anion of 1,2-diphenylethanone (in DMSO)</t>
  </si>
  <si>
    <t>2-(pyrid-4-yl)CH(-)CO2Et (in DMSO)</t>
  </si>
  <si>
    <t>1,3-dimesityl-4,5-dihydro-1H-imidazol-3-ium-2-ide (in THF)</t>
  </si>
  <si>
    <t>2-(4-CN-C6H4)CH(-)CO2Et (in DMSO)</t>
  </si>
  <si>
    <t>sodium indenide (in DMSO)</t>
  </si>
  <si>
    <t>bromo(phenylsulfonyl)methanide (in DMSO)</t>
  </si>
  <si>
    <t>anion of (4-CF3-C6H4)CH2SO2Ph (in DMSO)</t>
  </si>
  <si>
    <t>anion of 1-phenylpropan-2-one (in DMSO)</t>
  </si>
  <si>
    <t>anion of 4-cyanobenzyl-CN (in DMSO)</t>
  </si>
  <si>
    <t>anion of 2-(4-CN-C6H4)propionitrile (in DMSO)</t>
  </si>
  <si>
    <t>chloro((4-cyanophenyl)sulfonyl)methanide (in DMSO)</t>
  </si>
  <si>
    <t>anion of (benzylsulfonyl)benzene (in DMSO)</t>
  </si>
  <si>
    <t>cyano(pyridin-1-ium-1-yl)methanide (in DMSO)</t>
  </si>
  <si>
    <t>2-ethoxy-2-oxo-1-(pyridin-1-ium-1-yl)ethan-1-ide (in DMSO)</t>
  </si>
  <si>
    <t>chloro((4-chlorophenyl)sulfonyl)methanide (in DMSO)</t>
  </si>
  <si>
    <t>1-((diphenylmethylene)amino)-2-ethoxy-2-oxoethan-1-ide (in DMSO)</t>
  </si>
  <si>
    <t>2-(diethylamino)-2-oxo-1-(pyridin-1-ium-1-yl)ethan-1-ide (in DMSO)</t>
  </si>
  <si>
    <t>2-PhCH(-)CO2Et (in DMSO)</t>
  </si>
  <si>
    <t>2-(3-Cl-C6H4)CH(-)CO2Et (in DMSO)</t>
  </si>
  <si>
    <t>2-(4-Br-C6H4)CH(-)CO2Et (in DMSO)</t>
  </si>
  <si>
    <t>2-(tert-butoxy)-1-((diphenylmethylene)amino)-2-oxoethan-1-ide (in DMSO)</t>
  </si>
  <si>
    <t>chloro(phenylsulfonyl)methanide (in DMSO)</t>
  </si>
  <si>
    <t>anion of 2-phenyl-propionitrile (in DMSO)</t>
  </si>
  <si>
    <t>1-((4-chlorobenzylidene)amino)-2-ethoxy-2-oxoethan-1-ide (in DMSO)</t>
  </si>
  <si>
    <t>1-(benzylideneamino)-2-ethoxy-2-oxoethan-1-ide (in DMSO)</t>
  </si>
  <si>
    <t>cyano((diphenylmethylene)amino)methanide</t>
  </si>
  <si>
    <t>2-(benzylideneamino)-1-ethoxy-1-oxopropan-2-ide (in DMSO)</t>
  </si>
  <si>
    <t>Mol.Mass</t>
  </si>
  <si>
    <t>Surface Area</t>
  </si>
  <si>
    <t>Volume</t>
  </si>
  <si>
    <t>Ovality</t>
  </si>
  <si>
    <t>Diameter</t>
  </si>
  <si>
    <t>Benzotriazole</t>
  </si>
  <si>
    <t>H-Nucleophile</t>
  </si>
  <si>
    <t>cysteine (dianionic, in water, S-nucleophile)</t>
  </si>
  <si>
    <t>χ*DFT</t>
  </si>
  <si>
    <t>χDFT</t>
  </si>
  <si>
    <t>χHF</t>
  </si>
  <si>
    <t>sN</t>
  </si>
  <si>
    <t>EHF</t>
  </si>
  <si>
    <t>EDFT</t>
  </si>
  <si>
    <t>ECORR</t>
  </si>
  <si>
    <t>EHF(HOMO)</t>
  </si>
  <si>
    <t>EDFT(HOMO)</t>
  </si>
  <si>
    <t>ECORR(HOMO)</t>
  </si>
  <si>
    <t>EHF(LUMO)</t>
  </si>
  <si>
    <t>EDFT(LUMO)</t>
  </si>
  <si>
    <t>ECORR(LUMO)</t>
  </si>
  <si>
    <r>
      <t>m</t>
    </r>
    <r>
      <rPr>
        <b/>
        <sz val="12"/>
        <color theme="3" tint="-0.499984740745262"/>
        <rFont val="Cambria"/>
        <family val="1"/>
        <scheme val="major"/>
      </rPr>
      <t>HF</t>
    </r>
  </si>
  <si>
    <r>
      <t>m</t>
    </r>
    <r>
      <rPr>
        <b/>
        <sz val="12"/>
        <color theme="3" tint="-0.499984740745262"/>
        <rFont val="Cambria"/>
        <family val="1"/>
        <scheme val="major"/>
      </rPr>
      <t>DFT</t>
    </r>
  </si>
  <si>
    <r>
      <t>m</t>
    </r>
    <r>
      <rPr>
        <b/>
        <sz val="12"/>
        <color theme="3" tint="-0.499984740745262"/>
        <rFont val="Calibri"/>
        <family val="2"/>
        <scheme val="minor"/>
      </rPr>
      <t>CORR</t>
    </r>
  </si>
  <si>
    <t>dHF</t>
  </si>
  <si>
    <t>dDFT</t>
  </si>
  <si>
    <t>dCORR</t>
  </si>
  <si>
    <t>HHF</t>
  </si>
  <si>
    <t>HDFT</t>
  </si>
  <si>
    <t>HCORR</t>
  </si>
  <si>
    <t>GHF</t>
  </si>
  <si>
    <t>GDFT</t>
  </si>
  <si>
    <t>GCORR</t>
  </si>
  <si>
    <t>NBOHF</t>
  </si>
  <si>
    <t>NBODFT</t>
  </si>
  <si>
    <t>NBOCORR</t>
  </si>
  <si>
    <t>RG</t>
  </si>
  <si>
    <t>E*DFT</t>
  </si>
  <si>
    <t>E*HF</t>
  </si>
  <si>
    <t>E*CORR</t>
  </si>
  <si>
    <t>E*DFT(HOMO)</t>
  </si>
  <si>
    <t>E*HF(HOMO)</t>
  </si>
  <si>
    <t>E*CORR(HOMO)</t>
  </si>
  <si>
    <t>E*DFT(LUMO)</t>
  </si>
  <si>
    <t>E*HF(LUMO)</t>
  </si>
  <si>
    <t>E*CORR(LUMO)</t>
  </si>
  <si>
    <r>
      <t>h*</t>
    </r>
    <r>
      <rPr>
        <b/>
        <sz val="12"/>
        <color theme="3" tint="-0.499984740745262"/>
        <rFont val="Calibri"/>
        <family val="2"/>
        <scheme val="minor"/>
      </rPr>
      <t>DFT</t>
    </r>
  </si>
  <si>
    <r>
      <t>m*</t>
    </r>
    <r>
      <rPr>
        <b/>
        <sz val="12"/>
        <color theme="3" tint="-0.499984740745262"/>
        <rFont val="Times New Roman"/>
        <family val="1"/>
      </rPr>
      <t>DFT</t>
    </r>
  </si>
  <si>
    <r>
      <t>m*H</t>
    </r>
    <r>
      <rPr>
        <b/>
        <sz val="12"/>
        <color theme="3" tint="-0.499984740745262"/>
        <rFont val="Times New Roman"/>
        <family val="1"/>
      </rPr>
      <t>F</t>
    </r>
  </si>
  <si>
    <r>
      <t>m*</t>
    </r>
    <r>
      <rPr>
        <b/>
        <sz val="12"/>
        <color theme="3" tint="-0.499984740745262"/>
        <rFont val="Calibri"/>
        <family val="2"/>
        <scheme val="minor"/>
      </rPr>
      <t>CORR</t>
    </r>
  </si>
  <si>
    <t>d*DFT</t>
  </si>
  <si>
    <t>d*HF</t>
  </si>
  <si>
    <t>d*CORR</t>
  </si>
  <si>
    <t>H*DFT</t>
  </si>
  <si>
    <t>H*HF</t>
  </si>
  <si>
    <t>H*CORR</t>
  </si>
  <si>
    <t>G*DFT</t>
  </si>
  <si>
    <t>G*HF</t>
  </si>
  <si>
    <t>G*CORR</t>
  </si>
  <si>
    <t>χCORR</t>
  </si>
  <si>
    <t>ηHF</t>
  </si>
  <si>
    <t>ηDFT</t>
  </si>
  <si>
    <t>ηCORR</t>
  </si>
  <si>
    <t>ωHF</t>
  </si>
  <si>
    <t>ωDFT</t>
  </si>
  <si>
    <t>ωCORR</t>
  </si>
  <si>
    <t>ω*DFT</t>
  </si>
  <si>
    <t>ω*HF</t>
  </si>
  <si>
    <t>ω*CORR</t>
  </si>
  <si>
    <t>η*CORR</t>
  </si>
  <si>
    <t>η*HF</t>
  </si>
  <si>
    <t>χ*CORR</t>
  </si>
  <si>
    <t>χ*HF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</si>
</sst>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b/>
      <sz val="12"/>
      <color theme="3" tint="-0.499984740745262"/>
      <name val="Symbol"/>
      <family val="1"/>
      <charset val="2"/>
    </font>
    <font>
      <b/>
      <sz val="12"/>
      <color theme="3" tint="-0.499984740745262"/>
      <name val="Cambria"/>
      <family val="1"/>
      <scheme val="major"/>
    </font>
    <font>
      <b/>
      <sz val="12"/>
      <color theme="3" tint="-0.49998474074526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2" fillId="0" borderId="0" xfId="1" applyFont="1"/>
    <xf numFmtId="164" fontId="0" fillId="0" borderId="0" xfId="0" applyNumberFormat="1"/>
    <xf numFmtId="0" fontId="2" fillId="0" borderId="0" xfId="0" applyFont="1"/>
    <xf numFmtId="164" fontId="0" fillId="0" borderId="0" xfId="0" applyNumberFormat="1" applyFont="1"/>
    <xf numFmtId="164" fontId="0" fillId="0" borderId="0" xfId="0" applyNumberFormat="1" applyFill="1"/>
    <xf numFmtId="0" fontId="0" fillId="0" borderId="0" xfId="0" applyFill="1"/>
    <xf numFmtId="0" fontId="0" fillId="0" borderId="0" xfId="0" applyAlignment="1"/>
    <xf numFmtId="164" fontId="0" fillId="0" borderId="0" xfId="0" applyNumberFormat="1" applyAlignment="1"/>
    <xf numFmtId="2" fontId="0" fillId="0" borderId="0" xfId="0" applyNumberFormat="1" applyAlignment="1"/>
    <xf numFmtId="0" fontId="0" fillId="0" borderId="0" xfId="0" applyFill="1" applyAlignment="1"/>
    <xf numFmtId="164" fontId="0" fillId="0" borderId="0" xfId="0" applyNumberFormat="1" applyFill="1" applyAlignment="1"/>
    <xf numFmtId="2" fontId="0" fillId="0" borderId="0" xfId="0" applyNumberFormat="1" applyFill="1" applyAlignment="1"/>
    <xf numFmtId="0" fontId="2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/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up.lmu.de/oc/mayr/reaktionsdatenbank/fe/details/110" TargetMode="External"/><Relationship Id="rId13" Type="http://schemas.openxmlformats.org/officeDocument/2006/relationships/hyperlink" Target="https://www.cup.lmu.de/oc/mayr/reaktionsdatenbank/fe/details/1500" TargetMode="External"/><Relationship Id="rId3" Type="http://schemas.openxmlformats.org/officeDocument/2006/relationships/hyperlink" Target="https://www.cup.lmu.de/oc/mayr/reaktionsdatenbank/fe/details/1428" TargetMode="External"/><Relationship Id="rId7" Type="http://schemas.openxmlformats.org/officeDocument/2006/relationships/hyperlink" Target="https://www.cup.lmu.de/oc/mayr/reaktionsdatenbank/fe/details/787" TargetMode="External"/><Relationship Id="rId12" Type="http://schemas.openxmlformats.org/officeDocument/2006/relationships/hyperlink" Target="https://www.cup.lmu.de/oc/mayr/reaktionsdatenbank/fe/details/1385" TargetMode="External"/><Relationship Id="rId2" Type="http://schemas.openxmlformats.org/officeDocument/2006/relationships/hyperlink" Target="https://www.cup.lmu.de/oc/mayr/reaktionsdatenbank/fe/details/1476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www.cup.lmu.de/oc/mayr/reaktionsdatenbank/fe/details/1380" TargetMode="External"/><Relationship Id="rId6" Type="http://schemas.openxmlformats.org/officeDocument/2006/relationships/hyperlink" Target="https://www.cup.lmu.de/oc/mayr/reaktionsdatenbank/fe/details/1477" TargetMode="External"/><Relationship Id="rId11" Type="http://schemas.openxmlformats.org/officeDocument/2006/relationships/hyperlink" Target="https://www.cup.lmu.de/oc/mayr/reaktionsdatenbank/fe/details/1386" TargetMode="External"/><Relationship Id="rId5" Type="http://schemas.openxmlformats.org/officeDocument/2006/relationships/hyperlink" Target="https://www.cup.lmu.de/oc/mayr/reaktionsdatenbank/fe/details/1478" TargetMode="External"/><Relationship Id="rId15" Type="http://schemas.openxmlformats.org/officeDocument/2006/relationships/hyperlink" Target="https://www.cup.lmu.de/oc/mayr/reaktionsdatenbank/fe/details/1237" TargetMode="External"/><Relationship Id="rId10" Type="http://schemas.openxmlformats.org/officeDocument/2006/relationships/hyperlink" Target="https://www.cup.lmu.de/oc/mayr/reaktionsdatenbank/fe/details/1388" TargetMode="External"/><Relationship Id="rId4" Type="http://schemas.openxmlformats.org/officeDocument/2006/relationships/hyperlink" Target="https://www.cup.lmu.de/oc/mayr/reaktionsdatenbank/fe/details/789" TargetMode="External"/><Relationship Id="rId9" Type="http://schemas.openxmlformats.org/officeDocument/2006/relationships/hyperlink" Target="https://www.cup.lmu.de/oc/mayr/reaktionsdatenbank/fe/details/1167" TargetMode="External"/><Relationship Id="rId14" Type="http://schemas.openxmlformats.org/officeDocument/2006/relationships/hyperlink" Target="https://www.cup.lmu.de/oc/mayr/reaktionsdatenbank/fe/details/13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53"/>
  <sheetViews>
    <sheetView tabSelected="1" zoomScale="110" zoomScaleNormal="110" workbookViewId="0">
      <pane ySplit="1" topLeftCell="A2" activePane="bottomLeft" state="frozen"/>
      <selection activeCell="B1" sqref="B1"/>
      <selection pane="bottomLeft" activeCell="A128" sqref="A128:XFD128"/>
    </sheetView>
  </sheetViews>
  <sheetFormatPr defaultColWidth="8.85546875" defaultRowHeight="15" x14ac:dyDescent="0.25"/>
  <cols>
    <col min="1" max="1" width="60.42578125" customWidth="1"/>
    <col min="2" max="2" width="23.85546875" customWidth="1"/>
    <col min="3" max="3" width="22.7109375" customWidth="1"/>
    <col min="4" max="4" width="13.42578125" customWidth="1"/>
    <col min="5" max="5" width="17.28515625" customWidth="1"/>
    <col min="6" max="6" width="18" customWidth="1"/>
    <col min="7" max="7" width="17.42578125" customWidth="1"/>
    <col min="8" max="8" width="18.7109375" customWidth="1"/>
    <col min="9" max="9" width="19.42578125" customWidth="1"/>
    <col min="10" max="10" width="19.7109375" style="7" customWidth="1"/>
    <col min="11" max="11" width="21.7109375" customWidth="1"/>
    <col min="12" max="12" width="20.42578125" customWidth="1"/>
    <col min="13" max="13" width="20.140625" style="7" customWidth="1"/>
    <col min="14" max="14" width="19.85546875" customWidth="1"/>
    <col min="15" max="15" width="20.140625" customWidth="1"/>
    <col min="16" max="16" width="19" customWidth="1"/>
    <col min="17" max="17" width="25.28515625" customWidth="1"/>
    <col min="18" max="18" width="18.7109375" customWidth="1"/>
    <col min="19" max="19" width="17.85546875" customWidth="1"/>
    <col min="20" max="20" width="18.7109375" customWidth="1"/>
    <col min="21" max="23" width="17.42578125" customWidth="1"/>
    <col min="24" max="24" width="19.85546875" customWidth="1"/>
    <col min="25" max="26" width="17.85546875" customWidth="1"/>
    <col min="27" max="27" width="14.85546875" customWidth="1"/>
    <col min="28" max="28" width="15.140625" customWidth="1"/>
    <col min="29" max="29" width="17.42578125" customWidth="1"/>
    <col min="30" max="30" width="18.7109375" customWidth="1"/>
    <col min="31" max="32" width="18.42578125" customWidth="1"/>
    <col min="33" max="33" width="18.140625" customWidth="1"/>
    <col min="34" max="34" width="18.28515625" customWidth="1"/>
    <col min="35" max="35" width="18.140625" customWidth="1"/>
    <col min="36" max="36" width="14.28515625" customWidth="1"/>
    <col min="37" max="37" width="15.85546875" customWidth="1"/>
    <col min="38" max="38" width="15.140625" customWidth="1"/>
    <col min="39" max="39" width="17.140625" customWidth="1"/>
    <col min="40" max="40" width="17" customWidth="1"/>
    <col min="41" max="41" width="16.42578125" customWidth="1"/>
    <col min="42" max="42" width="17.140625" customWidth="1"/>
    <col min="43" max="43" width="17.7109375" customWidth="1"/>
    <col min="44" max="44" width="17.28515625" customWidth="1"/>
    <col min="45" max="46" width="18" customWidth="1"/>
    <col min="47" max="47" width="18.140625" customWidth="1"/>
    <col min="48" max="48" width="18.42578125" customWidth="1"/>
    <col min="49" max="49" width="18.7109375" customWidth="1"/>
    <col min="50" max="50" width="18.140625" customWidth="1"/>
    <col min="51" max="51" width="18.42578125" customWidth="1"/>
    <col min="52" max="52" width="18.85546875" customWidth="1"/>
    <col min="53" max="53" width="18.140625" customWidth="1"/>
    <col min="54" max="54" width="18.42578125" customWidth="1"/>
    <col min="55" max="55" width="18.140625" customWidth="1"/>
    <col min="56" max="56" width="17.85546875" customWidth="1"/>
    <col min="57" max="57" width="18" customWidth="1"/>
    <col min="58" max="58" width="18.42578125" customWidth="1"/>
    <col min="59" max="59" width="18.28515625" customWidth="1"/>
    <col min="60" max="60" width="18.85546875" customWidth="1"/>
    <col min="61" max="62" width="18.42578125" customWidth="1"/>
    <col min="63" max="63" width="16.42578125" customWidth="1"/>
    <col min="64" max="64" width="16.140625" customWidth="1"/>
    <col min="65" max="66" width="16.85546875" customWidth="1"/>
    <col min="67" max="67" width="15.42578125" customWidth="1"/>
    <col min="68" max="68" width="15.7109375" customWidth="1"/>
    <col min="69" max="69" width="18.140625" customWidth="1"/>
    <col min="70" max="70" width="16.7109375" customWidth="1"/>
    <col min="71" max="72" width="17.42578125" customWidth="1"/>
    <col min="73" max="73" width="16.140625" customWidth="1"/>
    <col min="74" max="74" width="17.85546875" customWidth="1"/>
  </cols>
  <sheetData>
    <row r="1" spans="1:74" s="15" customFormat="1" ht="15.75" x14ac:dyDescent="0.25">
      <c r="A1" s="15" t="s">
        <v>0</v>
      </c>
      <c r="B1" s="15" t="s">
        <v>512</v>
      </c>
      <c r="C1" s="15" t="s">
        <v>98</v>
      </c>
      <c r="D1" s="16" t="s">
        <v>1</v>
      </c>
      <c r="E1" s="15" t="s">
        <v>733</v>
      </c>
      <c r="F1" s="15" t="s">
        <v>734</v>
      </c>
      <c r="G1" s="15" t="s">
        <v>735</v>
      </c>
      <c r="H1" s="15" t="s">
        <v>736</v>
      </c>
      <c r="I1" s="15" t="s">
        <v>737</v>
      </c>
      <c r="J1" s="17" t="s">
        <v>738</v>
      </c>
      <c r="K1" s="15" t="s">
        <v>739</v>
      </c>
      <c r="L1" s="15" t="s">
        <v>740</v>
      </c>
      <c r="M1" s="17" t="s">
        <v>741</v>
      </c>
      <c r="N1" s="15" t="s">
        <v>742</v>
      </c>
      <c r="O1" s="15" t="s">
        <v>732</v>
      </c>
      <c r="P1" s="15" t="s">
        <v>731</v>
      </c>
      <c r="Q1" s="15" t="s">
        <v>781</v>
      </c>
      <c r="R1" s="15" t="s">
        <v>782</v>
      </c>
      <c r="S1" s="15" t="s">
        <v>783</v>
      </c>
      <c r="T1" s="15" t="s">
        <v>784</v>
      </c>
      <c r="U1" s="18" t="s">
        <v>743</v>
      </c>
      <c r="V1" s="18" t="s">
        <v>744</v>
      </c>
      <c r="W1" s="18" t="s">
        <v>745</v>
      </c>
      <c r="X1" s="15" t="s">
        <v>785</v>
      </c>
      <c r="Y1" s="15" t="s">
        <v>786</v>
      </c>
      <c r="Z1" s="15" t="s">
        <v>787</v>
      </c>
      <c r="AA1" s="15" t="s">
        <v>746</v>
      </c>
      <c r="AB1" s="15" t="s">
        <v>747</v>
      </c>
      <c r="AC1" s="15" t="s">
        <v>748</v>
      </c>
      <c r="AD1" s="15" t="s">
        <v>749</v>
      </c>
      <c r="AE1" s="15" t="s">
        <v>750</v>
      </c>
      <c r="AF1" s="15" t="s">
        <v>751</v>
      </c>
      <c r="AG1" s="15" t="s">
        <v>752</v>
      </c>
      <c r="AH1" s="15" t="s">
        <v>753</v>
      </c>
      <c r="AI1" s="15" t="s">
        <v>754</v>
      </c>
      <c r="AJ1" s="15" t="s">
        <v>755</v>
      </c>
      <c r="AK1" s="15" t="s">
        <v>756</v>
      </c>
      <c r="AL1" s="15" t="s">
        <v>757</v>
      </c>
      <c r="AM1" s="15" t="s">
        <v>722</v>
      </c>
      <c r="AN1" s="15" t="s">
        <v>723</v>
      </c>
      <c r="AO1" s="15" t="s">
        <v>724</v>
      </c>
      <c r="AP1" s="15" t="s">
        <v>725</v>
      </c>
      <c r="AQ1" s="15" t="s">
        <v>726</v>
      </c>
      <c r="AR1" s="15" t="s">
        <v>758</v>
      </c>
      <c r="AS1" s="15" t="s">
        <v>759</v>
      </c>
      <c r="AT1" s="15" t="s">
        <v>760</v>
      </c>
      <c r="AU1" s="15" t="s">
        <v>761</v>
      </c>
      <c r="AV1" s="15" t="s">
        <v>762</v>
      </c>
      <c r="AW1" s="15" t="s">
        <v>763</v>
      </c>
      <c r="AX1" s="15" t="s">
        <v>764</v>
      </c>
      <c r="AY1" s="15" t="s">
        <v>765</v>
      </c>
      <c r="AZ1" s="15" t="s">
        <v>766</v>
      </c>
      <c r="BA1" s="15" t="s">
        <v>767</v>
      </c>
      <c r="BB1" s="15" t="s">
        <v>730</v>
      </c>
      <c r="BC1" s="15" t="s">
        <v>794</v>
      </c>
      <c r="BD1" s="15" t="s">
        <v>793</v>
      </c>
      <c r="BE1" s="18" t="s">
        <v>768</v>
      </c>
      <c r="BF1" s="15" t="s">
        <v>792</v>
      </c>
      <c r="BG1" s="15" t="s">
        <v>791</v>
      </c>
      <c r="BH1" s="18" t="s">
        <v>769</v>
      </c>
      <c r="BI1" s="18" t="s">
        <v>770</v>
      </c>
      <c r="BJ1" s="18" t="s">
        <v>771</v>
      </c>
      <c r="BK1" s="15" t="s">
        <v>788</v>
      </c>
      <c r="BL1" s="15" t="s">
        <v>789</v>
      </c>
      <c r="BM1" s="15" t="s">
        <v>790</v>
      </c>
      <c r="BN1" s="15" t="s">
        <v>772</v>
      </c>
      <c r="BO1" s="15" t="s">
        <v>773</v>
      </c>
      <c r="BP1" s="15" t="s">
        <v>774</v>
      </c>
      <c r="BQ1" s="15" t="s">
        <v>775</v>
      </c>
      <c r="BR1" s="15" t="s">
        <v>776</v>
      </c>
      <c r="BS1" s="15" t="s">
        <v>777</v>
      </c>
      <c r="BT1" s="15" t="s">
        <v>778</v>
      </c>
      <c r="BU1" s="15" t="s">
        <v>779</v>
      </c>
      <c r="BV1" s="15" t="s">
        <v>780</v>
      </c>
    </row>
    <row r="2" spans="1:74" x14ac:dyDescent="0.25">
      <c r="A2" t="s">
        <v>727</v>
      </c>
      <c r="B2" t="s">
        <v>514</v>
      </c>
      <c r="C2" t="s">
        <v>99</v>
      </c>
      <c r="D2" s="3">
        <v>7.69</v>
      </c>
      <c r="E2" s="3">
        <v>0.76</v>
      </c>
      <c r="F2" s="3">
        <v>-393.52</v>
      </c>
      <c r="G2" s="3">
        <v>-395.97500000000002</v>
      </c>
      <c r="H2" s="3">
        <f>G2-F2</f>
        <v>-2.4550000000000409</v>
      </c>
      <c r="I2" s="3">
        <v>-0.33100000000000002</v>
      </c>
      <c r="J2" s="6">
        <v>-0.251</v>
      </c>
      <c r="K2" s="3">
        <f>J2-I2</f>
        <v>8.0000000000000016E-2</v>
      </c>
      <c r="L2" s="3">
        <v>9.1999999999999998E-2</v>
      </c>
      <c r="M2" s="6">
        <v>-5.6000000000000001E-2</v>
      </c>
      <c r="N2" s="3">
        <f>M2-L2</f>
        <v>-0.14799999999999999</v>
      </c>
      <c r="O2" s="3">
        <f>-(I2+L2)/2</f>
        <v>0.11950000000000001</v>
      </c>
      <c r="P2" s="3">
        <f>-(J2+M2)/2</f>
        <v>0.1535</v>
      </c>
      <c r="Q2" s="3">
        <f>P2-O2</f>
        <v>3.3999999999999989E-2</v>
      </c>
      <c r="R2" s="3">
        <f>L2-I2</f>
        <v>0.42300000000000004</v>
      </c>
      <c r="S2" s="3">
        <f>M2-J2</f>
        <v>0.19500000000000001</v>
      </c>
      <c r="T2" s="3">
        <f>S2-R2</f>
        <v>-0.22800000000000004</v>
      </c>
      <c r="U2" s="3">
        <f>(I2+L2)/2</f>
        <v>-0.11950000000000001</v>
      </c>
      <c r="V2" s="3">
        <f>(J2+M2)/2</f>
        <v>-0.1535</v>
      </c>
      <c r="W2" s="3">
        <f>(V2-U2)</f>
        <v>-3.3999999999999989E-2</v>
      </c>
      <c r="X2" s="3">
        <f t="shared" ref="X2:X65" si="0">(U2*U2)/(2*R2)</f>
        <v>1.6879728132387709E-2</v>
      </c>
      <c r="Y2" s="3">
        <f t="shared" ref="Y2:Y65" si="1">(V2*V2)/(2*S2)</f>
        <v>6.041602564102564E-2</v>
      </c>
      <c r="Z2" s="3">
        <f>Y2-X2</f>
        <v>4.3536297508637932E-2</v>
      </c>
      <c r="AA2" s="3">
        <v>5.242</v>
      </c>
      <c r="AB2" s="3">
        <v>5.3179999999999996</v>
      </c>
      <c r="AC2" s="3">
        <f>AB2-AA2</f>
        <v>7.5999999999999623E-2</v>
      </c>
      <c r="AD2" s="3">
        <f>-393.399643*627.50956</f>
        <v>-246862.03688308707</v>
      </c>
      <c r="AE2" s="3">
        <f>-395.861727*627.50956</f>
        <v>-248407.01813061009</v>
      </c>
      <c r="AF2" s="3">
        <f>AE2-AD2</f>
        <v>-1544.9812475230137</v>
      </c>
      <c r="AG2" s="3">
        <f>-393.435832*627.50956</f>
        <v>-246884.7458265539</v>
      </c>
      <c r="AH2" s="3">
        <f>-395.898594*627.50956</f>
        <v>-248430.15252555863</v>
      </c>
      <c r="AI2" s="3">
        <f>AH2-AG2</f>
        <v>-1545.4066990047286</v>
      </c>
      <c r="AJ2" s="3">
        <v>-0.30199999999999999</v>
      </c>
      <c r="AK2" s="3">
        <v>-0.33600000000000002</v>
      </c>
      <c r="AL2" s="3">
        <f>AK2-AJ2</f>
        <v>-3.400000000000003E-2</v>
      </c>
      <c r="AM2" s="3">
        <v>119.124</v>
      </c>
      <c r="AN2" s="3">
        <v>160.34</v>
      </c>
      <c r="AO2" s="3">
        <v>163.49680000000001</v>
      </c>
      <c r="AP2" s="3">
        <f>(AN2/(4*3.14*POWER(((3*AO2)/(4*3.14)),2/3)))</f>
        <v>1.1090683837147002</v>
      </c>
      <c r="AQ2" s="3">
        <v>8.3859999999999992</v>
      </c>
      <c r="AR2" s="3">
        <v>1.8935999999999999</v>
      </c>
      <c r="AS2" s="3">
        <v>-132.80099999999999</v>
      </c>
      <c r="AT2" s="3">
        <v>-131.97</v>
      </c>
      <c r="AU2" s="3">
        <f t="shared" ref="AU2:AU63" si="2">AS2-AT2</f>
        <v>-0.83099999999998886</v>
      </c>
      <c r="AV2" s="3">
        <v>-0.34100000000000003</v>
      </c>
      <c r="AW2" s="3">
        <v>-0.47499999999999998</v>
      </c>
      <c r="AX2" s="3">
        <f t="shared" ref="AX2:AX63" si="3">AV2-AW2</f>
        <v>0.13399999999999995</v>
      </c>
      <c r="AY2" s="3">
        <v>2.9000000000000001E-2</v>
      </c>
      <c r="AZ2" s="3">
        <v>0.156</v>
      </c>
      <c r="BA2" s="3">
        <f t="shared" ref="BA2:BA63" si="4">AY2-AZ2</f>
        <v>-0.127</v>
      </c>
      <c r="BB2" s="3">
        <f t="shared" ref="BB2:BC17" si="5">-(AV2+AY2)/2</f>
        <v>0.156</v>
      </c>
      <c r="BC2" s="3">
        <f t="shared" si="5"/>
        <v>0.15949999999999998</v>
      </c>
      <c r="BD2" s="3">
        <f t="shared" ref="BD2:BD63" si="6">BB2-BC2</f>
        <v>-3.4999999999999754E-3</v>
      </c>
      <c r="BE2" s="3">
        <f t="shared" ref="BE2:BF17" si="7">AY2-AV2</f>
        <v>0.37000000000000005</v>
      </c>
      <c r="BF2" s="3">
        <f t="shared" si="7"/>
        <v>0.63100000000000001</v>
      </c>
      <c r="BG2" s="3">
        <f t="shared" ref="BG2:BG63" si="8">BE2-BF2</f>
        <v>-0.26099999999999995</v>
      </c>
      <c r="BH2" s="3">
        <f t="shared" ref="BH2:BI17" si="9">(AV2+AY2)/2</f>
        <v>-0.156</v>
      </c>
      <c r="BI2" s="3">
        <f t="shared" si="9"/>
        <v>-0.15949999999999998</v>
      </c>
      <c r="BJ2" s="3">
        <f>(BH2-BI2)</f>
        <v>3.4999999999999754E-3</v>
      </c>
      <c r="BK2" s="3">
        <f t="shared" ref="BK2:BK65" si="10">(BH2*BH2)/(2*BE2)</f>
        <v>3.2886486486486483E-2</v>
      </c>
      <c r="BL2" s="3">
        <f t="shared" ref="BL2:BL65" si="11">(BI2*BI2)/(2*BF2)</f>
        <v>2.0158676703645E-2</v>
      </c>
      <c r="BM2" s="3">
        <f t="shared" ref="BM2:BM63" si="12">BK2-BL2</f>
        <v>1.2727809782841482E-2</v>
      </c>
      <c r="BN2" s="3">
        <v>4.7279999999999998</v>
      </c>
      <c r="BO2" s="3">
        <v>4.9340000000000002</v>
      </c>
      <c r="BP2" s="3">
        <f t="shared" ref="BP2:BP63" si="13">BN2-BO2</f>
        <v>-0.20600000000000041</v>
      </c>
      <c r="BQ2" s="3">
        <v>-83302.89</v>
      </c>
      <c r="BR2" s="3">
        <v>-82779.224000000002</v>
      </c>
      <c r="BS2" s="3">
        <f t="shared" ref="BS2:BS63" si="14">BQ2-BR2</f>
        <v>-523.66599999999744</v>
      </c>
      <c r="BT2" s="3">
        <v>-83320.774999999994</v>
      </c>
      <c r="BU2" s="3">
        <v>-82796.997000000003</v>
      </c>
      <c r="BV2" s="3">
        <f t="shared" ref="BV2:BV63" si="15">BT2-BU2</f>
        <v>-523.77799999999115</v>
      </c>
    </row>
    <row r="3" spans="1:74" x14ac:dyDescent="0.25">
      <c r="A3" t="s">
        <v>221</v>
      </c>
      <c r="B3" t="s">
        <v>514</v>
      </c>
      <c r="C3" t="s">
        <v>99</v>
      </c>
      <c r="D3" s="3">
        <v>7.77</v>
      </c>
      <c r="E3" s="3">
        <v>0.76</v>
      </c>
      <c r="F3" s="3">
        <v>-432.56099999999998</v>
      </c>
      <c r="G3" s="3">
        <v>-435.29700000000003</v>
      </c>
      <c r="H3" s="3">
        <f t="shared" ref="H3:H64" si="16">G3-F3</f>
        <v>-2.7360000000000468</v>
      </c>
      <c r="I3" s="3">
        <v>-0.32700000000000001</v>
      </c>
      <c r="J3" s="6">
        <v>-0.247</v>
      </c>
      <c r="K3" s="3">
        <f t="shared" ref="K3:K64" si="17">J3-I3</f>
        <v>8.0000000000000016E-2</v>
      </c>
      <c r="L3" s="3">
        <v>-5.5E-2</v>
      </c>
      <c r="M3" s="6">
        <v>9.1999999999999998E-2</v>
      </c>
      <c r="N3" s="3">
        <f t="shared" ref="N3:N64" si="18">M3-L3</f>
        <v>0.14699999999999999</v>
      </c>
      <c r="O3" s="3">
        <f t="shared" ref="O3:P64" si="19">-(I3+L3)/2</f>
        <v>0.191</v>
      </c>
      <c r="P3" s="3">
        <f t="shared" si="19"/>
        <v>7.7499999999999999E-2</v>
      </c>
      <c r="Q3" s="3">
        <f t="shared" ref="Q3:Q64" si="20">P3-O3</f>
        <v>-0.1135</v>
      </c>
      <c r="R3" s="3">
        <f t="shared" ref="R3:S64" si="21">L3-I3</f>
        <v>0.27200000000000002</v>
      </c>
      <c r="S3" s="3">
        <f t="shared" si="21"/>
        <v>0.33899999999999997</v>
      </c>
      <c r="T3" s="3">
        <f t="shared" ref="T3:T64" si="22">S3-R3</f>
        <v>6.6999999999999948E-2</v>
      </c>
      <c r="U3" s="3">
        <f t="shared" ref="U3:V64" si="23">(I3+L3)/2</f>
        <v>-0.191</v>
      </c>
      <c r="V3" s="3">
        <f t="shared" si="23"/>
        <v>-7.7499999999999999E-2</v>
      </c>
      <c r="W3" s="3">
        <f t="shared" ref="W3:W66" si="24">(V3-U3)</f>
        <v>0.1135</v>
      </c>
      <c r="X3" s="3">
        <f t="shared" si="0"/>
        <v>6.7060661764705876E-2</v>
      </c>
      <c r="Y3" s="3">
        <f t="shared" si="1"/>
        <v>8.8587758112094409E-3</v>
      </c>
      <c r="Z3" s="3">
        <f t="shared" ref="Z3:Z64" si="25">Y3-X3</f>
        <v>-5.8201885953496436E-2</v>
      </c>
      <c r="AA3" s="3">
        <v>5.5119999999999996</v>
      </c>
      <c r="AB3" s="3">
        <v>5.5650000000000004</v>
      </c>
      <c r="AC3" s="3">
        <f t="shared" ref="AC3:AC64" si="26">AB3-AA3</f>
        <v>5.3000000000000824E-2</v>
      </c>
      <c r="AD3" s="3">
        <f>-432.409578*627.50956</f>
        <v>-271341.14403056569</v>
      </c>
      <c r="AE3" s="3">
        <f>-435.154658*627.50956</f>
        <v>-273063.70797353046</v>
      </c>
      <c r="AF3" s="3">
        <f t="shared" ref="AF3:AF64" si="27">AE3-AD3</f>
        <v>-1722.5639429647708</v>
      </c>
      <c r="AG3" s="3">
        <f>-432.449849*627.50956</f>
        <v>-271366.41446805641</v>
      </c>
      <c r="AH3" s="3">
        <f>-435.195657*627.50956</f>
        <v>-273089.43523798091</v>
      </c>
      <c r="AI3" s="3">
        <f t="shared" ref="AI3:AI64" si="28">AH3-AG3</f>
        <v>-1723.0207699245075</v>
      </c>
      <c r="AJ3" s="3">
        <v>-1.0999999999999999E-2</v>
      </c>
      <c r="AK3" s="3">
        <v>-5.7000000000000002E-2</v>
      </c>
      <c r="AL3" s="3">
        <f t="shared" ref="AL3:AL64" si="29">AK3-AJ3</f>
        <v>-4.5999999999999999E-2</v>
      </c>
      <c r="AM3" s="3">
        <v>133.15049999999999</v>
      </c>
      <c r="AN3" s="3">
        <v>183.30170000000001</v>
      </c>
      <c r="AO3" s="3">
        <v>192.44990000000001</v>
      </c>
      <c r="AP3" s="3">
        <f t="shared" ref="AP3:AP64" si="30">(AN3/(4*3.14*POWER(((3*AO3)/(4*3.14)),2/3)))</f>
        <v>1.1373059641757641</v>
      </c>
      <c r="AQ3" s="3">
        <v>9.6069999999999993</v>
      </c>
      <c r="AR3" s="3">
        <v>2.0636000000000001</v>
      </c>
      <c r="AS3" s="3">
        <v>-132.80099999999999</v>
      </c>
      <c r="AT3" s="3">
        <v>-131.97</v>
      </c>
      <c r="AU3" s="3">
        <f t="shared" si="2"/>
        <v>-0.83099999999998886</v>
      </c>
      <c r="AV3" s="3">
        <v>-0.34100000000000003</v>
      </c>
      <c r="AW3" s="3">
        <v>-0.47499999999999998</v>
      </c>
      <c r="AX3" s="3">
        <f t="shared" si="3"/>
        <v>0.13399999999999995</v>
      </c>
      <c r="AY3" s="3">
        <v>2.9000000000000001E-2</v>
      </c>
      <c r="AZ3" s="3">
        <v>0.156</v>
      </c>
      <c r="BA3" s="3">
        <f t="shared" si="4"/>
        <v>-0.127</v>
      </c>
      <c r="BB3" s="3">
        <f t="shared" si="5"/>
        <v>0.156</v>
      </c>
      <c r="BC3" s="3">
        <f t="shared" si="5"/>
        <v>0.15949999999999998</v>
      </c>
      <c r="BD3" s="3">
        <f t="shared" si="6"/>
        <v>-3.4999999999999754E-3</v>
      </c>
      <c r="BE3" s="3">
        <f t="shared" si="7"/>
        <v>0.37000000000000005</v>
      </c>
      <c r="BF3" s="3">
        <f t="shared" si="7"/>
        <v>0.63100000000000001</v>
      </c>
      <c r="BG3" s="3">
        <f t="shared" si="8"/>
        <v>-0.26099999999999995</v>
      </c>
      <c r="BH3" s="3">
        <f t="shared" si="9"/>
        <v>-0.156</v>
      </c>
      <c r="BI3" s="3">
        <f t="shared" si="9"/>
        <v>-0.15949999999999998</v>
      </c>
      <c r="BJ3" s="3">
        <f t="shared" ref="BJ3:BJ66" si="31">(BH3-BI3)</f>
        <v>3.4999999999999754E-3</v>
      </c>
      <c r="BK3" s="3">
        <f t="shared" si="10"/>
        <v>3.2886486486486483E-2</v>
      </c>
      <c r="BL3" s="3">
        <f t="shared" si="11"/>
        <v>2.0158676703645E-2</v>
      </c>
      <c r="BM3" s="3">
        <f t="shared" si="12"/>
        <v>1.2727809782841482E-2</v>
      </c>
      <c r="BN3" s="3">
        <v>4.7279999999999998</v>
      </c>
      <c r="BO3" s="3">
        <v>4.9340000000000002</v>
      </c>
      <c r="BP3" s="3">
        <f t="shared" si="13"/>
        <v>-0.20600000000000041</v>
      </c>
      <c r="BQ3" s="3">
        <v>-83302.89</v>
      </c>
      <c r="BR3" s="3">
        <v>-82779.224000000002</v>
      </c>
      <c r="BS3" s="3">
        <f t="shared" si="14"/>
        <v>-523.66599999999744</v>
      </c>
      <c r="BT3" s="3">
        <v>-83320.774999999994</v>
      </c>
      <c r="BU3" s="3">
        <v>-82796.997000000003</v>
      </c>
      <c r="BV3" s="3">
        <f t="shared" si="15"/>
        <v>-523.77799999999115</v>
      </c>
    </row>
    <row r="4" spans="1:74" x14ac:dyDescent="0.25">
      <c r="A4" t="s">
        <v>222</v>
      </c>
      <c r="B4" t="s">
        <v>514</v>
      </c>
      <c r="C4" t="s">
        <v>103</v>
      </c>
      <c r="D4" s="3">
        <v>7.9</v>
      </c>
      <c r="E4" s="3">
        <v>0.76</v>
      </c>
      <c r="F4" s="3">
        <v>-592.30200000000002</v>
      </c>
      <c r="G4" s="3">
        <v>-596.21100000000001</v>
      </c>
      <c r="H4" s="3">
        <f t="shared" si="16"/>
        <v>-3.9089999999999918</v>
      </c>
      <c r="I4" s="3">
        <v>-0.32700000000000001</v>
      </c>
      <c r="J4" s="6">
        <v>-0.25</v>
      </c>
      <c r="K4" s="3">
        <f t="shared" si="17"/>
        <v>7.7000000000000013E-2</v>
      </c>
      <c r="L4" s="3">
        <v>0.09</v>
      </c>
      <c r="M4" s="6">
        <v>-5.6000000000000001E-2</v>
      </c>
      <c r="N4" s="3">
        <f t="shared" si="18"/>
        <v>-0.14599999999999999</v>
      </c>
      <c r="O4" s="3">
        <f t="shared" si="19"/>
        <v>0.11850000000000001</v>
      </c>
      <c r="P4" s="3">
        <f t="shared" si="19"/>
        <v>0.153</v>
      </c>
      <c r="Q4" s="3">
        <f t="shared" si="20"/>
        <v>3.4499999999999989E-2</v>
      </c>
      <c r="R4" s="3">
        <f t="shared" si="21"/>
        <v>0.41700000000000004</v>
      </c>
      <c r="S4" s="3">
        <f t="shared" si="21"/>
        <v>0.19400000000000001</v>
      </c>
      <c r="T4" s="3">
        <f t="shared" si="22"/>
        <v>-0.22300000000000003</v>
      </c>
      <c r="U4" s="3">
        <f t="shared" si="23"/>
        <v>-0.11850000000000001</v>
      </c>
      <c r="V4" s="3">
        <f t="shared" si="23"/>
        <v>-0.153</v>
      </c>
      <c r="W4" s="3">
        <f t="shared" si="24"/>
        <v>-3.4499999999999989E-2</v>
      </c>
      <c r="X4" s="3">
        <f t="shared" si="0"/>
        <v>1.683723021582734E-2</v>
      </c>
      <c r="Y4" s="3">
        <f t="shared" si="1"/>
        <v>6.0332474226804121E-2</v>
      </c>
      <c r="Z4" s="3">
        <f t="shared" si="25"/>
        <v>4.3495244010976777E-2</v>
      </c>
      <c r="AA4" s="3">
        <v>1.956</v>
      </c>
      <c r="AB4" s="3">
        <v>1.7130000000000001</v>
      </c>
      <c r="AC4" s="3">
        <f t="shared" si="26"/>
        <v>-0.24299999999999988</v>
      </c>
      <c r="AD4" s="3">
        <f>-592.043116*627.50956</f>
        <v>-371512.71522218897</v>
      </c>
      <c r="AE4" s="3">
        <f>-595.966827*627.50956</f>
        <v>-373974.88138536608</v>
      </c>
      <c r="AF4" s="3">
        <f t="shared" si="27"/>
        <v>-2462.166163177113</v>
      </c>
      <c r="AG4" s="3">
        <f>-592.096952*627.50956</f>
        <v>-371546.4978268611</v>
      </c>
      <c r="AH4" s="3">
        <f>-596.022733*627.50956</f>
        <v>-374009.96293482749</v>
      </c>
      <c r="AI4" s="3">
        <f t="shared" si="28"/>
        <v>-2463.465107966389</v>
      </c>
      <c r="AJ4" s="3">
        <v>-0.51900000000000002</v>
      </c>
      <c r="AK4" s="3">
        <v>-0.45900000000000002</v>
      </c>
      <c r="AL4" s="3">
        <f t="shared" si="29"/>
        <v>0.06</v>
      </c>
      <c r="AM4" s="3">
        <v>195.25970000000001</v>
      </c>
      <c r="AN4" s="3">
        <v>283.50599999999997</v>
      </c>
      <c r="AO4" s="3">
        <v>312.46100000000001</v>
      </c>
      <c r="AP4" s="3">
        <f t="shared" si="30"/>
        <v>1.2733691560532152</v>
      </c>
      <c r="AQ4" s="3">
        <v>13.573</v>
      </c>
      <c r="AR4" s="3">
        <v>3.5024999999999999</v>
      </c>
      <c r="AS4" s="3">
        <v>-959.76900000000001</v>
      </c>
      <c r="AT4" s="3">
        <v>-958.05</v>
      </c>
      <c r="AU4" s="3">
        <f t="shared" si="2"/>
        <v>-1.7190000000000509</v>
      </c>
      <c r="AV4" s="3">
        <v>-0.317</v>
      </c>
      <c r="AW4" s="3">
        <v>-0.45</v>
      </c>
      <c r="AX4" s="3">
        <f t="shared" si="3"/>
        <v>0.13300000000000001</v>
      </c>
      <c r="AY4" s="3">
        <v>-2.4E-2</v>
      </c>
      <c r="AZ4" s="3">
        <v>0.13500000000000001</v>
      </c>
      <c r="BA4" s="3">
        <f t="shared" si="4"/>
        <v>-0.159</v>
      </c>
      <c r="BB4" s="3">
        <f t="shared" si="5"/>
        <v>0.17050000000000001</v>
      </c>
      <c r="BC4" s="3">
        <f t="shared" si="5"/>
        <v>0.1575</v>
      </c>
      <c r="BD4" s="3">
        <f t="shared" si="6"/>
        <v>1.3000000000000012E-2</v>
      </c>
      <c r="BE4" s="3">
        <f t="shared" si="7"/>
        <v>0.29299999999999998</v>
      </c>
      <c r="BF4" s="3">
        <f t="shared" si="7"/>
        <v>0.58499999999999996</v>
      </c>
      <c r="BG4" s="3">
        <f t="shared" si="8"/>
        <v>-0.29199999999999998</v>
      </c>
      <c r="BH4" s="3">
        <f t="shared" si="9"/>
        <v>-0.17050000000000001</v>
      </c>
      <c r="BI4" s="3">
        <f t="shared" si="9"/>
        <v>-0.1575</v>
      </c>
      <c r="BJ4" s="3">
        <f t="shared" si="31"/>
        <v>-1.3000000000000012E-2</v>
      </c>
      <c r="BK4" s="3">
        <f t="shared" si="10"/>
        <v>4.9607935153583631E-2</v>
      </c>
      <c r="BL4" s="3">
        <f t="shared" si="11"/>
        <v>2.120192307692308E-2</v>
      </c>
      <c r="BM4" s="3">
        <f t="shared" si="12"/>
        <v>2.8406012076660551E-2</v>
      </c>
      <c r="BN4" s="3">
        <v>2.2370000000000001</v>
      </c>
      <c r="BO4" s="3">
        <v>2.431</v>
      </c>
      <c r="BP4" s="3">
        <f t="shared" si="13"/>
        <v>-0.19399999999999995</v>
      </c>
      <c r="BQ4" s="3">
        <v>-602243.07700000005</v>
      </c>
      <c r="BR4" s="3">
        <v>-601163.24300000002</v>
      </c>
      <c r="BS4" s="3">
        <f t="shared" si="14"/>
        <v>-1079.8340000000317</v>
      </c>
      <c r="BT4" s="3">
        <v>-602262.36399999994</v>
      </c>
      <c r="BU4" s="3">
        <v>-601182.38500000001</v>
      </c>
      <c r="BV4" s="3">
        <f t="shared" si="15"/>
        <v>-1079.9789999999339</v>
      </c>
    </row>
    <row r="5" spans="1:74" x14ac:dyDescent="0.25">
      <c r="A5" t="s">
        <v>223</v>
      </c>
      <c r="B5" t="s">
        <v>514</v>
      </c>
      <c r="C5" t="s">
        <v>199</v>
      </c>
      <c r="D5" s="3">
        <v>8.5399999999999991</v>
      </c>
      <c r="E5" s="3">
        <v>0.77</v>
      </c>
      <c r="F5" s="3">
        <v>-451.12799999999999</v>
      </c>
      <c r="G5" s="3">
        <v>-453.77300000000002</v>
      </c>
      <c r="H5" s="3">
        <f t="shared" si="16"/>
        <v>-2.6450000000000387</v>
      </c>
      <c r="I5" s="3">
        <v>-0.313</v>
      </c>
      <c r="J5" s="6">
        <v>-0.20699999999999999</v>
      </c>
      <c r="K5" s="3">
        <f t="shared" si="17"/>
        <v>0.10600000000000001</v>
      </c>
      <c r="L5" s="3">
        <v>0.154</v>
      </c>
      <c r="M5" s="6">
        <v>2E-3</v>
      </c>
      <c r="N5" s="3">
        <f>M5-L5</f>
        <v>-0.152</v>
      </c>
      <c r="O5" s="3">
        <f t="shared" si="19"/>
        <v>7.9500000000000001E-2</v>
      </c>
      <c r="P5" s="3">
        <f t="shared" si="19"/>
        <v>0.10249999999999999</v>
      </c>
      <c r="Q5" s="3">
        <f t="shared" si="20"/>
        <v>2.2999999999999993E-2</v>
      </c>
      <c r="R5" s="3">
        <f t="shared" si="21"/>
        <v>0.46699999999999997</v>
      </c>
      <c r="S5" s="3">
        <f t="shared" si="21"/>
        <v>0.20899999999999999</v>
      </c>
      <c r="T5" s="3">
        <f t="shared" si="22"/>
        <v>-0.25800000000000001</v>
      </c>
      <c r="U5" s="3">
        <f t="shared" si="23"/>
        <v>-7.9500000000000001E-2</v>
      </c>
      <c r="V5" s="3">
        <f t="shared" si="23"/>
        <v>-0.10249999999999999</v>
      </c>
      <c r="W5" s="3">
        <f t="shared" si="24"/>
        <v>-2.2999999999999993E-2</v>
      </c>
      <c r="X5" s="3">
        <f t="shared" si="0"/>
        <v>6.7668629550321205E-3</v>
      </c>
      <c r="Y5" s="3">
        <f t="shared" si="1"/>
        <v>2.5134569377990426E-2</v>
      </c>
      <c r="Z5" s="3">
        <f t="shared" si="25"/>
        <v>1.8367706422958305E-2</v>
      </c>
      <c r="AA5" s="3">
        <v>12.446999999999999</v>
      </c>
      <c r="AB5" s="3">
        <v>11.430999999999999</v>
      </c>
      <c r="AC5" s="3">
        <f t="shared" si="26"/>
        <v>-1.016</v>
      </c>
      <c r="AD5" s="3">
        <f>-451.01148*627.50956</f>
        <v>-283014.01536974881</v>
      </c>
      <c r="AE5" s="3">
        <f>-453.663992*627.50956</f>
        <v>-284678.49200776353</v>
      </c>
      <c r="AF5" s="3">
        <f t="shared" si="27"/>
        <v>-1664.4766380147194</v>
      </c>
      <c r="AG5" s="3">
        <f>-451.05154*627.50956</f>
        <v>-283039.15340272238</v>
      </c>
      <c r="AH5" s="3">
        <f>-453.705245*627.50956</f>
        <v>-284704.37865964219</v>
      </c>
      <c r="AI5" s="3">
        <f t="shared" si="28"/>
        <v>-1665.2252569198026</v>
      </c>
      <c r="AJ5" s="3">
        <v>-0.85299999999999998</v>
      </c>
      <c r="AK5" s="3">
        <v>-0.72499999999999998</v>
      </c>
      <c r="AL5" s="3">
        <f t="shared" si="29"/>
        <v>0.128</v>
      </c>
      <c r="AM5" s="3">
        <v>125.105</v>
      </c>
      <c r="AN5" s="3">
        <v>161.01499999999999</v>
      </c>
      <c r="AO5" s="3">
        <v>162.70179999999999</v>
      </c>
      <c r="AP5" s="3">
        <f t="shared" si="30"/>
        <v>1.1173623880526733</v>
      </c>
      <c r="AQ5" s="3">
        <v>8.6739999999999995</v>
      </c>
      <c r="AR5" s="3">
        <v>1.994</v>
      </c>
      <c r="AS5" s="3">
        <v>-76.454999999999998</v>
      </c>
      <c r="AT5" s="3">
        <v>-76.055000000000007</v>
      </c>
      <c r="AU5" s="3">
        <f t="shared" si="2"/>
        <v>-0.39999999999999147</v>
      </c>
      <c r="AV5" s="3">
        <v>-0.30399999999999999</v>
      </c>
      <c r="AW5" s="3">
        <v>-0.505</v>
      </c>
      <c r="AX5" s="3">
        <f t="shared" si="3"/>
        <v>0.20100000000000001</v>
      </c>
      <c r="AY5" s="3">
        <v>0.04</v>
      </c>
      <c r="AZ5" s="3">
        <v>0.16400000000000001</v>
      </c>
      <c r="BA5" s="3">
        <f t="shared" si="4"/>
        <v>-0.124</v>
      </c>
      <c r="BB5" s="3">
        <f t="shared" si="5"/>
        <v>0.13200000000000001</v>
      </c>
      <c r="BC5" s="3">
        <f t="shared" si="5"/>
        <v>0.17049999999999998</v>
      </c>
      <c r="BD5" s="3">
        <f t="shared" si="6"/>
        <v>-3.8499999999999979E-2</v>
      </c>
      <c r="BE5" s="3">
        <f t="shared" si="7"/>
        <v>0.34399999999999997</v>
      </c>
      <c r="BF5" s="3">
        <f t="shared" si="7"/>
        <v>0.66900000000000004</v>
      </c>
      <c r="BG5" s="3">
        <f t="shared" si="8"/>
        <v>-0.32500000000000007</v>
      </c>
      <c r="BH5" s="3">
        <f t="shared" si="9"/>
        <v>-0.13200000000000001</v>
      </c>
      <c r="BI5" s="3">
        <f t="shared" si="9"/>
        <v>-0.17049999999999998</v>
      </c>
      <c r="BJ5" s="3">
        <f t="shared" si="31"/>
        <v>3.8499999999999979E-2</v>
      </c>
      <c r="BK5" s="3">
        <f t="shared" si="10"/>
        <v>2.5325581395348844E-2</v>
      </c>
      <c r="BL5" s="3">
        <f t="shared" si="11"/>
        <v>2.1726644245141997E-2</v>
      </c>
      <c r="BM5" s="3">
        <f t="shared" si="12"/>
        <v>3.5989371502068469E-3</v>
      </c>
      <c r="BN5" s="3">
        <v>2.3010000000000002</v>
      </c>
      <c r="BO5" s="3">
        <v>2.3559999999999999</v>
      </c>
      <c r="BP5" s="3">
        <f t="shared" si="13"/>
        <v>-5.4999999999999716E-2</v>
      </c>
      <c r="BQ5" s="3">
        <v>-47960.305999999997</v>
      </c>
      <c r="BR5" s="3">
        <v>-47708.290999999997</v>
      </c>
      <c r="BS5" s="3">
        <f t="shared" si="14"/>
        <v>-252.01499999999942</v>
      </c>
      <c r="BT5" s="3">
        <v>-47973.754999999997</v>
      </c>
      <c r="BU5" s="3">
        <v>-47721.697</v>
      </c>
      <c r="BV5" s="3">
        <f t="shared" si="15"/>
        <v>-252.05799999999726</v>
      </c>
    </row>
    <row r="6" spans="1:74" x14ac:dyDescent="0.25">
      <c r="A6" t="s">
        <v>224</v>
      </c>
      <c r="B6" t="s">
        <v>514</v>
      </c>
      <c r="C6" t="s">
        <v>103</v>
      </c>
      <c r="D6" s="3">
        <v>8.6</v>
      </c>
      <c r="E6" s="3">
        <v>0.77</v>
      </c>
      <c r="F6" s="3">
        <v>-362.70400000000001</v>
      </c>
      <c r="G6" s="3">
        <v>-365.10399999999998</v>
      </c>
      <c r="H6" s="3">
        <f t="shared" si="16"/>
        <v>-2.3999999999999773</v>
      </c>
      <c r="I6" s="3">
        <v>-0.32800000000000001</v>
      </c>
      <c r="J6" s="6">
        <v>-0.249</v>
      </c>
      <c r="K6" s="3">
        <f t="shared" si="17"/>
        <v>7.9000000000000015E-2</v>
      </c>
      <c r="L6" s="3">
        <v>0.09</v>
      </c>
      <c r="M6" s="6">
        <v>-5.2999999999999999E-2</v>
      </c>
      <c r="N6" s="3">
        <f t="shared" si="18"/>
        <v>-0.14299999999999999</v>
      </c>
      <c r="O6" s="3">
        <f t="shared" si="19"/>
        <v>0.11900000000000001</v>
      </c>
      <c r="P6" s="3">
        <f t="shared" si="19"/>
        <v>0.151</v>
      </c>
      <c r="Q6" s="3">
        <f t="shared" si="20"/>
        <v>3.1999999999999987E-2</v>
      </c>
      <c r="R6" s="3">
        <f t="shared" si="21"/>
        <v>0.41800000000000004</v>
      </c>
      <c r="S6" s="3">
        <f t="shared" si="21"/>
        <v>0.19600000000000001</v>
      </c>
      <c r="T6" s="3">
        <f t="shared" si="22"/>
        <v>-0.22200000000000003</v>
      </c>
      <c r="U6" s="3">
        <f t="shared" si="23"/>
        <v>-0.11900000000000001</v>
      </c>
      <c r="V6" s="3">
        <f t="shared" si="23"/>
        <v>-0.151</v>
      </c>
      <c r="W6" s="3">
        <f t="shared" si="24"/>
        <v>-3.1999999999999987E-2</v>
      </c>
      <c r="X6" s="3">
        <f t="shared" si="0"/>
        <v>1.6938995215311007E-2</v>
      </c>
      <c r="Y6" s="3">
        <f t="shared" si="1"/>
        <v>5.8165816326530603E-2</v>
      </c>
      <c r="Z6" s="3">
        <f t="shared" si="25"/>
        <v>4.12268211112196E-2</v>
      </c>
      <c r="AA6" s="3">
        <v>2.0499999999999998</v>
      </c>
      <c r="AB6" s="3">
        <v>1.619</v>
      </c>
      <c r="AC6" s="3">
        <f t="shared" si="26"/>
        <v>-0.43099999999999983</v>
      </c>
      <c r="AD6" s="3">
        <f>-362.536828*627.50956</f>
        <v>-227495.32542207566</v>
      </c>
      <c r="AE6" s="3">
        <f>-364.946055*627.50956</f>
        <v>-229007.1383967858</v>
      </c>
      <c r="AF6" s="3">
        <f t="shared" si="27"/>
        <v>-1511.8129747101339</v>
      </c>
      <c r="AG6" s="3">
        <f>-362.577005*627.50956</f>
        <v>-227520.53687366779</v>
      </c>
      <c r="AH6" s="3">
        <f>-364.987855*627.50956</f>
        <v>-229033.3682963938</v>
      </c>
      <c r="AI6" s="3">
        <f t="shared" si="28"/>
        <v>-1512.8314227260125</v>
      </c>
      <c r="AJ6" s="3">
        <v>-0.52500000000000002</v>
      </c>
      <c r="AK6" s="3">
        <v>-0.45600000000000002</v>
      </c>
      <c r="AL6" s="3">
        <f t="shared" si="29"/>
        <v>6.9000000000000006E-2</v>
      </c>
      <c r="AM6" s="3">
        <v>119.16370000000001</v>
      </c>
      <c r="AN6" s="3">
        <v>194.0986</v>
      </c>
      <c r="AO6" s="3">
        <v>201.2638</v>
      </c>
      <c r="AP6" s="3">
        <f t="shared" si="30"/>
        <v>1.1688745634902369</v>
      </c>
      <c r="AQ6" s="3">
        <v>10.502000000000001</v>
      </c>
      <c r="AR6" s="3">
        <v>2.3517999999999999</v>
      </c>
      <c r="AS6" s="3">
        <v>-959.76900000000001</v>
      </c>
      <c r="AT6" s="3">
        <v>-958.05</v>
      </c>
      <c r="AU6" s="3">
        <f t="shared" si="2"/>
        <v>-1.7190000000000509</v>
      </c>
      <c r="AV6" s="3">
        <v>-0.317</v>
      </c>
      <c r="AW6" s="3">
        <v>-0.45</v>
      </c>
      <c r="AX6" s="3">
        <f t="shared" si="3"/>
        <v>0.13300000000000001</v>
      </c>
      <c r="AY6" s="3">
        <v>-2.4E-2</v>
      </c>
      <c r="AZ6" s="3">
        <v>0.13500000000000001</v>
      </c>
      <c r="BA6" s="3">
        <f t="shared" si="4"/>
        <v>-0.159</v>
      </c>
      <c r="BB6" s="3">
        <f t="shared" si="5"/>
        <v>0.17050000000000001</v>
      </c>
      <c r="BC6" s="3">
        <f t="shared" si="5"/>
        <v>0.1575</v>
      </c>
      <c r="BD6" s="3">
        <f t="shared" si="6"/>
        <v>1.3000000000000012E-2</v>
      </c>
      <c r="BE6" s="3">
        <f t="shared" si="7"/>
        <v>0.29299999999999998</v>
      </c>
      <c r="BF6" s="3">
        <f t="shared" si="7"/>
        <v>0.58499999999999996</v>
      </c>
      <c r="BG6" s="3">
        <f t="shared" si="8"/>
        <v>-0.29199999999999998</v>
      </c>
      <c r="BH6" s="3">
        <f t="shared" si="9"/>
        <v>-0.17050000000000001</v>
      </c>
      <c r="BI6" s="3">
        <f t="shared" si="9"/>
        <v>-0.1575</v>
      </c>
      <c r="BJ6" s="3">
        <f t="shared" si="31"/>
        <v>-1.3000000000000012E-2</v>
      </c>
      <c r="BK6" s="3">
        <f t="shared" si="10"/>
        <v>4.9607935153583631E-2</v>
      </c>
      <c r="BL6" s="3">
        <f t="shared" si="11"/>
        <v>2.120192307692308E-2</v>
      </c>
      <c r="BM6" s="3">
        <f t="shared" si="12"/>
        <v>2.8406012076660551E-2</v>
      </c>
      <c r="BN6" s="3">
        <v>2.2370000000000001</v>
      </c>
      <c r="BO6" s="3">
        <v>2.431</v>
      </c>
      <c r="BP6" s="3">
        <f t="shared" si="13"/>
        <v>-0.19399999999999995</v>
      </c>
      <c r="BQ6" s="3">
        <v>-602243.07700000005</v>
      </c>
      <c r="BR6" s="3">
        <v>-601163.24300000002</v>
      </c>
      <c r="BS6" s="3">
        <f t="shared" si="14"/>
        <v>-1079.8340000000317</v>
      </c>
      <c r="BT6" s="3">
        <v>-602262.36399999994</v>
      </c>
      <c r="BU6" s="3">
        <v>-601182.38500000001</v>
      </c>
      <c r="BV6" s="3">
        <f t="shared" si="15"/>
        <v>-1079.9789999999339</v>
      </c>
    </row>
    <row r="7" spans="1:74" x14ac:dyDescent="0.25">
      <c r="A7" t="s">
        <v>225</v>
      </c>
      <c r="B7" t="s">
        <v>514</v>
      </c>
      <c r="C7" t="s">
        <v>103</v>
      </c>
      <c r="D7" s="3">
        <v>8.8000000000000007</v>
      </c>
      <c r="E7" s="3">
        <v>1</v>
      </c>
      <c r="F7" s="3">
        <v>-517.68899999999996</v>
      </c>
      <c r="G7" s="3">
        <v>-518.26599999999996</v>
      </c>
      <c r="H7" s="3">
        <f t="shared" si="16"/>
        <v>-0.57699999999999818</v>
      </c>
      <c r="I7" s="3">
        <v>-0.31</v>
      </c>
      <c r="J7" s="6">
        <v>-0.13</v>
      </c>
      <c r="K7" s="3">
        <f t="shared" si="17"/>
        <v>0.18</v>
      </c>
      <c r="L7" s="3">
        <v>0.13</v>
      </c>
      <c r="M7" s="6">
        <v>1.4E-2</v>
      </c>
      <c r="N7" s="3">
        <f t="shared" si="18"/>
        <v>-0.11600000000000001</v>
      </c>
      <c r="O7" s="3">
        <f t="shared" si="19"/>
        <v>0.09</v>
      </c>
      <c r="P7" s="3">
        <f t="shared" si="19"/>
        <v>5.8000000000000003E-2</v>
      </c>
      <c r="Q7" s="3">
        <f t="shared" si="20"/>
        <v>-3.1999999999999994E-2</v>
      </c>
      <c r="R7" s="3">
        <f t="shared" si="21"/>
        <v>0.44</v>
      </c>
      <c r="S7" s="3">
        <f t="shared" si="21"/>
        <v>0.14400000000000002</v>
      </c>
      <c r="T7" s="3">
        <f t="shared" si="22"/>
        <v>-0.29599999999999999</v>
      </c>
      <c r="U7" s="3">
        <f t="shared" si="23"/>
        <v>-0.09</v>
      </c>
      <c r="V7" s="3">
        <f t="shared" si="23"/>
        <v>-5.8000000000000003E-2</v>
      </c>
      <c r="W7" s="3">
        <f t="shared" si="24"/>
        <v>3.1999999999999994E-2</v>
      </c>
      <c r="X7" s="3">
        <f t="shared" si="0"/>
        <v>9.2045454545454548E-3</v>
      </c>
      <c r="Y7" s="3">
        <f t="shared" si="1"/>
        <v>1.1680555555555555E-2</v>
      </c>
      <c r="Z7" s="3">
        <f t="shared" si="25"/>
        <v>2.4760101010101003E-3</v>
      </c>
      <c r="AA7" s="3">
        <v>3.3220000000000001</v>
      </c>
      <c r="AB7" s="3">
        <v>3.992</v>
      </c>
      <c r="AC7" s="3">
        <f t="shared" si="26"/>
        <v>0.66999999999999993</v>
      </c>
      <c r="AD7" s="3">
        <f>-517.420789*627.50956</f>
        <v>-324686.49164024281</v>
      </c>
      <c r="AE7" s="3">
        <f>-518.073911*627.50956</f>
        <v>-325096.33193908911</v>
      </c>
      <c r="AF7" s="3">
        <f t="shared" si="27"/>
        <v>-409.84029884630581</v>
      </c>
      <c r="AG7" s="3">
        <f>-517.466309*627.50956</f>
        <v>-324715.05587541405</v>
      </c>
      <c r="AH7" s="3">
        <f>-518.119527*627.50956</f>
        <v>-325124.95641517808</v>
      </c>
      <c r="AI7" s="3">
        <f t="shared" si="28"/>
        <v>-409.90053976402851</v>
      </c>
      <c r="AJ7" s="3">
        <v>-0.61099999999999999</v>
      </c>
      <c r="AK7" s="3">
        <v>-0.70399999999999996</v>
      </c>
      <c r="AL7" s="3">
        <f t="shared" si="29"/>
        <v>-9.2999999999999972E-2</v>
      </c>
      <c r="AM7" s="3">
        <v>168.21449999999999</v>
      </c>
      <c r="AN7" s="3">
        <v>238.73849999999999</v>
      </c>
      <c r="AO7" s="3">
        <v>261.43759999999997</v>
      </c>
      <c r="AP7" s="3">
        <f t="shared" si="30"/>
        <v>1.2076276437499034</v>
      </c>
      <c r="AQ7" s="3">
        <v>11.91</v>
      </c>
      <c r="AR7" s="3">
        <v>2.7986</v>
      </c>
      <c r="AS7" s="3">
        <v>-959.76900000000001</v>
      </c>
      <c r="AT7" s="3">
        <v>-958.05</v>
      </c>
      <c r="AU7" s="3">
        <f t="shared" si="2"/>
        <v>-1.7190000000000509</v>
      </c>
      <c r="AV7" s="3">
        <v>-0.317</v>
      </c>
      <c r="AW7" s="3">
        <v>-0.45</v>
      </c>
      <c r="AX7" s="3">
        <f t="shared" si="3"/>
        <v>0.13300000000000001</v>
      </c>
      <c r="AY7" s="3">
        <v>-2.4E-2</v>
      </c>
      <c r="AZ7" s="3">
        <v>0.13500000000000001</v>
      </c>
      <c r="BA7" s="3">
        <f t="shared" si="4"/>
        <v>-0.159</v>
      </c>
      <c r="BB7" s="3">
        <f t="shared" si="5"/>
        <v>0.17050000000000001</v>
      </c>
      <c r="BC7" s="3">
        <f t="shared" si="5"/>
        <v>0.1575</v>
      </c>
      <c r="BD7" s="3">
        <f t="shared" si="6"/>
        <v>1.3000000000000012E-2</v>
      </c>
      <c r="BE7" s="3">
        <f t="shared" si="7"/>
        <v>0.29299999999999998</v>
      </c>
      <c r="BF7" s="3">
        <f t="shared" si="7"/>
        <v>0.58499999999999996</v>
      </c>
      <c r="BG7" s="3">
        <f t="shared" si="8"/>
        <v>-0.29199999999999998</v>
      </c>
      <c r="BH7" s="3">
        <f t="shared" si="9"/>
        <v>-0.17050000000000001</v>
      </c>
      <c r="BI7" s="3">
        <f t="shared" si="9"/>
        <v>-0.1575</v>
      </c>
      <c r="BJ7" s="3">
        <f t="shared" si="31"/>
        <v>-1.3000000000000012E-2</v>
      </c>
      <c r="BK7" s="3">
        <f t="shared" si="10"/>
        <v>4.9607935153583631E-2</v>
      </c>
      <c r="BL7" s="3">
        <f t="shared" si="11"/>
        <v>2.120192307692308E-2</v>
      </c>
      <c r="BM7" s="3">
        <f t="shared" si="12"/>
        <v>2.8406012076660551E-2</v>
      </c>
      <c r="BN7" s="3">
        <v>2.2370000000000001</v>
      </c>
      <c r="BO7" s="3">
        <v>2.431</v>
      </c>
      <c r="BP7" s="3">
        <f t="shared" si="13"/>
        <v>-0.19399999999999995</v>
      </c>
      <c r="BQ7" s="3">
        <v>-602243.07700000005</v>
      </c>
      <c r="BR7" s="3">
        <v>-601163.24300000002</v>
      </c>
      <c r="BS7" s="3">
        <f t="shared" si="14"/>
        <v>-1079.8340000000317</v>
      </c>
      <c r="BT7" s="3">
        <v>-602262.36399999994</v>
      </c>
      <c r="BU7" s="3">
        <v>-601182.38500000001</v>
      </c>
      <c r="BV7" s="3">
        <f t="shared" si="15"/>
        <v>-1079.9789999999339</v>
      </c>
    </row>
    <row r="8" spans="1:74" x14ac:dyDescent="0.25">
      <c r="A8" t="s">
        <v>226</v>
      </c>
      <c r="B8" t="s">
        <v>514</v>
      </c>
      <c r="C8" t="s">
        <v>199</v>
      </c>
      <c r="D8" s="3">
        <v>9.4499999999999993</v>
      </c>
      <c r="E8" s="3">
        <v>0.54</v>
      </c>
      <c r="F8" s="3">
        <v>-263.93400000000003</v>
      </c>
      <c r="G8" s="3">
        <v>-265.62</v>
      </c>
      <c r="H8" s="3">
        <f t="shared" si="16"/>
        <v>-1.6859999999999786</v>
      </c>
      <c r="I8" s="3">
        <v>-0.31900000000000001</v>
      </c>
      <c r="J8" s="6">
        <v>-0.22900000000000001</v>
      </c>
      <c r="K8" s="3">
        <f t="shared" si="17"/>
        <v>0.09</v>
      </c>
      <c r="L8" s="3">
        <v>0.16</v>
      </c>
      <c r="M8" s="6">
        <v>2.1999999999999999E-2</v>
      </c>
      <c r="N8" s="3">
        <f t="shared" si="18"/>
        <v>-0.13800000000000001</v>
      </c>
      <c r="O8" s="3">
        <f t="shared" si="19"/>
        <v>7.9500000000000001E-2</v>
      </c>
      <c r="P8" s="3">
        <f t="shared" si="19"/>
        <v>0.10350000000000001</v>
      </c>
      <c r="Q8" s="3">
        <f t="shared" si="20"/>
        <v>2.4000000000000007E-2</v>
      </c>
      <c r="R8" s="3">
        <f t="shared" si="21"/>
        <v>0.47899999999999998</v>
      </c>
      <c r="S8" s="3">
        <f t="shared" si="21"/>
        <v>0.251</v>
      </c>
      <c r="T8" s="3">
        <f t="shared" si="22"/>
        <v>-0.22799999999999998</v>
      </c>
      <c r="U8" s="3">
        <f t="shared" si="23"/>
        <v>-7.9500000000000001E-2</v>
      </c>
      <c r="V8" s="3">
        <f t="shared" si="23"/>
        <v>-0.10350000000000001</v>
      </c>
      <c r="W8" s="3">
        <f t="shared" si="24"/>
        <v>-2.4000000000000007E-2</v>
      </c>
      <c r="X8" s="3">
        <f t="shared" si="0"/>
        <v>6.5973382045929028E-3</v>
      </c>
      <c r="Y8" s="3">
        <f t="shared" si="1"/>
        <v>2.1339143426294824E-2</v>
      </c>
      <c r="Z8" s="3">
        <f t="shared" si="25"/>
        <v>1.4741805221701921E-2</v>
      </c>
      <c r="AA8" s="3">
        <v>4.915</v>
      </c>
      <c r="AB8" s="3">
        <v>4.8019999999999996</v>
      </c>
      <c r="AC8" s="3">
        <f t="shared" si="26"/>
        <v>-0.11300000000000043</v>
      </c>
      <c r="AD8" s="3">
        <f>-263.822156*627.50956</f>
        <v>-165550.92502981136</v>
      </c>
      <c r="AE8" s="3">
        <f>-265.514951*627.50956</f>
        <v>-166613.17007543155</v>
      </c>
      <c r="AF8" s="3">
        <f t="shared" si="27"/>
        <v>-1062.2450456201914</v>
      </c>
      <c r="AG8" s="3">
        <f>-263.857223*627.50956</f>
        <v>-165572.92990755185</v>
      </c>
      <c r="AH8" s="3">
        <f>-265.55039*627.50956</f>
        <v>-166635.40838672838</v>
      </c>
      <c r="AI8" s="3">
        <f t="shared" si="28"/>
        <v>-1062.4784791765269</v>
      </c>
      <c r="AJ8" s="3">
        <v>-0.60299999999999998</v>
      </c>
      <c r="AK8" s="3">
        <v>-0.54100000000000004</v>
      </c>
      <c r="AL8" s="3">
        <f t="shared" si="29"/>
        <v>6.1999999999999944E-2</v>
      </c>
      <c r="AM8" s="3">
        <v>82.103800000000007</v>
      </c>
      <c r="AN8" s="3">
        <v>140.22499999999999</v>
      </c>
      <c r="AO8" s="3">
        <v>134.429</v>
      </c>
      <c r="AP8" s="3">
        <f t="shared" si="30"/>
        <v>1.1051454001805756</v>
      </c>
      <c r="AQ8" s="3">
        <v>7.7590000000000003</v>
      </c>
      <c r="AR8" s="3">
        <v>1.5445</v>
      </c>
      <c r="AS8" s="3">
        <v>-76.454999999999998</v>
      </c>
      <c r="AT8" s="3">
        <v>-76.055000000000007</v>
      </c>
      <c r="AU8" s="3">
        <f t="shared" si="2"/>
        <v>-0.39999999999999147</v>
      </c>
      <c r="AV8" s="3">
        <v>-0.30399999999999999</v>
      </c>
      <c r="AW8" s="3">
        <v>-0.505</v>
      </c>
      <c r="AX8" s="3">
        <f t="shared" si="3"/>
        <v>0.20100000000000001</v>
      </c>
      <c r="AY8" s="3">
        <v>0.04</v>
      </c>
      <c r="AZ8" s="3">
        <v>0.16400000000000001</v>
      </c>
      <c r="BA8" s="3">
        <f t="shared" si="4"/>
        <v>-0.124</v>
      </c>
      <c r="BB8" s="3">
        <f t="shared" si="5"/>
        <v>0.13200000000000001</v>
      </c>
      <c r="BC8" s="3">
        <f t="shared" si="5"/>
        <v>0.17049999999999998</v>
      </c>
      <c r="BD8" s="3">
        <f t="shared" si="6"/>
        <v>-3.8499999999999979E-2</v>
      </c>
      <c r="BE8" s="3">
        <f t="shared" si="7"/>
        <v>0.34399999999999997</v>
      </c>
      <c r="BF8" s="3">
        <f t="shared" si="7"/>
        <v>0.66900000000000004</v>
      </c>
      <c r="BG8" s="3">
        <f t="shared" si="8"/>
        <v>-0.32500000000000007</v>
      </c>
      <c r="BH8" s="3">
        <f t="shared" si="9"/>
        <v>-0.13200000000000001</v>
      </c>
      <c r="BI8" s="3">
        <f t="shared" si="9"/>
        <v>-0.17049999999999998</v>
      </c>
      <c r="BJ8" s="3">
        <f t="shared" si="31"/>
        <v>3.8499999999999979E-2</v>
      </c>
      <c r="BK8" s="3">
        <f t="shared" si="10"/>
        <v>2.5325581395348844E-2</v>
      </c>
      <c r="BL8" s="3">
        <f t="shared" si="11"/>
        <v>2.1726644245141997E-2</v>
      </c>
      <c r="BM8" s="3">
        <f t="shared" si="12"/>
        <v>3.5989371502068469E-3</v>
      </c>
      <c r="BN8" s="3">
        <v>2.3010000000000002</v>
      </c>
      <c r="BO8" s="3">
        <v>2.3559999999999999</v>
      </c>
      <c r="BP8" s="3">
        <f t="shared" si="13"/>
        <v>-5.4999999999999716E-2</v>
      </c>
      <c r="BQ8" s="3">
        <v>-47960.305999999997</v>
      </c>
      <c r="BR8" s="3">
        <v>-47708.290999999997</v>
      </c>
      <c r="BS8" s="3">
        <f t="shared" si="14"/>
        <v>-252.01499999999942</v>
      </c>
      <c r="BT8" s="3">
        <v>-47973.754999999997</v>
      </c>
      <c r="BU8" s="3">
        <v>-47721.697</v>
      </c>
      <c r="BV8" s="3">
        <f t="shared" si="15"/>
        <v>-252.05799999999726</v>
      </c>
    </row>
    <row r="9" spans="1:74" x14ac:dyDescent="0.25">
      <c r="A9" t="s">
        <v>227</v>
      </c>
      <c r="B9" t="s">
        <v>514</v>
      </c>
      <c r="C9" t="s">
        <v>199</v>
      </c>
      <c r="D9" s="3">
        <v>9.48</v>
      </c>
      <c r="E9" s="3">
        <v>0.59</v>
      </c>
      <c r="F9" s="3">
        <v>-56.216000000000001</v>
      </c>
      <c r="G9" s="3">
        <v>-56.581000000000003</v>
      </c>
      <c r="H9" s="3">
        <f t="shared" si="16"/>
        <v>-0.36500000000000199</v>
      </c>
      <c r="I9" s="3">
        <v>-0.43</v>
      </c>
      <c r="J9" s="6">
        <v>-0.26800000000000002</v>
      </c>
      <c r="K9" s="3">
        <f t="shared" si="17"/>
        <v>0.16199999999999998</v>
      </c>
      <c r="L9" s="3">
        <v>0.16400000000000001</v>
      </c>
      <c r="M9" s="6">
        <v>4.4999999999999998E-2</v>
      </c>
      <c r="N9" s="3">
        <f t="shared" si="18"/>
        <v>-0.11900000000000001</v>
      </c>
      <c r="O9" s="3">
        <f t="shared" si="19"/>
        <v>0.13300000000000001</v>
      </c>
      <c r="P9" s="3">
        <f t="shared" si="19"/>
        <v>0.11150000000000002</v>
      </c>
      <c r="Q9" s="3">
        <f t="shared" si="20"/>
        <v>-2.1499999999999991E-2</v>
      </c>
      <c r="R9" s="3">
        <f t="shared" si="21"/>
        <v>0.59399999999999997</v>
      </c>
      <c r="S9" s="3">
        <f t="shared" si="21"/>
        <v>0.313</v>
      </c>
      <c r="T9" s="3">
        <f t="shared" si="22"/>
        <v>-0.28099999999999997</v>
      </c>
      <c r="U9" s="3">
        <f t="shared" si="23"/>
        <v>-0.13300000000000001</v>
      </c>
      <c r="V9" s="3">
        <f t="shared" si="23"/>
        <v>-0.11150000000000002</v>
      </c>
      <c r="W9" s="3">
        <f t="shared" si="24"/>
        <v>2.1499999999999991E-2</v>
      </c>
      <c r="X9" s="3">
        <f t="shared" si="0"/>
        <v>1.4889730639730644E-2</v>
      </c>
      <c r="Y9" s="3">
        <f t="shared" si="1"/>
        <v>1.9859824281150167E-2</v>
      </c>
      <c r="Z9" s="3">
        <f t="shared" si="25"/>
        <v>4.9700936414195235E-3</v>
      </c>
      <c r="AA9" s="3">
        <v>2.0019999999999998</v>
      </c>
      <c r="AB9" s="3">
        <v>2.0030000000000001</v>
      </c>
      <c r="AC9" s="3">
        <f t="shared" si="26"/>
        <v>1.000000000000334E-3</v>
      </c>
      <c r="AD9" s="3">
        <f>-56.175719*627.50956</f>
        <v>-35250.800712373639</v>
      </c>
      <c r="AE9" s="3">
        <f>-56.543411*627.50956</f>
        <v>-35481.53095750916</v>
      </c>
      <c r="AF9" s="3">
        <f t="shared" si="27"/>
        <v>-230.73024513552082</v>
      </c>
      <c r="AG9" s="3">
        <f>-56.197509*627.50956</f>
        <v>-35264.474145686036</v>
      </c>
      <c r="AH9" s="3">
        <f>-56.565251*627.50956</f>
        <v>-35495.235766299564</v>
      </c>
      <c r="AI9" s="3">
        <f t="shared" si="28"/>
        <v>-230.76162061352807</v>
      </c>
      <c r="AJ9" s="3">
        <v>-1.0249999999999999</v>
      </c>
      <c r="AK9" s="3">
        <v>-1.0429999999999999</v>
      </c>
      <c r="AL9" s="3">
        <f t="shared" si="29"/>
        <v>-1.8000000000000016E-2</v>
      </c>
      <c r="AM9" s="3">
        <v>17.0305</v>
      </c>
      <c r="AN9" s="3">
        <v>61.17</v>
      </c>
      <c r="AO9" s="3">
        <v>43.826900000000002</v>
      </c>
      <c r="AP9" s="3">
        <f t="shared" si="30"/>
        <v>1.0177331692510434</v>
      </c>
      <c r="AQ9" s="3">
        <v>4.0190000000000001</v>
      </c>
      <c r="AR9" s="3">
        <v>0.42259999999999998</v>
      </c>
      <c r="AS9" s="3">
        <v>-76.454999999999998</v>
      </c>
      <c r="AT9" s="3">
        <v>-76.055000000000007</v>
      </c>
      <c r="AU9" s="3">
        <f t="shared" si="2"/>
        <v>-0.39999999999999147</v>
      </c>
      <c r="AV9" s="3">
        <v>-0.30399999999999999</v>
      </c>
      <c r="AW9" s="3">
        <v>-0.505</v>
      </c>
      <c r="AX9" s="3">
        <f t="shared" si="3"/>
        <v>0.20100000000000001</v>
      </c>
      <c r="AY9" s="3">
        <v>0.04</v>
      </c>
      <c r="AZ9" s="3">
        <v>0.16400000000000001</v>
      </c>
      <c r="BA9" s="3">
        <f t="shared" si="4"/>
        <v>-0.124</v>
      </c>
      <c r="BB9" s="3">
        <f t="shared" si="5"/>
        <v>0.13200000000000001</v>
      </c>
      <c r="BC9" s="3">
        <f t="shared" si="5"/>
        <v>0.17049999999999998</v>
      </c>
      <c r="BD9" s="3">
        <f t="shared" si="6"/>
        <v>-3.8499999999999979E-2</v>
      </c>
      <c r="BE9" s="3">
        <f t="shared" si="7"/>
        <v>0.34399999999999997</v>
      </c>
      <c r="BF9" s="3">
        <f t="shared" si="7"/>
        <v>0.66900000000000004</v>
      </c>
      <c r="BG9" s="3">
        <f t="shared" si="8"/>
        <v>-0.32500000000000007</v>
      </c>
      <c r="BH9" s="3">
        <f t="shared" si="9"/>
        <v>-0.13200000000000001</v>
      </c>
      <c r="BI9" s="3">
        <f t="shared" si="9"/>
        <v>-0.17049999999999998</v>
      </c>
      <c r="BJ9" s="3">
        <f t="shared" si="31"/>
        <v>3.8499999999999979E-2</v>
      </c>
      <c r="BK9" s="3">
        <f t="shared" si="10"/>
        <v>2.5325581395348844E-2</v>
      </c>
      <c r="BL9" s="3">
        <f t="shared" si="11"/>
        <v>2.1726644245141997E-2</v>
      </c>
      <c r="BM9" s="3">
        <f t="shared" si="12"/>
        <v>3.5989371502068469E-3</v>
      </c>
      <c r="BN9" s="3">
        <v>2.3010000000000002</v>
      </c>
      <c r="BO9" s="3">
        <v>2.3559999999999999</v>
      </c>
      <c r="BP9" s="3">
        <f t="shared" si="13"/>
        <v>-5.4999999999999716E-2</v>
      </c>
      <c r="BQ9" s="3">
        <v>-47960.305999999997</v>
      </c>
      <c r="BR9" s="3">
        <v>-47708.290999999997</v>
      </c>
      <c r="BS9" s="3">
        <f t="shared" si="14"/>
        <v>-252.01499999999942</v>
      </c>
      <c r="BT9" s="3">
        <v>-47973.754999999997</v>
      </c>
      <c r="BU9" s="3">
        <v>-47721.697</v>
      </c>
      <c r="BV9" s="3">
        <f t="shared" si="15"/>
        <v>-252.05799999999726</v>
      </c>
    </row>
    <row r="10" spans="1:74" x14ac:dyDescent="0.25">
      <c r="A10" t="s">
        <v>228</v>
      </c>
      <c r="B10" t="s">
        <v>514</v>
      </c>
      <c r="C10" t="s">
        <v>103</v>
      </c>
      <c r="D10" s="3">
        <v>9.5299999999999994</v>
      </c>
      <c r="E10" s="3">
        <v>0.85</v>
      </c>
      <c r="F10" s="3">
        <v>-401.75599999999997</v>
      </c>
      <c r="G10" s="3">
        <v>-404.435</v>
      </c>
      <c r="H10" s="3">
        <f t="shared" si="16"/>
        <v>-2.6790000000000305</v>
      </c>
      <c r="I10" s="3">
        <v>-0.314</v>
      </c>
      <c r="J10" s="6">
        <v>-0.22500000000000001</v>
      </c>
      <c r="K10" s="3">
        <f t="shared" si="17"/>
        <v>8.8999999999999996E-2</v>
      </c>
      <c r="L10" s="3">
        <v>0.128</v>
      </c>
      <c r="M10" s="6">
        <v>-2.1000000000000001E-2</v>
      </c>
      <c r="N10" s="3">
        <f t="shared" si="18"/>
        <v>-0.14899999999999999</v>
      </c>
      <c r="O10" s="3">
        <f t="shared" si="19"/>
        <v>9.2999999999999999E-2</v>
      </c>
      <c r="P10" s="3">
        <f t="shared" si="19"/>
        <v>0.123</v>
      </c>
      <c r="Q10" s="3">
        <f t="shared" si="20"/>
        <v>0.03</v>
      </c>
      <c r="R10" s="3">
        <f t="shared" si="21"/>
        <v>0.442</v>
      </c>
      <c r="S10" s="3">
        <f t="shared" si="21"/>
        <v>0.20400000000000001</v>
      </c>
      <c r="T10" s="3">
        <f t="shared" si="22"/>
        <v>-0.23799999999999999</v>
      </c>
      <c r="U10" s="3">
        <f t="shared" si="23"/>
        <v>-9.2999999999999999E-2</v>
      </c>
      <c r="V10" s="3">
        <f t="shared" si="23"/>
        <v>-0.123</v>
      </c>
      <c r="W10" s="3">
        <f t="shared" si="24"/>
        <v>-0.03</v>
      </c>
      <c r="X10" s="3">
        <f t="shared" si="0"/>
        <v>9.7839366515837106E-3</v>
      </c>
      <c r="Y10" s="3">
        <f t="shared" si="1"/>
        <v>3.7080882352941172E-2</v>
      </c>
      <c r="Z10" s="3">
        <f t="shared" si="25"/>
        <v>2.7296945701357461E-2</v>
      </c>
      <c r="AA10" s="3">
        <v>3.004</v>
      </c>
      <c r="AB10" s="3">
        <v>2.8079999999999998</v>
      </c>
      <c r="AC10" s="3">
        <f t="shared" si="26"/>
        <v>-0.19600000000000017</v>
      </c>
      <c r="AD10" s="3">
        <f>-401.557654*627.50956</f>
        <v>-251981.26677617224</v>
      </c>
      <c r="AE10" s="3">
        <f>-404.248066*627.50956</f>
        <v>-253669.52602651095</v>
      </c>
      <c r="AF10" s="3">
        <f t="shared" si="27"/>
        <v>-1688.2592503387132</v>
      </c>
      <c r="AG10" s="3">
        <f>-401.603513*627.50956</f>
        <v>-252010.04373708428</v>
      </c>
      <c r="AH10" s="3">
        <f>-404.295149*627.50956</f>
        <v>-253699.07105912443</v>
      </c>
      <c r="AI10" s="3">
        <f t="shared" si="28"/>
        <v>-1689.0273220401432</v>
      </c>
      <c r="AJ10" s="3">
        <v>-0.59499999999999997</v>
      </c>
      <c r="AK10" s="3">
        <v>-0.501</v>
      </c>
      <c r="AL10" s="3">
        <f t="shared" si="29"/>
        <v>9.3999999999999972E-2</v>
      </c>
      <c r="AM10" s="3">
        <v>133.19</v>
      </c>
      <c r="AN10" s="3">
        <v>214.02799999999999</v>
      </c>
      <c r="AO10" s="3">
        <v>229.31100000000001</v>
      </c>
      <c r="AP10" s="3">
        <f t="shared" si="30"/>
        <v>1.1815260050373944</v>
      </c>
      <c r="AQ10" s="3">
        <v>10.554</v>
      </c>
      <c r="AR10" s="3">
        <v>2.3849999999999998</v>
      </c>
      <c r="AS10" s="3">
        <v>-959.76900000000001</v>
      </c>
      <c r="AT10" s="3">
        <v>-958.05</v>
      </c>
      <c r="AU10" s="3">
        <f t="shared" si="2"/>
        <v>-1.7190000000000509</v>
      </c>
      <c r="AV10" s="3">
        <v>-0.317</v>
      </c>
      <c r="AW10" s="3">
        <v>-0.45</v>
      </c>
      <c r="AX10" s="3">
        <f t="shared" si="3"/>
        <v>0.13300000000000001</v>
      </c>
      <c r="AY10" s="3">
        <v>-2.4E-2</v>
      </c>
      <c r="AZ10" s="3">
        <v>0.13500000000000001</v>
      </c>
      <c r="BA10" s="3">
        <f t="shared" si="4"/>
        <v>-0.159</v>
      </c>
      <c r="BB10" s="3">
        <f t="shared" si="5"/>
        <v>0.17050000000000001</v>
      </c>
      <c r="BC10" s="3">
        <f t="shared" si="5"/>
        <v>0.1575</v>
      </c>
      <c r="BD10" s="3">
        <f t="shared" si="6"/>
        <v>1.3000000000000012E-2</v>
      </c>
      <c r="BE10" s="3">
        <f t="shared" si="7"/>
        <v>0.29299999999999998</v>
      </c>
      <c r="BF10" s="3">
        <f t="shared" si="7"/>
        <v>0.58499999999999996</v>
      </c>
      <c r="BG10" s="3">
        <f t="shared" si="8"/>
        <v>-0.29199999999999998</v>
      </c>
      <c r="BH10" s="3">
        <f t="shared" si="9"/>
        <v>-0.17050000000000001</v>
      </c>
      <c r="BI10" s="3">
        <f t="shared" si="9"/>
        <v>-0.1575</v>
      </c>
      <c r="BJ10" s="3">
        <f t="shared" si="31"/>
        <v>-1.3000000000000012E-2</v>
      </c>
      <c r="BK10" s="3">
        <f t="shared" si="10"/>
        <v>4.9607935153583631E-2</v>
      </c>
      <c r="BL10" s="3">
        <f t="shared" si="11"/>
        <v>2.120192307692308E-2</v>
      </c>
      <c r="BM10" s="3">
        <f t="shared" si="12"/>
        <v>2.8406012076660551E-2</v>
      </c>
      <c r="BN10" s="3">
        <v>2.2370000000000001</v>
      </c>
      <c r="BO10" s="3">
        <v>2.431</v>
      </c>
      <c r="BP10" s="3">
        <f t="shared" si="13"/>
        <v>-0.19399999999999995</v>
      </c>
      <c r="BQ10" s="3">
        <v>-602243.07700000005</v>
      </c>
      <c r="BR10" s="3">
        <v>-601163.24300000002</v>
      </c>
      <c r="BS10" s="3">
        <f t="shared" si="14"/>
        <v>-1079.8340000000317</v>
      </c>
      <c r="BT10" s="3">
        <v>-602262.36399999994</v>
      </c>
      <c r="BU10" s="3">
        <v>-601182.38500000001</v>
      </c>
      <c r="BV10" s="3">
        <f t="shared" si="15"/>
        <v>-1079.9789999999339</v>
      </c>
    </row>
    <row r="11" spans="1:74" x14ac:dyDescent="0.25">
      <c r="A11" t="s">
        <v>229</v>
      </c>
      <c r="B11" t="s">
        <v>514</v>
      </c>
      <c r="C11" t="s">
        <v>199</v>
      </c>
      <c r="D11" s="3">
        <v>9.6300000000000008</v>
      </c>
      <c r="E11" s="3">
        <v>0.56999999999999995</v>
      </c>
      <c r="F11" s="3">
        <v>-224.88200000000001</v>
      </c>
      <c r="G11" s="3">
        <v>-226.28800000000001</v>
      </c>
      <c r="H11" s="3">
        <f t="shared" si="16"/>
        <v>-1.4060000000000059</v>
      </c>
      <c r="I11" s="3">
        <v>-0.32800000000000001</v>
      </c>
      <c r="J11" s="6">
        <v>-0.23899999999999999</v>
      </c>
      <c r="K11" s="3">
        <f t="shared" si="17"/>
        <v>8.9000000000000024E-2</v>
      </c>
      <c r="L11" s="3">
        <v>0.16500000000000001</v>
      </c>
      <c r="M11" s="6">
        <v>0.02</v>
      </c>
      <c r="N11" s="3">
        <f t="shared" si="18"/>
        <v>-0.14500000000000002</v>
      </c>
      <c r="O11" s="3">
        <f t="shared" si="19"/>
        <v>8.1500000000000003E-2</v>
      </c>
      <c r="P11" s="3">
        <f t="shared" si="19"/>
        <v>0.1095</v>
      </c>
      <c r="Q11" s="3">
        <f t="shared" si="20"/>
        <v>2.7999999999999997E-2</v>
      </c>
      <c r="R11" s="3">
        <f t="shared" si="21"/>
        <v>0.49299999999999999</v>
      </c>
      <c r="S11" s="3">
        <f t="shared" si="21"/>
        <v>0.25900000000000001</v>
      </c>
      <c r="T11" s="3">
        <f t="shared" si="22"/>
        <v>-0.23399999999999999</v>
      </c>
      <c r="U11" s="3">
        <f t="shared" si="23"/>
        <v>-8.1500000000000003E-2</v>
      </c>
      <c r="V11" s="3">
        <f t="shared" si="23"/>
        <v>-0.1095</v>
      </c>
      <c r="W11" s="3">
        <f t="shared" si="24"/>
        <v>-2.7999999999999997E-2</v>
      </c>
      <c r="X11" s="3">
        <f t="shared" si="0"/>
        <v>6.7365618661257617E-3</v>
      </c>
      <c r="Y11" s="3">
        <f t="shared" si="1"/>
        <v>2.3147200772200768E-2</v>
      </c>
      <c r="Z11" s="3">
        <f t="shared" si="25"/>
        <v>1.6410638906075005E-2</v>
      </c>
      <c r="AA11" s="3">
        <v>4.9180000000000001</v>
      </c>
      <c r="AB11" s="3">
        <v>4.8159999999999998</v>
      </c>
      <c r="AC11" s="3">
        <f t="shared" si="26"/>
        <v>-0.10200000000000031</v>
      </c>
      <c r="AD11" s="3">
        <f>-224.800672*627.50956</f>
        <v>-141064.5707744243</v>
      </c>
      <c r="AE11" s="3">
        <f>-226.211747*627.50956</f>
        <v>-141950.03382680131</v>
      </c>
      <c r="AF11" s="3">
        <f t="shared" si="27"/>
        <v>-885.46305237701745</v>
      </c>
      <c r="AG11" s="3">
        <f>-224.831275*627.50956</f>
        <v>-141083.77444948899</v>
      </c>
      <c r="AH11" s="3">
        <f>-226.242637*627.50956</f>
        <v>-141969.41759710971</v>
      </c>
      <c r="AI11" s="3">
        <f t="shared" si="28"/>
        <v>-885.64314762072172</v>
      </c>
      <c r="AJ11" s="3">
        <v>-0.58699999999999997</v>
      </c>
      <c r="AK11" s="3">
        <v>-0.53</v>
      </c>
      <c r="AL11" s="3">
        <f t="shared" si="29"/>
        <v>5.699999999999994E-2</v>
      </c>
      <c r="AM11" s="3">
        <v>68.076999999999998</v>
      </c>
      <c r="AN11" s="3">
        <v>115.40600000000001</v>
      </c>
      <c r="AO11" s="3">
        <v>105.5569</v>
      </c>
      <c r="AP11" s="3">
        <f t="shared" si="30"/>
        <v>1.0686280936247745</v>
      </c>
      <c r="AQ11" s="3">
        <v>6.6130000000000004</v>
      </c>
      <c r="AR11" s="3">
        <v>1.2456</v>
      </c>
      <c r="AS11" s="3">
        <v>-76.454999999999998</v>
      </c>
      <c r="AT11" s="3">
        <v>-76.055000000000007</v>
      </c>
      <c r="AU11" s="3">
        <f t="shared" si="2"/>
        <v>-0.39999999999999147</v>
      </c>
      <c r="AV11" s="3">
        <v>-0.30399999999999999</v>
      </c>
      <c r="AW11" s="3">
        <v>-0.505</v>
      </c>
      <c r="AX11" s="3">
        <f t="shared" si="3"/>
        <v>0.20100000000000001</v>
      </c>
      <c r="AY11" s="3">
        <v>0.04</v>
      </c>
      <c r="AZ11" s="3">
        <v>0.16400000000000001</v>
      </c>
      <c r="BA11" s="3">
        <f t="shared" si="4"/>
        <v>-0.124</v>
      </c>
      <c r="BB11" s="3">
        <f t="shared" si="5"/>
        <v>0.13200000000000001</v>
      </c>
      <c r="BC11" s="3">
        <f t="shared" si="5"/>
        <v>0.17049999999999998</v>
      </c>
      <c r="BD11" s="3">
        <f t="shared" si="6"/>
        <v>-3.8499999999999979E-2</v>
      </c>
      <c r="BE11" s="3">
        <f t="shared" si="7"/>
        <v>0.34399999999999997</v>
      </c>
      <c r="BF11" s="3">
        <f t="shared" si="7"/>
        <v>0.66900000000000004</v>
      </c>
      <c r="BG11" s="3">
        <f t="shared" si="8"/>
        <v>-0.32500000000000007</v>
      </c>
      <c r="BH11" s="3">
        <f t="shared" si="9"/>
        <v>-0.13200000000000001</v>
      </c>
      <c r="BI11" s="3">
        <f t="shared" si="9"/>
        <v>-0.17049999999999998</v>
      </c>
      <c r="BJ11" s="3">
        <f t="shared" si="31"/>
        <v>3.8499999999999979E-2</v>
      </c>
      <c r="BK11" s="3">
        <f t="shared" si="10"/>
        <v>2.5325581395348844E-2</v>
      </c>
      <c r="BL11" s="3">
        <f t="shared" si="11"/>
        <v>2.1726644245141997E-2</v>
      </c>
      <c r="BM11" s="3">
        <f t="shared" si="12"/>
        <v>3.5989371502068469E-3</v>
      </c>
      <c r="BN11" s="3">
        <v>2.3010000000000002</v>
      </c>
      <c r="BO11" s="3">
        <v>2.3559999999999999</v>
      </c>
      <c r="BP11" s="3">
        <f t="shared" si="13"/>
        <v>-5.4999999999999716E-2</v>
      </c>
      <c r="BQ11" s="3">
        <v>-47960.305999999997</v>
      </c>
      <c r="BR11" s="3">
        <v>-47708.290999999997</v>
      </c>
      <c r="BS11" s="3">
        <f t="shared" si="14"/>
        <v>-252.01499999999942</v>
      </c>
      <c r="BT11" s="3">
        <v>-47973.754999999997</v>
      </c>
      <c r="BU11" s="3">
        <v>-47721.697</v>
      </c>
      <c r="BV11" s="3">
        <f t="shared" si="15"/>
        <v>-252.05799999999726</v>
      </c>
    </row>
    <row r="12" spans="1:74" x14ac:dyDescent="0.25">
      <c r="A12" t="s">
        <v>230</v>
      </c>
      <c r="B12" t="s">
        <v>514</v>
      </c>
      <c r="C12" t="s">
        <v>103</v>
      </c>
      <c r="D12" s="3">
        <v>9.81</v>
      </c>
      <c r="E12" s="3">
        <v>0.77</v>
      </c>
      <c r="F12" s="3">
        <v>-284.92700000000002</v>
      </c>
      <c r="G12" s="3">
        <v>-286.68599999999998</v>
      </c>
      <c r="H12" s="3">
        <f t="shared" si="16"/>
        <v>-1.7589999999999577</v>
      </c>
      <c r="I12" s="3">
        <v>-0.376</v>
      </c>
      <c r="J12" s="6">
        <v>-0.251</v>
      </c>
      <c r="K12" s="3">
        <f t="shared" si="17"/>
        <v>0.125</v>
      </c>
      <c r="L12" s="3">
        <v>0.161</v>
      </c>
      <c r="M12" s="6">
        <v>0.02</v>
      </c>
      <c r="N12" s="3">
        <f t="shared" si="18"/>
        <v>-0.14100000000000001</v>
      </c>
      <c r="O12" s="3">
        <f t="shared" si="19"/>
        <v>0.1075</v>
      </c>
      <c r="P12" s="3">
        <f t="shared" si="19"/>
        <v>0.11550000000000001</v>
      </c>
      <c r="Q12" s="3">
        <f t="shared" si="20"/>
        <v>8.0000000000000071E-3</v>
      </c>
      <c r="R12" s="3">
        <f t="shared" si="21"/>
        <v>0.53700000000000003</v>
      </c>
      <c r="S12" s="3">
        <f t="shared" si="21"/>
        <v>0.27100000000000002</v>
      </c>
      <c r="T12" s="3">
        <f t="shared" si="22"/>
        <v>-0.26600000000000001</v>
      </c>
      <c r="U12" s="3">
        <f t="shared" si="23"/>
        <v>-0.1075</v>
      </c>
      <c r="V12" s="3">
        <f t="shared" si="23"/>
        <v>-0.11550000000000001</v>
      </c>
      <c r="W12" s="3">
        <f t="shared" si="24"/>
        <v>-8.0000000000000071E-3</v>
      </c>
      <c r="X12" s="3">
        <f t="shared" si="0"/>
        <v>1.0760009310986963E-2</v>
      </c>
      <c r="Y12" s="3">
        <f t="shared" si="1"/>
        <v>2.4613007380073802E-2</v>
      </c>
      <c r="Z12" s="3">
        <f t="shared" si="25"/>
        <v>1.3852998069086839E-2</v>
      </c>
      <c r="AA12" s="3">
        <v>1.798</v>
      </c>
      <c r="AB12" s="3">
        <v>1.6950000000000001</v>
      </c>
      <c r="AC12" s="3">
        <f t="shared" si="26"/>
        <v>-0.10299999999999998</v>
      </c>
      <c r="AD12" s="3">
        <f>-284.803294*627.50956</f>
        <v>-178716.78970449063</v>
      </c>
      <c r="AE12" s="3">
        <f>-286.570252*627.50956</f>
        <v>-179825.5727416091</v>
      </c>
      <c r="AF12" s="3">
        <f t="shared" si="27"/>
        <v>-1108.7830371184682</v>
      </c>
      <c r="AG12" s="3">
        <f>-284.839558*627.50956</f>
        <v>-178739.54571117449</v>
      </c>
      <c r="AH12" s="3">
        <f>-286.607008*627.50956</f>
        <v>-179848.63748299648</v>
      </c>
      <c r="AI12" s="3">
        <f t="shared" si="28"/>
        <v>-1109.0917718219862</v>
      </c>
      <c r="AJ12" s="3">
        <v>-0.64200000000000002</v>
      </c>
      <c r="AK12" s="3">
        <v>-0.55700000000000005</v>
      </c>
      <c r="AL12" s="3">
        <f t="shared" si="29"/>
        <v>8.4999999999999964E-2</v>
      </c>
      <c r="AM12" s="3">
        <v>85.103999999999999</v>
      </c>
      <c r="AN12" s="3">
        <v>144.18199999999999</v>
      </c>
      <c r="AO12" s="3">
        <v>139.62299999999999</v>
      </c>
      <c r="AP12" s="3">
        <f t="shared" si="30"/>
        <v>1.1079725963701368</v>
      </c>
      <c r="AQ12" s="3">
        <v>7.4729999999999999</v>
      </c>
      <c r="AR12" s="3">
        <v>1.5660000000000001</v>
      </c>
      <c r="AS12" s="3">
        <v>-959.76900000000001</v>
      </c>
      <c r="AT12" s="3">
        <v>-958.05</v>
      </c>
      <c r="AU12" s="3">
        <f t="shared" si="2"/>
        <v>-1.7190000000000509</v>
      </c>
      <c r="AV12" s="3">
        <v>-0.317</v>
      </c>
      <c r="AW12" s="3">
        <v>-0.45</v>
      </c>
      <c r="AX12" s="3">
        <f t="shared" si="3"/>
        <v>0.13300000000000001</v>
      </c>
      <c r="AY12" s="3">
        <v>-2.4E-2</v>
      </c>
      <c r="AZ12" s="3">
        <v>0.13500000000000001</v>
      </c>
      <c r="BA12" s="3">
        <f t="shared" si="4"/>
        <v>-0.159</v>
      </c>
      <c r="BB12" s="3">
        <f t="shared" si="5"/>
        <v>0.17050000000000001</v>
      </c>
      <c r="BC12" s="3">
        <f t="shared" si="5"/>
        <v>0.1575</v>
      </c>
      <c r="BD12" s="3">
        <f t="shared" si="6"/>
        <v>1.3000000000000012E-2</v>
      </c>
      <c r="BE12" s="3">
        <f t="shared" si="7"/>
        <v>0.29299999999999998</v>
      </c>
      <c r="BF12" s="3">
        <f t="shared" si="7"/>
        <v>0.58499999999999996</v>
      </c>
      <c r="BG12" s="3">
        <f t="shared" si="8"/>
        <v>-0.29199999999999998</v>
      </c>
      <c r="BH12" s="3">
        <f t="shared" si="9"/>
        <v>-0.17050000000000001</v>
      </c>
      <c r="BI12" s="3">
        <f t="shared" si="9"/>
        <v>-0.1575</v>
      </c>
      <c r="BJ12" s="3">
        <f t="shared" si="31"/>
        <v>-1.3000000000000012E-2</v>
      </c>
      <c r="BK12" s="3">
        <f t="shared" si="10"/>
        <v>4.9607935153583631E-2</v>
      </c>
      <c r="BL12" s="3">
        <f t="shared" si="11"/>
        <v>2.120192307692308E-2</v>
      </c>
      <c r="BM12" s="3">
        <f t="shared" si="12"/>
        <v>2.8406012076660551E-2</v>
      </c>
      <c r="BN12" s="3">
        <v>2.2370000000000001</v>
      </c>
      <c r="BO12" s="3">
        <v>2.431</v>
      </c>
      <c r="BP12" s="3">
        <f t="shared" si="13"/>
        <v>-0.19399999999999995</v>
      </c>
      <c r="BQ12" s="3">
        <v>-602243.07700000005</v>
      </c>
      <c r="BR12" s="3">
        <v>-601163.24300000002</v>
      </c>
      <c r="BS12" s="3">
        <f t="shared" si="14"/>
        <v>-1079.8340000000317</v>
      </c>
      <c r="BT12" s="3">
        <v>-602262.36399999994</v>
      </c>
      <c r="BU12" s="3">
        <v>-601182.38500000001</v>
      </c>
      <c r="BV12" s="3">
        <f t="shared" si="15"/>
        <v>-1079.9789999999339</v>
      </c>
    </row>
    <row r="13" spans="1:74" x14ac:dyDescent="0.25">
      <c r="A13" t="s">
        <v>231</v>
      </c>
      <c r="B13" t="s">
        <v>514</v>
      </c>
      <c r="C13" t="s">
        <v>199</v>
      </c>
      <c r="D13" s="3">
        <v>9.91</v>
      </c>
      <c r="E13" s="3">
        <v>0.55000000000000004</v>
      </c>
      <c r="F13" s="3">
        <v>-263.91899999999998</v>
      </c>
      <c r="G13" s="3">
        <v>-265.60599999999999</v>
      </c>
      <c r="H13" s="3">
        <f t="shared" si="16"/>
        <v>-1.6870000000000118</v>
      </c>
      <c r="I13" s="3">
        <v>-0.32500000000000001</v>
      </c>
      <c r="J13" s="6">
        <v>-0.23599999999999999</v>
      </c>
      <c r="K13" s="3">
        <f t="shared" si="17"/>
        <v>8.9000000000000024E-2</v>
      </c>
      <c r="L13" s="3">
        <v>0.16</v>
      </c>
      <c r="M13" s="6">
        <v>1.7000000000000001E-2</v>
      </c>
      <c r="N13" s="3">
        <f t="shared" si="18"/>
        <v>-0.14300000000000002</v>
      </c>
      <c r="O13" s="3">
        <f t="shared" si="19"/>
        <v>8.2500000000000004E-2</v>
      </c>
      <c r="P13" s="3">
        <f t="shared" si="19"/>
        <v>0.10949999999999999</v>
      </c>
      <c r="Q13" s="3">
        <f t="shared" si="20"/>
        <v>2.6999999999999982E-2</v>
      </c>
      <c r="R13" s="3">
        <f t="shared" si="21"/>
        <v>0.48499999999999999</v>
      </c>
      <c r="S13" s="3">
        <f t="shared" si="21"/>
        <v>0.253</v>
      </c>
      <c r="T13" s="3">
        <f t="shared" si="22"/>
        <v>-0.23199999999999998</v>
      </c>
      <c r="U13" s="3">
        <f t="shared" si="23"/>
        <v>-8.2500000000000004E-2</v>
      </c>
      <c r="V13" s="3">
        <f t="shared" si="23"/>
        <v>-0.10949999999999999</v>
      </c>
      <c r="W13" s="3">
        <f t="shared" si="24"/>
        <v>-2.6999999999999982E-2</v>
      </c>
      <c r="X13" s="3">
        <f t="shared" si="0"/>
        <v>7.0167525773195882E-3</v>
      </c>
      <c r="Y13" s="3">
        <f t="shared" si="1"/>
        <v>2.3696146245059283E-2</v>
      </c>
      <c r="Z13" s="3">
        <f t="shared" si="25"/>
        <v>1.6679393667739694E-2</v>
      </c>
      <c r="AA13" s="3">
        <v>5.38</v>
      </c>
      <c r="AB13" s="3">
        <v>5.274</v>
      </c>
      <c r="AC13" s="3">
        <f t="shared" si="26"/>
        <v>-0.10599999999999987</v>
      </c>
      <c r="AD13" s="3">
        <f>-263.807319*627.50956</f>
        <v>-165541.61467046963</v>
      </c>
      <c r="AE13" s="3">
        <f>-265.501003*627.50956</f>
        <v>-166604.41757208869</v>
      </c>
      <c r="AF13" s="3">
        <f t="shared" si="27"/>
        <v>-1062.8029016190558</v>
      </c>
      <c r="AG13" s="3">
        <f>-263.842162*627.50956</f>
        <v>-165563.47898606869</v>
      </c>
      <c r="AH13" s="3">
        <f>-265.536203*627.50956</f>
        <v>-166626.50590860067</v>
      </c>
      <c r="AI13" s="3">
        <f t="shared" si="28"/>
        <v>-1063.0269225319789</v>
      </c>
      <c r="AJ13" s="3">
        <v>-0.45100000000000001</v>
      </c>
      <c r="AK13" s="3">
        <v>-0.55100000000000005</v>
      </c>
      <c r="AL13" s="3">
        <f t="shared" si="29"/>
        <v>-0.10000000000000003</v>
      </c>
      <c r="AM13" s="3">
        <v>82.103800000000007</v>
      </c>
      <c r="AN13" s="3">
        <v>139.06870000000001</v>
      </c>
      <c r="AO13" s="3">
        <v>134.45349999999999</v>
      </c>
      <c r="AP13" s="3">
        <f t="shared" si="30"/>
        <v>1.0958991851456208</v>
      </c>
      <c r="AQ13" s="3">
        <v>7.7160000000000002</v>
      </c>
      <c r="AR13" s="3">
        <v>1.5368999999999999</v>
      </c>
      <c r="AS13" s="3">
        <v>-76.454999999999998</v>
      </c>
      <c r="AT13" s="3">
        <v>-76.055000000000007</v>
      </c>
      <c r="AU13" s="3">
        <f t="shared" si="2"/>
        <v>-0.39999999999999147</v>
      </c>
      <c r="AV13" s="3">
        <v>-0.30399999999999999</v>
      </c>
      <c r="AW13" s="3">
        <v>-0.505</v>
      </c>
      <c r="AX13" s="3">
        <f t="shared" si="3"/>
        <v>0.20100000000000001</v>
      </c>
      <c r="AY13" s="3">
        <v>0.04</v>
      </c>
      <c r="AZ13" s="3">
        <v>0.16400000000000001</v>
      </c>
      <c r="BA13" s="3">
        <f t="shared" si="4"/>
        <v>-0.124</v>
      </c>
      <c r="BB13" s="3">
        <f t="shared" si="5"/>
        <v>0.13200000000000001</v>
      </c>
      <c r="BC13" s="3">
        <f t="shared" si="5"/>
        <v>0.17049999999999998</v>
      </c>
      <c r="BD13" s="3">
        <f t="shared" si="6"/>
        <v>-3.8499999999999979E-2</v>
      </c>
      <c r="BE13" s="3">
        <f t="shared" si="7"/>
        <v>0.34399999999999997</v>
      </c>
      <c r="BF13" s="3">
        <f t="shared" si="7"/>
        <v>0.66900000000000004</v>
      </c>
      <c r="BG13" s="3">
        <f t="shared" si="8"/>
        <v>-0.32500000000000007</v>
      </c>
      <c r="BH13" s="3">
        <f t="shared" si="9"/>
        <v>-0.13200000000000001</v>
      </c>
      <c r="BI13" s="3">
        <f t="shared" si="9"/>
        <v>-0.17049999999999998</v>
      </c>
      <c r="BJ13" s="3">
        <f t="shared" si="31"/>
        <v>3.8499999999999979E-2</v>
      </c>
      <c r="BK13" s="3">
        <f t="shared" si="10"/>
        <v>2.5325581395348844E-2</v>
      </c>
      <c r="BL13" s="3">
        <f t="shared" si="11"/>
        <v>2.1726644245141997E-2</v>
      </c>
      <c r="BM13" s="3">
        <f t="shared" si="12"/>
        <v>3.5989371502068469E-3</v>
      </c>
      <c r="BN13" s="3">
        <v>2.3010000000000002</v>
      </c>
      <c r="BO13" s="3">
        <v>2.3559999999999999</v>
      </c>
      <c r="BP13" s="3">
        <f t="shared" si="13"/>
        <v>-5.4999999999999716E-2</v>
      </c>
      <c r="BQ13" s="3">
        <v>-47960.305999999997</v>
      </c>
      <c r="BR13" s="3">
        <v>-47708.290999999997</v>
      </c>
      <c r="BS13" s="3">
        <f t="shared" si="14"/>
        <v>-252.01499999999942</v>
      </c>
      <c r="BT13" s="3">
        <v>-47973.754999999997</v>
      </c>
      <c r="BU13" s="3">
        <v>-47721.697</v>
      </c>
      <c r="BV13" s="3">
        <f t="shared" si="15"/>
        <v>-252.05799999999726</v>
      </c>
    </row>
    <row r="14" spans="1:74" x14ac:dyDescent="0.25">
      <c r="A14" t="s">
        <v>232</v>
      </c>
      <c r="B14" t="s">
        <v>514</v>
      </c>
      <c r="C14" t="s">
        <v>200</v>
      </c>
      <c r="D14" s="3">
        <v>10.02</v>
      </c>
      <c r="E14" s="3">
        <v>0.85</v>
      </c>
      <c r="F14" s="3">
        <v>-416.625</v>
      </c>
      <c r="G14" s="3">
        <v>-419.30599999999998</v>
      </c>
      <c r="H14" s="3">
        <f t="shared" si="16"/>
        <v>-2.6809999999999832</v>
      </c>
      <c r="I14" s="3">
        <v>-0.307</v>
      </c>
      <c r="J14" s="6">
        <v>-0.23200000000000001</v>
      </c>
      <c r="K14" s="3">
        <f t="shared" si="17"/>
        <v>7.4999999999999983E-2</v>
      </c>
      <c r="L14" s="3">
        <v>0.11899999999999999</v>
      </c>
      <c r="M14" s="6">
        <v>-2.5000000000000001E-2</v>
      </c>
      <c r="N14" s="3">
        <f t="shared" si="18"/>
        <v>-0.14399999999999999</v>
      </c>
      <c r="O14" s="3">
        <f t="shared" si="19"/>
        <v>9.4E-2</v>
      </c>
      <c r="P14" s="3">
        <f t="shared" si="19"/>
        <v>0.1285</v>
      </c>
      <c r="Q14" s="3">
        <f t="shared" si="20"/>
        <v>3.4500000000000003E-2</v>
      </c>
      <c r="R14" s="3">
        <f t="shared" si="21"/>
        <v>0.42599999999999999</v>
      </c>
      <c r="S14" s="3">
        <f t="shared" si="21"/>
        <v>0.20700000000000002</v>
      </c>
      <c r="T14" s="3">
        <f t="shared" si="22"/>
        <v>-0.21899999999999997</v>
      </c>
      <c r="U14" s="3">
        <f t="shared" si="23"/>
        <v>-9.4E-2</v>
      </c>
      <c r="V14" s="3">
        <f t="shared" si="23"/>
        <v>-0.1285</v>
      </c>
      <c r="W14" s="3">
        <f t="shared" si="24"/>
        <v>-3.4500000000000003E-2</v>
      </c>
      <c r="X14" s="3">
        <f t="shared" si="0"/>
        <v>1.0370892018779342E-2</v>
      </c>
      <c r="Y14" s="3">
        <f t="shared" si="1"/>
        <v>3.9884661835748784E-2</v>
      </c>
      <c r="Z14" s="3">
        <f t="shared" si="25"/>
        <v>2.9513769816969442E-2</v>
      </c>
      <c r="AA14" s="3">
        <v>5.0579999999999998</v>
      </c>
      <c r="AB14" s="3">
        <v>4.9870000000000001</v>
      </c>
      <c r="AC14" s="3">
        <f t="shared" si="26"/>
        <v>-7.099999999999973E-2</v>
      </c>
      <c r="AD14" s="3">
        <f>-416.461456*627.50956</f>
        <v>-261333.54501151934</v>
      </c>
      <c r="AE14" s="3">
        <f>-419.151545*627.50956</f>
        <v>-263021.60157627019</v>
      </c>
      <c r="AF14" s="3">
        <f t="shared" si="27"/>
        <v>-1688.0565647508483</v>
      </c>
      <c r="AG14" s="3">
        <f>-416.502093*627.50956</f>
        <v>-261359.04511750906</v>
      </c>
      <c r="AH14" s="3">
        <f>-419.193071*627.50956</f>
        <v>-263047.65953825874</v>
      </c>
      <c r="AI14" s="3">
        <f t="shared" si="28"/>
        <v>-1688.6144207496836</v>
      </c>
      <c r="AJ14" s="3">
        <v>-0.628</v>
      </c>
      <c r="AK14" s="3">
        <v>-0.55700000000000005</v>
      </c>
      <c r="AL14" s="3">
        <f t="shared" si="29"/>
        <v>7.0999999999999952E-2</v>
      </c>
      <c r="AM14" s="3">
        <v>132.16249999999999</v>
      </c>
      <c r="AN14" s="3">
        <v>192.30860000000001</v>
      </c>
      <c r="AO14" s="3">
        <v>201.29079999999999</v>
      </c>
      <c r="AP14" s="3">
        <f t="shared" si="30"/>
        <v>1.157991503005992</v>
      </c>
      <c r="AQ14" s="3">
        <v>10.026999999999999</v>
      </c>
      <c r="AR14" s="3">
        <v>2.1758999999999999</v>
      </c>
      <c r="AS14" s="3">
        <v>-553.27200000000005</v>
      </c>
      <c r="AT14" s="3">
        <v>-551.61699999999996</v>
      </c>
      <c r="AU14" s="3">
        <f t="shared" si="2"/>
        <v>-1.6550000000000864</v>
      </c>
      <c r="AV14" s="3">
        <v>-0.23699999999999999</v>
      </c>
      <c r="AW14" s="3">
        <v>-0.36899999999999999</v>
      </c>
      <c r="AX14" s="3">
        <f t="shared" si="3"/>
        <v>0.13200000000000001</v>
      </c>
      <c r="AY14" s="3">
        <v>2.8000000000000001E-2</v>
      </c>
      <c r="AZ14" s="3">
        <v>0.154</v>
      </c>
      <c r="BA14" s="3">
        <f t="shared" si="4"/>
        <v>-0.126</v>
      </c>
      <c r="BB14" s="3">
        <f t="shared" si="5"/>
        <v>0.1045</v>
      </c>
      <c r="BC14" s="3">
        <f t="shared" si="5"/>
        <v>0.1075</v>
      </c>
      <c r="BD14" s="3">
        <f t="shared" si="6"/>
        <v>-3.0000000000000027E-3</v>
      </c>
      <c r="BE14" s="3">
        <f t="shared" si="7"/>
        <v>0.26500000000000001</v>
      </c>
      <c r="BF14" s="3">
        <f t="shared" si="7"/>
        <v>0.52300000000000002</v>
      </c>
      <c r="BG14" s="3">
        <f t="shared" si="8"/>
        <v>-0.25800000000000001</v>
      </c>
      <c r="BH14" s="3">
        <f t="shared" si="9"/>
        <v>-0.1045</v>
      </c>
      <c r="BI14" s="3">
        <f t="shared" si="9"/>
        <v>-0.1075</v>
      </c>
      <c r="BJ14" s="3">
        <f t="shared" si="31"/>
        <v>3.0000000000000027E-3</v>
      </c>
      <c r="BK14" s="3">
        <f t="shared" si="10"/>
        <v>2.0604245283018865E-2</v>
      </c>
      <c r="BL14" s="3">
        <f t="shared" si="11"/>
        <v>1.104804015296367E-2</v>
      </c>
      <c r="BM14" s="3">
        <f t="shared" si="12"/>
        <v>9.5562051300551957E-3</v>
      </c>
      <c r="BN14" s="3">
        <v>5.4870000000000001</v>
      </c>
      <c r="BO14" s="3">
        <v>6.0839999999999996</v>
      </c>
      <c r="BP14" s="3">
        <f t="shared" si="13"/>
        <v>-0.59699999999999953</v>
      </c>
      <c r="BQ14" s="3">
        <v>-347129.96399999998</v>
      </c>
      <c r="BR14" s="3">
        <v>-346087.64600000001</v>
      </c>
      <c r="BS14" s="3">
        <f t="shared" si="14"/>
        <v>-1042.3179999999702</v>
      </c>
      <c r="BT14" s="3">
        <v>-347152.04599999997</v>
      </c>
      <c r="BU14" s="3">
        <v>-346109.22600000002</v>
      </c>
      <c r="BV14" s="3">
        <f t="shared" si="15"/>
        <v>-1042.8199999999488</v>
      </c>
    </row>
    <row r="15" spans="1:74" x14ac:dyDescent="0.25">
      <c r="A15" t="s">
        <v>233</v>
      </c>
      <c r="B15" t="s">
        <v>514</v>
      </c>
      <c r="C15" t="s">
        <v>103</v>
      </c>
      <c r="D15" s="3">
        <v>10.029999999999999</v>
      </c>
      <c r="E15" s="3">
        <v>0.75</v>
      </c>
      <c r="F15" s="3">
        <v>-377.86500000000001</v>
      </c>
      <c r="G15" s="3">
        <v>-380.185</v>
      </c>
      <c r="H15" s="3">
        <f t="shared" si="16"/>
        <v>-2.3199999999999932</v>
      </c>
      <c r="I15" s="3">
        <v>-0.35799999999999998</v>
      </c>
      <c r="J15" s="6">
        <v>-0.246</v>
      </c>
      <c r="K15" s="3">
        <f t="shared" si="17"/>
        <v>0.11199999999999999</v>
      </c>
      <c r="L15" s="3">
        <v>0.14899999999999999</v>
      </c>
      <c r="M15" s="6">
        <v>-2.4E-2</v>
      </c>
      <c r="N15" s="3">
        <f t="shared" si="18"/>
        <v>-0.17299999999999999</v>
      </c>
      <c r="O15" s="3">
        <f t="shared" si="19"/>
        <v>0.1045</v>
      </c>
      <c r="P15" s="3">
        <f t="shared" si="19"/>
        <v>0.13500000000000001</v>
      </c>
      <c r="Q15" s="3">
        <f t="shared" si="20"/>
        <v>3.0500000000000013E-2</v>
      </c>
      <c r="R15" s="3">
        <f t="shared" si="21"/>
        <v>0.50700000000000001</v>
      </c>
      <c r="S15" s="3">
        <f t="shared" si="21"/>
        <v>0.222</v>
      </c>
      <c r="T15" s="3">
        <f t="shared" si="22"/>
        <v>-0.28500000000000003</v>
      </c>
      <c r="U15" s="3">
        <f t="shared" si="23"/>
        <v>-0.1045</v>
      </c>
      <c r="V15" s="3">
        <f t="shared" si="23"/>
        <v>-0.13500000000000001</v>
      </c>
      <c r="W15" s="3">
        <f t="shared" si="24"/>
        <v>-3.0500000000000013E-2</v>
      </c>
      <c r="X15" s="3">
        <f t="shared" si="0"/>
        <v>1.0769477317554239E-2</v>
      </c>
      <c r="Y15" s="3">
        <f t="shared" si="1"/>
        <v>4.1047297297297301E-2</v>
      </c>
      <c r="Z15" s="3">
        <f t="shared" si="25"/>
        <v>3.0277819979743062E-2</v>
      </c>
      <c r="AA15" s="3">
        <v>5.6210000000000004</v>
      </c>
      <c r="AB15" s="3">
        <v>5.3540000000000001</v>
      </c>
      <c r="AC15" s="3">
        <f t="shared" si="26"/>
        <v>-0.26700000000000035</v>
      </c>
      <c r="AD15" s="3">
        <f>-377.715356*627.50956</f>
        <v>-237019.99684880333</v>
      </c>
      <c r="AE15" s="3">
        <f>-380.045044*627.50956</f>
        <v>-238481.89834062062</v>
      </c>
      <c r="AF15" s="3">
        <f t="shared" si="27"/>
        <v>-1461.9014918172907</v>
      </c>
      <c r="AG15" s="3">
        <f>-377.757465*627.50956</f>
        <v>-237046.4206488654</v>
      </c>
      <c r="AH15" s="3">
        <f>-380.086716*627.50956</f>
        <v>-238508.04791900495</v>
      </c>
      <c r="AI15" s="3">
        <f t="shared" si="28"/>
        <v>-1461.6272701395501</v>
      </c>
      <c r="AJ15" s="3">
        <v>-0.6</v>
      </c>
      <c r="AK15" s="3">
        <v>-0.496</v>
      </c>
      <c r="AL15" s="3">
        <f t="shared" si="29"/>
        <v>0.10399999999999998</v>
      </c>
      <c r="AM15" s="3">
        <v>112.1298</v>
      </c>
      <c r="AN15" s="3">
        <v>166.11060000000001</v>
      </c>
      <c r="AO15" s="3">
        <v>171.72800000000001</v>
      </c>
      <c r="AP15" s="3">
        <f t="shared" si="30"/>
        <v>1.1119686825706236</v>
      </c>
      <c r="AQ15" s="3">
        <v>8.4979999999999993</v>
      </c>
      <c r="AR15" s="3">
        <v>1.9470000000000001</v>
      </c>
      <c r="AS15" s="3">
        <v>-959.76900000000001</v>
      </c>
      <c r="AT15" s="3">
        <v>-958.05</v>
      </c>
      <c r="AU15" s="3">
        <f t="shared" si="2"/>
        <v>-1.7190000000000509</v>
      </c>
      <c r="AV15" s="3">
        <v>-0.317</v>
      </c>
      <c r="AW15" s="3">
        <v>-0.45</v>
      </c>
      <c r="AX15" s="3">
        <f t="shared" si="3"/>
        <v>0.13300000000000001</v>
      </c>
      <c r="AY15" s="3">
        <v>-2.4E-2</v>
      </c>
      <c r="AZ15" s="3">
        <v>0.13500000000000001</v>
      </c>
      <c r="BA15" s="3">
        <f t="shared" si="4"/>
        <v>-0.159</v>
      </c>
      <c r="BB15" s="3">
        <f t="shared" si="5"/>
        <v>0.17050000000000001</v>
      </c>
      <c r="BC15" s="3">
        <f t="shared" si="5"/>
        <v>0.1575</v>
      </c>
      <c r="BD15" s="3">
        <f t="shared" si="6"/>
        <v>1.3000000000000012E-2</v>
      </c>
      <c r="BE15" s="3">
        <f t="shared" si="7"/>
        <v>0.29299999999999998</v>
      </c>
      <c r="BF15" s="3">
        <f t="shared" si="7"/>
        <v>0.58499999999999996</v>
      </c>
      <c r="BG15" s="3">
        <f t="shared" si="8"/>
        <v>-0.29199999999999998</v>
      </c>
      <c r="BH15" s="3">
        <f t="shared" si="9"/>
        <v>-0.17050000000000001</v>
      </c>
      <c r="BI15" s="3">
        <f t="shared" si="9"/>
        <v>-0.1575</v>
      </c>
      <c r="BJ15" s="3">
        <f t="shared" si="31"/>
        <v>-1.3000000000000012E-2</v>
      </c>
      <c r="BK15" s="3">
        <f t="shared" si="10"/>
        <v>4.9607935153583631E-2</v>
      </c>
      <c r="BL15" s="3">
        <f t="shared" si="11"/>
        <v>2.120192307692308E-2</v>
      </c>
      <c r="BM15" s="3">
        <f t="shared" si="12"/>
        <v>2.8406012076660551E-2</v>
      </c>
      <c r="BN15" s="3">
        <v>2.2370000000000001</v>
      </c>
      <c r="BO15" s="3">
        <v>2.431</v>
      </c>
      <c r="BP15" s="3">
        <f t="shared" si="13"/>
        <v>-0.19399999999999995</v>
      </c>
      <c r="BQ15" s="3">
        <v>-602243.07700000005</v>
      </c>
      <c r="BR15" s="3">
        <v>-601163.24300000002</v>
      </c>
      <c r="BS15" s="3">
        <f t="shared" si="14"/>
        <v>-1079.8340000000317</v>
      </c>
      <c r="BT15" s="3">
        <v>-602262.36399999994</v>
      </c>
      <c r="BU15" s="3">
        <v>-601182.38500000001</v>
      </c>
      <c r="BV15" s="3">
        <f t="shared" si="15"/>
        <v>-1079.9789999999339</v>
      </c>
    </row>
    <row r="16" spans="1:74" x14ac:dyDescent="0.25">
      <c r="A16" t="s">
        <v>234</v>
      </c>
      <c r="B16" t="s">
        <v>514</v>
      </c>
      <c r="C16" t="s">
        <v>199</v>
      </c>
      <c r="D16" s="3">
        <v>10.06</v>
      </c>
      <c r="E16" s="3">
        <v>0.71</v>
      </c>
      <c r="F16" s="3">
        <v>-636.99300000000005</v>
      </c>
      <c r="G16" s="3">
        <v>-640.76700000000005</v>
      </c>
      <c r="H16" s="3">
        <f t="shared" si="16"/>
        <v>-3.7740000000000009</v>
      </c>
      <c r="I16" s="3">
        <v>-0.27500000000000002</v>
      </c>
      <c r="J16" s="6">
        <v>-0.19</v>
      </c>
      <c r="K16" s="3">
        <f t="shared" si="17"/>
        <v>8.500000000000002E-2</v>
      </c>
      <c r="L16" s="3">
        <v>0.16</v>
      </c>
      <c r="M16" s="6">
        <v>2E-3</v>
      </c>
      <c r="N16" s="3">
        <f t="shared" si="18"/>
        <v>-0.158</v>
      </c>
      <c r="O16" s="3">
        <f t="shared" si="19"/>
        <v>5.7500000000000009E-2</v>
      </c>
      <c r="P16" s="3">
        <f t="shared" si="19"/>
        <v>9.4E-2</v>
      </c>
      <c r="Q16" s="3">
        <f t="shared" si="20"/>
        <v>3.6499999999999991E-2</v>
      </c>
      <c r="R16" s="3">
        <f t="shared" si="21"/>
        <v>0.43500000000000005</v>
      </c>
      <c r="S16" s="3">
        <f t="shared" si="21"/>
        <v>0.192</v>
      </c>
      <c r="T16" s="3">
        <f t="shared" si="22"/>
        <v>-0.24300000000000005</v>
      </c>
      <c r="U16" s="3">
        <f t="shared" si="23"/>
        <v>-5.7500000000000009E-2</v>
      </c>
      <c r="V16" s="3">
        <f t="shared" si="23"/>
        <v>-9.4E-2</v>
      </c>
      <c r="W16" s="3">
        <f t="shared" si="24"/>
        <v>-3.6499999999999991E-2</v>
      </c>
      <c r="X16" s="3">
        <f t="shared" si="0"/>
        <v>3.8002873563218399E-3</v>
      </c>
      <c r="Y16" s="3">
        <f t="shared" si="1"/>
        <v>2.3010416666666665E-2</v>
      </c>
      <c r="Z16" s="3">
        <f t="shared" si="25"/>
        <v>1.9210129310344826E-2</v>
      </c>
      <c r="AA16" s="3">
        <v>6.4470000000000001</v>
      </c>
      <c r="AB16" s="3">
        <v>6.1660000000000004</v>
      </c>
      <c r="AC16" s="3">
        <f t="shared" si="26"/>
        <v>-0.28099999999999969</v>
      </c>
      <c r="AD16" s="3">
        <f>-636.822971*627.50956</f>
        <v>-399612.50233010278</v>
      </c>
      <c r="AE16" s="3">
        <f>-640.608232*627.50956</f>
        <v>-401987.78979469795</v>
      </c>
      <c r="AF16" s="3">
        <f t="shared" si="27"/>
        <v>-2375.287464595167</v>
      </c>
      <c r="AG16" s="3">
        <f>-636.870762*627.50956</f>
        <v>-399642.49163948471</v>
      </c>
      <c r="AH16" s="3">
        <f>-640.657439*627.50956</f>
        <v>-402018.66765761678</v>
      </c>
      <c r="AI16" s="3">
        <f t="shared" si="28"/>
        <v>-2376.1760181320715</v>
      </c>
      <c r="AJ16" s="3">
        <v>-0.623</v>
      </c>
      <c r="AK16" s="3">
        <v>-0.57899999999999996</v>
      </c>
      <c r="AL16" s="3">
        <f t="shared" si="29"/>
        <v>4.4000000000000039E-2</v>
      </c>
      <c r="AM16" s="3">
        <v>179.15600000000001</v>
      </c>
      <c r="AN16" s="3">
        <v>207.63300000000001</v>
      </c>
      <c r="AO16" s="3">
        <v>223.67699999999999</v>
      </c>
      <c r="AP16" s="3">
        <f t="shared" si="30"/>
        <v>1.165390418569763</v>
      </c>
      <c r="AQ16" s="3">
        <v>9.8510000000000009</v>
      </c>
      <c r="AR16" s="3">
        <v>2.3424999999999998</v>
      </c>
      <c r="AS16" s="3">
        <v>-76.454999999999998</v>
      </c>
      <c r="AT16" s="3">
        <v>-76.055000000000007</v>
      </c>
      <c r="AU16" s="3">
        <f t="shared" si="2"/>
        <v>-0.39999999999999147</v>
      </c>
      <c r="AV16" s="3">
        <v>-0.30399999999999999</v>
      </c>
      <c r="AW16" s="3">
        <v>-0.505</v>
      </c>
      <c r="AX16" s="3">
        <f t="shared" si="3"/>
        <v>0.20100000000000001</v>
      </c>
      <c r="AY16" s="3">
        <v>0.04</v>
      </c>
      <c r="AZ16" s="3">
        <v>0.16400000000000001</v>
      </c>
      <c r="BA16" s="3">
        <f t="shared" si="4"/>
        <v>-0.124</v>
      </c>
      <c r="BB16" s="3">
        <f t="shared" si="5"/>
        <v>0.13200000000000001</v>
      </c>
      <c r="BC16" s="3">
        <f t="shared" si="5"/>
        <v>0.17049999999999998</v>
      </c>
      <c r="BD16" s="3">
        <f t="shared" si="6"/>
        <v>-3.8499999999999979E-2</v>
      </c>
      <c r="BE16" s="3">
        <f t="shared" si="7"/>
        <v>0.34399999999999997</v>
      </c>
      <c r="BF16" s="3">
        <f t="shared" si="7"/>
        <v>0.66900000000000004</v>
      </c>
      <c r="BG16" s="3">
        <f t="shared" si="8"/>
        <v>-0.32500000000000007</v>
      </c>
      <c r="BH16" s="3">
        <f t="shared" si="9"/>
        <v>-0.13200000000000001</v>
      </c>
      <c r="BI16" s="3">
        <f t="shared" si="9"/>
        <v>-0.17049999999999998</v>
      </c>
      <c r="BJ16" s="3">
        <f t="shared" si="31"/>
        <v>3.8499999999999979E-2</v>
      </c>
      <c r="BK16" s="3">
        <f t="shared" si="10"/>
        <v>2.5325581395348844E-2</v>
      </c>
      <c r="BL16" s="3">
        <f t="shared" si="11"/>
        <v>2.1726644245141997E-2</v>
      </c>
      <c r="BM16" s="3">
        <f t="shared" si="12"/>
        <v>3.5989371502068469E-3</v>
      </c>
      <c r="BN16" s="3">
        <v>2.3010000000000002</v>
      </c>
      <c r="BO16" s="3">
        <v>2.3559999999999999</v>
      </c>
      <c r="BP16" s="3">
        <f t="shared" si="13"/>
        <v>-5.4999999999999716E-2</v>
      </c>
      <c r="BQ16" s="3">
        <v>-47960.305999999997</v>
      </c>
      <c r="BR16" s="3">
        <v>-47708.290999999997</v>
      </c>
      <c r="BS16" s="3">
        <f t="shared" si="14"/>
        <v>-252.01499999999942</v>
      </c>
      <c r="BT16" s="3">
        <v>-47973.754999999997</v>
      </c>
      <c r="BU16" s="3">
        <v>-47721.697</v>
      </c>
      <c r="BV16" s="3">
        <f t="shared" si="15"/>
        <v>-252.05799999999726</v>
      </c>
    </row>
    <row r="17" spans="1:74" x14ac:dyDescent="0.25">
      <c r="A17" t="s">
        <v>235</v>
      </c>
      <c r="B17" t="s">
        <v>514</v>
      </c>
      <c r="C17" t="s">
        <v>99</v>
      </c>
      <c r="D17" s="3">
        <v>10.130000000000001</v>
      </c>
      <c r="E17" s="3">
        <v>0.75</v>
      </c>
      <c r="F17" s="3">
        <v>-430.96800000000002</v>
      </c>
      <c r="G17" s="3">
        <v>-433.03800000000001</v>
      </c>
      <c r="H17" s="3">
        <f t="shared" si="16"/>
        <v>-2.0699999999999932</v>
      </c>
      <c r="I17" s="3">
        <v>-0.41699999999999998</v>
      </c>
      <c r="J17" s="6">
        <v>-0.26200000000000001</v>
      </c>
      <c r="K17" s="3">
        <f t="shared" si="17"/>
        <v>0.15499999999999997</v>
      </c>
      <c r="L17" s="3">
        <v>0.16200000000000001</v>
      </c>
      <c r="M17" s="6">
        <v>4.1000000000000002E-2</v>
      </c>
      <c r="N17" s="3">
        <f t="shared" si="18"/>
        <v>-0.121</v>
      </c>
      <c r="O17" s="3">
        <f t="shared" si="19"/>
        <v>0.1275</v>
      </c>
      <c r="P17" s="3">
        <f t="shared" si="19"/>
        <v>0.1105</v>
      </c>
      <c r="Q17" s="3">
        <f t="shared" si="20"/>
        <v>-1.7000000000000001E-2</v>
      </c>
      <c r="R17" s="3">
        <f t="shared" si="21"/>
        <v>0.57899999999999996</v>
      </c>
      <c r="S17" s="3">
        <f t="shared" si="21"/>
        <v>0.30299999999999999</v>
      </c>
      <c r="T17" s="3">
        <f t="shared" si="22"/>
        <v>-0.27599999999999997</v>
      </c>
      <c r="U17" s="3">
        <f t="shared" si="23"/>
        <v>-0.1275</v>
      </c>
      <c r="V17" s="3">
        <f t="shared" si="23"/>
        <v>-0.1105</v>
      </c>
      <c r="W17" s="3">
        <f t="shared" si="24"/>
        <v>1.7000000000000001E-2</v>
      </c>
      <c r="X17" s="3">
        <f t="shared" si="0"/>
        <v>1.4038212435233162E-2</v>
      </c>
      <c r="Y17" s="3">
        <f t="shared" si="1"/>
        <v>2.0148927392739276E-2</v>
      </c>
      <c r="Z17" s="3">
        <f t="shared" si="25"/>
        <v>6.1107149575061141E-3</v>
      </c>
      <c r="AA17" s="3">
        <v>4.093</v>
      </c>
      <c r="AB17" s="3">
        <v>3.8879999999999999</v>
      </c>
      <c r="AC17" s="3">
        <f t="shared" si="26"/>
        <v>-0.20500000000000007</v>
      </c>
      <c r="AD17" s="3">
        <f>-430.885362*627.50956</f>
        <v>-270384.68391906068</v>
      </c>
      <c r="AE17" s="3">
        <f>-432.961302*627.50956</f>
        <v>-271687.35611504712</v>
      </c>
      <c r="AF17" s="3">
        <f t="shared" si="27"/>
        <v>-1302.6721959864371</v>
      </c>
      <c r="AG17" s="3">
        <f>-430.921608*627.50956</f>
        <v>-270407.42863057245</v>
      </c>
      <c r="AH17" s="3">
        <f>-432.998293*627.50956</f>
        <v>-271710.56832118105</v>
      </c>
      <c r="AI17" s="3">
        <f t="shared" si="28"/>
        <v>-1303.1396906086011</v>
      </c>
      <c r="AJ17" s="3">
        <v>-0.85299999999999998</v>
      </c>
      <c r="AK17" s="3">
        <v>-0.84699999999999998</v>
      </c>
      <c r="AL17" s="3">
        <f t="shared" si="29"/>
        <v>6.0000000000000053E-3</v>
      </c>
      <c r="AM17" s="3">
        <v>99.055000000000007</v>
      </c>
      <c r="AN17" s="3">
        <v>120.5326</v>
      </c>
      <c r="AO17" s="3">
        <v>110.0389</v>
      </c>
      <c r="AP17" s="3">
        <f t="shared" si="30"/>
        <v>1.0855828697315839</v>
      </c>
      <c r="AQ17" s="3">
        <v>7.0430000000000001</v>
      </c>
      <c r="AR17" s="3">
        <v>1.5297000000000001</v>
      </c>
      <c r="AS17" s="3">
        <v>-132.80099999999999</v>
      </c>
      <c r="AT17" s="3">
        <v>-131.97</v>
      </c>
      <c r="AU17" s="3">
        <f t="shared" si="2"/>
        <v>-0.83099999999998886</v>
      </c>
      <c r="AV17" s="3">
        <v>-0.34100000000000003</v>
      </c>
      <c r="AW17" s="3">
        <v>-0.47499999999999998</v>
      </c>
      <c r="AX17" s="3">
        <f t="shared" si="3"/>
        <v>0.13399999999999995</v>
      </c>
      <c r="AY17" s="3">
        <v>2.9000000000000001E-2</v>
      </c>
      <c r="AZ17" s="3">
        <v>0.156</v>
      </c>
      <c r="BA17" s="3">
        <f t="shared" si="4"/>
        <v>-0.127</v>
      </c>
      <c r="BB17" s="3">
        <f t="shared" si="5"/>
        <v>0.156</v>
      </c>
      <c r="BC17" s="3">
        <f t="shared" si="5"/>
        <v>0.15949999999999998</v>
      </c>
      <c r="BD17" s="3">
        <f t="shared" si="6"/>
        <v>-3.4999999999999754E-3</v>
      </c>
      <c r="BE17" s="3">
        <f t="shared" si="7"/>
        <v>0.37000000000000005</v>
      </c>
      <c r="BF17" s="3">
        <f t="shared" si="7"/>
        <v>0.63100000000000001</v>
      </c>
      <c r="BG17" s="3">
        <f t="shared" si="8"/>
        <v>-0.26099999999999995</v>
      </c>
      <c r="BH17" s="3">
        <f t="shared" si="9"/>
        <v>-0.156</v>
      </c>
      <c r="BI17" s="3">
        <f t="shared" si="9"/>
        <v>-0.15949999999999998</v>
      </c>
      <c r="BJ17" s="3">
        <f t="shared" si="31"/>
        <v>3.4999999999999754E-3</v>
      </c>
      <c r="BK17" s="3">
        <f t="shared" si="10"/>
        <v>3.2886486486486483E-2</v>
      </c>
      <c r="BL17" s="3">
        <f t="shared" si="11"/>
        <v>2.0158676703645E-2</v>
      </c>
      <c r="BM17" s="3">
        <f t="shared" si="12"/>
        <v>1.2727809782841482E-2</v>
      </c>
      <c r="BN17" s="3">
        <v>4.7279999999999998</v>
      </c>
      <c r="BO17" s="3">
        <v>4.9340000000000002</v>
      </c>
      <c r="BP17" s="3">
        <f t="shared" si="13"/>
        <v>-0.20600000000000041</v>
      </c>
      <c r="BQ17" s="3">
        <v>-83302.89</v>
      </c>
      <c r="BR17" s="3">
        <v>-82779.224000000002</v>
      </c>
      <c r="BS17" s="3">
        <f t="shared" si="14"/>
        <v>-523.66599999999744</v>
      </c>
      <c r="BT17" s="3">
        <v>-83320.774999999994</v>
      </c>
      <c r="BU17" s="3">
        <v>-82796.997000000003</v>
      </c>
      <c r="BV17" s="3">
        <f t="shared" si="15"/>
        <v>-523.77799999999115</v>
      </c>
    </row>
    <row r="18" spans="1:74" x14ac:dyDescent="0.25">
      <c r="A18" t="s">
        <v>236</v>
      </c>
      <c r="B18" t="s">
        <v>514</v>
      </c>
      <c r="C18" t="s">
        <v>103</v>
      </c>
      <c r="D18" s="3">
        <v>10.199999999999999</v>
      </c>
      <c r="E18" s="3">
        <v>0.71</v>
      </c>
      <c r="F18" s="3">
        <v>-607.57799999999997</v>
      </c>
      <c r="G18" s="3">
        <v>-609.66300000000001</v>
      </c>
      <c r="H18" s="3">
        <f t="shared" si="16"/>
        <v>-2.0850000000000364</v>
      </c>
      <c r="I18" s="3">
        <v>-0.34300000000000003</v>
      </c>
      <c r="J18" s="6">
        <v>-0.23699999999999999</v>
      </c>
      <c r="K18" s="3">
        <f t="shared" si="17"/>
        <v>0.10600000000000004</v>
      </c>
      <c r="L18" s="3">
        <v>0.14299999999999999</v>
      </c>
      <c r="M18" s="6">
        <v>-6.0000000000000001E-3</v>
      </c>
      <c r="N18" s="3">
        <f t="shared" si="18"/>
        <v>-0.14899999999999999</v>
      </c>
      <c r="O18" s="3">
        <f t="shared" si="19"/>
        <v>0.10000000000000002</v>
      </c>
      <c r="P18" s="3">
        <f t="shared" si="19"/>
        <v>0.1215</v>
      </c>
      <c r="Q18" s="3">
        <f t="shared" si="20"/>
        <v>2.1499999999999977E-2</v>
      </c>
      <c r="R18" s="3">
        <f t="shared" si="21"/>
        <v>0.48599999999999999</v>
      </c>
      <c r="S18" s="3">
        <f t="shared" si="21"/>
        <v>0.23099999999999998</v>
      </c>
      <c r="T18" s="3">
        <f t="shared" si="22"/>
        <v>-0.255</v>
      </c>
      <c r="U18" s="3">
        <f t="shared" si="23"/>
        <v>-0.10000000000000002</v>
      </c>
      <c r="V18" s="3">
        <f t="shared" si="23"/>
        <v>-0.1215</v>
      </c>
      <c r="W18" s="3">
        <f t="shared" si="24"/>
        <v>-2.1499999999999977E-2</v>
      </c>
      <c r="X18" s="3">
        <f t="shared" si="0"/>
        <v>1.0288065843621403E-2</v>
      </c>
      <c r="Y18" s="3">
        <f t="shared" si="1"/>
        <v>3.195292207792208E-2</v>
      </c>
      <c r="Z18" s="3">
        <f t="shared" si="25"/>
        <v>2.1664856234300679E-2</v>
      </c>
      <c r="AA18" s="3">
        <v>1.0760000000000001</v>
      </c>
      <c r="AB18" s="3">
        <v>0.96899999999999997</v>
      </c>
      <c r="AC18" s="3">
        <f t="shared" si="26"/>
        <v>-0.1070000000000001</v>
      </c>
      <c r="AD18" s="3">
        <f>-607.457686*627.50956</f>
        <v>-381185.50526047812</v>
      </c>
      <c r="AE18" s="3">
        <f>-609.549771*627.50956</f>
        <v>-382498.30859831074</v>
      </c>
      <c r="AF18" s="3">
        <f t="shared" si="27"/>
        <v>-1312.8033378326218</v>
      </c>
      <c r="AG18" s="3">
        <f>-607.494496*627.50956</f>
        <v>-381208.60388738173</v>
      </c>
      <c r="AH18" s="3">
        <f>-609.587296*627.50956</f>
        <v>-382521.85589454975</v>
      </c>
      <c r="AI18" s="3">
        <f t="shared" si="28"/>
        <v>-1313.2520071680192</v>
      </c>
      <c r="AJ18" s="3">
        <v>-0.57199999999999995</v>
      </c>
      <c r="AK18" s="3">
        <v>-0.498</v>
      </c>
      <c r="AL18" s="3">
        <f t="shared" si="29"/>
        <v>7.3999999999999955E-2</v>
      </c>
      <c r="AM18" s="3">
        <v>101.17</v>
      </c>
      <c r="AN18" s="3">
        <v>154.34100000000001</v>
      </c>
      <c r="AO18" s="3">
        <v>155.61070000000001</v>
      </c>
      <c r="AP18" s="3">
        <f t="shared" si="30"/>
        <v>1.1033440464570998</v>
      </c>
      <c r="AQ18" s="3">
        <v>7.9550000000000001</v>
      </c>
      <c r="AR18" s="3">
        <v>1.643</v>
      </c>
      <c r="AS18" s="3">
        <v>-959.76900000000001</v>
      </c>
      <c r="AT18" s="3">
        <v>-958.05</v>
      </c>
      <c r="AU18" s="3">
        <f t="shared" si="2"/>
        <v>-1.7190000000000509</v>
      </c>
      <c r="AV18" s="3">
        <v>-0.317</v>
      </c>
      <c r="AW18" s="3">
        <v>-0.45</v>
      </c>
      <c r="AX18" s="3">
        <f t="shared" si="3"/>
        <v>0.13300000000000001</v>
      </c>
      <c r="AY18" s="3">
        <v>-2.4E-2</v>
      </c>
      <c r="AZ18" s="3">
        <v>0.13500000000000001</v>
      </c>
      <c r="BA18" s="3">
        <f t="shared" si="4"/>
        <v>-0.159</v>
      </c>
      <c r="BB18" s="3">
        <f t="shared" ref="BB18:BC31" si="32">-(AV18+AY18)/2</f>
        <v>0.17050000000000001</v>
      </c>
      <c r="BC18" s="3">
        <f t="shared" si="32"/>
        <v>0.1575</v>
      </c>
      <c r="BD18" s="3">
        <f t="shared" si="6"/>
        <v>1.3000000000000012E-2</v>
      </c>
      <c r="BE18" s="3">
        <f t="shared" ref="BE18:BF31" si="33">AY18-AV18</f>
        <v>0.29299999999999998</v>
      </c>
      <c r="BF18" s="3">
        <f t="shared" si="33"/>
        <v>0.58499999999999996</v>
      </c>
      <c r="BG18" s="3">
        <f t="shared" si="8"/>
        <v>-0.29199999999999998</v>
      </c>
      <c r="BH18" s="3">
        <f t="shared" ref="BH18:BI31" si="34">(AV18+AY18)/2</f>
        <v>-0.17050000000000001</v>
      </c>
      <c r="BI18" s="3">
        <f t="shared" si="34"/>
        <v>-0.1575</v>
      </c>
      <c r="BJ18" s="3">
        <f t="shared" si="31"/>
        <v>-1.3000000000000012E-2</v>
      </c>
      <c r="BK18" s="3">
        <f t="shared" si="10"/>
        <v>4.9607935153583631E-2</v>
      </c>
      <c r="BL18" s="3">
        <f t="shared" si="11"/>
        <v>2.120192307692308E-2</v>
      </c>
      <c r="BM18" s="3">
        <f t="shared" si="12"/>
        <v>2.8406012076660551E-2</v>
      </c>
      <c r="BN18" s="3">
        <v>2.2370000000000001</v>
      </c>
      <c r="BO18" s="3">
        <v>2.431</v>
      </c>
      <c r="BP18" s="3">
        <f t="shared" si="13"/>
        <v>-0.19399999999999995</v>
      </c>
      <c r="BQ18" s="3">
        <v>-602243.07700000005</v>
      </c>
      <c r="BR18" s="3">
        <v>-601163.24300000002</v>
      </c>
      <c r="BS18" s="3">
        <f t="shared" si="14"/>
        <v>-1079.8340000000317</v>
      </c>
      <c r="BT18" s="3">
        <v>-602262.36399999994</v>
      </c>
      <c r="BU18" s="3">
        <v>-601182.38500000001</v>
      </c>
      <c r="BV18" s="3">
        <f t="shared" si="15"/>
        <v>-1079.9789999999339</v>
      </c>
    </row>
    <row r="19" spans="1:74" x14ac:dyDescent="0.25">
      <c r="A19" t="s">
        <v>237</v>
      </c>
      <c r="B19" t="s">
        <v>514</v>
      </c>
      <c r="C19" t="s">
        <v>200</v>
      </c>
      <c r="D19" s="3">
        <v>10.210000000000001</v>
      </c>
      <c r="E19" s="3">
        <v>0.85</v>
      </c>
      <c r="F19" s="3">
        <v>-455.67</v>
      </c>
      <c r="G19" s="3">
        <v>-458.63200000000001</v>
      </c>
      <c r="H19" s="3">
        <f t="shared" si="16"/>
        <v>-2.9619999999999891</v>
      </c>
      <c r="I19" s="3">
        <v>-0.3</v>
      </c>
      <c r="J19" s="6">
        <v>-0.22700000000000001</v>
      </c>
      <c r="K19" s="3">
        <f t="shared" si="17"/>
        <v>7.2999999999999982E-2</v>
      </c>
      <c r="L19" s="3">
        <v>0.12</v>
      </c>
      <c r="M19" s="6">
        <v>-2.3E-2</v>
      </c>
      <c r="N19" s="3">
        <f t="shared" si="18"/>
        <v>-0.14299999999999999</v>
      </c>
      <c r="O19" s="3">
        <f t="shared" si="19"/>
        <v>0.09</v>
      </c>
      <c r="P19" s="3">
        <f t="shared" si="19"/>
        <v>0.125</v>
      </c>
      <c r="Q19" s="3">
        <f t="shared" si="20"/>
        <v>3.5000000000000003E-2</v>
      </c>
      <c r="R19" s="3">
        <f t="shared" si="21"/>
        <v>0.42</v>
      </c>
      <c r="S19" s="3">
        <f t="shared" si="21"/>
        <v>0.20400000000000001</v>
      </c>
      <c r="T19" s="3">
        <f t="shared" si="22"/>
        <v>-0.21599999999999997</v>
      </c>
      <c r="U19" s="3">
        <f t="shared" si="23"/>
        <v>-0.09</v>
      </c>
      <c r="V19" s="3">
        <f t="shared" si="23"/>
        <v>-0.125</v>
      </c>
      <c r="W19" s="3">
        <f t="shared" si="24"/>
        <v>-3.5000000000000003E-2</v>
      </c>
      <c r="X19" s="3">
        <f t="shared" si="0"/>
        <v>9.6428571428571423E-3</v>
      </c>
      <c r="Y19" s="3">
        <f t="shared" si="1"/>
        <v>3.8296568627450976E-2</v>
      </c>
      <c r="Z19" s="3">
        <f t="shared" si="25"/>
        <v>2.8653711484593836E-2</v>
      </c>
      <c r="AA19" s="3">
        <v>4.8049999999999997</v>
      </c>
      <c r="AB19" s="3">
        <v>4.7050000000000001</v>
      </c>
      <c r="AC19" s="3">
        <f t="shared" si="26"/>
        <v>-9.9999999999999645E-2</v>
      </c>
      <c r="AD19" s="3">
        <f>-455.475741*627.50956</f>
        <v>-285815.38182558399</v>
      </c>
      <c r="AE19" s="3">
        <f>-458.449135*627.50956</f>
        <v>-287681.2149862306</v>
      </c>
      <c r="AF19" s="3">
        <f t="shared" si="27"/>
        <v>-1865.833160646609</v>
      </c>
      <c r="AG19" s="3">
        <f>-455.520608*627.50956</f>
        <v>-285843.53629701247</v>
      </c>
      <c r="AH19" s="3">
        <f>-458.495223*627.50956</f>
        <v>-287710.13564683188</v>
      </c>
      <c r="AI19" s="3">
        <f t="shared" si="28"/>
        <v>-1866.5993498194148</v>
      </c>
      <c r="AJ19" s="3">
        <v>-0.626</v>
      </c>
      <c r="AK19" s="3">
        <v>-0.55700000000000005</v>
      </c>
      <c r="AL19" s="3">
        <f t="shared" si="29"/>
        <v>6.899999999999995E-2</v>
      </c>
      <c r="AM19" s="3">
        <v>146.18899999999999</v>
      </c>
      <c r="AN19" s="3">
        <v>214.54249999999999</v>
      </c>
      <c r="AO19" s="3">
        <v>229.2337</v>
      </c>
      <c r="AP19" s="3">
        <f t="shared" si="30"/>
        <v>1.1846325036900347</v>
      </c>
      <c r="AQ19" s="3">
        <v>11.015000000000001</v>
      </c>
      <c r="AR19" s="3">
        <v>2.427</v>
      </c>
      <c r="AS19" s="3">
        <v>-553.27200000000005</v>
      </c>
      <c r="AT19" s="3">
        <v>-551.61699999999996</v>
      </c>
      <c r="AU19" s="3">
        <f t="shared" si="2"/>
        <v>-1.6550000000000864</v>
      </c>
      <c r="AV19" s="3">
        <v>-0.23699999999999999</v>
      </c>
      <c r="AW19" s="3">
        <v>-0.36899999999999999</v>
      </c>
      <c r="AX19" s="3">
        <f t="shared" si="3"/>
        <v>0.13200000000000001</v>
      </c>
      <c r="AY19" s="3">
        <v>2.8000000000000001E-2</v>
      </c>
      <c r="AZ19" s="3">
        <v>0.154</v>
      </c>
      <c r="BA19" s="3">
        <f t="shared" si="4"/>
        <v>-0.126</v>
      </c>
      <c r="BB19" s="3">
        <f t="shared" si="32"/>
        <v>0.1045</v>
      </c>
      <c r="BC19" s="3">
        <f t="shared" si="32"/>
        <v>0.1075</v>
      </c>
      <c r="BD19" s="3">
        <f t="shared" si="6"/>
        <v>-3.0000000000000027E-3</v>
      </c>
      <c r="BE19" s="3">
        <f t="shared" si="33"/>
        <v>0.26500000000000001</v>
      </c>
      <c r="BF19" s="3">
        <f t="shared" si="33"/>
        <v>0.52300000000000002</v>
      </c>
      <c r="BG19" s="3">
        <f t="shared" si="8"/>
        <v>-0.25800000000000001</v>
      </c>
      <c r="BH19" s="3">
        <f t="shared" si="34"/>
        <v>-0.1045</v>
      </c>
      <c r="BI19" s="3">
        <f t="shared" si="34"/>
        <v>-0.1075</v>
      </c>
      <c r="BJ19" s="3">
        <f t="shared" si="31"/>
        <v>3.0000000000000027E-3</v>
      </c>
      <c r="BK19" s="3">
        <f t="shared" si="10"/>
        <v>2.0604245283018865E-2</v>
      </c>
      <c r="BL19" s="3">
        <f t="shared" si="11"/>
        <v>1.104804015296367E-2</v>
      </c>
      <c r="BM19" s="3">
        <f t="shared" si="12"/>
        <v>9.5562051300551957E-3</v>
      </c>
      <c r="BN19" s="3">
        <v>5.4870000000000001</v>
      </c>
      <c r="BO19" s="3">
        <v>6.0839999999999996</v>
      </c>
      <c r="BP19" s="3">
        <f t="shared" si="13"/>
        <v>-0.59699999999999953</v>
      </c>
      <c r="BQ19" s="3">
        <v>-347129.96399999998</v>
      </c>
      <c r="BR19" s="3">
        <v>-346087.64600000001</v>
      </c>
      <c r="BS19" s="3">
        <f t="shared" si="14"/>
        <v>-1042.3179999999702</v>
      </c>
      <c r="BT19" s="3">
        <v>-347152.04599999997</v>
      </c>
      <c r="BU19" s="3">
        <v>-346109.22600000002</v>
      </c>
      <c r="BV19" s="3">
        <f t="shared" si="15"/>
        <v>-1042.8199999999488</v>
      </c>
    </row>
    <row r="20" spans="1:74" x14ac:dyDescent="0.25">
      <c r="A20" t="s">
        <v>238</v>
      </c>
      <c r="B20" t="s">
        <v>514</v>
      </c>
      <c r="C20" t="s">
        <v>99</v>
      </c>
      <c r="D20" s="3">
        <v>10.35</v>
      </c>
      <c r="E20" s="3">
        <v>0.76</v>
      </c>
      <c r="F20" s="3">
        <v>-224.00200000000001</v>
      </c>
      <c r="G20" s="3">
        <v>-225.29</v>
      </c>
      <c r="H20" s="3">
        <f t="shared" si="16"/>
        <v>-1.2879999999999825</v>
      </c>
      <c r="I20" s="3">
        <v>-0.40899999999999997</v>
      </c>
      <c r="J20" s="6">
        <v>-0.27</v>
      </c>
      <c r="K20" s="3">
        <f t="shared" si="17"/>
        <v>0.13899999999999996</v>
      </c>
      <c r="L20" s="3">
        <v>0.17</v>
      </c>
      <c r="M20" s="6">
        <v>1.4E-2</v>
      </c>
      <c r="N20" s="3">
        <f t="shared" si="18"/>
        <v>-0.156</v>
      </c>
      <c r="O20" s="3">
        <f t="shared" si="19"/>
        <v>0.11949999999999998</v>
      </c>
      <c r="P20" s="3">
        <f t="shared" si="19"/>
        <v>0.128</v>
      </c>
      <c r="Q20" s="3">
        <f t="shared" si="20"/>
        <v>8.5000000000000214E-3</v>
      </c>
      <c r="R20" s="3">
        <f t="shared" si="21"/>
        <v>0.57899999999999996</v>
      </c>
      <c r="S20" s="3">
        <f t="shared" si="21"/>
        <v>0.28400000000000003</v>
      </c>
      <c r="T20" s="3">
        <f t="shared" si="22"/>
        <v>-0.29499999999999993</v>
      </c>
      <c r="U20" s="3">
        <f t="shared" si="23"/>
        <v>-0.11949999999999998</v>
      </c>
      <c r="V20" s="3">
        <f t="shared" si="23"/>
        <v>-0.128</v>
      </c>
      <c r="W20" s="3">
        <f t="shared" si="24"/>
        <v>-8.5000000000000214E-3</v>
      </c>
      <c r="X20" s="3">
        <f t="shared" si="0"/>
        <v>1.2331822107081171E-2</v>
      </c>
      <c r="Y20" s="3">
        <f t="shared" si="1"/>
        <v>2.8845070422535205E-2</v>
      </c>
      <c r="Z20" s="3">
        <f t="shared" si="25"/>
        <v>1.6513248315454032E-2</v>
      </c>
      <c r="AA20" s="3">
        <v>3.3380000000000001</v>
      </c>
      <c r="AB20" s="3">
        <v>3.0819999999999999</v>
      </c>
      <c r="AC20" s="3">
        <f t="shared" si="26"/>
        <v>-0.25600000000000023</v>
      </c>
      <c r="AD20" s="3">
        <f>-223.928173*627.50956</f>
        <v>-140517.06931083387</v>
      </c>
      <c r="AE20" s="3">
        <f>-225.221188*627.50956</f>
        <v>-141328.44858455728</v>
      </c>
      <c r="AF20" s="3">
        <f t="shared" si="27"/>
        <v>-811.37927372340346</v>
      </c>
      <c r="AG20" s="3">
        <f>-223.960328*627.50956</f>
        <v>-140537.24688073568</v>
      </c>
      <c r="AH20" s="3">
        <f>-225.254142*627.50956</f>
        <v>-141349.1275345975</v>
      </c>
      <c r="AI20" s="3">
        <f t="shared" si="28"/>
        <v>-811.88065386182279</v>
      </c>
      <c r="AJ20" s="3">
        <v>-0.499</v>
      </c>
      <c r="AK20" s="3">
        <v>-0.438</v>
      </c>
      <c r="AL20" s="3">
        <f t="shared" si="29"/>
        <v>6.0999999999999999E-2</v>
      </c>
      <c r="AM20" s="3">
        <v>60.055</v>
      </c>
      <c r="AN20" s="3">
        <v>104.77079000000001</v>
      </c>
      <c r="AO20" s="3">
        <v>91.017660000000006</v>
      </c>
      <c r="AP20" s="3">
        <f t="shared" si="30"/>
        <v>1.0708921253775399</v>
      </c>
      <c r="AQ20" s="3">
        <v>6.0659999999999998</v>
      </c>
      <c r="AR20" s="3">
        <v>1.3060132799999999</v>
      </c>
      <c r="AS20" s="3">
        <v>-132.80099999999999</v>
      </c>
      <c r="AT20" s="3">
        <v>-131.97</v>
      </c>
      <c r="AU20" s="3">
        <f t="shared" si="2"/>
        <v>-0.83099999999998886</v>
      </c>
      <c r="AV20" s="3">
        <v>-0.34100000000000003</v>
      </c>
      <c r="AW20" s="3">
        <v>-0.47499999999999998</v>
      </c>
      <c r="AX20" s="3">
        <f t="shared" si="3"/>
        <v>0.13399999999999995</v>
      </c>
      <c r="AY20" s="3">
        <v>2.9000000000000001E-2</v>
      </c>
      <c r="AZ20" s="3">
        <v>0.156</v>
      </c>
      <c r="BA20" s="3">
        <f t="shared" si="4"/>
        <v>-0.127</v>
      </c>
      <c r="BB20" s="3">
        <f t="shared" si="32"/>
        <v>0.156</v>
      </c>
      <c r="BC20" s="3">
        <f t="shared" si="32"/>
        <v>0.15949999999999998</v>
      </c>
      <c r="BD20" s="3">
        <f t="shared" si="6"/>
        <v>-3.4999999999999754E-3</v>
      </c>
      <c r="BE20" s="3">
        <f t="shared" si="33"/>
        <v>0.37000000000000005</v>
      </c>
      <c r="BF20" s="3">
        <f t="shared" si="33"/>
        <v>0.63100000000000001</v>
      </c>
      <c r="BG20" s="3">
        <f t="shared" si="8"/>
        <v>-0.26099999999999995</v>
      </c>
      <c r="BH20" s="3">
        <f t="shared" si="34"/>
        <v>-0.156</v>
      </c>
      <c r="BI20" s="3">
        <f t="shared" si="34"/>
        <v>-0.15949999999999998</v>
      </c>
      <c r="BJ20" s="3">
        <f t="shared" si="31"/>
        <v>3.4999999999999754E-3</v>
      </c>
      <c r="BK20" s="3">
        <f t="shared" si="10"/>
        <v>3.2886486486486483E-2</v>
      </c>
      <c r="BL20" s="3">
        <f t="shared" si="11"/>
        <v>2.0158676703645E-2</v>
      </c>
      <c r="BM20" s="3">
        <f t="shared" si="12"/>
        <v>1.2727809782841482E-2</v>
      </c>
      <c r="BN20" s="3">
        <v>4.7279999999999998</v>
      </c>
      <c r="BO20" s="3">
        <v>4.9340000000000002</v>
      </c>
      <c r="BP20" s="3">
        <f t="shared" si="13"/>
        <v>-0.20600000000000041</v>
      </c>
      <c r="BQ20" s="3">
        <v>-83302.89</v>
      </c>
      <c r="BR20" s="3">
        <v>-82779.224000000002</v>
      </c>
      <c r="BS20" s="3">
        <f t="shared" si="14"/>
        <v>-523.66599999999744</v>
      </c>
      <c r="BT20" s="3">
        <v>-83320.774999999994</v>
      </c>
      <c r="BU20" s="3">
        <v>-82796.997000000003</v>
      </c>
      <c r="BV20" s="3">
        <f t="shared" si="15"/>
        <v>-523.77799999999115</v>
      </c>
    </row>
    <row r="21" spans="1:74" x14ac:dyDescent="0.25">
      <c r="A21" t="s">
        <v>239</v>
      </c>
      <c r="B21" t="s">
        <v>514</v>
      </c>
      <c r="C21" t="s">
        <v>99</v>
      </c>
      <c r="D21" s="3">
        <v>10.37</v>
      </c>
      <c r="E21" s="3">
        <v>0.82</v>
      </c>
      <c r="F21" s="3">
        <v>-416.60899999999998</v>
      </c>
      <c r="G21" s="3">
        <v>-419.29</v>
      </c>
      <c r="H21" s="3">
        <f t="shared" si="16"/>
        <v>-2.68100000000004</v>
      </c>
      <c r="I21" s="3">
        <v>-0.311</v>
      </c>
      <c r="J21" s="6">
        <v>-0.23400000000000001</v>
      </c>
      <c r="K21" s="3">
        <f t="shared" si="17"/>
        <v>7.6999999999999985E-2</v>
      </c>
      <c r="L21" s="3">
        <v>0.114</v>
      </c>
      <c r="M21" s="6">
        <v>-2.9000000000000001E-2</v>
      </c>
      <c r="N21" s="3">
        <f t="shared" si="18"/>
        <v>-0.14300000000000002</v>
      </c>
      <c r="O21" s="3">
        <f t="shared" si="19"/>
        <v>9.8500000000000004E-2</v>
      </c>
      <c r="P21" s="3">
        <f t="shared" si="19"/>
        <v>0.13150000000000001</v>
      </c>
      <c r="Q21" s="3">
        <f t="shared" si="20"/>
        <v>3.3000000000000002E-2</v>
      </c>
      <c r="R21" s="3">
        <f t="shared" si="21"/>
        <v>0.42499999999999999</v>
      </c>
      <c r="S21" s="3">
        <f t="shared" si="21"/>
        <v>0.20500000000000002</v>
      </c>
      <c r="T21" s="3">
        <f t="shared" si="22"/>
        <v>-0.21999999999999997</v>
      </c>
      <c r="U21" s="3">
        <f t="shared" si="23"/>
        <v>-9.8500000000000004E-2</v>
      </c>
      <c r="V21" s="3">
        <f t="shared" si="23"/>
        <v>-0.13150000000000001</v>
      </c>
      <c r="W21" s="3">
        <f t="shared" si="24"/>
        <v>-3.3000000000000002E-2</v>
      </c>
      <c r="X21" s="3">
        <f t="shared" si="0"/>
        <v>1.1414411764705883E-2</v>
      </c>
      <c r="Y21" s="3">
        <f t="shared" si="1"/>
        <v>4.2176219512195121E-2</v>
      </c>
      <c r="Z21" s="3">
        <f t="shared" si="25"/>
        <v>3.0761807747489239E-2</v>
      </c>
      <c r="AA21" s="3">
        <v>5.2779999999999996</v>
      </c>
      <c r="AB21" s="3">
        <v>5.194</v>
      </c>
      <c r="AC21" s="3">
        <f t="shared" si="26"/>
        <v>-8.3999999999999631E-2</v>
      </c>
      <c r="AD21" s="3">
        <f>-416.444804*627.50956</f>
        <v>-261323.09572232622</v>
      </c>
      <c r="AE21" s="3">
        <f>-419.136181*627.50956</f>
        <v>-263011.96051939036</v>
      </c>
      <c r="AF21" s="3">
        <f t="shared" si="27"/>
        <v>-1688.8647970641323</v>
      </c>
      <c r="AG21" s="3">
        <f>-416.484932*627.50956</f>
        <v>-261348.27642594991</v>
      </c>
      <c r="AH21" s="3">
        <f>-419.17708*627.50956</f>
        <v>-263037.62503288477</v>
      </c>
      <c r="AI21" s="3">
        <f t="shared" si="28"/>
        <v>-1689.3486069348583</v>
      </c>
      <c r="AJ21" s="3">
        <v>-0.47199999999999998</v>
      </c>
      <c r="AK21" s="3">
        <v>-0.39</v>
      </c>
      <c r="AL21" s="3">
        <f t="shared" si="29"/>
        <v>8.1999999999999962E-2</v>
      </c>
      <c r="AM21" s="3">
        <v>132.16252</v>
      </c>
      <c r="AN21" s="3">
        <v>188.89882</v>
      </c>
      <c r="AO21" s="3">
        <v>200.88409999999999</v>
      </c>
      <c r="AP21" s="3">
        <f t="shared" si="30"/>
        <v>1.1389941311072731</v>
      </c>
      <c r="AQ21" s="3">
        <v>9.6349999999999998</v>
      </c>
      <c r="AR21" s="3">
        <v>2.0779999999999998</v>
      </c>
      <c r="AS21" s="3">
        <v>-132.80099999999999</v>
      </c>
      <c r="AT21" s="3">
        <v>-131.97</v>
      </c>
      <c r="AU21" s="3">
        <f t="shared" si="2"/>
        <v>-0.83099999999998886</v>
      </c>
      <c r="AV21" s="3">
        <v>-0.34100000000000003</v>
      </c>
      <c r="AW21" s="3">
        <v>-0.47499999999999998</v>
      </c>
      <c r="AX21" s="3">
        <f t="shared" si="3"/>
        <v>0.13399999999999995</v>
      </c>
      <c r="AY21" s="3">
        <v>2.9000000000000001E-2</v>
      </c>
      <c r="AZ21" s="3">
        <v>0.156</v>
      </c>
      <c r="BA21" s="3">
        <f t="shared" si="4"/>
        <v>-0.127</v>
      </c>
      <c r="BB21" s="3">
        <f t="shared" si="32"/>
        <v>0.156</v>
      </c>
      <c r="BC21" s="3">
        <f t="shared" si="32"/>
        <v>0.15949999999999998</v>
      </c>
      <c r="BD21" s="3">
        <f t="shared" si="6"/>
        <v>-3.4999999999999754E-3</v>
      </c>
      <c r="BE21" s="3">
        <f t="shared" si="33"/>
        <v>0.37000000000000005</v>
      </c>
      <c r="BF21" s="3">
        <f t="shared" si="33"/>
        <v>0.63100000000000001</v>
      </c>
      <c r="BG21" s="3">
        <f t="shared" si="8"/>
        <v>-0.26099999999999995</v>
      </c>
      <c r="BH21" s="3">
        <f t="shared" si="34"/>
        <v>-0.156</v>
      </c>
      <c r="BI21" s="3">
        <f t="shared" si="34"/>
        <v>-0.15949999999999998</v>
      </c>
      <c r="BJ21" s="3">
        <f t="shared" si="31"/>
        <v>3.4999999999999754E-3</v>
      </c>
      <c r="BK21" s="3">
        <f t="shared" si="10"/>
        <v>3.2886486486486483E-2</v>
      </c>
      <c r="BL21" s="3">
        <f t="shared" si="11"/>
        <v>2.0158676703645E-2</v>
      </c>
      <c r="BM21" s="3">
        <f t="shared" si="12"/>
        <v>1.2727809782841482E-2</v>
      </c>
      <c r="BN21" s="3">
        <v>4.7279999999999998</v>
      </c>
      <c r="BO21" s="3">
        <v>4.9340000000000002</v>
      </c>
      <c r="BP21" s="3">
        <f t="shared" si="13"/>
        <v>-0.20600000000000041</v>
      </c>
      <c r="BQ21" s="3">
        <v>-83302.89</v>
      </c>
      <c r="BR21" s="3">
        <v>-82779.224000000002</v>
      </c>
      <c r="BS21" s="3">
        <f t="shared" si="14"/>
        <v>-523.66599999999744</v>
      </c>
      <c r="BT21" s="3">
        <v>-83320.774999999994</v>
      </c>
      <c r="BU21" s="3">
        <v>-82796.997000000003</v>
      </c>
      <c r="BV21" s="3">
        <f t="shared" si="15"/>
        <v>-523.77799999999115</v>
      </c>
    </row>
    <row r="22" spans="1:74" x14ac:dyDescent="0.25">
      <c r="A22" t="s">
        <v>240</v>
      </c>
      <c r="B22" t="s">
        <v>514</v>
      </c>
      <c r="C22" t="s">
        <v>103</v>
      </c>
      <c r="D22" s="3">
        <v>10.4</v>
      </c>
      <c r="E22" s="3">
        <v>1.04</v>
      </c>
      <c r="F22" s="3">
        <v>-534.87099999999998</v>
      </c>
      <c r="G22" s="3">
        <v>-538.43200000000002</v>
      </c>
      <c r="H22" s="3">
        <f t="shared" si="16"/>
        <v>-3.5610000000000355</v>
      </c>
      <c r="I22" s="3">
        <v>-0.33300000000000002</v>
      </c>
      <c r="J22" s="6">
        <v>-0.214</v>
      </c>
      <c r="K22" s="3">
        <f t="shared" si="17"/>
        <v>0.11900000000000002</v>
      </c>
      <c r="L22" s="3">
        <v>0.11700000000000001</v>
      </c>
      <c r="M22" s="6">
        <v>-3.1E-2</v>
      </c>
      <c r="N22" s="3">
        <f t="shared" si="18"/>
        <v>-0.14800000000000002</v>
      </c>
      <c r="O22" s="3">
        <f t="shared" si="19"/>
        <v>0.10800000000000001</v>
      </c>
      <c r="P22" s="3">
        <f t="shared" si="19"/>
        <v>0.1225</v>
      </c>
      <c r="Q22" s="3">
        <f t="shared" si="20"/>
        <v>1.4499999999999985E-2</v>
      </c>
      <c r="R22" s="3">
        <f t="shared" si="21"/>
        <v>0.45</v>
      </c>
      <c r="S22" s="3">
        <f t="shared" si="21"/>
        <v>0.183</v>
      </c>
      <c r="T22" s="3">
        <f t="shared" si="22"/>
        <v>-0.26700000000000002</v>
      </c>
      <c r="U22" s="3">
        <f t="shared" si="23"/>
        <v>-0.10800000000000001</v>
      </c>
      <c r="V22" s="3">
        <f t="shared" si="23"/>
        <v>-0.1225</v>
      </c>
      <c r="W22" s="3">
        <f t="shared" si="24"/>
        <v>-1.4499999999999985E-2</v>
      </c>
      <c r="X22" s="3">
        <f t="shared" si="0"/>
        <v>1.2960000000000003E-2</v>
      </c>
      <c r="Y22" s="3">
        <f t="shared" si="1"/>
        <v>4.1000683060109289E-2</v>
      </c>
      <c r="Z22" s="3">
        <f t="shared" si="25"/>
        <v>2.8040683060109286E-2</v>
      </c>
      <c r="AA22" s="3">
        <v>3.9780000000000002</v>
      </c>
      <c r="AB22" s="3">
        <v>3.8490000000000002</v>
      </c>
      <c r="AC22" s="3">
        <f t="shared" si="26"/>
        <v>-0.129</v>
      </c>
      <c r="AD22" s="3">
        <f>-534.588676*627.50956</f>
        <v>-335459.50485774252</v>
      </c>
      <c r="AE22" s="3">
        <f>-538.166414*627.50956</f>
        <v>-337704.56965591782</v>
      </c>
      <c r="AF22" s="3">
        <f t="shared" si="27"/>
        <v>-2245.0647981752991</v>
      </c>
      <c r="AG22" s="3">
        <f>-534.638072*627.50956</f>
        <v>-335490.50131996826</v>
      </c>
      <c r="AH22" s="3">
        <f>-538.21724*627.50956</f>
        <v>-337736.46345681435</v>
      </c>
      <c r="AI22" s="3">
        <f t="shared" si="28"/>
        <v>-2245.9621368460939</v>
      </c>
      <c r="AJ22" s="3">
        <v>-0.53300000000000003</v>
      </c>
      <c r="AK22" s="3">
        <v>-0.48199999999999998</v>
      </c>
      <c r="AL22" s="3">
        <f t="shared" si="29"/>
        <v>5.1000000000000045E-2</v>
      </c>
      <c r="AM22" s="3">
        <v>176.25814</v>
      </c>
      <c r="AN22" s="3">
        <v>242.458</v>
      </c>
      <c r="AO22" s="3">
        <v>288.86</v>
      </c>
      <c r="AP22" s="3">
        <f t="shared" si="30"/>
        <v>1.1475392023002973</v>
      </c>
      <c r="AQ22" s="3">
        <v>10.579000000000001</v>
      </c>
      <c r="AR22" s="3">
        <v>2.5045000000000002</v>
      </c>
      <c r="AS22" s="3">
        <v>-959.76900000000001</v>
      </c>
      <c r="AT22" s="3">
        <v>-958.05</v>
      </c>
      <c r="AU22" s="3">
        <f t="shared" si="2"/>
        <v>-1.7190000000000509</v>
      </c>
      <c r="AV22" s="3">
        <v>-0.317</v>
      </c>
      <c r="AW22" s="3">
        <v>-0.45</v>
      </c>
      <c r="AX22" s="3">
        <f t="shared" si="3"/>
        <v>0.13300000000000001</v>
      </c>
      <c r="AY22" s="3">
        <v>-2.4E-2</v>
      </c>
      <c r="AZ22" s="3">
        <v>0.13500000000000001</v>
      </c>
      <c r="BA22" s="3">
        <f t="shared" si="4"/>
        <v>-0.159</v>
      </c>
      <c r="BB22" s="3">
        <f t="shared" si="32"/>
        <v>0.17050000000000001</v>
      </c>
      <c r="BC22" s="3">
        <f t="shared" si="32"/>
        <v>0.1575</v>
      </c>
      <c r="BD22" s="3">
        <f t="shared" si="6"/>
        <v>1.3000000000000012E-2</v>
      </c>
      <c r="BE22" s="3">
        <f t="shared" si="33"/>
        <v>0.29299999999999998</v>
      </c>
      <c r="BF22" s="3">
        <f t="shared" si="33"/>
        <v>0.58499999999999996</v>
      </c>
      <c r="BG22" s="3">
        <f t="shared" si="8"/>
        <v>-0.29199999999999998</v>
      </c>
      <c r="BH22" s="3">
        <f t="shared" si="34"/>
        <v>-0.17050000000000001</v>
      </c>
      <c r="BI22" s="3">
        <f t="shared" si="34"/>
        <v>-0.1575</v>
      </c>
      <c r="BJ22" s="3">
        <f t="shared" si="31"/>
        <v>-1.3000000000000012E-2</v>
      </c>
      <c r="BK22" s="3">
        <f t="shared" si="10"/>
        <v>4.9607935153583631E-2</v>
      </c>
      <c r="BL22" s="3">
        <f t="shared" si="11"/>
        <v>2.120192307692308E-2</v>
      </c>
      <c r="BM22" s="3">
        <f t="shared" si="12"/>
        <v>2.8406012076660551E-2</v>
      </c>
      <c r="BN22" s="3">
        <v>2.2370000000000001</v>
      </c>
      <c r="BO22" s="3">
        <v>2.431</v>
      </c>
      <c r="BP22" s="3">
        <f t="shared" si="13"/>
        <v>-0.19399999999999995</v>
      </c>
      <c r="BQ22" s="3">
        <v>-602243.07700000005</v>
      </c>
      <c r="BR22" s="3">
        <v>-601163.24300000002</v>
      </c>
      <c r="BS22" s="3">
        <f t="shared" si="14"/>
        <v>-1079.8340000000317</v>
      </c>
      <c r="BT22" s="3">
        <v>-602262.36399999994</v>
      </c>
      <c r="BU22" s="3">
        <v>-601182.38500000001</v>
      </c>
      <c r="BV22" s="3">
        <f t="shared" si="15"/>
        <v>-1079.9789999999339</v>
      </c>
    </row>
    <row r="23" spans="1:74" x14ac:dyDescent="0.25">
      <c r="A23" t="s">
        <v>241</v>
      </c>
      <c r="B23" t="s">
        <v>514</v>
      </c>
      <c r="C23" t="s">
        <v>199</v>
      </c>
      <c r="D23" s="3">
        <v>10.48</v>
      </c>
      <c r="E23" s="3">
        <v>0.65</v>
      </c>
      <c r="F23" s="3">
        <v>-212.387</v>
      </c>
      <c r="G23" s="3">
        <v>-213.875</v>
      </c>
      <c r="H23" s="3">
        <f t="shared" si="16"/>
        <v>-1.4879999999999995</v>
      </c>
      <c r="I23" s="3">
        <v>-0.38800000000000001</v>
      </c>
      <c r="J23" s="6">
        <v>-0.24399999999999999</v>
      </c>
      <c r="K23" s="3">
        <f t="shared" si="17"/>
        <v>0.14400000000000002</v>
      </c>
      <c r="L23" s="3">
        <v>0.15</v>
      </c>
      <c r="M23" s="6">
        <v>3.4000000000000002E-2</v>
      </c>
      <c r="N23" s="3">
        <f t="shared" si="18"/>
        <v>-0.11599999999999999</v>
      </c>
      <c r="O23" s="3">
        <f t="shared" si="19"/>
        <v>0.11900000000000001</v>
      </c>
      <c r="P23" s="3">
        <f t="shared" si="19"/>
        <v>0.105</v>
      </c>
      <c r="Q23" s="3">
        <f t="shared" si="20"/>
        <v>-1.4000000000000012E-2</v>
      </c>
      <c r="R23" s="3">
        <f t="shared" si="21"/>
        <v>0.53800000000000003</v>
      </c>
      <c r="S23" s="3">
        <f t="shared" si="21"/>
        <v>0.27800000000000002</v>
      </c>
      <c r="T23" s="3">
        <f t="shared" si="22"/>
        <v>-0.26</v>
      </c>
      <c r="U23" s="3">
        <f t="shared" si="23"/>
        <v>-0.11900000000000001</v>
      </c>
      <c r="V23" s="3">
        <f t="shared" si="23"/>
        <v>-0.105</v>
      </c>
      <c r="W23" s="3">
        <f t="shared" si="24"/>
        <v>1.4000000000000012E-2</v>
      </c>
      <c r="X23" s="3">
        <f t="shared" si="0"/>
        <v>1.3160780669144983E-2</v>
      </c>
      <c r="Y23" s="3">
        <f t="shared" si="1"/>
        <v>1.9829136690647477E-2</v>
      </c>
      <c r="Z23" s="3">
        <f t="shared" si="25"/>
        <v>6.6683560215024945E-3</v>
      </c>
      <c r="AA23" s="3">
        <v>1.6779999999999999</v>
      </c>
      <c r="AB23" s="3">
        <v>1.635</v>
      </c>
      <c r="AC23" s="3">
        <f t="shared" si="26"/>
        <v>-4.2999999999999927E-2</v>
      </c>
      <c r="AD23" s="3">
        <f>-212.222469*627.50956</f>
        <v>-133171.62814430363</v>
      </c>
      <c r="AE23" s="3">
        <f>-213.719648*627.50956</f>
        <v>-134111.12227983488</v>
      </c>
      <c r="AF23" s="3">
        <f t="shared" si="27"/>
        <v>-939.49413553124759</v>
      </c>
      <c r="AG23" s="3">
        <f>-212.258514*627.50956</f>
        <v>-133194.24672639382</v>
      </c>
      <c r="AH23" s="3">
        <f>-213.756414*627.50956</f>
        <v>-134134.19329631783</v>
      </c>
      <c r="AI23" s="3">
        <f t="shared" si="28"/>
        <v>-939.94656992400996</v>
      </c>
      <c r="AJ23" s="3">
        <v>-0.877</v>
      </c>
      <c r="AK23" s="3">
        <v>-0.872</v>
      </c>
      <c r="AL23" s="3">
        <f t="shared" si="29"/>
        <v>5.0000000000000044E-3</v>
      </c>
      <c r="AM23" s="3">
        <v>73.136799999999994</v>
      </c>
      <c r="AN23" s="3">
        <v>149.09610000000001</v>
      </c>
      <c r="AO23" s="3">
        <v>155.10699</v>
      </c>
      <c r="AP23" s="3">
        <f t="shared" si="30"/>
        <v>1.0681559250486754</v>
      </c>
      <c r="AQ23" s="3">
        <v>6.726</v>
      </c>
      <c r="AR23" s="3">
        <v>1.51389</v>
      </c>
      <c r="AS23" s="3">
        <v>-76.454999999999998</v>
      </c>
      <c r="AT23" s="3">
        <v>-76.055000000000007</v>
      </c>
      <c r="AU23" s="3">
        <f t="shared" si="2"/>
        <v>-0.39999999999999147</v>
      </c>
      <c r="AV23" s="3">
        <v>-0.30399999999999999</v>
      </c>
      <c r="AW23" s="3">
        <v>-0.505</v>
      </c>
      <c r="AX23" s="3">
        <f t="shared" si="3"/>
        <v>0.20100000000000001</v>
      </c>
      <c r="AY23" s="3">
        <v>0.04</v>
      </c>
      <c r="AZ23" s="3">
        <v>0.16400000000000001</v>
      </c>
      <c r="BA23" s="3">
        <f t="shared" si="4"/>
        <v>-0.124</v>
      </c>
      <c r="BB23" s="3">
        <f t="shared" si="32"/>
        <v>0.13200000000000001</v>
      </c>
      <c r="BC23" s="3">
        <f t="shared" si="32"/>
        <v>0.17049999999999998</v>
      </c>
      <c r="BD23" s="3">
        <f t="shared" si="6"/>
        <v>-3.8499999999999979E-2</v>
      </c>
      <c r="BE23" s="3">
        <f t="shared" si="33"/>
        <v>0.34399999999999997</v>
      </c>
      <c r="BF23" s="3">
        <f t="shared" si="33"/>
        <v>0.66900000000000004</v>
      </c>
      <c r="BG23" s="3">
        <f t="shared" si="8"/>
        <v>-0.32500000000000007</v>
      </c>
      <c r="BH23" s="3">
        <f t="shared" si="34"/>
        <v>-0.13200000000000001</v>
      </c>
      <c r="BI23" s="3">
        <f t="shared" si="34"/>
        <v>-0.17049999999999998</v>
      </c>
      <c r="BJ23" s="3">
        <f t="shared" si="31"/>
        <v>3.8499999999999979E-2</v>
      </c>
      <c r="BK23" s="3">
        <f t="shared" si="10"/>
        <v>2.5325581395348844E-2</v>
      </c>
      <c r="BL23" s="3">
        <f t="shared" si="11"/>
        <v>2.1726644245141997E-2</v>
      </c>
      <c r="BM23" s="3">
        <f t="shared" si="12"/>
        <v>3.5989371502068469E-3</v>
      </c>
      <c r="BN23" s="3">
        <v>2.3010000000000002</v>
      </c>
      <c r="BO23" s="3">
        <v>2.3559999999999999</v>
      </c>
      <c r="BP23" s="3">
        <f t="shared" si="13"/>
        <v>-5.4999999999999716E-2</v>
      </c>
      <c r="BQ23" s="3">
        <v>-47960.305999999997</v>
      </c>
      <c r="BR23" s="3">
        <v>-47708.290999999997</v>
      </c>
      <c r="BS23" s="3">
        <f t="shared" si="14"/>
        <v>-252.01499999999942</v>
      </c>
      <c r="BT23" s="3">
        <v>-47973.754999999997</v>
      </c>
      <c r="BU23" s="3">
        <v>-47721.697</v>
      </c>
      <c r="BV23" s="3">
        <f t="shared" si="15"/>
        <v>-252.05799999999726</v>
      </c>
    </row>
    <row r="24" spans="1:74" x14ac:dyDescent="0.25">
      <c r="A24" t="s">
        <v>242</v>
      </c>
      <c r="B24" t="s">
        <v>514</v>
      </c>
      <c r="C24" t="s">
        <v>199</v>
      </c>
      <c r="D24" s="3">
        <v>10.5</v>
      </c>
      <c r="E24" s="3">
        <v>0.73</v>
      </c>
      <c r="F24" s="3">
        <v>-705.67700000000002</v>
      </c>
      <c r="G24" s="3">
        <v>-707.97299999999996</v>
      </c>
      <c r="H24" s="3">
        <f t="shared" si="16"/>
        <v>-2.2959999999999354</v>
      </c>
      <c r="I24" s="3">
        <v>-0.36299999999999999</v>
      </c>
      <c r="J24" s="6">
        <v>-0.27900000000000003</v>
      </c>
      <c r="K24" s="3">
        <f t="shared" si="17"/>
        <v>8.3999999999999964E-2</v>
      </c>
      <c r="L24" s="3">
        <v>0.1</v>
      </c>
      <c r="M24" s="6">
        <v>-4.5999999999999999E-2</v>
      </c>
      <c r="N24" s="3">
        <f t="shared" si="18"/>
        <v>-0.14600000000000002</v>
      </c>
      <c r="O24" s="3">
        <f t="shared" si="19"/>
        <v>0.13150000000000001</v>
      </c>
      <c r="P24" s="3">
        <f t="shared" si="19"/>
        <v>0.16250000000000001</v>
      </c>
      <c r="Q24" s="3">
        <f t="shared" si="20"/>
        <v>3.1E-2</v>
      </c>
      <c r="R24" s="3">
        <f t="shared" si="21"/>
        <v>0.46299999999999997</v>
      </c>
      <c r="S24" s="3">
        <f t="shared" si="21"/>
        <v>0.23300000000000004</v>
      </c>
      <c r="T24" s="3">
        <f t="shared" si="22"/>
        <v>-0.22999999999999993</v>
      </c>
      <c r="U24" s="3">
        <f t="shared" si="23"/>
        <v>-0.13150000000000001</v>
      </c>
      <c r="V24" s="3">
        <f t="shared" si="23"/>
        <v>-0.16250000000000001</v>
      </c>
      <c r="W24" s="3">
        <f t="shared" si="24"/>
        <v>-3.1E-2</v>
      </c>
      <c r="X24" s="3">
        <f t="shared" si="0"/>
        <v>1.8674136069114475E-2</v>
      </c>
      <c r="Y24" s="3">
        <f t="shared" si="1"/>
        <v>5.6665772532188838E-2</v>
      </c>
      <c r="Z24" s="3">
        <f t="shared" si="25"/>
        <v>3.7991636463074366E-2</v>
      </c>
      <c r="AA24" s="3">
        <v>0.51400000000000001</v>
      </c>
      <c r="AB24" s="3">
        <v>0.66800000000000004</v>
      </c>
      <c r="AC24" s="3">
        <f t="shared" si="26"/>
        <v>0.15400000000000003</v>
      </c>
      <c r="AD24" s="3">
        <f>-705.58609*627.50956</f>
        <v>-442762.01687802037</v>
      </c>
      <c r="AE24" s="3">
        <f>-707.887902*627.50956</f>
        <v>-444206.42591334315</v>
      </c>
      <c r="AF24" s="3">
        <f t="shared" si="27"/>
        <v>-1444.4090353227803</v>
      </c>
      <c r="AG24" s="3">
        <f>-705.621572*627.50956</f>
        <v>-442784.28217222833</v>
      </c>
      <c r="AH24" s="3">
        <f>-707.92396*627.50956</f>
        <v>-444229.05265305756</v>
      </c>
      <c r="AI24" s="3">
        <f t="shared" si="28"/>
        <v>-1444.7704808292328</v>
      </c>
      <c r="AJ24" s="3">
        <v>-0.53800000000000003</v>
      </c>
      <c r="AK24" s="3">
        <v>-0.48299999999999998</v>
      </c>
      <c r="AL24" s="3">
        <f t="shared" si="29"/>
        <v>5.5000000000000049E-2</v>
      </c>
      <c r="AM24" s="3">
        <v>113.5449</v>
      </c>
      <c r="AN24" s="3">
        <v>148.87472</v>
      </c>
      <c r="AO24" s="3">
        <v>147.57432</v>
      </c>
      <c r="AP24" s="3">
        <f t="shared" si="30"/>
        <v>1.1025620690910052</v>
      </c>
      <c r="AQ24" s="3">
        <v>7.2930000000000001</v>
      </c>
      <c r="AR24" s="3">
        <v>1.9023600000000001</v>
      </c>
      <c r="AS24" s="3">
        <v>-76.454999999999998</v>
      </c>
      <c r="AT24" s="3">
        <v>-76.055000000000007</v>
      </c>
      <c r="AU24" s="3">
        <f t="shared" si="2"/>
        <v>-0.39999999999999147</v>
      </c>
      <c r="AV24" s="3">
        <v>-0.30399999999999999</v>
      </c>
      <c r="AW24" s="3">
        <v>-0.505</v>
      </c>
      <c r="AX24" s="3">
        <f t="shared" si="3"/>
        <v>0.20100000000000001</v>
      </c>
      <c r="AY24" s="3">
        <v>0.04</v>
      </c>
      <c r="AZ24" s="3">
        <v>0.16400000000000001</v>
      </c>
      <c r="BA24" s="3">
        <f t="shared" si="4"/>
        <v>-0.124</v>
      </c>
      <c r="BB24" s="3">
        <f t="shared" si="32"/>
        <v>0.13200000000000001</v>
      </c>
      <c r="BC24" s="3">
        <f t="shared" si="32"/>
        <v>0.17049999999999998</v>
      </c>
      <c r="BD24" s="3">
        <f t="shared" si="6"/>
        <v>-3.8499999999999979E-2</v>
      </c>
      <c r="BE24" s="3">
        <f t="shared" si="33"/>
        <v>0.34399999999999997</v>
      </c>
      <c r="BF24" s="3">
        <f t="shared" si="33"/>
        <v>0.66900000000000004</v>
      </c>
      <c r="BG24" s="3">
        <f t="shared" si="8"/>
        <v>-0.32500000000000007</v>
      </c>
      <c r="BH24" s="3">
        <f t="shared" si="34"/>
        <v>-0.13200000000000001</v>
      </c>
      <c r="BI24" s="3">
        <f t="shared" si="34"/>
        <v>-0.17049999999999998</v>
      </c>
      <c r="BJ24" s="3">
        <f t="shared" si="31"/>
        <v>3.8499999999999979E-2</v>
      </c>
      <c r="BK24" s="3">
        <f t="shared" si="10"/>
        <v>2.5325581395348844E-2</v>
      </c>
      <c r="BL24" s="3">
        <f t="shared" si="11"/>
        <v>2.1726644245141997E-2</v>
      </c>
      <c r="BM24" s="3">
        <f t="shared" si="12"/>
        <v>3.5989371502068469E-3</v>
      </c>
      <c r="BN24" s="3">
        <v>2.3010000000000002</v>
      </c>
      <c r="BO24" s="3">
        <v>2.3559999999999999</v>
      </c>
      <c r="BP24" s="3">
        <f t="shared" si="13"/>
        <v>-5.4999999999999716E-2</v>
      </c>
      <c r="BQ24" s="3">
        <v>-47960.305999999997</v>
      </c>
      <c r="BR24" s="3">
        <v>-47708.290999999997</v>
      </c>
      <c r="BS24" s="3">
        <f t="shared" si="14"/>
        <v>-252.01499999999942</v>
      </c>
      <c r="BT24" s="3">
        <v>-47973.754999999997</v>
      </c>
      <c r="BU24" s="3">
        <v>-47721.697</v>
      </c>
      <c r="BV24" s="3">
        <f t="shared" si="15"/>
        <v>-252.05799999999726</v>
      </c>
    </row>
    <row r="25" spans="1:74" x14ac:dyDescent="0.25">
      <c r="A25" t="s">
        <v>243</v>
      </c>
      <c r="B25" t="s">
        <v>514</v>
      </c>
      <c r="C25" t="s">
        <v>200</v>
      </c>
      <c r="D25" s="3">
        <v>10.5</v>
      </c>
      <c r="E25" s="3">
        <v>0.79</v>
      </c>
      <c r="F25" s="3">
        <v>-377.57100000000003</v>
      </c>
      <c r="G25" s="3">
        <v>-379.97199999999998</v>
      </c>
      <c r="H25" s="3">
        <f t="shared" si="16"/>
        <v>-2.4009999999999536</v>
      </c>
      <c r="I25" s="3">
        <v>-0.313</v>
      </c>
      <c r="J25" s="6">
        <v>-0.23799999999999999</v>
      </c>
      <c r="K25" s="3">
        <f t="shared" si="17"/>
        <v>7.5000000000000011E-2</v>
      </c>
      <c r="L25" s="3">
        <v>0.115</v>
      </c>
      <c r="M25" s="6">
        <v>-2.9000000000000001E-2</v>
      </c>
      <c r="N25" s="3">
        <f t="shared" si="18"/>
        <v>-0.14400000000000002</v>
      </c>
      <c r="O25" s="3">
        <f t="shared" si="19"/>
        <v>9.9000000000000005E-2</v>
      </c>
      <c r="P25" s="3">
        <f t="shared" si="19"/>
        <v>0.13350000000000001</v>
      </c>
      <c r="Q25" s="3">
        <f t="shared" si="20"/>
        <v>3.4500000000000003E-2</v>
      </c>
      <c r="R25" s="3">
        <f t="shared" si="21"/>
        <v>0.42799999999999999</v>
      </c>
      <c r="S25" s="3">
        <f t="shared" si="21"/>
        <v>0.20899999999999999</v>
      </c>
      <c r="T25" s="3">
        <f t="shared" si="22"/>
        <v>-0.219</v>
      </c>
      <c r="U25" s="3">
        <f t="shared" si="23"/>
        <v>-9.9000000000000005E-2</v>
      </c>
      <c r="V25" s="3">
        <f t="shared" si="23"/>
        <v>-0.13350000000000001</v>
      </c>
      <c r="W25" s="3">
        <f t="shared" si="24"/>
        <v>-3.4500000000000003E-2</v>
      </c>
      <c r="X25" s="3">
        <f t="shared" si="0"/>
        <v>1.1449766355140188E-2</v>
      </c>
      <c r="Y25" s="3">
        <f t="shared" si="1"/>
        <v>4.2636961722488043E-2</v>
      </c>
      <c r="Z25" s="3">
        <f t="shared" si="25"/>
        <v>3.1187195367347854E-2</v>
      </c>
      <c r="AA25" s="3">
        <v>4.83</v>
      </c>
      <c r="AB25" s="3">
        <v>4.758</v>
      </c>
      <c r="AC25" s="3">
        <f t="shared" si="26"/>
        <v>-7.2000000000000064E-2</v>
      </c>
      <c r="AD25" s="3">
        <f>-377.438086*627.50956</f>
        <v>-236846.00727310215</v>
      </c>
      <c r="AE25" s="3">
        <f>-379.846601*627.50956</f>
        <v>-238357.37346100557</v>
      </c>
      <c r="AF25" s="3">
        <f t="shared" si="27"/>
        <v>-1511.3661879034189</v>
      </c>
      <c r="AG25" s="3">
        <f>-377.474468*627.50956</f>
        <v>-236868.83732591406</v>
      </c>
      <c r="AH25" s="3">
        <f>-379.883635*627.50956</f>
        <v>-238380.61265005061</v>
      </c>
      <c r="AI25" s="3">
        <f t="shared" si="28"/>
        <v>-1511.7753241365426</v>
      </c>
      <c r="AJ25" s="3">
        <v>-0.61299999999999999</v>
      </c>
      <c r="AK25" s="3">
        <v>-0.54400000000000004</v>
      </c>
      <c r="AL25" s="3">
        <f t="shared" si="29"/>
        <v>6.899999999999995E-2</v>
      </c>
      <c r="AM25" s="3">
        <v>118.13594000000001</v>
      </c>
      <c r="AN25" s="3">
        <v>167.69280000000001</v>
      </c>
      <c r="AO25" s="3">
        <v>172.48089999999999</v>
      </c>
      <c r="AP25" s="3">
        <f t="shared" si="30"/>
        <v>1.1192910392070476</v>
      </c>
      <c r="AQ25" s="3">
        <v>8.9930000000000003</v>
      </c>
      <c r="AR25" s="3">
        <v>1.9073</v>
      </c>
      <c r="AS25" s="3">
        <v>-553.27200000000005</v>
      </c>
      <c r="AT25" s="3">
        <v>-551.61699999999996</v>
      </c>
      <c r="AU25" s="3">
        <f t="shared" si="2"/>
        <v>-1.6550000000000864</v>
      </c>
      <c r="AV25" s="3">
        <v>-0.23699999999999999</v>
      </c>
      <c r="AW25" s="3">
        <v>-0.36899999999999999</v>
      </c>
      <c r="AX25" s="3">
        <f t="shared" si="3"/>
        <v>0.13200000000000001</v>
      </c>
      <c r="AY25" s="3">
        <v>2.8000000000000001E-2</v>
      </c>
      <c r="AZ25" s="3">
        <v>0.154</v>
      </c>
      <c r="BA25" s="3">
        <f t="shared" si="4"/>
        <v>-0.126</v>
      </c>
      <c r="BB25" s="3">
        <f t="shared" si="32"/>
        <v>0.1045</v>
      </c>
      <c r="BC25" s="3">
        <f t="shared" si="32"/>
        <v>0.1075</v>
      </c>
      <c r="BD25" s="3">
        <f t="shared" si="6"/>
        <v>-3.0000000000000027E-3</v>
      </c>
      <c r="BE25" s="3">
        <f t="shared" si="33"/>
        <v>0.26500000000000001</v>
      </c>
      <c r="BF25" s="3">
        <f t="shared" si="33"/>
        <v>0.52300000000000002</v>
      </c>
      <c r="BG25" s="3">
        <f t="shared" si="8"/>
        <v>-0.25800000000000001</v>
      </c>
      <c r="BH25" s="3">
        <f t="shared" si="34"/>
        <v>-0.1045</v>
      </c>
      <c r="BI25" s="3">
        <f t="shared" si="34"/>
        <v>-0.1075</v>
      </c>
      <c r="BJ25" s="3">
        <f t="shared" si="31"/>
        <v>3.0000000000000027E-3</v>
      </c>
      <c r="BK25" s="3">
        <f t="shared" si="10"/>
        <v>2.0604245283018865E-2</v>
      </c>
      <c r="BL25" s="3">
        <f t="shared" si="11"/>
        <v>1.104804015296367E-2</v>
      </c>
      <c r="BM25" s="3">
        <f t="shared" si="12"/>
        <v>9.5562051300551957E-3</v>
      </c>
      <c r="BN25" s="3">
        <v>5.4870000000000001</v>
      </c>
      <c r="BO25" s="3">
        <v>6.0839999999999996</v>
      </c>
      <c r="BP25" s="3">
        <f t="shared" si="13"/>
        <v>-0.59699999999999953</v>
      </c>
      <c r="BQ25" s="3">
        <v>-347129.96399999998</v>
      </c>
      <c r="BR25" s="3">
        <v>-346087.64600000001</v>
      </c>
      <c r="BS25" s="3">
        <f t="shared" si="14"/>
        <v>-1042.3179999999702</v>
      </c>
      <c r="BT25" s="3">
        <v>-347152.04599999997</v>
      </c>
      <c r="BU25" s="3">
        <v>-346109.22600000002</v>
      </c>
      <c r="BV25" s="3">
        <f t="shared" si="15"/>
        <v>-1042.8199999999488</v>
      </c>
    </row>
    <row r="26" spans="1:74" x14ac:dyDescent="0.25">
      <c r="A26" t="s">
        <v>244</v>
      </c>
      <c r="B26" t="s">
        <v>514</v>
      </c>
      <c r="C26" t="s">
        <v>200</v>
      </c>
      <c r="D26" s="3">
        <v>10.69</v>
      </c>
      <c r="E26" s="3">
        <v>0.79</v>
      </c>
      <c r="F26" s="3">
        <v>-416.61599999999999</v>
      </c>
      <c r="G26" s="3">
        <v>-419.29899999999998</v>
      </c>
      <c r="H26" s="3">
        <f t="shared" si="16"/>
        <v>-2.6829999999999927</v>
      </c>
      <c r="I26" s="3">
        <v>-0.30599999999999999</v>
      </c>
      <c r="J26" s="6">
        <v>-0.23200000000000001</v>
      </c>
      <c r="K26" s="3">
        <f t="shared" si="17"/>
        <v>7.3999999999999982E-2</v>
      </c>
      <c r="L26" s="3">
        <v>0.11700000000000001</v>
      </c>
      <c r="M26" s="6">
        <v>-2.5999999999999999E-2</v>
      </c>
      <c r="N26" s="3">
        <f t="shared" si="18"/>
        <v>-0.14300000000000002</v>
      </c>
      <c r="O26" s="3">
        <f t="shared" si="19"/>
        <v>9.4500000000000001E-2</v>
      </c>
      <c r="P26" s="3">
        <f t="shared" si="19"/>
        <v>0.129</v>
      </c>
      <c r="Q26" s="3">
        <f t="shared" si="20"/>
        <v>3.4500000000000003E-2</v>
      </c>
      <c r="R26" s="3">
        <f t="shared" si="21"/>
        <v>0.42299999999999999</v>
      </c>
      <c r="S26" s="3">
        <f t="shared" si="21"/>
        <v>0.20600000000000002</v>
      </c>
      <c r="T26" s="3">
        <f t="shared" si="22"/>
        <v>-0.21699999999999997</v>
      </c>
      <c r="U26" s="3">
        <f t="shared" si="23"/>
        <v>-9.4500000000000001E-2</v>
      </c>
      <c r="V26" s="3">
        <f t="shared" si="23"/>
        <v>-0.129</v>
      </c>
      <c r="W26" s="3">
        <f t="shared" si="24"/>
        <v>-3.4500000000000003E-2</v>
      </c>
      <c r="X26" s="3">
        <f t="shared" si="0"/>
        <v>1.0555851063829788E-2</v>
      </c>
      <c r="Y26" s="3">
        <f t="shared" si="1"/>
        <v>4.0390776699029123E-2</v>
      </c>
      <c r="Z26" s="3">
        <f t="shared" si="25"/>
        <v>2.9834925635199336E-2</v>
      </c>
      <c r="AA26" s="3">
        <v>4.6379999999999999</v>
      </c>
      <c r="AB26" s="3">
        <v>4.5449999999999999</v>
      </c>
      <c r="AC26" s="3">
        <f t="shared" si="26"/>
        <v>-9.2999999999999972E-2</v>
      </c>
      <c r="AD26" s="3">
        <f>-416.452595*627.50956</f>
        <v>-261327.98464930817</v>
      </c>
      <c r="AE26" s="3">
        <f>-419.144405*627.50956</f>
        <v>-263017.12115801178</v>
      </c>
      <c r="AF26" s="3">
        <f t="shared" si="27"/>
        <v>-1689.1365087036102</v>
      </c>
      <c r="AG26" s="3">
        <f>-416.493274*627.50956</f>
        <v>-261353.51111069942</v>
      </c>
      <c r="AH26" s="3">
        <f>-419.186025*627.50956</f>
        <v>-263043.23810589896</v>
      </c>
      <c r="AI26" s="3">
        <f t="shared" si="28"/>
        <v>-1689.7269951995404</v>
      </c>
      <c r="AJ26" s="3">
        <v>-0.61099999999999999</v>
      </c>
      <c r="AK26" s="3">
        <v>-0.54400000000000004</v>
      </c>
      <c r="AL26" s="3">
        <f t="shared" si="29"/>
        <v>6.6999999999999948E-2</v>
      </c>
      <c r="AM26" s="3">
        <v>132.16249999999999</v>
      </c>
      <c r="AN26" s="3">
        <v>189.9186</v>
      </c>
      <c r="AO26" s="3">
        <v>200.45820000000001</v>
      </c>
      <c r="AP26" s="3">
        <f t="shared" si="30"/>
        <v>1.1467644811160689</v>
      </c>
      <c r="AQ26" s="3">
        <v>9.9930000000000003</v>
      </c>
      <c r="AR26" s="3">
        <v>2.1709999999999998</v>
      </c>
      <c r="AS26" s="3">
        <v>-553.27200000000005</v>
      </c>
      <c r="AT26" s="3">
        <v>-551.61699999999996</v>
      </c>
      <c r="AU26" s="3">
        <f t="shared" si="2"/>
        <v>-1.6550000000000864</v>
      </c>
      <c r="AV26" s="3">
        <v>-0.23699999999999999</v>
      </c>
      <c r="AW26" s="3">
        <v>-0.36899999999999999</v>
      </c>
      <c r="AX26" s="3">
        <f t="shared" si="3"/>
        <v>0.13200000000000001</v>
      </c>
      <c r="AY26" s="3">
        <v>2.8000000000000001E-2</v>
      </c>
      <c r="AZ26" s="3">
        <v>0.154</v>
      </c>
      <c r="BA26" s="3">
        <f t="shared" si="4"/>
        <v>-0.126</v>
      </c>
      <c r="BB26" s="3">
        <f t="shared" si="32"/>
        <v>0.1045</v>
      </c>
      <c r="BC26" s="3">
        <f t="shared" si="32"/>
        <v>0.1075</v>
      </c>
      <c r="BD26" s="3">
        <f t="shared" si="6"/>
        <v>-3.0000000000000027E-3</v>
      </c>
      <c r="BE26" s="3">
        <f t="shared" si="33"/>
        <v>0.26500000000000001</v>
      </c>
      <c r="BF26" s="3">
        <f t="shared" si="33"/>
        <v>0.52300000000000002</v>
      </c>
      <c r="BG26" s="3">
        <f t="shared" si="8"/>
        <v>-0.25800000000000001</v>
      </c>
      <c r="BH26" s="3">
        <f t="shared" si="34"/>
        <v>-0.1045</v>
      </c>
      <c r="BI26" s="3">
        <f t="shared" si="34"/>
        <v>-0.1075</v>
      </c>
      <c r="BJ26" s="3">
        <f t="shared" si="31"/>
        <v>3.0000000000000027E-3</v>
      </c>
      <c r="BK26" s="3">
        <f t="shared" si="10"/>
        <v>2.0604245283018865E-2</v>
      </c>
      <c r="BL26" s="3">
        <f t="shared" si="11"/>
        <v>1.104804015296367E-2</v>
      </c>
      <c r="BM26" s="3">
        <f t="shared" si="12"/>
        <v>9.5562051300551957E-3</v>
      </c>
      <c r="BN26" s="3">
        <v>5.4870000000000001</v>
      </c>
      <c r="BO26" s="3">
        <v>6.0839999999999996</v>
      </c>
      <c r="BP26" s="3">
        <f t="shared" si="13"/>
        <v>-0.59699999999999953</v>
      </c>
      <c r="BQ26" s="3">
        <v>-347129.96399999998</v>
      </c>
      <c r="BR26" s="3">
        <v>-346087.64600000001</v>
      </c>
      <c r="BS26" s="3">
        <f t="shared" si="14"/>
        <v>-1042.3179999999702</v>
      </c>
      <c r="BT26" s="3">
        <v>-347152.04599999997</v>
      </c>
      <c r="BU26" s="3">
        <v>-346109.22600000002</v>
      </c>
      <c r="BV26" s="3">
        <f t="shared" si="15"/>
        <v>-1042.8199999999488</v>
      </c>
    </row>
    <row r="27" spans="1:74" x14ac:dyDescent="0.25">
      <c r="A27" t="s">
        <v>245</v>
      </c>
      <c r="B27" t="s">
        <v>514</v>
      </c>
      <c r="C27" t="s">
        <v>199</v>
      </c>
      <c r="D27" s="3">
        <v>10.75</v>
      </c>
      <c r="E27" s="3">
        <v>0.53</v>
      </c>
      <c r="F27" s="3">
        <v>-412.10300000000001</v>
      </c>
      <c r="G27" s="3">
        <v>-414.46699999999998</v>
      </c>
      <c r="H27" s="3">
        <f t="shared" si="16"/>
        <v>-2.3639999999999759</v>
      </c>
      <c r="I27" s="3">
        <v>-0.29299999999999998</v>
      </c>
      <c r="J27" s="6">
        <v>-0.19600000000000001</v>
      </c>
      <c r="K27" s="3">
        <f t="shared" si="17"/>
        <v>9.6999999999999975E-2</v>
      </c>
      <c r="L27" s="3">
        <v>0.151</v>
      </c>
      <c r="M27" s="6">
        <v>-2E-3</v>
      </c>
      <c r="N27" s="3">
        <f t="shared" si="18"/>
        <v>-0.153</v>
      </c>
      <c r="O27" s="3">
        <f t="shared" si="19"/>
        <v>7.0999999999999994E-2</v>
      </c>
      <c r="P27" s="3">
        <f t="shared" si="19"/>
        <v>9.9000000000000005E-2</v>
      </c>
      <c r="Q27" s="3">
        <f t="shared" si="20"/>
        <v>2.8000000000000011E-2</v>
      </c>
      <c r="R27" s="3">
        <f t="shared" si="21"/>
        <v>0.44399999999999995</v>
      </c>
      <c r="S27" s="3">
        <f t="shared" si="21"/>
        <v>0.19400000000000001</v>
      </c>
      <c r="T27" s="3">
        <f t="shared" si="22"/>
        <v>-0.24999999999999994</v>
      </c>
      <c r="U27" s="3">
        <f t="shared" si="23"/>
        <v>-7.0999999999999994E-2</v>
      </c>
      <c r="V27" s="3">
        <f t="shared" si="23"/>
        <v>-9.9000000000000005E-2</v>
      </c>
      <c r="W27" s="3">
        <f t="shared" si="24"/>
        <v>-2.8000000000000011E-2</v>
      </c>
      <c r="X27" s="3">
        <f t="shared" si="0"/>
        <v>5.6768018018018016E-3</v>
      </c>
      <c r="Y27" s="3">
        <f t="shared" si="1"/>
        <v>2.5260309278350518E-2</v>
      </c>
      <c r="Z27" s="3">
        <f t="shared" si="25"/>
        <v>1.9583507476548717E-2</v>
      </c>
      <c r="AA27" s="3">
        <v>3.3479999999999999</v>
      </c>
      <c r="AB27" s="3">
        <v>2.9060000000000001</v>
      </c>
      <c r="AC27" s="3">
        <f t="shared" si="26"/>
        <v>-0.44199999999999973</v>
      </c>
      <c r="AD27" s="3">
        <f>-412.017559*627.50956</f>
        <v>-258544.95716036402</v>
      </c>
      <c r="AE27" s="3">
        <f>-414.386761*627.50956</f>
        <v>-260031.65406493514</v>
      </c>
      <c r="AF27" s="3">
        <f t="shared" si="27"/>
        <v>-1486.6969045711157</v>
      </c>
      <c r="AG27" s="3">
        <f>-412.053802*627.50956</f>
        <v>-258567.69998934711</v>
      </c>
      <c r="AH27" s="3">
        <f>-414.423671*627.50956</f>
        <v>-260054.81544279476</v>
      </c>
      <c r="AI27" s="3">
        <f t="shared" si="28"/>
        <v>-1487.1154534476518</v>
      </c>
      <c r="AJ27" s="3">
        <v>-0.73099999999999998</v>
      </c>
      <c r="AK27" s="3">
        <v>-0.67800000000000005</v>
      </c>
      <c r="AL27" s="3">
        <f t="shared" si="29"/>
        <v>5.2999999999999936E-2</v>
      </c>
      <c r="AM27" s="3">
        <v>111.0788</v>
      </c>
      <c r="AN27" s="3">
        <v>139.45269999999999</v>
      </c>
      <c r="AO27" s="3">
        <v>134.84790000000001</v>
      </c>
      <c r="AP27" s="3">
        <f t="shared" si="30"/>
        <v>1.0967814231467183</v>
      </c>
      <c r="AQ27" s="3">
        <v>7.8380000000000001</v>
      </c>
      <c r="AR27" s="3">
        <v>1.8348</v>
      </c>
      <c r="AS27" s="3">
        <v>-76.454999999999998</v>
      </c>
      <c r="AT27" s="3">
        <v>-76.055000000000007</v>
      </c>
      <c r="AU27" s="3">
        <f t="shared" si="2"/>
        <v>-0.39999999999999147</v>
      </c>
      <c r="AV27" s="3">
        <v>-0.30399999999999999</v>
      </c>
      <c r="AW27" s="3">
        <v>-0.505</v>
      </c>
      <c r="AX27" s="3">
        <f t="shared" si="3"/>
        <v>0.20100000000000001</v>
      </c>
      <c r="AY27" s="3">
        <v>0.04</v>
      </c>
      <c r="AZ27" s="3">
        <v>0.16400000000000001</v>
      </c>
      <c r="BA27" s="3">
        <f t="shared" si="4"/>
        <v>-0.124</v>
      </c>
      <c r="BB27" s="3">
        <f t="shared" si="32"/>
        <v>0.13200000000000001</v>
      </c>
      <c r="BC27" s="3">
        <f t="shared" si="32"/>
        <v>0.17049999999999998</v>
      </c>
      <c r="BD27" s="3">
        <f t="shared" si="6"/>
        <v>-3.8499999999999979E-2</v>
      </c>
      <c r="BE27" s="3">
        <f t="shared" si="33"/>
        <v>0.34399999999999997</v>
      </c>
      <c r="BF27" s="3">
        <f t="shared" si="33"/>
        <v>0.66900000000000004</v>
      </c>
      <c r="BG27" s="3">
        <f t="shared" si="8"/>
        <v>-0.32500000000000007</v>
      </c>
      <c r="BH27" s="3">
        <f t="shared" si="34"/>
        <v>-0.13200000000000001</v>
      </c>
      <c r="BI27" s="3">
        <f t="shared" si="34"/>
        <v>-0.17049999999999998</v>
      </c>
      <c r="BJ27" s="3">
        <f t="shared" si="31"/>
        <v>3.8499999999999979E-2</v>
      </c>
      <c r="BK27" s="3">
        <f t="shared" si="10"/>
        <v>2.5325581395348844E-2</v>
      </c>
      <c r="BL27" s="3">
        <f t="shared" si="11"/>
        <v>2.1726644245141997E-2</v>
      </c>
      <c r="BM27" s="3">
        <f t="shared" si="12"/>
        <v>3.5989371502068469E-3</v>
      </c>
      <c r="BN27" s="3">
        <v>2.3010000000000002</v>
      </c>
      <c r="BO27" s="3">
        <v>2.3559999999999999</v>
      </c>
      <c r="BP27" s="3">
        <f t="shared" si="13"/>
        <v>-5.4999999999999716E-2</v>
      </c>
      <c r="BQ27" s="3">
        <v>-47960.305999999997</v>
      </c>
      <c r="BR27" s="3">
        <v>-47708.290999999997</v>
      </c>
      <c r="BS27" s="3">
        <f t="shared" si="14"/>
        <v>-252.01499999999942</v>
      </c>
      <c r="BT27" s="3">
        <v>-47973.754999999997</v>
      </c>
      <c r="BU27" s="3">
        <v>-47721.697</v>
      </c>
      <c r="BV27" s="3">
        <f t="shared" si="15"/>
        <v>-252.05799999999726</v>
      </c>
    </row>
    <row r="28" spans="1:74" x14ac:dyDescent="0.25">
      <c r="A28" t="s">
        <v>246</v>
      </c>
      <c r="B28" t="s">
        <v>514</v>
      </c>
      <c r="C28" t="s">
        <v>199</v>
      </c>
      <c r="D28" s="3">
        <v>10.77</v>
      </c>
      <c r="E28" s="3">
        <v>0.65</v>
      </c>
      <c r="F28" s="3">
        <v>-578.101</v>
      </c>
      <c r="G28" s="3">
        <v>-581.55499999999995</v>
      </c>
      <c r="H28" s="3">
        <f t="shared" si="16"/>
        <v>-3.4539999999999509</v>
      </c>
      <c r="I28" s="3">
        <v>-0.27</v>
      </c>
      <c r="J28" s="6">
        <v>-0.18099999999999999</v>
      </c>
      <c r="K28" s="3">
        <f t="shared" si="17"/>
        <v>8.9000000000000024E-2</v>
      </c>
      <c r="L28" s="3">
        <v>0.16800000000000001</v>
      </c>
      <c r="M28" s="6">
        <v>1.7000000000000001E-2</v>
      </c>
      <c r="N28" s="3">
        <f t="shared" si="18"/>
        <v>-0.15100000000000002</v>
      </c>
      <c r="O28" s="3">
        <f t="shared" si="19"/>
        <v>5.1000000000000004E-2</v>
      </c>
      <c r="P28" s="3">
        <f t="shared" si="19"/>
        <v>8.199999999999999E-2</v>
      </c>
      <c r="Q28" s="3">
        <f t="shared" si="20"/>
        <v>3.0999999999999986E-2</v>
      </c>
      <c r="R28" s="3">
        <f t="shared" si="21"/>
        <v>0.43800000000000006</v>
      </c>
      <c r="S28" s="3">
        <f t="shared" si="21"/>
        <v>0.19800000000000001</v>
      </c>
      <c r="T28" s="3">
        <f t="shared" si="22"/>
        <v>-0.24000000000000005</v>
      </c>
      <c r="U28" s="3">
        <f t="shared" si="23"/>
        <v>-5.1000000000000004E-2</v>
      </c>
      <c r="V28" s="3">
        <f t="shared" si="23"/>
        <v>-8.199999999999999E-2</v>
      </c>
      <c r="W28" s="3">
        <f t="shared" si="24"/>
        <v>-3.0999999999999986E-2</v>
      </c>
      <c r="X28" s="3">
        <f t="shared" si="0"/>
        <v>2.969178082191781E-3</v>
      </c>
      <c r="Y28" s="3">
        <f t="shared" si="1"/>
        <v>1.6979797979797973E-2</v>
      </c>
      <c r="Z28" s="3">
        <f t="shared" si="25"/>
        <v>1.4010619897606193E-2</v>
      </c>
      <c r="AA28" s="3">
        <v>13.367000000000001</v>
      </c>
      <c r="AB28" s="3">
        <v>12.673</v>
      </c>
      <c r="AC28" s="3">
        <f t="shared" si="26"/>
        <v>-0.69400000000000084</v>
      </c>
      <c r="AD28" s="3">
        <f>-577.949877*627.50956</f>
        <v>-362669.0730183241</v>
      </c>
      <c r="AE28" s="3">
        <f>-581.412892*627.50956</f>
        <v>-364842.14803724753</v>
      </c>
      <c r="AF28" s="3">
        <f t="shared" si="27"/>
        <v>-2173.0750189234386</v>
      </c>
      <c r="AG28" s="3">
        <f>-577.994517*627.50956</f>
        <v>-362697.08504508249</v>
      </c>
      <c r="AH28" s="3">
        <f>-581.45895*627.50956</f>
        <v>-364871.04987256194</v>
      </c>
      <c r="AI28" s="3">
        <f t="shared" si="28"/>
        <v>-2173.9648274794454</v>
      </c>
      <c r="AJ28" s="3">
        <v>-0.82499999999999996</v>
      </c>
      <c r="AK28" s="3">
        <v>-0.70799999999999996</v>
      </c>
      <c r="AL28" s="3">
        <f t="shared" si="29"/>
        <v>0.11699999999999999</v>
      </c>
      <c r="AM28" s="3">
        <v>164.1447</v>
      </c>
      <c r="AN28" s="3">
        <v>198.76730000000001</v>
      </c>
      <c r="AO28" s="3">
        <v>206.608</v>
      </c>
      <c r="AP28" s="3">
        <f t="shared" si="30"/>
        <v>1.1762585674351942</v>
      </c>
      <c r="AQ28" s="3">
        <v>9.8219999999999992</v>
      </c>
      <c r="AR28" s="3">
        <v>2.31508</v>
      </c>
      <c r="AS28" s="3">
        <v>-76.454999999999998</v>
      </c>
      <c r="AT28" s="3">
        <v>-76.055000000000007</v>
      </c>
      <c r="AU28" s="3">
        <f t="shared" si="2"/>
        <v>-0.39999999999999147</v>
      </c>
      <c r="AV28" s="3">
        <v>-0.30399999999999999</v>
      </c>
      <c r="AW28" s="3">
        <v>-0.505</v>
      </c>
      <c r="AX28" s="3">
        <f t="shared" si="3"/>
        <v>0.20100000000000001</v>
      </c>
      <c r="AY28" s="3">
        <v>0.04</v>
      </c>
      <c r="AZ28" s="3">
        <v>0.16400000000000001</v>
      </c>
      <c r="BA28" s="3">
        <f t="shared" si="4"/>
        <v>-0.124</v>
      </c>
      <c r="BB28" s="3">
        <f t="shared" si="32"/>
        <v>0.13200000000000001</v>
      </c>
      <c r="BC28" s="3">
        <f t="shared" si="32"/>
        <v>0.17049999999999998</v>
      </c>
      <c r="BD28" s="3">
        <f t="shared" si="6"/>
        <v>-3.8499999999999979E-2</v>
      </c>
      <c r="BE28" s="3">
        <f t="shared" si="33"/>
        <v>0.34399999999999997</v>
      </c>
      <c r="BF28" s="3">
        <f t="shared" si="33"/>
        <v>0.66900000000000004</v>
      </c>
      <c r="BG28" s="3">
        <f t="shared" si="8"/>
        <v>-0.32500000000000007</v>
      </c>
      <c r="BH28" s="3">
        <f t="shared" si="34"/>
        <v>-0.13200000000000001</v>
      </c>
      <c r="BI28" s="3">
        <f t="shared" si="34"/>
        <v>-0.17049999999999998</v>
      </c>
      <c r="BJ28" s="3">
        <f t="shared" si="31"/>
        <v>3.8499999999999979E-2</v>
      </c>
      <c r="BK28" s="3">
        <f t="shared" si="10"/>
        <v>2.5325581395348844E-2</v>
      </c>
      <c r="BL28" s="3">
        <f t="shared" si="11"/>
        <v>2.1726644245141997E-2</v>
      </c>
      <c r="BM28" s="3">
        <f t="shared" si="12"/>
        <v>3.5989371502068469E-3</v>
      </c>
      <c r="BN28" s="3">
        <v>2.3010000000000002</v>
      </c>
      <c r="BO28" s="3">
        <v>2.3559999999999999</v>
      </c>
      <c r="BP28" s="3">
        <f t="shared" si="13"/>
        <v>-5.4999999999999716E-2</v>
      </c>
      <c r="BQ28" s="3">
        <v>-47960.305999999997</v>
      </c>
      <c r="BR28" s="3">
        <v>-47708.290999999997</v>
      </c>
      <c r="BS28" s="3">
        <f t="shared" si="14"/>
        <v>-252.01499999999942</v>
      </c>
      <c r="BT28" s="3">
        <v>-47973.754999999997</v>
      </c>
      <c r="BU28" s="3">
        <v>-47721.697</v>
      </c>
      <c r="BV28" s="3">
        <f t="shared" si="15"/>
        <v>-252.05799999999726</v>
      </c>
    </row>
    <row r="29" spans="1:74" x14ac:dyDescent="0.25">
      <c r="A29" t="s">
        <v>247</v>
      </c>
      <c r="B29" t="s">
        <v>514</v>
      </c>
      <c r="C29" t="s">
        <v>99</v>
      </c>
      <c r="D29" s="3">
        <v>10.78</v>
      </c>
      <c r="E29" s="3">
        <v>0.89</v>
      </c>
      <c r="F29" s="3">
        <v>-944.173</v>
      </c>
      <c r="G29" s="3">
        <v>-948.029</v>
      </c>
      <c r="H29" s="3">
        <f t="shared" si="16"/>
        <v>-3.8559999999999945</v>
      </c>
      <c r="I29" s="3">
        <v>-0.34899999999999998</v>
      </c>
      <c r="J29" s="6">
        <v>-0.23400000000000001</v>
      </c>
      <c r="K29" s="3">
        <f t="shared" si="17"/>
        <v>0.11499999999999996</v>
      </c>
      <c r="L29" s="3">
        <v>9.0999999999999998E-2</v>
      </c>
      <c r="M29" s="6">
        <v>-4.8000000000000001E-2</v>
      </c>
      <c r="N29" s="3">
        <f t="shared" si="18"/>
        <v>-0.13900000000000001</v>
      </c>
      <c r="O29" s="3">
        <f t="shared" si="19"/>
        <v>0.129</v>
      </c>
      <c r="P29" s="3">
        <f t="shared" si="19"/>
        <v>0.14100000000000001</v>
      </c>
      <c r="Q29" s="3">
        <f t="shared" si="20"/>
        <v>1.2000000000000011E-2</v>
      </c>
      <c r="R29" s="3">
        <f t="shared" si="21"/>
        <v>0.43999999999999995</v>
      </c>
      <c r="S29" s="3">
        <f t="shared" si="21"/>
        <v>0.186</v>
      </c>
      <c r="T29" s="3">
        <f t="shared" si="22"/>
        <v>-0.25399999999999995</v>
      </c>
      <c r="U29" s="3">
        <f t="shared" si="23"/>
        <v>-0.129</v>
      </c>
      <c r="V29" s="3">
        <f t="shared" si="23"/>
        <v>-0.14100000000000001</v>
      </c>
      <c r="W29" s="3">
        <f t="shared" si="24"/>
        <v>-1.2000000000000011E-2</v>
      </c>
      <c r="X29" s="3">
        <f t="shared" si="0"/>
        <v>1.8910227272727273E-2</v>
      </c>
      <c r="Y29" s="3">
        <f t="shared" si="1"/>
        <v>5.3443548387096786E-2</v>
      </c>
      <c r="Z29" s="3">
        <f t="shared" si="25"/>
        <v>3.4533321114369513E-2</v>
      </c>
      <c r="AA29" s="3">
        <v>13.315</v>
      </c>
      <c r="AB29" s="3">
        <v>12.289</v>
      </c>
      <c r="AC29" s="3">
        <f t="shared" si="26"/>
        <v>-1.0259999999999998</v>
      </c>
      <c r="AD29" s="3">
        <f>-944.052169*627.50956</f>
        <v>-592401.76118623558</v>
      </c>
      <c r="AE29" s="3">
        <f>-947.915964*627.50956</f>
        <v>-594826.32948661584</v>
      </c>
      <c r="AF29" s="3">
        <f t="shared" si="27"/>
        <v>-2424.5683003802551</v>
      </c>
      <c r="AG29" s="3">
        <f>-944.095426*627.50956</f>
        <v>-592428.90536727256</v>
      </c>
      <c r="AH29" s="3">
        <f>-947.960588*627.50956</f>
        <v>-594854.3314732213</v>
      </c>
      <c r="AI29" s="3">
        <f t="shared" si="28"/>
        <v>-2425.4261059487471</v>
      </c>
      <c r="AJ29" s="3">
        <v>-1.0580000000000001</v>
      </c>
      <c r="AK29" s="3">
        <v>-0.92300000000000004</v>
      </c>
      <c r="AL29" s="3">
        <f t="shared" si="29"/>
        <v>0.13500000000000001</v>
      </c>
      <c r="AM29" s="3">
        <v>182.1765</v>
      </c>
      <c r="AN29" s="3">
        <v>192.01400000000001</v>
      </c>
      <c r="AO29" s="3">
        <v>203.8263</v>
      </c>
      <c r="AP29" s="3">
        <f t="shared" si="30"/>
        <v>1.1466090482988023</v>
      </c>
      <c r="AQ29" s="3">
        <v>9.0619999999999994</v>
      </c>
      <c r="AR29" s="3">
        <v>2.2498999999999998</v>
      </c>
      <c r="AS29" s="3">
        <v>-132.80099999999999</v>
      </c>
      <c r="AT29" s="3">
        <v>-131.97</v>
      </c>
      <c r="AU29" s="3">
        <f t="shared" si="2"/>
        <v>-0.83099999999998886</v>
      </c>
      <c r="AV29" s="3">
        <v>-0.34100000000000003</v>
      </c>
      <c r="AW29" s="3">
        <v>-0.47499999999999998</v>
      </c>
      <c r="AX29" s="3">
        <f t="shared" si="3"/>
        <v>0.13399999999999995</v>
      </c>
      <c r="AY29" s="3">
        <v>2.9000000000000001E-2</v>
      </c>
      <c r="AZ29" s="3">
        <v>0.156</v>
      </c>
      <c r="BA29" s="3">
        <f t="shared" si="4"/>
        <v>-0.127</v>
      </c>
      <c r="BB29" s="3">
        <f t="shared" si="32"/>
        <v>0.156</v>
      </c>
      <c r="BC29" s="3">
        <f t="shared" si="32"/>
        <v>0.15949999999999998</v>
      </c>
      <c r="BD29" s="3">
        <f t="shared" si="6"/>
        <v>-3.4999999999999754E-3</v>
      </c>
      <c r="BE29" s="3">
        <f t="shared" si="33"/>
        <v>0.37000000000000005</v>
      </c>
      <c r="BF29" s="3">
        <f t="shared" si="33"/>
        <v>0.63100000000000001</v>
      </c>
      <c r="BG29" s="3">
        <f t="shared" si="8"/>
        <v>-0.26099999999999995</v>
      </c>
      <c r="BH29" s="3">
        <f t="shared" si="34"/>
        <v>-0.156</v>
      </c>
      <c r="BI29" s="3">
        <f t="shared" si="34"/>
        <v>-0.15949999999999998</v>
      </c>
      <c r="BJ29" s="3">
        <f t="shared" si="31"/>
        <v>3.4999999999999754E-3</v>
      </c>
      <c r="BK29" s="3">
        <f t="shared" si="10"/>
        <v>3.2886486486486483E-2</v>
      </c>
      <c r="BL29" s="3">
        <f t="shared" si="11"/>
        <v>2.0158676703645E-2</v>
      </c>
      <c r="BM29" s="3">
        <f t="shared" si="12"/>
        <v>1.2727809782841482E-2</v>
      </c>
      <c r="BN29" s="3">
        <v>4.7279999999999998</v>
      </c>
      <c r="BO29" s="3">
        <v>4.9340000000000002</v>
      </c>
      <c r="BP29" s="3">
        <f t="shared" si="13"/>
        <v>-0.20600000000000041</v>
      </c>
      <c r="BQ29" s="3">
        <v>-83302.89</v>
      </c>
      <c r="BR29" s="3">
        <v>-82779.224000000002</v>
      </c>
      <c r="BS29" s="3">
        <f t="shared" si="14"/>
        <v>-523.66599999999744</v>
      </c>
      <c r="BT29" s="3">
        <v>-83320.774999999994</v>
      </c>
      <c r="BU29" s="3">
        <v>-82796.997000000003</v>
      </c>
      <c r="BV29" s="3">
        <f t="shared" si="15"/>
        <v>-523.77799999999115</v>
      </c>
    </row>
    <row r="30" spans="1:74" x14ac:dyDescent="0.25">
      <c r="A30" t="s">
        <v>248</v>
      </c>
      <c r="B30" t="s">
        <v>514</v>
      </c>
      <c r="C30" t="s">
        <v>199</v>
      </c>
      <c r="D30" s="3">
        <v>10.8</v>
      </c>
      <c r="E30" s="3">
        <v>0.61</v>
      </c>
      <c r="F30" s="3">
        <v>-187.006</v>
      </c>
      <c r="G30" s="3">
        <v>-188.15899999999999</v>
      </c>
      <c r="H30" s="3">
        <f t="shared" si="16"/>
        <v>-1.1529999999999916</v>
      </c>
      <c r="I30" s="3">
        <v>-0.42199999999999999</v>
      </c>
      <c r="J30" s="6">
        <v>-0.26800000000000002</v>
      </c>
      <c r="K30" s="3">
        <f t="shared" si="17"/>
        <v>0.15399999999999997</v>
      </c>
      <c r="L30" s="3">
        <v>0.14699999999999999</v>
      </c>
      <c r="M30" s="6">
        <v>7.0000000000000001E-3</v>
      </c>
      <c r="N30" s="3">
        <f t="shared" si="18"/>
        <v>-0.13999999999999999</v>
      </c>
      <c r="O30" s="3">
        <f t="shared" si="19"/>
        <v>0.13750000000000001</v>
      </c>
      <c r="P30" s="3">
        <f t="shared" si="19"/>
        <v>0.1305</v>
      </c>
      <c r="Q30" s="3">
        <f t="shared" si="20"/>
        <v>-7.0000000000000062E-3</v>
      </c>
      <c r="R30" s="3">
        <f t="shared" si="21"/>
        <v>0.56899999999999995</v>
      </c>
      <c r="S30" s="3">
        <f t="shared" si="21"/>
        <v>0.27500000000000002</v>
      </c>
      <c r="T30" s="3">
        <f t="shared" si="22"/>
        <v>-0.29399999999999993</v>
      </c>
      <c r="U30" s="3">
        <f t="shared" si="23"/>
        <v>-0.13750000000000001</v>
      </c>
      <c r="V30" s="3">
        <f t="shared" si="23"/>
        <v>-0.1305</v>
      </c>
      <c r="W30" s="3">
        <f t="shared" si="24"/>
        <v>7.0000000000000062E-3</v>
      </c>
      <c r="X30" s="3">
        <f t="shared" si="0"/>
        <v>1.661357644991213E-2</v>
      </c>
      <c r="Y30" s="3">
        <f t="shared" si="1"/>
        <v>3.0964090909090906E-2</v>
      </c>
      <c r="Z30" s="3">
        <f t="shared" si="25"/>
        <v>1.4350514459178777E-2</v>
      </c>
      <c r="AA30" s="3">
        <v>6.04</v>
      </c>
      <c r="AB30" s="3">
        <v>5.7889999999999997</v>
      </c>
      <c r="AC30" s="3">
        <f t="shared" si="26"/>
        <v>-0.25100000000000033</v>
      </c>
      <c r="AD30" s="3">
        <f>-186.932896*627.50956</f>
        <v>-117302.17931848575</v>
      </c>
      <c r="AE30" s="3">
        <f>-188.0904*627.50956</f>
        <v>-118028.52414422399</v>
      </c>
      <c r="AF30" s="3">
        <f t="shared" si="27"/>
        <v>-726.34482573824062</v>
      </c>
      <c r="AG30" s="3">
        <f>-186.964659*627.50956</f>
        <v>-117322.11090464004</v>
      </c>
      <c r="AH30" s="3">
        <f>-188.122534*627.50956</f>
        <v>-118048.68853642503</v>
      </c>
      <c r="AI30" s="3">
        <f t="shared" si="28"/>
        <v>-726.5776317849959</v>
      </c>
      <c r="AJ30" s="3">
        <v>-0.83199999999999996</v>
      </c>
      <c r="AK30" s="3">
        <v>-0.82799999999999996</v>
      </c>
      <c r="AL30" s="3">
        <f t="shared" si="29"/>
        <v>4.0000000000000036E-3</v>
      </c>
      <c r="AM30" s="3">
        <v>56.066560000000003</v>
      </c>
      <c r="AN30" s="3">
        <v>109.91030000000001</v>
      </c>
      <c r="AO30" s="3">
        <v>96.409700000000001</v>
      </c>
      <c r="AP30" s="3">
        <f t="shared" si="30"/>
        <v>1.081136482515596</v>
      </c>
      <c r="AQ30" s="3">
        <v>7.0960000000000001</v>
      </c>
      <c r="AR30" s="3">
        <v>1.46112</v>
      </c>
      <c r="AS30" s="3">
        <v>-76.454999999999998</v>
      </c>
      <c r="AT30" s="3">
        <v>-76.055000000000007</v>
      </c>
      <c r="AU30" s="3">
        <f t="shared" si="2"/>
        <v>-0.39999999999999147</v>
      </c>
      <c r="AV30" s="3">
        <v>-0.30399999999999999</v>
      </c>
      <c r="AW30" s="3">
        <v>-0.505</v>
      </c>
      <c r="AX30" s="3">
        <f t="shared" si="3"/>
        <v>0.20100000000000001</v>
      </c>
      <c r="AY30" s="3">
        <v>0.04</v>
      </c>
      <c r="AZ30" s="3">
        <v>0.16400000000000001</v>
      </c>
      <c r="BA30" s="3">
        <f t="shared" si="4"/>
        <v>-0.124</v>
      </c>
      <c r="BB30" s="3">
        <f t="shared" si="32"/>
        <v>0.13200000000000001</v>
      </c>
      <c r="BC30" s="3">
        <f t="shared" si="32"/>
        <v>0.17049999999999998</v>
      </c>
      <c r="BD30" s="3">
        <f t="shared" si="6"/>
        <v>-3.8499999999999979E-2</v>
      </c>
      <c r="BE30" s="3">
        <f t="shared" si="33"/>
        <v>0.34399999999999997</v>
      </c>
      <c r="BF30" s="3">
        <f t="shared" si="33"/>
        <v>0.66900000000000004</v>
      </c>
      <c r="BG30" s="3">
        <f t="shared" si="8"/>
        <v>-0.32500000000000007</v>
      </c>
      <c r="BH30" s="3">
        <f t="shared" si="34"/>
        <v>-0.13200000000000001</v>
      </c>
      <c r="BI30" s="3">
        <f t="shared" si="34"/>
        <v>-0.17049999999999998</v>
      </c>
      <c r="BJ30" s="3">
        <f t="shared" si="31"/>
        <v>3.8499999999999979E-2</v>
      </c>
      <c r="BK30" s="3">
        <f t="shared" si="10"/>
        <v>2.5325581395348844E-2</v>
      </c>
      <c r="BL30" s="3">
        <f t="shared" si="11"/>
        <v>2.1726644245141997E-2</v>
      </c>
      <c r="BM30" s="3">
        <f t="shared" si="12"/>
        <v>3.5989371502068469E-3</v>
      </c>
      <c r="BN30" s="3">
        <v>2.3010000000000002</v>
      </c>
      <c r="BO30" s="3">
        <v>2.3559999999999999</v>
      </c>
      <c r="BP30" s="3">
        <f t="shared" si="13"/>
        <v>-5.4999999999999716E-2</v>
      </c>
      <c r="BQ30" s="3">
        <v>-47960.305999999997</v>
      </c>
      <c r="BR30" s="3">
        <v>-47708.290999999997</v>
      </c>
      <c r="BS30" s="3">
        <f t="shared" si="14"/>
        <v>-252.01499999999942</v>
      </c>
      <c r="BT30" s="3">
        <v>-47973.754999999997</v>
      </c>
      <c r="BU30" s="3">
        <v>-47721.697</v>
      </c>
      <c r="BV30" s="3">
        <f t="shared" si="15"/>
        <v>-252.05799999999726</v>
      </c>
    </row>
    <row r="31" spans="1:74" x14ac:dyDescent="0.25">
      <c r="A31" t="s">
        <v>249</v>
      </c>
      <c r="B31" t="s">
        <v>514</v>
      </c>
      <c r="C31" t="s">
        <v>99</v>
      </c>
      <c r="D31" s="3">
        <v>10.86</v>
      </c>
      <c r="E31" s="3">
        <v>0.66</v>
      </c>
      <c r="F31" s="3">
        <v>-513.34799999999996</v>
      </c>
      <c r="G31" s="3">
        <v>-516.58600000000001</v>
      </c>
      <c r="H31" s="3">
        <f t="shared" si="16"/>
        <v>-3.2380000000000564</v>
      </c>
      <c r="I31" s="3">
        <v>-0.30199999999999999</v>
      </c>
      <c r="J31" s="6">
        <v>-0.22600000000000001</v>
      </c>
      <c r="K31" s="3">
        <f t="shared" si="17"/>
        <v>7.5999999999999984E-2</v>
      </c>
      <c r="L31" s="3">
        <v>7.3999999999999996E-2</v>
      </c>
      <c r="M31" s="6">
        <v>-6.4000000000000001E-2</v>
      </c>
      <c r="N31" s="3">
        <f t="shared" si="18"/>
        <v>-0.13800000000000001</v>
      </c>
      <c r="O31" s="3">
        <f t="shared" si="19"/>
        <v>0.11399999999999999</v>
      </c>
      <c r="P31" s="3">
        <f t="shared" si="19"/>
        <v>0.14500000000000002</v>
      </c>
      <c r="Q31" s="3">
        <f t="shared" si="20"/>
        <v>3.1000000000000028E-2</v>
      </c>
      <c r="R31" s="3">
        <f t="shared" si="21"/>
        <v>0.376</v>
      </c>
      <c r="S31" s="3">
        <f t="shared" si="21"/>
        <v>0.16200000000000001</v>
      </c>
      <c r="T31" s="3">
        <f t="shared" si="22"/>
        <v>-0.214</v>
      </c>
      <c r="U31" s="3">
        <f t="shared" si="23"/>
        <v>-0.11399999999999999</v>
      </c>
      <c r="V31" s="3">
        <f t="shared" si="23"/>
        <v>-0.14500000000000002</v>
      </c>
      <c r="W31" s="3">
        <f t="shared" si="24"/>
        <v>-3.1000000000000028E-2</v>
      </c>
      <c r="X31" s="3">
        <f t="shared" si="0"/>
        <v>1.7281914893617016E-2</v>
      </c>
      <c r="Y31" s="3">
        <f t="shared" si="1"/>
        <v>6.4891975308641991E-2</v>
      </c>
      <c r="Z31" s="3">
        <f t="shared" si="25"/>
        <v>4.7610060415024975E-2</v>
      </c>
      <c r="AA31" s="3">
        <v>1.9079999999999999</v>
      </c>
      <c r="AB31" s="3">
        <v>2.5750000000000002</v>
      </c>
      <c r="AC31" s="3">
        <f t="shared" si="26"/>
        <v>0.66700000000000026</v>
      </c>
      <c r="AD31" s="3">
        <f>-513.159279*627.50956</f>
        <v>-322012.35337520723</v>
      </c>
      <c r="AE31" s="3">
        <f>-516.408084*627.50956</f>
        <v>-324051.00957128307</v>
      </c>
      <c r="AF31" s="3">
        <f t="shared" si="27"/>
        <v>-2038.6561960758409</v>
      </c>
      <c r="AG31" s="3">
        <f>-513.203608*627.50956</f>
        <v>-322040.17024649249</v>
      </c>
      <c r="AH31" s="3">
        <f>-516.453103*627.50956</f>
        <v>-324079.25942416472</v>
      </c>
      <c r="AI31" s="3">
        <f t="shared" si="28"/>
        <v>-2039.0891776722274</v>
      </c>
      <c r="AJ31" s="3">
        <v>-0.52400000000000002</v>
      </c>
      <c r="AK31" s="3">
        <v>-0.47799999999999998</v>
      </c>
      <c r="AL31" s="3">
        <f t="shared" si="29"/>
        <v>4.6000000000000041E-2</v>
      </c>
      <c r="AM31" s="3">
        <v>159.18456</v>
      </c>
      <c r="AN31" s="3">
        <v>216.09520000000001</v>
      </c>
      <c r="AO31" s="3">
        <v>234.35409999999999</v>
      </c>
      <c r="AP31" s="3">
        <f t="shared" si="30"/>
        <v>1.1757618560272884</v>
      </c>
      <c r="AQ31" s="3">
        <v>11.680999999999999</v>
      </c>
      <c r="AR31" s="3">
        <v>2.5653999999999999</v>
      </c>
      <c r="AS31" s="3">
        <v>-132.80099999999999</v>
      </c>
      <c r="AT31" s="3">
        <v>-131.97</v>
      </c>
      <c r="AU31" s="3">
        <f t="shared" si="2"/>
        <v>-0.83099999999998886</v>
      </c>
      <c r="AV31" s="3">
        <v>-0.34100000000000003</v>
      </c>
      <c r="AW31" s="3">
        <v>-0.47499999999999998</v>
      </c>
      <c r="AX31" s="3">
        <f t="shared" si="3"/>
        <v>0.13399999999999995</v>
      </c>
      <c r="AY31" s="3">
        <v>2.9000000000000001E-2</v>
      </c>
      <c r="AZ31" s="3">
        <v>0.156</v>
      </c>
      <c r="BA31" s="3">
        <f t="shared" si="4"/>
        <v>-0.127</v>
      </c>
      <c r="BB31" s="3">
        <f t="shared" si="32"/>
        <v>0.156</v>
      </c>
      <c r="BC31" s="3">
        <f t="shared" si="32"/>
        <v>0.15949999999999998</v>
      </c>
      <c r="BD31" s="3">
        <f t="shared" si="6"/>
        <v>-3.4999999999999754E-3</v>
      </c>
      <c r="BE31" s="3">
        <f t="shared" si="33"/>
        <v>0.37000000000000005</v>
      </c>
      <c r="BF31" s="3">
        <f t="shared" si="33"/>
        <v>0.63100000000000001</v>
      </c>
      <c r="BG31" s="3">
        <f t="shared" si="8"/>
        <v>-0.26099999999999995</v>
      </c>
      <c r="BH31" s="3">
        <f t="shared" si="34"/>
        <v>-0.156</v>
      </c>
      <c r="BI31" s="3">
        <f t="shared" si="34"/>
        <v>-0.15949999999999998</v>
      </c>
      <c r="BJ31" s="3">
        <f t="shared" si="31"/>
        <v>3.4999999999999754E-3</v>
      </c>
      <c r="BK31" s="3">
        <f t="shared" si="10"/>
        <v>3.2886486486486483E-2</v>
      </c>
      <c r="BL31" s="3">
        <f t="shared" si="11"/>
        <v>2.0158676703645E-2</v>
      </c>
      <c r="BM31" s="3">
        <f t="shared" si="12"/>
        <v>1.2727809782841482E-2</v>
      </c>
      <c r="BN31" s="3">
        <v>4.7279999999999998</v>
      </c>
      <c r="BO31" s="3">
        <v>4.9340000000000002</v>
      </c>
      <c r="BP31" s="3">
        <f t="shared" si="13"/>
        <v>-0.20600000000000041</v>
      </c>
      <c r="BQ31" s="3">
        <v>-83302.89</v>
      </c>
      <c r="BR31" s="3">
        <v>-82779.224000000002</v>
      </c>
      <c r="BS31" s="3">
        <f t="shared" si="14"/>
        <v>-523.66599999999744</v>
      </c>
      <c r="BT31" s="3">
        <v>-83320.774999999994</v>
      </c>
      <c r="BU31" s="3">
        <v>-82796.997000000003</v>
      </c>
      <c r="BV31" s="3">
        <f t="shared" si="15"/>
        <v>-523.77799999999115</v>
      </c>
    </row>
    <row r="32" spans="1:74" x14ac:dyDescent="0.25">
      <c r="A32" t="s">
        <v>250</v>
      </c>
      <c r="B32" t="s">
        <v>514</v>
      </c>
      <c r="C32" t="s">
        <v>103</v>
      </c>
      <c r="D32" s="3">
        <v>10.9</v>
      </c>
      <c r="E32" s="3">
        <v>0.93</v>
      </c>
      <c r="F32" s="3">
        <v>-285.80099999999999</v>
      </c>
      <c r="G32" s="3">
        <v>-287.68</v>
      </c>
      <c r="H32" s="3">
        <f t="shared" si="16"/>
        <v>-1.8790000000000191</v>
      </c>
      <c r="I32" s="3">
        <v>-0.33900000000000002</v>
      </c>
      <c r="J32" s="6">
        <v>-0.26100000000000001</v>
      </c>
      <c r="K32" s="3">
        <f t="shared" si="17"/>
        <v>7.8000000000000014E-2</v>
      </c>
      <c r="L32" s="3">
        <v>0.112</v>
      </c>
      <c r="M32" s="6">
        <v>-3.5000000000000003E-2</v>
      </c>
      <c r="N32" s="3">
        <f t="shared" si="18"/>
        <v>-0.14700000000000002</v>
      </c>
      <c r="O32" s="3">
        <f t="shared" si="19"/>
        <v>0.11350000000000002</v>
      </c>
      <c r="P32" s="3">
        <f t="shared" si="19"/>
        <v>0.14800000000000002</v>
      </c>
      <c r="Q32" s="3">
        <f t="shared" si="20"/>
        <v>3.4500000000000003E-2</v>
      </c>
      <c r="R32" s="3">
        <f t="shared" si="21"/>
        <v>0.45100000000000001</v>
      </c>
      <c r="S32" s="3">
        <f t="shared" si="21"/>
        <v>0.22600000000000001</v>
      </c>
      <c r="T32" s="3">
        <f t="shared" si="22"/>
        <v>-0.22500000000000001</v>
      </c>
      <c r="U32" s="3">
        <f t="shared" si="23"/>
        <v>-0.11350000000000002</v>
      </c>
      <c r="V32" s="3">
        <f t="shared" si="23"/>
        <v>-0.14800000000000002</v>
      </c>
      <c r="W32" s="3">
        <f t="shared" si="24"/>
        <v>-3.4500000000000003E-2</v>
      </c>
      <c r="X32" s="3">
        <f t="shared" si="0"/>
        <v>1.4281873614190692E-2</v>
      </c>
      <c r="Y32" s="3">
        <f t="shared" si="1"/>
        <v>4.8460176991150454E-2</v>
      </c>
      <c r="Z32" s="3">
        <f t="shared" si="25"/>
        <v>3.4178303376959762E-2</v>
      </c>
      <c r="AA32" s="3">
        <v>3.1320000000000001</v>
      </c>
      <c r="AB32" s="3">
        <v>3.105</v>
      </c>
      <c r="AC32" s="3">
        <f t="shared" si="26"/>
        <v>-2.7000000000000135E-2</v>
      </c>
      <c r="AD32" s="3">
        <f>-285.670838*627.50956</f>
        <v>-179261.18185821126</v>
      </c>
      <c r="AE32" s="3">
        <f>-287.556842*627.50956</f>
        <v>-180444.66739840951</v>
      </c>
      <c r="AF32" s="3">
        <f t="shared" si="27"/>
        <v>-1183.4855401982495</v>
      </c>
      <c r="AG32" s="3">
        <f>-285.707463*627.50956</f>
        <v>-179284.16439584628</v>
      </c>
      <c r="AH32" s="3">
        <f>-287.594028*627.50956</f>
        <v>-180468.00196890766</v>
      </c>
      <c r="AI32" s="3">
        <f t="shared" si="28"/>
        <v>-1183.837573061377</v>
      </c>
      <c r="AJ32" s="3">
        <v>-0.52700000000000002</v>
      </c>
      <c r="AK32" s="3">
        <v>-0.47899999999999998</v>
      </c>
      <c r="AL32" s="3">
        <f t="shared" si="29"/>
        <v>4.8000000000000043E-2</v>
      </c>
      <c r="AM32" s="3">
        <v>93.126400000000004</v>
      </c>
      <c r="AN32" s="3">
        <v>155.59085999999999</v>
      </c>
      <c r="AO32" s="3">
        <v>157.01846</v>
      </c>
      <c r="AP32" s="3">
        <f t="shared" si="30"/>
        <v>1.1056208563821097</v>
      </c>
      <c r="AQ32" s="3">
        <v>8.2409999999999997</v>
      </c>
      <c r="AR32" s="3">
        <v>1.7433000000000001</v>
      </c>
      <c r="AS32" s="3">
        <v>-959.76900000000001</v>
      </c>
      <c r="AT32" s="3">
        <v>-958.05</v>
      </c>
      <c r="AU32" s="3">
        <f t="shared" si="2"/>
        <v>-1.7190000000000509</v>
      </c>
      <c r="AV32" s="3">
        <v>-0.317</v>
      </c>
      <c r="AW32" s="3">
        <v>-0.45</v>
      </c>
      <c r="AX32" s="3">
        <f t="shared" si="3"/>
        <v>0.13300000000000001</v>
      </c>
      <c r="AY32" s="3">
        <v>-2.4E-2</v>
      </c>
      <c r="AZ32" s="3">
        <v>0.13500000000000001</v>
      </c>
      <c r="BA32" s="3">
        <f t="shared" si="4"/>
        <v>-0.159</v>
      </c>
      <c r="BB32" s="3">
        <f t="shared" ref="BB32:BC47" si="35">-(AV32+AY32)/2</f>
        <v>0.17050000000000001</v>
      </c>
      <c r="BC32" s="3">
        <f t="shared" si="35"/>
        <v>0.1575</v>
      </c>
      <c r="BD32" s="3">
        <f t="shared" si="6"/>
        <v>1.3000000000000012E-2</v>
      </c>
      <c r="BE32" s="3">
        <f t="shared" ref="BE32:BF47" si="36">AY32-AV32</f>
        <v>0.29299999999999998</v>
      </c>
      <c r="BF32" s="3">
        <f t="shared" si="36"/>
        <v>0.58499999999999996</v>
      </c>
      <c r="BG32" s="3">
        <f t="shared" si="8"/>
        <v>-0.29199999999999998</v>
      </c>
      <c r="BH32" s="3">
        <f t="shared" ref="BH32:BI47" si="37">(AV32+AY32)/2</f>
        <v>-0.17050000000000001</v>
      </c>
      <c r="BI32" s="3">
        <f t="shared" si="37"/>
        <v>-0.1575</v>
      </c>
      <c r="BJ32" s="3">
        <f t="shared" si="31"/>
        <v>-1.3000000000000012E-2</v>
      </c>
      <c r="BK32" s="3">
        <f t="shared" si="10"/>
        <v>4.9607935153583631E-2</v>
      </c>
      <c r="BL32" s="3">
        <f t="shared" si="11"/>
        <v>2.120192307692308E-2</v>
      </c>
      <c r="BM32" s="3">
        <f t="shared" si="12"/>
        <v>2.8406012076660551E-2</v>
      </c>
      <c r="BN32" s="3">
        <v>2.2370000000000001</v>
      </c>
      <c r="BO32" s="3">
        <v>2.431</v>
      </c>
      <c r="BP32" s="3">
        <f t="shared" si="13"/>
        <v>-0.19399999999999995</v>
      </c>
      <c r="BQ32" s="3">
        <v>-602243.07700000005</v>
      </c>
      <c r="BR32" s="3">
        <v>-601163.24300000002</v>
      </c>
      <c r="BS32" s="3">
        <f t="shared" si="14"/>
        <v>-1079.8340000000317</v>
      </c>
      <c r="BT32" s="3">
        <v>-602262.36399999994</v>
      </c>
      <c r="BU32" s="3">
        <v>-601182.38500000001</v>
      </c>
      <c r="BV32" s="3">
        <f t="shared" si="15"/>
        <v>-1079.9789999999339</v>
      </c>
    </row>
    <row r="33" spans="1:74" x14ac:dyDescent="0.25">
      <c r="A33" t="s">
        <v>251</v>
      </c>
      <c r="B33" t="s">
        <v>514</v>
      </c>
      <c r="C33" t="s">
        <v>199</v>
      </c>
      <c r="D33" s="3">
        <v>10.93</v>
      </c>
      <c r="E33" s="3">
        <v>0.62</v>
      </c>
      <c r="F33" s="3">
        <v>-464.154</v>
      </c>
      <c r="G33" s="3">
        <v>-466.96899999999999</v>
      </c>
      <c r="H33" s="3">
        <f t="shared" si="16"/>
        <v>-2.8149999999999977</v>
      </c>
      <c r="I33" s="3">
        <v>-0.28000000000000003</v>
      </c>
      <c r="J33" s="6">
        <v>-0.19600000000000001</v>
      </c>
      <c r="K33" s="3">
        <f t="shared" si="17"/>
        <v>8.4000000000000019E-2</v>
      </c>
      <c r="L33" s="3">
        <v>0.15</v>
      </c>
      <c r="M33" s="6">
        <v>1E-3</v>
      </c>
      <c r="N33" s="3">
        <f t="shared" si="18"/>
        <v>-0.14899999999999999</v>
      </c>
      <c r="O33" s="3">
        <f t="shared" si="19"/>
        <v>6.5000000000000016E-2</v>
      </c>
      <c r="P33" s="3">
        <f t="shared" si="19"/>
        <v>9.7500000000000003E-2</v>
      </c>
      <c r="Q33" s="3">
        <f t="shared" si="20"/>
        <v>3.2499999999999987E-2</v>
      </c>
      <c r="R33" s="3">
        <f t="shared" si="21"/>
        <v>0.43000000000000005</v>
      </c>
      <c r="S33" s="3">
        <f t="shared" si="21"/>
        <v>0.19700000000000001</v>
      </c>
      <c r="T33" s="3">
        <f t="shared" si="22"/>
        <v>-0.23300000000000004</v>
      </c>
      <c r="U33" s="3">
        <f t="shared" si="23"/>
        <v>-6.5000000000000016E-2</v>
      </c>
      <c r="V33" s="3">
        <f t="shared" si="23"/>
        <v>-9.7500000000000003E-2</v>
      </c>
      <c r="W33" s="3">
        <f t="shared" si="24"/>
        <v>-3.2499999999999987E-2</v>
      </c>
      <c r="X33" s="3">
        <f t="shared" si="0"/>
        <v>4.9127906976744202E-3</v>
      </c>
      <c r="Y33" s="3">
        <f t="shared" si="1"/>
        <v>2.412753807106599E-2</v>
      </c>
      <c r="Z33" s="3">
        <f t="shared" si="25"/>
        <v>1.9214747373391572E-2</v>
      </c>
      <c r="AA33" s="3">
        <v>6.0259999999999998</v>
      </c>
      <c r="AB33" s="3">
        <v>6.0380000000000003</v>
      </c>
      <c r="AC33" s="3">
        <f t="shared" si="26"/>
        <v>1.2000000000000455E-2</v>
      </c>
      <c r="AD33" s="3">
        <f>-464.039256*627.50956</f>
        <v>-291189.06935528736</v>
      </c>
      <c r="AE33" s="3">
        <f>-466.86258*627.50956</f>
        <v>-292960.73215626477</v>
      </c>
      <c r="AF33" s="3">
        <f t="shared" si="27"/>
        <v>-1771.662800977414</v>
      </c>
      <c r="AG33" s="3">
        <f>-464.077504*627.50956</f>
        <v>-291213.07034093823</v>
      </c>
      <c r="AH33" s="3">
        <f>-466.901673*627.50956</f>
        <v>-292985.26338749385</v>
      </c>
      <c r="AI33" s="3">
        <f t="shared" si="28"/>
        <v>-1772.1930465556215</v>
      </c>
      <c r="AJ33" s="3">
        <v>-0.68100000000000005</v>
      </c>
      <c r="AK33" s="3">
        <v>-0.63700000000000001</v>
      </c>
      <c r="AL33" s="3">
        <f t="shared" si="29"/>
        <v>4.4000000000000039E-2</v>
      </c>
      <c r="AM33" s="3">
        <v>134.11869999999999</v>
      </c>
      <c r="AN33" s="3">
        <v>164.90819999999999</v>
      </c>
      <c r="AO33" s="3">
        <v>166.87700000000001</v>
      </c>
      <c r="AP33" s="3">
        <f t="shared" si="30"/>
        <v>1.1252107670264819</v>
      </c>
      <c r="AQ33" s="3">
        <v>8.7840000000000007</v>
      </c>
      <c r="AR33" s="3">
        <v>1.9835</v>
      </c>
      <c r="AS33" s="3">
        <v>-76.454999999999998</v>
      </c>
      <c r="AT33" s="3">
        <v>-76.055000000000007</v>
      </c>
      <c r="AU33" s="3">
        <f t="shared" si="2"/>
        <v>-0.39999999999999147</v>
      </c>
      <c r="AV33" s="3">
        <v>-0.30399999999999999</v>
      </c>
      <c r="AW33" s="3">
        <v>-0.505</v>
      </c>
      <c r="AX33" s="3">
        <f t="shared" si="3"/>
        <v>0.20100000000000001</v>
      </c>
      <c r="AY33" s="3">
        <v>0.04</v>
      </c>
      <c r="AZ33" s="3">
        <v>0.16400000000000001</v>
      </c>
      <c r="BA33" s="3">
        <f t="shared" si="4"/>
        <v>-0.124</v>
      </c>
      <c r="BB33" s="3">
        <f t="shared" si="35"/>
        <v>0.13200000000000001</v>
      </c>
      <c r="BC33" s="3">
        <f t="shared" si="35"/>
        <v>0.17049999999999998</v>
      </c>
      <c r="BD33" s="3">
        <f t="shared" si="6"/>
        <v>-3.8499999999999979E-2</v>
      </c>
      <c r="BE33" s="3">
        <f t="shared" si="36"/>
        <v>0.34399999999999997</v>
      </c>
      <c r="BF33" s="3">
        <f t="shared" si="36"/>
        <v>0.66900000000000004</v>
      </c>
      <c r="BG33" s="3">
        <f t="shared" si="8"/>
        <v>-0.32500000000000007</v>
      </c>
      <c r="BH33" s="3">
        <f t="shared" si="37"/>
        <v>-0.13200000000000001</v>
      </c>
      <c r="BI33" s="3">
        <f t="shared" si="37"/>
        <v>-0.17049999999999998</v>
      </c>
      <c r="BJ33" s="3">
        <f t="shared" si="31"/>
        <v>3.8499999999999979E-2</v>
      </c>
      <c r="BK33" s="3">
        <f t="shared" si="10"/>
        <v>2.5325581395348844E-2</v>
      </c>
      <c r="BL33" s="3">
        <f t="shared" si="11"/>
        <v>2.1726644245141997E-2</v>
      </c>
      <c r="BM33" s="3">
        <f t="shared" si="12"/>
        <v>3.5989371502068469E-3</v>
      </c>
      <c r="BN33" s="3">
        <v>2.3010000000000002</v>
      </c>
      <c r="BO33" s="3">
        <v>2.3559999999999999</v>
      </c>
      <c r="BP33" s="3">
        <f t="shared" si="13"/>
        <v>-5.4999999999999716E-2</v>
      </c>
      <c r="BQ33" s="3">
        <v>-47960.305999999997</v>
      </c>
      <c r="BR33" s="3">
        <v>-47708.290999999997</v>
      </c>
      <c r="BS33" s="3">
        <f t="shared" si="14"/>
        <v>-252.01499999999942</v>
      </c>
      <c r="BT33" s="3">
        <v>-47973.754999999997</v>
      </c>
      <c r="BU33" s="3">
        <v>-47721.697</v>
      </c>
      <c r="BV33" s="3">
        <f t="shared" si="15"/>
        <v>-252.05799999999726</v>
      </c>
    </row>
    <row r="34" spans="1:74" x14ac:dyDescent="0.25">
      <c r="A34" t="s">
        <v>253</v>
      </c>
      <c r="B34" t="s">
        <v>514</v>
      </c>
      <c r="C34" t="s">
        <v>199</v>
      </c>
      <c r="D34" s="3">
        <v>11</v>
      </c>
      <c r="E34" s="3">
        <v>0.54</v>
      </c>
      <c r="F34" s="3">
        <v>-409.08800000000002</v>
      </c>
      <c r="G34" s="3">
        <v>-411.58</v>
      </c>
      <c r="H34" s="3">
        <f t="shared" si="16"/>
        <v>-2.4919999999999618</v>
      </c>
      <c r="I34" s="3">
        <v>-0.29599999999999999</v>
      </c>
      <c r="J34" s="6">
        <v>-0.217</v>
      </c>
      <c r="K34" s="3">
        <f t="shared" si="17"/>
        <v>7.8999999999999987E-2</v>
      </c>
      <c r="L34" s="3">
        <v>0.124</v>
      </c>
      <c r="M34" s="6">
        <v>-2.1999999999999999E-2</v>
      </c>
      <c r="N34" s="3">
        <f t="shared" si="18"/>
        <v>-0.14599999999999999</v>
      </c>
      <c r="O34" s="3">
        <f t="shared" si="19"/>
        <v>8.5999999999999993E-2</v>
      </c>
      <c r="P34" s="3">
        <f t="shared" si="19"/>
        <v>0.1195</v>
      </c>
      <c r="Q34" s="3">
        <f t="shared" si="20"/>
        <v>3.3500000000000002E-2</v>
      </c>
      <c r="R34" s="3">
        <f t="shared" si="21"/>
        <v>0.42</v>
      </c>
      <c r="S34" s="3">
        <f t="shared" si="21"/>
        <v>0.19500000000000001</v>
      </c>
      <c r="T34" s="3">
        <f t="shared" si="22"/>
        <v>-0.22499999999999998</v>
      </c>
      <c r="U34" s="3">
        <f t="shared" si="23"/>
        <v>-8.5999999999999993E-2</v>
      </c>
      <c r="V34" s="3">
        <f t="shared" si="23"/>
        <v>-0.1195</v>
      </c>
      <c r="W34" s="3">
        <f t="shared" si="24"/>
        <v>-3.3500000000000002E-2</v>
      </c>
      <c r="X34" s="3">
        <f t="shared" si="0"/>
        <v>8.8047619047619038E-3</v>
      </c>
      <c r="Y34" s="3">
        <f t="shared" si="1"/>
        <v>3.6616025641025639E-2</v>
      </c>
      <c r="Z34" s="3">
        <f t="shared" si="25"/>
        <v>2.7811263736263733E-2</v>
      </c>
      <c r="AA34" s="3">
        <v>2.4300000000000002</v>
      </c>
      <c r="AB34" s="3">
        <v>2.0670000000000002</v>
      </c>
      <c r="AC34" s="3">
        <f t="shared" si="26"/>
        <v>-0.36299999999999999</v>
      </c>
      <c r="AD34" s="3">
        <f>-408.993468*627.50956</f>
        <v>-256647.31114755408</v>
      </c>
      <c r="AE34" s="3">
        <f>-411.492058*627.50956</f>
        <v>-258215.20025907445</v>
      </c>
      <c r="AF34" s="3">
        <f t="shared" si="27"/>
        <v>-1567.8891115203733</v>
      </c>
      <c r="AG34" s="3">
        <f>-409.028984*627.50956</f>
        <v>-256669.59777708701</v>
      </c>
      <c r="AH34" s="3">
        <f>-411.528216*627.50956</f>
        <v>-258237.88974974494</v>
      </c>
      <c r="AI34" s="3">
        <f t="shared" si="28"/>
        <v>-1568.2919726579275</v>
      </c>
      <c r="AJ34" s="3">
        <v>-0.73499999999999999</v>
      </c>
      <c r="AK34" s="3">
        <v>-0.63400000000000001</v>
      </c>
      <c r="AL34" s="3">
        <f t="shared" si="29"/>
        <v>0.10099999999999998</v>
      </c>
      <c r="AM34" s="3">
        <v>119.1041</v>
      </c>
      <c r="AN34" s="3">
        <v>149.33359999999999</v>
      </c>
      <c r="AO34" s="3">
        <v>148.42410000000001</v>
      </c>
      <c r="AP34" s="3">
        <f t="shared" si="30"/>
        <v>1.1017351422092316</v>
      </c>
      <c r="AQ34" s="3">
        <v>8.7769999999999992</v>
      </c>
      <c r="AR34" s="3">
        <v>1.8387</v>
      </c>
      <c r="AS34" s="3">
        <v>-76.454999999999998</v>
      </c>
      <c r="AT34" s="3">
        <v>-76.055000000000007</v>
      </c>
      <c r="AU34" s="3">
        <f t="shared" si="2"/>
        <v>-0.39999999999999147</v>
      </c>
      <c r="AV34" s="3">
        <v>-0.30399999999999999</v>
      </c>
      <c r="AW34" s="3">
        <v>-0.505</v>
      </c>
      <c r="AX34" s="3">
        <f t="shared" si="3"/>
        <v>0.20100000000000001</v>
      </c>
      <c r="AY34" s="3">
        <v>0.04</v>
      </c>
      <c r="AZ34" s="3">
        <v>0.16400000000000001</v>
      </c>
      <c r="BA34" s="3">
        <f t="shared" si="4"/>
        <v>-0.124</v>
      </c>
      <c r="BB34" s="3">
        <f t="shared" si="35"/>
        <v>0.13200000000000001</v>
      </c>
      <c r="BC34" s="3">
        <f t="shared" si="35"/>
        <v>0.17049999999999998</v>
      </c>
      <c r="BD34" s="3">
        <f t="shared" si="6"/>
        <v>-3.8499999999999979E-2</v>
      </c>
      <c r="BE34" s="3">
        <f t="shared" si="36"/>
        <v>0.34399999999999997</v>
      </c>
      <c r="BF34" s="3">
        <f t="shared" si="36"/>
        <v>0.66900000000000004</v>
      </c>
      <c r="BG34" s="3">
        <f t="shared" si="8"/>
        <v>-0.32500000000000007</v>
      </c>
      <c r="BH34" s="3">
        <f t="shared" si="37"/>
        <v>-0.13200000000000001</v>
      </c>
      <c r="BI34" s="3">
        <f t="shared" si="37"/>
        <v>-0.17049999999999998</v>
      </c>
      <c r="BJ34" s="3">
        <f t="shared" si="31"/>
        <v>3.8499999999999979E-2</v>
      </c>
      <c r="BK34" s="3">
        <f t="shared" si="10"/>
        <v>2.5325581395348844E-2</v>
      </c>
      <c r="BL34" s="3">
        <f t="shared" si="11"/>
        <v>2.1726644245141997E-2</v>
      </c>
      <c r="BM34" s="3">
        <f t="shared" si="12"/>
        <v>3.5989371502068469E-3</v>
      </c>
      <c r="BN34" s="3">
        <v>2.3010000000000002</v>
      </c>
      <c r="BO34" s="3">
        <v>2.3559999999999999</v>
      </c>
      <c r="BP34" s="3">
        <f t="shared" si="13"/>
        <v>-5.4999999999999716E-2</v>
      </c>
      <c r="BQ34" s="3">
        <v>-47960.305999999997</v>
      </c>
      <c r="BR34" s="3">
        <v>-47708.290999999997</v>
      </c>
      <c r="BS34" s="3">
        <f t="shared" si="14"/>
        <v>-252.01499999999942</v>
      </c>
      <c r="BT34" s="3">
        <v>-47973.754999999997</v>
      </c>
      <c r="BU34" s="3">
        <v>-47721.697</v>
      </c>
      <c r="BV34" s="3">
        <f t="shared" si="15"/>
        <v>-252.05799999999726</v>
      </c>
    </row>
    <row r="35" spans="1:74" x14ac:dyDescent="0.25">
      <c r="A35" t="s">
        <v>252</v>
      </c>
      <c r="B35" t="s">
        <v>514</v>
      </c>
      <c r="C35" t="s">
        <v>200</v>
      </c>
      <c r="D35" s="3">
        <v>11</v>
      </c>
      <c r="E35" s="3">
        <v>0.71</v>
      </c>
      <c r="F35" s="3">
        <v>-491.47899999999998</v>
      </c>
      <c r="G35" s="3">
        <v>-494.524</v>
      </c>
      <c r="H35" s="3">
        <f t="shared" si="16"/>
        <v>-3.0450000000000159</v>
      </c>
      <c r="I35" s="3">
        <v>-0.29899999999999999</v>
      </c>
      <c r="J35" s="6">
        <v>-0.216</v>
      </c>
      <c r="K35" s="3">
        <f t="shared" si="17"/>
        <v>8.299999999999999E-2</v>
      </c>
      <c r="L35" s="3">
        <v>0.111</v>
      </c>
      <c r="M35" s="6">
        <v>-0.03</v>
      </c>
      <c r="N35" s="3">
        <f t="shared" si="18"/>
        <v>-0.14100000000000001</v>
      </c>
      <c r="O35" s="3">
        <f t="shared" si="19"/>
        <v>9.4E-2</v>
      </c>
      <c r="P35" s="3">
        <f t="shared" si="19"/>
        <v>0.123</v>
      </c>
      <c r="Q35" s="3">
        <f t="shared" si="20"/>
        <v>2.8999999999999998E-2</v>
      </c>
      <c r="R35" s="3">
        <f t="shared" si="21"/>
        <v>0.41</v>
      </c>
      <c r="S35" s="3">
        <f t="shared" si="21"/>
        <v>0.186</v>
      </c>
      <c r="T35" s="3">
        <f t="shared" si="22"/>
        <v>-0.22399999999999998</v>
      </c>
      <c r="U35" s="3">
        <f t="shared" si="23"/>
        <v>-9.4E-2</v>
      </c>
      <c r="V35" s="3">
        <f t="shared" si="23"/>
        <v>-0.123</v>
      </c>
      <c r="W35" s="3">
        <f t="shared" si="24"/>
        <v>-2.8999999999999998E-2</v>
      </c>
      <c r="X35" s="3">
        <f t="shared" si="0"/>
        <v>1.0775609756097562E-2</v>
      </c>
      <c r="Y35" s="3">
        <f t="shared" si="1"/>
        <v>4.0669354838709676E-2</v>
      </c>
      <c r="Z35" s="3">
        <f t="shared" si="25"/>
        <v>2.9893745082612114E-2</v>
      </c>
      <c r="AA35" s="3">
        <v>6.2270000000000003</v>
      </c>
      <c r="AB35" s="3">
        <v>5.9340000000000002</v>
      </c>
      <c r="AC35" s="3">
        <f t="shared" si="26"/>
        <v>-0.29300000000000015</v>
      </c>
      <c r="AD35" s="3">
        <f>-491.308854*627.50956</f>
        <v>-308301.00279764424</v>
      </c>
      <c r="AE35" s="3">
        <f>-494.363955*627.50956</f>
        <v>-310218.10788190976</v>
      </c>
      <c r="AF35" s="3">
        <f t="shared" si="27"/>
        <v>-1917.1050842655241</v>
      </c>
      <c r="AG35" s="3">
        <f>-491.351522*627.50956</f>
        <v>-308327.7773755503</v>
      </c>
      <c r="AH35" s="3">
        <f>-494.407311*627.50956</f>
        <v>-310245.31418639317</v>
      </c>
      <c r="AI35" s="3">
        <f t="shared" si="28"/>
        <v>-1917.5368108428665</v>
      </c>
      <c r="AJ35" s="3">
        <v>-0.61299999999999999</v>
      </c>
      <c r="AK35" s="3">
        <v>-0.54500000000000004</v>
      </c>
      <c r="AL35" s="3">
        <f t="shared" si="29"/>
        <v>6.7999999999999949E-2</v>
      </c>
      <c r="AM35" s="3">
        <v>148.1619</v>
      </c>
      <c r="AN35" s="3">
        <v>199.71860000000001</v>
      </c>
      <c r="AO35" s="3">
        <v>211.26367999999999</v>
      </c>
      <c r="AP35" s="3">
        <f t="shared" si="30"/>
        <v>1.1644599864898102</v>
      </c>
      <c r="AQ35" s="3">
        <v>11.209</v>
      </c>
      <c r="AR35" s="3">
        <v>2.4037453000000002</v>
      </c>
      <c r="AS35" s="3">
        <v>-553.27200000000005</v>
      </c>
      <c r="AT35" s="3">
        <v>-551.61699999999996</v>
      </c>
      <c r="AU35" s="3">
        <f t="shared" si="2"/>
        <v>-1.6550000000000864</v>
      </c>
      <c r="AV35" s="3">
        <v>-0.23699999999999999</v>
      </c>
      <c r="AW35" s="3">
        <v>-0.36899999999999999</v>
      </c>
      <c r="AX35" s="3">
        <f t="shared" si="3"/>
        <v>0.13200000000000001</v>
      </c>
      <c r="AY35" s="3">
        <v>2.8000000000000001E-2</v>
      </c>
      <c r="AZ35" s="3">
        <v>0.154</v>
      </c>
      <c r="BA35" s="3">
        <f t="shared" si="4"/>
        <v>-0.126</v>
      </c>
      <c r="BB35" s="3">
        <f t="shared" si="35"/>
        <v>0.1045</v>
      </c>
      <c r="BC35" s="3">
        <f t="shared" si="35"/>
        <v>0.1075</v>
      </c>
      <c r="BD35" s="3">
        <f t="shared" si="6"/>
        <v>-3.0000000000000027E-3</v>
      </c>
      <c r="BE35" s="3">
        <f t="shared" si="36"/>
        <v>0.26500000000000001</v>
      </c>
      <c r="BF35" s="3">
        <f t="shared" si="36"/>
        <v>0.52300000000000002</v>
      </c>
      <c r="BG35" s="3">
        <f t="shared" si="8"/>
        <v>-0.25800000000000001</v>
      </c>
      <c r="BH35" s="3">
        <f t="shared" si="37"/>
        <v>-0.1045</v>
      </c>
      <c r="BI35" s="3">
        <f t="shared" si="37"/>
        <v>-0.1075</v>
      </c>
      <c r="BJ35" s="3">
        <f t="shared" si="31"/>
        <v>3.0000000000000027E-3</v>
      </c>
      <c r="BK35" s="3">
        <f t="shared" si="10"/>
        <v>2.0604245283018865E-2</v>
      </c>
      <c r="BL35" s="3">
        <f t="shared" si="11"/>
        <v>1.104804015296367E-2</v>
      </c>
      <c r="BM35" s="3">
        <f t="shared" si="12"/>
        <v>9.5562051300551957E-3</v>
      </c>
      <c r="BN35" s="3">
        <v>5.4870000000000001</v>
      </c>
      <c r="BO35" s="3">
        <v>6.0839999999999996</v>
      </c>
      <c r="BP35" s="3">
        <f t="shared" si="13"/>
        <v>-0.59699999999999953</v>
      </c>
      <c r="BQ35" s="3">
        <v>-347129.96399999998</v>
      </c>
      <c r="BR35" s="3">
        <v>-346087.64600000001</v>
      </c>
      <c r="BS35" s="3">
        <f t="shared" si="14"/>
        <v>-1042.3179999999702</v>
      </c>
      <c r="BT35" s="3">
        <v>-347152.04599999997</v>
      </c>
      <c r="BU35" s="3">
        <v>-346109.22600000002</v>
      </c>
      <c r="BV35" s="3">
        <f t="shared" si="15"/>
        <v>-1042.8199999999488</v>
      </c>
    </row>
    <row r="36" spans="1:74" x14ac:dyDescent="0.25">
      <c r="A36" t="s">
        <v>254</v>
      </c>
      <c r="B36" t="s">
        <v>514</v>
      </c>
      <c r="C36" t="s">
        <v>199</v>
      </c>
      <c r="D36" s="3">
        <v>11.05</v>
      </c>
      <c r="E36" s="3">
        <v>0.52</v>
      </c>
      <c r="F36" s="3">
        <v>-279.07600000000002</v>
      </c>
      <c r="G36" s="3">
        <v>-280.68400000000003</v>
      </c>
      <c r="H36" s="3">
        <f t="shared" si="16"/>
        <v>-1.6080000000000041</v>
      </c>
      <c r="I36" s="3">
        <v>-0.41199999999999998</v>
      </c>
      <c r="J36" s="6">
        <v>-0.26100000000000001</v>
      </c>
      <c r="K36" s="3">
        <f t="shared" si="17"/>
        <v>0.15099999999999997</v>
      </c>
      <c r="L36" s="3">
        <v>0.16200000000000001</v>
      </c>
      <c r="M36" s="6">
        <v>3.5999999999999997E-2</v>
      </c>
      <c r="N36" s="3">
        <f t="shared" si="18"/>
        <v>-0.126</v>
      </c>
      <c r="O36" s="3">
        <f t="shared" si="19"/>
        <v>0.12499999999999999</v>
      </c>
      <c r="P36" s="3">
        <f t="shared" si="19"/>
        <v>0.1125</v>
      </c>
      <c r="Q36" s="3">
        <f t="shared" si="20"/>
        <v>-1.2499999999999983E-2</v>
      </c>
      <c r="R36" s="3">
        <f t="shared" si="21"/>
        <v>0.57399999999999995</v>
      </c>
      <c r="S36" s="3">
        <f t="shared" si="21"/>
        <v>0.29699999999999999</v>
      </c>
      <c r="T36" s="3">
        <f t="shared" si="22"/>
        <v>-0.27699999999999997</v>
      </c>
      <c r="U36" s="3">
        <f t="shared" si="23"/>
        <v>-0.12499999999999999</v>
      </c>
      <c r="V36" s="3">
        <f t="shared" si="23"/>
        <v>-0.1125</v>
      </c>
      <c r="W36" s="3">
        <f t="shared" si="24"/>
        <v>1.2499999999999983E-2</v>
      </c>
      <c r="X36" s="3">
        <f t="shared" si="0"/>
        <v>1.3610627177700346E-2</v>
      </c>
      <c r="Y36" s="3">
        <f t="shared" si="1"/>
        <v>2.1306818181818184E-2</v>
      </c>
      <c r="Z36" s="3">
        <f t="shared" si="25"/>
        <v>7.6961910041178378E-3</v>
      </c>
      <c r="AA36" s="3">
        <v>3.8980000000000001</v>
      </c>
      <c r="AB36" s="3">
        <v>3.9929999999999999</v>
      </c>
      <c r="AC36" s="3">
        <f t="shared" si="26"/>
        <v>9.4999999999999751E-2</v>
      </c>
      <c r="AD36" s="3">
        <f>-278.98297*627.50956</f>
        <v>-175064.48075219319</v>
      </c>
      <c r="AE36" s="3">
        <f>-280.596528*627.50956</f>
        <v>-176077.00382280766</v>
      </c>
      <c r="AF36" s="3">
        <f t="shared" si="27"/>
        <v>-1012.5230706144648</v>
      </c>
      <c r="AG36" s="3">
        <f>-279.017709*627.50956</f>
        <v>-175086.27980679803</v>
      </c>
      <c r="AH36" s="3">
        <f>-280.632702*627.50956</f>
        <v>-176099.70335363111</v>
      </c>
      <c r="AI36" s="3">
        <f t="shared" si="28"/>
        <v>-1013.4235468330735</v>
      </c>
      <c r="AJ36" s="3">
        <v>-0.52900000000000003</v>
      </c>
      <c r="AK36" s="3">
        <v>-0.82499999999999996</v>
      </c>
      <c r="AL36" s="3">
        <f t="shared" si="29"/>
        <v>-0.29599999999999993</v>
      </c>
      <c r="AM36" s="3">
        <v>75.069900000000004</v>
      </c>
      <c r="AN36" s="3">
        <v>120.53270000000001</v>
      </c>
      <c r="AO36" s="3">
        <v>109.30986</v>
      </c>
      <c r="AP36" s="3">
        <f t="shared" si="30"/>
        <v>1.0904052741211134</v>
      </c>
      <c r="AQ36" s="3">
        <v>7.1749999999999998</v>
      </c>
      <c r="AR36" s="3">
        <v>1.49448</v>
      </c>
      <c r="AS36" s="3">
        <v>-76.454999999999998</v>
      </c>
      <c r="AT36" s="3">
        <v>-76.055000000000007</v>
      </c>
      <c r="AU36" s="3">
        <f t="shared" si="2"/>
        <v>-0.39999999999999147</v>
      </c>
      <c r="AV36" s="3">
        <v>-0.30399999999999999</v>
      </c>
      <c r="AW36" s="3">
        <v>-0.505</v>
      </c>
      <c r="AX36" s="3">
        <f t="shared" si="3"/>
        <v>0.20100000000000001</v>
      </c>
      <c r="AY36" s="3">
        <v>0.04</v>
      </c>
      <c r="AZ36" s="3">
        <v>0.16400000000000001</v>
      </c>
      <c r="BA36" s="3">
        <f t="shared" si="4"/>
        <v>-0.124</v>
      </c>
      <c r="BB36" s="3">
        <f t="shared" si="35"/>
        <v>0.13200000000000001</v>
      </c>
      <c r="BC36" s="3">
        <f t="shared" si="35"/>
        <v>0.17049999999999998</v>
      </c>
      <c r="BD36" s="3">
        <f t="shared" si="6"/>
        <v>-3.8499999999999979E-2</v>
      </c>
      <c r="BE36" s="3">
        <f t="shared" si="36"/>
        <v>0.34399999999999997</v>
      </c>
      <c r="BF36" s="3">
        <f t="shared" si="36"/>
        <v>0.66900000000000004</v>
      </c>
      <c r="BG36" s="3">
        <f t="shared" si="8"/>
        <v>-0.32500000000000007</v>
      </c>
      <c r="BH36" s="3">
        <f t="shared" si="37"/>
        <v>-0.13200000000000001</v>
      </c>
      <c r="BI36" s="3">
        <f t="shared" si="37"/>
        <v>-0.17049999999999998</v>
      </c>
      <c r="BJ36" s="3">
        <f t="shared" si="31"/>
        <v>3.8499999999999979E-2</v>
      </c>
      <c r="BK36" s="3">
        <f t="shared" si="10"/>
        <v>2.5325581395348844E-2</v>
      </c>
      <c r="BL36" s="3">
        <f t="shared" si="11"/>
        <v>2.1726644245141997E-2</v>
      </c>
      <c r="BM36" s="3">
        <f t="shared" si="12"/>
        <v>3.5989371502068469E-3</v>
      </c>
      <c r="BN36" s="3">
        <v>2.3010000000000002</v>
      </c>
      <c r="BO36" s="3">
        <v>2.3559999999999999</v>
      </c>
      <c r="BP36" s="3">
        <f t="shared" si="13"/>
        <v>-5.4999999999999716E-2</v>
      </c>
      <c r="BQ36" s="3">
        <v>-47960.305999999997</v>
      </c>
      <c r="BR36" s="3">
        <v>-47708.290999999997</v>
      </c>
      <c r="BS36" s="3">
        <f t="shared" si="14"/>
        <v>-252.01499999999942</v>
      </c>
      <c r="BT36" s="3">
        <v>-47973.754999999997</v>
      </c>
      <c r="BU36" s="3">
        <v>-47721.697</v>
      </c>
      <c r="BV36" s="3">
        <f t="shared" si="15"/>
        <v>-252.05799999999726</v>
      </c>
    </row>
    <row r="37" spans="1:74" x14ac:dyDescent="0.25">
      <c r="A37" t="s">
        <v>255</v>
      </c>
      <c r="B37" t="s">
        <v>514</v>
      </c>
      <c r="C37" t="s">
        <v>199</v>
      </c>
      <c r="D37" s="3">
        <v>11.05</v>
      </c>
      <c r="E37" s="3">
        <v>0.73</v>
      </c>
      <c r="F37" s="3">
        <v>-246.756</v>
      </c>
      <c r="G37" s="3">
        <v>-248.352</v>
      </c>
      <c r="H37" s="3">
        <f t="shared" si="16"/>
        <v>-1.5960000000000036</v>
      </c>
      <c r="I37" s="3">
        <v>-0.35099999999999998</v>
      </c>
      <c r="J37" s="6">
        <v>-0.26800000000000002</v>
      </c>
      <c r="K37" s="3">
        <f t="shared" si="17"/>
        <v>8.2999999999999963E-2</v>
      </c>
      <c r="L37" s="3">
        <v>0.113</v>
      </c>
      <c r="M37" s="6">
        <v>-3.5999999999999997E-2</v>
      </c>
      <c r="N37" s="3">
        <f t="shared" si="18"/>
        <v>-0.14899999999999999</v>
      </c>
      <c r="O37" s="3">
        <f t="shared" si="19"/>
        <v>0.11899999999999999</v>
      </c>
      <c r="P37" s="3">
        <f t="shared" si="19"/>
        <v>0.152</v>
      </c>
      <c r="Q37" s="3">
        <f t="shared" si="20"/>
        <v>3.3000000000000002E-2</v>
      </c>
      <c r="R37" s="3">
        <f t="shared" si="21"/>
        <v>0.46399999999999997</v>
      </c>
      <c r="S37" s="3">
        <f t="shared" si="21"/>
        <v>0.23200000000000001</v>
      </c>
      <c r="T37" s="3">
        <f t="shared" si="22"/>
        <v>-0.23199999999999996</v>
      </c>
      <c r="U37" s="3">
        <f t="shared" si="23"/>
        <v>-0.11899999999999999</v>
      </c>
      <c r="V37" s="3">
        <f t="shared" si="23"/>
        <v>-0.152</v>
      </c>
      <c r="W37" s="3">
        <f t="shared" si="24"/>
        <v>-3.3000000000000002E-2</v>
      </c>
      <c r="X37" s="3">
        <f t="shared" si="0"/>
        <v>1.5259698275862068E-2</v>
      </c>
      <c r="Y37" s="3">
        <f t="shared" si="1"/>
        <v>4.9793103448275859E-2</v>
      </c>
      <c r="Z37" s="3">
        <f t="shared" si="25"/>
        <v>3.4533405172413795E-2</v>
      </c>
      <c r="AA37" s="3">
        <v>2.9580000000000002</v>
      </c>
      <c r="AB37" s="3">
        <v>2.8959999999999999</v>
      </c>
      <c r="AC37" s="3">
        <f t="shared" si="26"/>
        <v>-6.2000000000000277E-2</v>
      </c>
      <c r="AD37" s="3">
        <f>-246.656124*627.50956</f>
        <v>-154779.07584254543</v>
      </c>
      <c r="AE37" s="3">
        <f>-248.25823*627.50956</f>
        <v>-155784.4126736788</v>
      </c>
      <c r="AF37" s="3">
        <f t="shared" si="27"/>
        <v>-1005.3368311333761</v>
      </c>
      <c r="AG37" s="3">
        <f>-246.688339*627.50956</f>
        <v>-154799.29106302085</v>
      </c>
      <c r="AH37" s="3">
        <f>-248.290845*627.50956</f>
        <v>-155804.8788979782</v>
      </c>
      <c r="AI37" s="3">
        <f t="shared" si="28"/>
        <v>-1005.5878349573468</v>
      </c>
      <c r="AJ37" s="3">
        <v>-0.54400000000000004</v>
      </c>
      <c r="AK37" s="3">
        <v>-0.48899999999999999</v>
      </c>
      <c r="AL37" s="3">
        <f t="shared" si="29"/>
        <v>5.5000000000000049E-2</v>
      </c>
      <c r="AM37" s="3">
        <v>79.099900000000005</v>
      </c>
      <c r="AN37" s="3">
        <v>133.21100000000001</v>
      </c>
      <c r="AO37" s="3">
        <v>129.0335</v>
      </c>
      <c r="AP37" s="3">
        <f t="shared" si="30"/>
        <v>1.0789327780533353</v>
      </c>
      <c r="AQ37" s="3">
        <v>7.2910000000000004</v>
      </c>
      <c r="AR37" s="3">
        <v>1.4681340000000001</v>
      </c>
      <c r="AS37" s="3">
        <v>-76.454999999999998</v>
      </c>
      <c r="AT37" s="3">
        <v>-76.055000000000007</v>
      </c>
      <c r="AU37" s="3">
        <f t="shared" si="2"/>
        <v>-0.39999999999999147</v>
      </c>
      <c r="AV37" s="3">
        <v>-0.30399999999999999</v>
      </c>
      <c r="AW37" s="3">
        <v>-0.505</v>
      </c>
      <c r="AX37" s="3">
        <f t="shared" si="3"/>
        <v>0.20100000000000001</v>
      </c>
      <c r="AY37" s="3">
        <v>0.04</v>
      </c>
      <c r="AZ37" s="3">
        <v>0.16400000000000001</v>
      </c>
      <c r="BA37" s="3">
        <f t="shared" si="4"/>
        <v>-0.124</v>
      </c>
      <c r="BB37" s="3">
        <f t="shared" si="35"/>
        <v>0.13200000000000001</v>
      </c>
      <c r="BC37" s="3">
        <f t="shared" si="35"/>
        <v>0.17049999999999998</v>
      </c>
      <c r="BD37" s="3">
        <f t="shared" si="6"/>
        <v>-3.8499999999999979E-2</v>
      </c>
      <c r="BE37" s="3">
        <f t="shared" si="36"/>
        <v>0.34399999999999997</v>
      </c>
      <c r="BF37" s="3">
        <f t="shared" si="36"/>
        <v>0.66900000000000004</v>
      </c>
      <c r="BG37" s="3">
        <f t="shared" si="8"/>
        <v>-0.32500000000000007</v>
      </c>
      <c r="BH37" s="3">
        <f t="shared" si="37"/>
        <v>-0.13200000000000001</v>
      </c>
      <c r="BI37" s="3">
        <f t="shared" si="37"/>
        <v>-0.17049999999999998</v>
      </c>
      <c r="BJ37" s="3">
        <f t="shared" si="31"/>
        <v>3.8499999999999979E-2</v>
      </c>
      <c r="BK37" s="3">
        <f t="shared" si="10"/>
        <v>2.5325581395348844E-2</v>
      </c>
      <c r="BL37" s="3">
        <f t="shared" si="11"/>
        <v>2.1726644245141997E-2</v>
      </c>
      <c r="BM37" s="3">
        <f t="shared" si="12"/>
        <v>3.5989371502068469E-3</v>
      </c>
      <c r="BN37" s="3">
        <v>2.3010000000000002</v>
      </c>
      <c r="BO37" s="3">
        <v>2.3559999999999999</v>
      </c>
      <c r="BP37" s="3">
        <f t="shared" si="13"/>
        <v>-5.4999999999999716E-2</v>
      </c>
      <c r="BQ37" s="3">
        <v>-47960.305999999997</v>
      </c>
      <c r="BR37" s="3">
        <v>-47708.290999999997</v>
      </c>
      <c r="BS37" s="3">
        <f t="shared" si="14"/>
        <v>-252.01499999999942</v>
      </c>
      <c r="BT37" s="3">
        <v>-47973.754999999997</v>
      </c>
      <c r="BU37" s="3">
        <v>-47721.697</v>
      </c>
      <c r="BV37" s="3">
        <f t="shared" si="15"/>
        <v>-252.05799999999726</v>
      </c>
    </row>
    <row r="38" spans="1:74" x14ac:dyDescent="0.25">
      <c r="A38" t="s">
        <v>256</v>
      </c>
      <c r="B38" t="s">
        <v>514</v>
      </c>
      <c r="C38" t="s">
        <v>199</v>
      </c>
      <c r="D38" s="3">
        <v>11.07</v>
      </c>
      <c r="E38" s="3">
        <v>0.5</v>
      </c>
      <c r="F38" s="3">
        <v>-337.15300000000002</v>
      </c>
      <c r="G38" s="3">
        <v>-339.166</v>
      </c>
      <c r="H38" s="3">
        <f t="shared" si="16"/>
        <v>-2.0129999999999768</v>
      </c>
      <c r="I38" s="3">
        <v>-0.27700000000000002</v>
      </c>
      <c r="J38" s="6">
        <v>-0.20100000000000001</v>
      </c>
      <c r="K38" s="3">
        <f t="shared" si="17"/>
        <v>7.6000000000000012E-2</v>
      </c>
      <c r="L38" s="3">
        <v>0.13100000000000001</v>
      </c>
      <c r="M38" s="6">
        <v>-2.4E-2</v>
      </c>
      <c r="N38" s="3">
        <f t="shared" si="18"/>
        <v>-0.155</v>
      </c>
      <c r="O38" s="3">
        <f t="shared" si="19"/>
        <v>7.3000000000000009E-2</v>
      </c>
      <c r="P38" s="3">
        <f t="shared" si="19"/>
        <v>0.1125</v>
      </c>
      <c r="Q38" s="3">
        <f t="shared" si="20"/>
        <v>3.9499999999999993E-2</v>
      </c>
      <c r="R38" s="3">
        <f t="shared" si="21"/>
        <v>0.40800000000000003</v>
      </c>
      <c r="S38" s="3">
        <f t="shared" si="21"/>
        <v>0.17700000000000002</v>
      </c>
      <c r="T38" s="3">
        <f t="shared" si="22"/>
        <v>-0.23100000000000001</v>
      </c>
      <c r="U38" s="3">
        <f t="shared" si="23"/>
        <v>-7.3000000000000009E-2</v>
      </c>
      <c r="V38" s="3">
        <f t="shared" si="23"/>
        <v>-0.1125</v>
      </c>
      <c r="W38" s="3">
        <f t="shared" si="24"/>
        <v>-3.9499999999999993E-2</v>
      </c>
      <c r="X38" s="3">
        <f t="shared" si="0"/>
        <v>6.5306372549019621E-3</v>
      </c>
      <c r="Y38" s="3">
        <f t="shared" si="1"/>
        <v>3.5752118644067798E-2</v>
      </c>
      <c r="Z38" s="3">
        <f t="shared" si="25"/>
        <v>2.9221481389165836E-2</v>
      </c>
      <c r="AA38" s="3">
        <v>3.0110000000000001</v>
      </c>
      <c r="AB38" s="3">
        <v>3.444</v>
      </c>
      <c r="AC38" s="3">
        <f t="shared" si="26"/>
        <v>0.43299999999999983</v>
      </c>
      <c r="AD38" s="3">
        <f>-337.074404*627.50956</f>
        <v>-211517.41094130222</v>
      </c>
      <c r="AE38" s="3">
        <f>-339.092344*627.50956</f>
        <v>-212783.68758280863</v>
      </c>
      <c r="AF38" s="3">
        <f t="shared" si="27"/>
        <v>-1266.2766415064107</v>
      </c>
      <c r="AG38" s="3">
        <f>-337.109318*627.50956</f>
        <v>-211539.31981008005</v>
      </c>
      <c r="AH38" s="3">
        <f>-339.127606*627.50956</f>
        <v>-212805.81482491337</v>
      </c>
      <c r="AI38" s="3">
        <f t="shared" si="28"/>
        <v>-1266.4950148333155</v>
      </c>
      <c r="AJ38" s="3">
        <v>-0.61499999999999999</v>
      </c>
      <c r="AK38" s="3">
        <v>-0.56799999999999995</v>
      </c>
      <c r="AL38" s="3">
        <f t="shared" si="29"/>
        <v>4.7000000000000042E-2</v>
      </c>
      <c r="AM38" s="3">
        <v>95.079400000000007</v>
      </c>
      <c r="AN38" s="3">
        <v>134.90948</v>
      </c>
      <c r="AO38" s="3">
        <v>126.6414</v>
      </c>
      <c r="AP38" s="3">
        <f t="shared" si="30"/>
        <v>1.1064062407194684</v>
      </c>
      <c r="AQ38" s="3">
        <v>8.2850000000000001</v>
      </c>
      <c r="AR38" s="3">
        <v>1.767466</v>
      </c>
      <c r="AS38" s="3">
        <v>-76.454999999999998</v>
      </c>
      <c r="AT38" s="3">
        <v>-76.055000000000007</v>
      </c>
      <c r="AU38" s="3">
        <f t="shared" si="2"/>
        <v>-0.39999999999999147</v>
      </c>
      <c r="AV38" s="3">
        <v>-0.30399999999999999</v>
      </c>
      <c r="AW38" s="3">
        <v>-0.505</v>
      </c>
      <c r="AX38" s="3">
        <f t="shared" si="3"/>
        <v>0.20100000000000001</v>
      </c>
      <c r="AY38" s="3">
        <v>0.04</v>
      </c>
      <c r="AZ38" s="3">
        <v>0.16400000000000001</v>
      </c>
      <c r="BA38" s="3">
        <f t="shared" si="4"/>
        <v>-0.124</v>
      </c>
      <c r="BB38" s="3">
        <f t="shared" si="35"/>
        <v>0.13200000000000001</v>
      </c>
      <c r="BC38" s="3">
        <f t="shared" si="35"/>
        <v>0.17049999999999998</v>
      </c>
      <c r="BD38" s="3">
        <f t="shared" si="6"/>
        <v>-3.8499999999999979E-2</v>
      </c>
      <c r="BE38" s="3">
        <f t="shared" si="36"/>
        <v>0.34399999999999997</v>
      </c>
      <c r="BF38" s="3">
        <f t="shared" si="36"/>
        <v>0.66900000000000004</v>
      </c>
      <c r="BG38" s="3">
        <f t="shared" si="8"/>
        <v>-0.32500000000000007</v>
      </c>
      <c r="BH38" s="3">
        <f t="shared" si="37"/>
        <v>-0.13200000000000001</v>
      </c>
      <c r="BI38" s="3">
        <f t="shared" si="37"/>
        <v>-0.17049999999999998</v>
      </c>
      <c r="BJ38" s="3">
        <f t="shared" si="31"/>
        <v>3.8499999999999979E-2</v>
      </c>
      <c r="BK38" s="3">
        <f t="shared" si="10"/>
        <v>2.5325581395348844E-2</v>
      </c>
      <c r="BL38" s="3">
        <f t="shared" si="11"/>
        <v>2.1726644245141997E-2</v>
      </c>
      <c r="BM38" s="3">
        <f t="shared" si="12"/>
        <v>3.5989371502068469E-3</v>
      </c>
      <c r="BN38" s="3">
        <v>2.3010000000000002</v>
      </c>
      <c r="BO38" s="3">
        <v>2.3559999999999999</v>
      </c>
      <c r="BP38" s="3">
        <f t="shared" si="13"/>
        <v>-5.4999999999999716E-2</v>
      </c>
      <c r="BQ38" s="3">
        <v>-47960.305999999997</v>
      </c>
      <c r="BR38" s="3">
        <v>-47708.290999999997</v>
      </c>
      <c r="BS38" s="3">
        <f t="shared" si="14"/>
        <v>-252.01499999999942</v>
      </c>
      <c r="BT38" s="3">
        <v>-47973.754999999997</v>
      </c>
      <c r="BU38" s="3">
        <v>-47721.697</v>
      </c>
      <c r="BV38" s="3">
        <f t="shared" si="15"/>
        <v>-252.05799999999726</v>
      </c>
    </row>
    <row r="39" spans="1:74" x14ac:dyDescent="0.25">
      <c r="A39" t="s">
        <v>257</v>
      </c>
      <c r="B39" t="s">
        <v>514</v>
      </c>
      <c r="C39" t="s">
        <v>199</v>
      </c>
      <c r="D39" s="3">
        <v>11.08</v>
      </c>
      <c r="E39" s="3">
        <v>0.71</v>
      </c>
      <c r="F39" s="3">
        <v>-455.66</v>
      </c>
      <c r="G39" s="3">
        <v>-458.625</v>
      </c>
      <c r="H39" s="3">
        <f t="shared" si="16"/>
        <v>-2.964999999999975</v>
      </c>
      <c r="I39" s="3">
        <v>-0.29899999999999999</v>
      </c>
      <c r="J39" s="6">
        <v>-0.22700000000000001</v>
      </c>
      <c r="K39" s="3">
        <f t="shared" si="17"/>
        <v>7.1999999999999981E-2</v>
      </c>
      <c r="L39" s="3">
        <v>0.121</v>
      </c>
      <c r="M39" s="6">
        <v>-2.3E-2</v>
      </c>
      <c r="N39" s="3">
        <f t="shared" si="18"/>
        <v>-0.14399999999999999</v>
      </c>
      <c r="O39" s="3">
        <f t="shared" si="19"/>
        <v>8.8999999999999996E-2</v>
      </c>
      <c r="P39" s="3">
        <f t="shared" si="19"/>
        <v>0.125</v>
      </c>
      <c r="Q39" s="3">
        <f t="shared" si="20"/>
        <v>3.6000000000000004E-2</v>
      </c>
      <c r="R39" s="3">
        <f t="shared" si="21"/>
        <v>0.42</v>
      </c>
      <c r="S39" s="3">
        <f t="shared" si="21"/>
        <v>0.20400000000000001</v>
      </c>
      <c r="T39" s="3">
        <f t="shared" si="22"/>
        <v>-0.21599999999999997</v>
      </c>
      <c r="U39" s="3">
        <f t="shared" si="23"/>
        <v>-8.8999999999999996E-2</v>
      </c>
      <c r="V39" s="3">
        <f t="shared" si="23"/>
        <v>-0.125</v>
      </c>
      <c r="W39" s="3">
        <f t="shared" si="24"/>
        <v>-3.6000000000000004E-2</v>
      </c>
      <c r="X39" s="3">
        <f t="shared" si="0"/>
        <v>9.4297619047619043E-3</v>
      </c>
      <c r="Y39" s="3">
        <f t="shared" si="1"/>
        <v>3.8296568627450976E-2</v>
      </c>
      <c r="Z39" s="3">
        <f t="shared" si="25"/>
        <v>2.886680672268907E-2</v>
      </c>
      <c r="AA39" s="3">
        <v>4.6909999999999998</v>
      </c>
      <c r="AB39" s="3">
        <v>4.6340000000000003</v>
      </c>
      <c r="AC39" s="3">
        <f t="shared" si="26"/>
        <v>-5.6999999999999496E-2</v>
      </c>
      <c r="AD39" s="3">
        <f>-455.465894*627.50956</f>
        <v>-285809.20273894659</v>
      </c>
      <c r="AE39" s="3">
        <f>-458.441466*627.50956</f>
        <v>-287676.40261541493</v>
      </c>
      <c r="AF39" s="3">
        <f t="shared" si="27"/>
        <v>-1867.1998764683376</v>
      </c>
      <c r="AG39" s="3">
        <f>-455.509129*627.50956</f>
        <v>-285836.33311477321</v>
      </c>
      <c r="AH39" s="3">
        <f>-458.485661*627.50956</f>
        <v>-287704.13540041912</v>
      </c>
      <c r="AI39" s="3">
        <f t="shared" si="28"/>
        <v>-1867.8022856459138</v>
      </c>
      <c r="AJ39" s="3">
        <v>-0.61199999999999999</v>
      </c>
      <c r="AK39" s="3">
        <v>-0.54600000000000004</v>
      </c>
      <c r="AL39" s="3">
        <f t="shared" si="29"/>
        <v>6.5999999999999948E-2</v>
      </c>
      <c r="AM39" s="3">
        <v>146.1891</v>
      </c>
      <c r="AN39" s="3">
        <v>207.37101000000001</v>
      </c>
      <c r="AO39" s="3">
        <v>226.583</v>
      </c>
      <c r="AP39" s="3">
        <f t="shared" si="30"/>
        <v>1.1539467762066649</v>
      </c>
      <c r="AQ39" s="3">
        <v>10.016</v>
      </c>
      <c r="AR39" s="3">
        <v>2.327442</v>
      </c>
      <c r="AS39" s="3">
        <v>-76.454999999999998</v>
      </c>
      <c r="AT39" s="3">
        <v>-76.055000000000007</v>
      </c>
      <c r="AU39" s="3">
        <f t="shared" si="2"/>
        <v>-0.39999999999999147</v>
      </c>
      <c r="AV39" s="3">
        <v>-0.30399999999999999</v>
      </c>
      <c r="AW39" s="3">
        <v>-0.505</v>
      </c>
      <c r="AX39" s="3">
        <f t="shared" si="3"/>
        <v>0.20100000000000001</v>
      </c>
      <c r="AY39" s="3">
        <v>0.04</v>
      </c>
      <c r="AZ39" s="3">
        <v>0.16400000000000001</v>
      </c>
      <c r="BA39" s="3">
        <f t="shared" si="4"/>
        <v>-0.124</v>
      </c>
      <c r="BB39" s="3">
        <f t="shared" si="35"/>
        <v>0.13200000000000001</v>
      </c>
      <c r="BC39" s="3">
        <f t="shared" si="35"/>
        <v>0.17049999999999998</v>
      </c>
      <c r="BD39" s="3">
        <f t="shared" si="6"/>
        <v>-3.8499999999999979E-2</v>
      </c>
      <c r="BE39" s="3">
        <f t="shared" si="36"/>
        <v>0.34399999999999997</v>
      </c>
      <c r="BF39" s="3">
        <f t="shared" si="36"/>
        <v>0.66900000000000004</v>
      </c>
      <c r="BG39" s="3">
        <f t="shared" si="8"/>
        <v>-0.32500000000000007</v>
      </c>
      <c r="BH39" s="3">
        <f t="shared" si="37"/>
        <v>-0.13200000000000001</v>
      </c>
      <c r="BI39" s="3">
        <f t="shared" si="37"/>
        <v>-0.17049999999999998</v>
      </c>
      <c r="BJ39" s="3">
        <f t="shared" si="31"/>
        <v>3.8499999999999979E-2</v>
      </c>
      <c r="BK39" s="3">
        <f t="shared" si="10"/>
        <v>2.5325581395348844E-2</v>
      </c>
      <c r="BL39" s="3">
        <f t="shared" si="11"/>
        <v>2.1726644245141997E-2</v>
      </c>
      <c r="BM39" s="3">
        <f t="shared" si="12"/>
        <v>3.5989371502068469E-3</v>
      </c>
      <c r="BN39" s="3">
        <v>2.3010000000000002</v>
      </c>
      <c r="BO39" s="3">
        <v>2.3559999999999999</v>
      </c>
      <c r="BP39" s="3">
        <f t="shared" si="13"/>
        <v>-5.4999999999999716E-2</v>
      </c>
      <c r="BQ39" s="3">
        <v>-47960.305999999997</v>
      </c>
      <c r="BR39" s="3">
        <v>-47708.290999999997</v>
      </c>
      <c r="BS39" s="3">
        <f t="shared" si="14"/>
        <v>-252.01499999999942</v>
      </c>
      <c r="BT39" s="3">
        <v>-47973.754999999997</v>
      </c>
      <c r="BU39" s="3">
        <v>-47721.697</v>
      </c>
      <c r="BV39" s="3">
        <f t="shared" si="15"/>
        <v>-252.05799999999726</v>
      </c>
    </row>
    <row r="40" spans="1:74" x14ac:dyDescent="0.25">
      <c r="A40" t="s">
        <v>258</v>
      </c>
      <c r="B40" t="s">
        <v>514</v>
      </c>
      <c r="C40" t="s">
        <v>199</v>
      </c>
      <c r="D40" s="3">
        <v>11.1</v>
      </c>
      <c r="E40" s="3">
        <v>0.75</v>
      </c>
      <c r="F40" s="3">
        <v>-285.80399999999997</v>
      </c>
      <c r="G40" s="3">
        <v>-287.68099999999998</v>
      </c>
      <c r="H40" s="3">
        <f t="shared" si="16"/>
        <v>-1.8770000000000095</v>
      </c>
      <c r="I40" s="3">
        <v>-0.34899999999999998</v>
      </c>
      <c r="J40" s="6">
        <v>-0.26700000000000002</v>
      </c>
      <c r="K40" s="3">
        <f t="shared" si="17"/>
        <v>8.1999999999999962E-2</v>
      </c>
      <c r="L40" s="3">
        <v>0.11700000000000001</v>
      </c>
      <c r="M40" s="6">
        <v>-3.2000000000000001E-2</v>
      </c>
      <c r="N40" s="3">
        <f t="shared" si="18"/>
        <v>-0.14900000000000002</v>
      </c>
      <c r="O40" s="3">
        <f t="shared" si="19"/>
        <v>0.11599999999999999</v>
      </c>
      <c r="P40" s="3">
        <f t="shared" si="19"/>
        <v>0.14950000000000002</v>
      </c>
      <c r="Q40" s="3">
        <f t="shared" si="20"/>
        <v>3.350000000000003E-2</v>
      </c>
      <c r="R40" s="3">
        <f t="shared" si="21"/>
        <v>0.46599999999999997</v>
      </c>
      <c r="S40" s="3">
        <f t="shared" si="21"/>
        <v>0.23500000000000001</v>
      </c>
      <c r="T40" s="3">
        <f t="shared" si="22"/>
        <v>-0.23099999999999996</v>
      </c>
      <c r="U40" s="3">
        <f t="shared" si="23"/>
        <v>-0.11599999999999999</v>
      </c>
      <c r="V40" s="3">
        <f t="shared" si="23"/>
        <v>-0.14950000000000002</v>
      </c>
      <c r="W40" s="3">
        <f t="shared" si="24"/>
        <v>-3.350000000000003E-2</v>
      </c>
      <c r="X40" s="3">
        <f t="shared" si="0"/>
        <v>1.4437768240343346E-2</v>
      </c>
      <c r="Y40" s="3">
        <f t="shared" si="1"/>
        <v>4.755372340425533E-2</v>
      </c>
      <c r="Z40" s="3">
        <f t="shared" si="25"/>
        <v>3.3115955163911984E-2</v>
      </c>
      <c r="AA40" s="3">
        <v>3.552</v>
      </c>
      <c r="AB40" s="3">
        <v>3.54</v>
      </c>
      <c r="AC40" s="3">
        <f t="shared" si="26"/>
        <v>-1.2000000000000011E-2</v>
      </c>
      <c r="AD40" s="3">
        <f>-285.674673*627.50956</f>
        <v>-179263.58835737387</v>
      </c>
      <c r="AE40" s="3">
        <f>-287.558692*627.50956</f>
        <v>-180445.8282910955</v>
      </c>
      <c r="AF40" s="3">
        <f t="shared" si="27"/>
        <v>-1182.2399337216339</v>
      </c>
      <c r="AG40" s="3">
        <f>-285.674673*627.50956</f>
        <v>-179263.58835737387</v>
      </c>
      <c r="AH40" s="3">
        <f>-287.596215*627.50956</f>
        <v>-180469.37433231538</v>
      </c>
      <c r="AI40" s="3">
        <f t="shared" si="28"/>
        <v>-1205.7859749415074</v>
      </c>
      <c r="AJ40" s="3">
        <v>-0.55900000000000005</v>
      </c>
      <c r="AK40" s="3">
        <v>-0.498</v>
      </c>
      <c r="AL40" s="3">
        <f t="shared" si="29"/>
        <v>6.1000000000000054E-2</v>
      </c>
      <c r="AM40" s="3">
        <v>93.126480000000001</v>
      </c>
      <c r="AN40" s="3">
        <v>155.57259999999999</v>
      </c>
      <c r="AO40" s="3">
        <v>157.042</v>
      </c>
      <c r="AP40" s="3">
        <f t="shared" si="30"/>
        <v>1.1053806263621166</v>
      </c>
      <c r="AQ40" s="3">
        <v>7.8929999999999998</v>
      </c>
      <c r="AR40" s="3">
        <v>1.7490779999999999</v>
      </c>
      <c r="AS40" s="3">
        <v>-76.454999999999998</v>
      </c>
      <c r="AT40" s="3">
        <v>-76.055000000000007</v>
      </c>
      <c r="AU40" s="3">
        <f t="shared" si="2"/>
        <v>-0.39999999999999147</v>
      </c>
      <c r="AV40" s="3">
        <v>-0.30399999999999999</v>
      </c>
      <c r="AW40" s="3">
        <v>-0.505</v>
      </c>
      <c r="AX40" s="3">
        <f t="shared" si="3"/>
        <v>0.20100000000000001</v>
      </c>
      <c r="AY40" s="3">
        <v>0.04</v>
      </c>
      <c r="AZ40" s="3">
        <v>0.16400000000000001</v>
      </c>
      <c r="BA40" s="3">
        <f t="shared" si="4"/>
        <v>-0.124</v>
      </c>
      <c r="BB40" s="3">
        <f t="shared" si="35"/>
        <v>0.13200000000000001</v>
      </c>
      <c r="BC40" s="3">
        <f t="shared" si="35"/>
        <v>0.17049999999999998</v>
      </c>
      <c r="BD40" s="3">
        <f t="shared" si="6"/>
        <v>-3.8499999999999979E-2</v>
      </c>
      <c r="BE40" s="3">
        <f t="shared" si="36"/>
        <v>0.34399999999999997</v>
      </c>
      <c r="BF40" s="3">
        <f t="shared" si="36"/>
        <v>0.66900000000000004</v>
      </c>
      <c r="BG40" s="3">
        <f t="shared" si="8"/>
        <v>-0.32500000000000007</v>
      </c>
      <c r="BH40" s="3">
        <f t="shared" si="37"/>
        <v>-0.13200000000000001</v>
      </c>
      <c r="BI40" s="3">
        <f t="shared" si="37"/>
        <v>-0.17049999999999998</v>
      </c>
      <c r="BJ40" s="3">
        <f t="shared" si="31"/>
        <v>3.8499999999999979E-2</v>
      </c>
      <c r="BK40" s="3">
        <f t="shared" si="10"/>
        <v>2.5325581395348844E-2</v>
      </c>
      <c r="BL40" s="3">
        <f t="shared" si="11"/>
        <v>2.1726644245141997E-2</v>
      </c>
      <c r="BM40" s="3">
        <f t="shared" si="12"/>
        <v>3.5989371502068469E-3</v>
      </c>
      <c r="BN40" s="3">
        <v>2.3010000000000002</v>
      </c>
      <c r="BO40" s="3">
        <v>2.3559999999999999</v>
      </c>
      <c r="BP40" s="3">
        <f t="shared" si="13"/>
        <v>-5.4999999999999716E-2</v>
      </c>
      <c r="BQ40" s="3">
        <v>-47960.305999999997</v>
      </c>
      <c r="BR40" s="3">
        <v>-47708.290999999997</v>
      </c>
      <c r="BS40" s="3">
        <f t="shared" si="14"/>
        <v>-252.01499999999942</v>
      </c>
      <c r="BT40" s="3">
        <v>-47973.754999999997</v>
      </c>
      <c r="BU40" s="3">
        <v>-47721.697</v>
      </c>
      <c r="BV40" s="3">
        <f t="shared" si="15"/>
        <v>-252.05799999999726</v>
      </c>
    </row>
    <row r="41" spans="1:74" x14ac:dyDescent="0.25">
      <c r="A41" t="s">
        <v>259</v>
      </c>
      <c r="B41" t="s">
        <v>514</v>
      </c>
      <c r="C41" t="s">
        <v>99</v>
      </c>
      <c r="D41" s="3">
        <v>11.11</v>
      </c>
      <c r="E41" s="3">
        <v>0.75</v>
      </c>
      <c r="F41" s="3">
        <v>-5445.3729999999996</v>
      </c>
      <c r="G41" s="3">
        <v>-5450.8159999999998</v>
      </c>
      <c r="H41" s="3">
        <f t="shared" si="16"/>
        <v>-5.443000000000211</v>
      </c>
      <c r="I41" s="3">
        <v>-0.34</v>
      </c>
      <c r="J41" s="6">
        <v>-0.24299999999999999</v>
      </c>
      <c r="K41" s="3">
        <f t="shared" si="17"/>
        <v>9.7000000000000031E-2</v>
      </c>
      <c r="L41" s="3">
        <v>0.106</v>
      </c>
      <c r="M41" s="6">
        <v>-3.6999999999999998E-2</v>
      </c>
      <c r="N41" s="3">
        <f t="shared" si="18"/>
        <v>-0.14299999999999999</v>
      </c>
      <c r="O41" s="3">
        <f t="shared" si="19"/>
        <v>0.11700000000000002</v>
      </c>
      <c r="P41" s="3">
        <f t="shared" si="19"/>
        <v>0.13999999999999999</v>
      </c>
      <c r="Q41" s="3">
        <f t="shared" si="20"/>
        <v>2.2999999999999965E-2</v>
      </c>
      <c r="R41" s="3">
        <f t="shared" si="21"/>
        <v>0.44600000000000001</v>
      </c>
      <c r="S41" s="3">
        <f t="shared" si="21"/>
        <v>0.20599999999999999</v>
      </c>
      <c r="T41" s="3">
        <f t="shared" si="22"/>
        <v>-0.24000000000000002</v>
      </c>
      <c r="U41" s="3">
        <f t="shared" si="23"/>
        <v>-0.11700000000000002</v>
      </c>
      <c r="V41" s="3">
        <f t="shared" si="23"/>
        <v>-0.13999999999999999</v>
      </c>
      <c r="W41" s="3">
        <f t="shared" si="24"/>
        <v>-2.2999999999999965E-2</v>
      </c>
      <c r="X41" s="3">
        <f t="shared" si="0"/>
        <v>1.5346412556053818E-2</v>
      </c>
      <c r="Y41" s="3">
        <f t="shared" si="1"/>
        <v>4.7572815533980572E-2</v>
      </c>
      <c r="Z41" s="3">
        <f t="shared" si="25"/>
        <v>3.2226402977926755E-2</v>
      </c>
      <c r="AA41" s="3">
        <v>3.2040000000000002</v>
      </c>
      <c r="AB41" s="3">
        <v>3.831</v>
      </c>
      <c r="AC41" s="3">
        <f t="shared" si="26"/>
        <v>0.62699999999999978</v>
      </c>
      <c r="AD41" s="3">
        <f>-5445.272491*627.50956</f>
        <v>-3416960.5449075135</v>
      </c>
      <c r="AE41" s="3">
        <f>-5450.722141*627.50956</f>
        <v>-3420380.2523811678</v>
      </c>
      <c r="AF41" s="3">
        <f t="shared" si="27"/>
        <v>-3419.7074736543</v>
      </c>
      <c r="AG41" s="3">
        <f>-5445.316559*627.50956</f>
        <v>-3416988.1979988036</v>
      </c>
      <c r="AH41" s="3">
        <f>-5450.767321*627.50956</f>
        <v>-3420408.603263089</v>
      </c>
      <c r="AI41" s="3">
        <f t="shared" si="28"/>
        <v>-3420.4052642853931</v>
      </c>
      <c r="AJ41" s="3">
        <v>-0.80200000000000005</v>
      </c>
      <c r="AK41" s="3">
        <v>-0.747</v>
      </c>
      <c r="AL41" s="3">
        <f t="shared" si="29"/>
        <v>5.5000000000000049E-2</v>
      </c>
      <c r="AM41" s="3">
        <v>251.9066</v>
      </c>
      <c r="AN41" s="3">
        <v>185.35570000000001</v>
      </c>
      <c r="AO41" s="3">
        <v>196.77199999999999</v>
      </c>
      <c r="AP41" s="3">
        <f t="shared" si="30"/>
        <v>1.1331472862038776</v>
      </c>
      <c r="AQ41" s="3">
        <v>9.4779999999999998</v>
      </c>
      <c r="AR41" s="3">
        <v>2.5792000000000002</v>
      </c>
      <c r="AS41" s="3">
        <v>-132.80099999999999</v>
      </c>
      <c r="AT41" s="3">
        <v>-131.97</v>
      </c>
      <c r="AU41" s="3">
        <f t="shared" si="2"/>
        <v>-0.83099999999998886</v>
      </c>
      <c r="AV41" s="3">
        <v>-0.34100000000000003</v>
      </c>
      <c r="AW41" s="3">
        <v>-0.47499999999999998</v>
      </c>
      <c r="AX41" s="3">
        <f t="shared" si="3"/>
        <v>0.13399999999999995</v>
      </c>
      <c r="AY41" s="3">
        <v>2.9000000000000001E-2</v>
      </c>
      <c r="AZ41" s="3">
        <v>0.156</v>
      </c>
      <c r="BA41" s="3">
        <f t="shared" si="4"/>
        <v>-0.127</v>
      </c>
      <c r="BB41" s="3">
        <f t="shared" si="35"/>
        <v>0.156</v>
      </c>
      <c r="BC41" s="3">
        <f t="shared" si="35"/>
        <v>0.15949999999999998</v>
      </c>
      <c r="BD41" s="3">
        <f t="shared" si="6"/>
        <v>-3.4999999999999754E-3</v>
      </c>
      <c r="BE41" s="3">
        <f t="shared" si="36"/>
        <v>0.37000000000000005</v>
      </c>
      <c r="BF41" s="3">
        <f t="shared" si="36"/>
        <v>0.63100000000000001</v>
      </c>
      <c r="BG41" s="3">
        <f t="shared" si="8"/>
        <v>-0.26099999999999995</v>
      </c>
      <c r="BH41" s="3">
        <f t="shared" si="37"/>
        <v>-0.156</v>
      </c>
      <c r="BI41" s="3">
        <f t="shared" si="37"/>
        <v>-0.15949999999999998</v>
      </c>
      <c r="BJ41" s="3">
        <f t="shared" si="31"/>
        <v>3.4999999999999754E-3</v>
      </c>
      <c r="BK41" s="3">
        <f t="shared" si="10"/>
        <v>3.2886486486486483E-2</v>
      </c>
      <c r="BL41" s="3">
        <f t="shared" si="11"/>
        <v>2.0158676703645E-2</v>
      </c>
      <c r="BM41" s="3">
        <f t="shared" si="12"/>
        <v>1.2727809782841482E-2</v>
      </c>
      <c r="BN41" s="3">
        <v>4.7279999999999998</v>
      </c>
      <c r="BO41" s="3">
        <v>4.9340000000000002</v>
      </c>
      <c r="BP41" s="3">
        <f t="shared" si="13"/>
        <v>-0.20600000000000041</v>
      </c>
      <c r="BQ41" s="3">
        <v>-83302.89</v>
      </c>
      <c r="BR41" s="3">
        <v>-82779.224000000002</v>
      </c>
      <c r="BS41" s="3">
        <f t="shared" si="14"/>
        <v>-523.66599999999744</v>
      </c>
      <c r="BT41" s="3">
        <v>-83320.774999999994</v>
      </c>
      <c r="BU41" s="3">
        <v>-82796.997000000003</v>
      </c>
      <c r="BV41" s="3">
        <f t="shared" si="15"/>
        <v>-523.77799999999115</v>
      </c>
    </row>
    <row r="42" spans="1:74" x14ac:dyDescent="0.25">
      <c r="A42" t="s">
        <v>260</v>
      </c>
      <c r="B42" t="s">
        <v>514</v>
      </c>
      <c r="C42" t="s">
        <v>103</v>
      </c>
      <c r="D42" s="3">
        <v>11.13</v>
      </c>
      <c r="E42" s="3">
        <v>0.73</v>
      </c>
      <c r="F42" s="3">
        <v>-440.79399999999998</v>
      </c>
      <c r="G42" s="3">
        <v>-443.75299999999999</v>
      </c>
      <c r="H42" s="3">
        <f t="shared" si="16"/>
        <v>-2.9590000000000032</v>
      </c>
      <c r="I42" s="3">
        <v>-0.32800000000000001</v>
      </c>
      <c r="J42" s="6">
        <v>-0.246</v>
      </c>
      <c r="K42" s="3">
        <f t="shared" si="17"/>
        <v>8.2000000000000017E-2</v>
      </c>
      <c r="L42" s="3">
        <v>0.13300000000000001</v>
      </c>
      <c r="M42" s="6">
        <v>-1.6E-2</v>
      </c>
      <c r="N42" s="3">
        <f t="shared" si="18"/>
        <v>-0.14900000000000002</v>
      </c>
      <c r="O42" s="3">
        <f t="shared" si="19"/>
        <v>9.7500000000000003E-2</v>
      </c>
      <c r="P42" s="3">
        <f t="shared" si="19"/>
        <v>0.13100000000000001</v>
      </c>
      <c r="Q42" s="3">
        <f t="shared" si="20"/>
        <v>3.3500000000000002E-2</v>
      </c>
      <c r="R42" s="3">
        <f t="shared" si="21"/>
        <v>0.46100000000000002</v>
      </c>
      <c r="S42" s="3">
        <f t="shared" si="21"/>
        <v>0.22999999999999998</v>
      </c>
      <c r="T42" s="3">
        <f t="shared" si="22"/>
        <v>-0.23100000000000004</v>
      </c>
      <c r="U42" s="3">
        <f t="shared" si="23"/>
        <v>-9.7500000000000003E-2</v>
      </c>
      <c r="V42" s="3">
        <f t="shared" si="23"/>
        <v>-0.13100000000000001</v>
      </c>
      <c r="W42" s="3">
        <f t="shared" si="24"/>
        <v>-3.3500000000000002E-2</v>
      </c>
      <c r="X42" s="3">
        <f t="shared" si="0"/>
        <v>1.0310466377440347E-2</v>
      </c>
      <c r="Y42" s="3">
        <f t="shared" si="1"/>
        <v>3.7306521739130447E-2</v>
      </c>
      <c r="Z42" s="3">
        <f t="shared" si="25"/>
        <v>2.6996055361690099E-2</v>
      </c>
      <c r="AA42" s="3">
        <v>3.1629999999999998</v>
      </c>
      <c r="AB42" s="3">
        <v>3.1669999999999998</v>
      </c>
      <c r="AC42" s="3">
        <f t="shared" si="26"/>
        <v>4.0000000000000036E-3</v>
      </c>
      <c r="AD42" s="3">
        <f>-440.564338*627.50956</f>
        <v>-276458.33389007126</v>
      </c>
      <c r="AE42" s="3">
        <f>-443.536262*627.50956</f>
        <v>-278323.24461166473</v>
      </c>
      <c r="AF42" s="3">
        <f t="shared" si="27"/>
        <v>-1864.9107215934782</v>
      </c>
      <c r="AG42" s="3">
        <f>-440.613874*627.50956</f>
        <v>-276489.41820363543</v>
      </c>
      <c r="AH42" s="3">
        <f>-443.587087*627.50956</f>
        <v>-278355.13778505172</v>
      </c>
      <c r="AI42" s="3">
        <f t="shared" si="28"/>
        <v>-1865.7195814162842</v>
      </c>
      <c r="AJ42" s="3">
        <v>-0.58799999999999997</v>
      </c>
      <c r="AK42" s="3">
        <v>-0.52</v>
      </c>
      <c r="AL42" s="3">
        <f t="shared" si="29"/>
        <v>6.7999999999999949E-2</v>
      </c>
      <c r="AM42" s="3">
        <v>147.21691999999999</v>
      </c>
      <c r="AN42" s="3">
        <v>235.73480000000001</v>
      </c>
      <c r="AO42" s="3">
        <v>256.26839999999999</v>
      </c>
      <c r="AP42" s="3">
        <f t="shared" si="30"/>
        <v>1.2084154747056353</v>
      </c>
      <c r="AQ42" s="3">
        <v>11.709</v>
      </c>
      <c r="AR42" s="3">
        <v>2.8090000000000002</v>
      </c>
      <c r="AS42" s="3">
        <v>-959.76900000000001</v>
      </c>
      <c r="AT42" s="3">
        <v>-958.05</v>
      </c>
      <c r="AU42" s="3">
        <f t="shared" si="2"/>
        <v>-1.7190000000000509</v>
      </c>
      <c r="AV42" s="3">
        <v>-0.317</v>
      </c>
      <c r="AW42" s="3">
        <v>-0.45</v>
      </c>
      <c r="AX42" s="3">
        <f t="shared" si="3"/>
        <v>0.13300000000000001</v>
      </c>
      <c r="AY42" s="3">
        <v>-2.4E-2</v>
      </c>
      <c r="AZ42" s="3">
        <v>0.13500000000000001</v>
      </c>
      <c r="BA42" s="3">
        <f t="shared" si="4"/>
        <v>-0.159</v>
      </c>
      <c r="BB42" s="3">
        <f t="shared" si="35"/>
        <v>0.17050000000000001</v>
      </c>
      <c r="BC42" s="3">
        <f t="shared" si="35"/>
        <v>0.1575</v>
      </c>
      <c r="BD42" s="3">
        <f t="shared" si="6"/>
        <v>1.3000000000000012E-2</v>
      </c>
      <c r="BE42" s="3">
        <f t="shared" si="36"/>
        <v>0.29299999999999998</v>
      </c>
      <c r="BF42" s="3">
        <f t="shared" si="36"/>
        <v>0.58499999999999996</v>
      </c>
      <c r="BG42" s="3">
        <f t="shared" si="8"/>
        <v>-0.29199999999999998</v>
      </c>
      <c r="BH42" s="3">
        <f t="shared" si="37"/>
        <v>-0.17050000000000001</v>
      </c>
      <c r="BI42" s="3">
        <f t="shared" si="37"/>
        <v>-0.1575</v>
      </c>
      <c r="BJ42" s="3">
        <f t="shared" si="31"/>
        <v>-1.3000000000000012E-2</v>
      </c>
      <c r="BK42" s="3">
        <f t="shared" si="10"/>
        <v>4.9607935153583631E-2</v>
      </c>
      <c r="BL42" s="3">
        <f t="shared" si="11"/>
        <v>2.120192307692308E-2</v>
      </c>
      <c r="BM42" s="3">
        <f t="shared" si="12"/>
        <v>2.8406012076660551E-2</v>
      </c>
      <c r="BN42" s="3">
        <v>2.2370000000000001</v>
      </c>
      <c r="BO42" s="3">
        <v>2.431</v>
      </c>
      <c r="BP42" s="3">
        <f t="shared" si="13"/>
        <v>-0.19399999999999995</v>
      </c>
      <c r="BQ42" s="3">
        <v>-602243.07700000005</v>
      </c>
      <c r="BR42" s="3">
        <v>-601163.24300000002</v>
      </c>
      <c r="BS42" s="3">
        <f t="shared" si="14"/>
        <v>-1079.8340000000317</v>
      </c>
      <c r="BT42" s="3">
        <v>-602262.36399999994</v>
      </c>
      <c r="BU42" s="3">
        <v>-601182.38500000001</v>
      </c>
      <c r="BV42" s="3">
        <f t="shared" si="15"/>
        <v>-1079.9789999999339</v>
      </c>
    </row>
    <row r="43" spans="1:74" x14ac:dyDescent="0.25">
      <c r="A43" t="s">
        <v>261</v>
      </c>
      <c r="B43" t="s">
        <v>514</v>
      </c>
      <c r="C43" t="s">
        <v>199</v>
      </c>
      <c r="D43" s="3">
        <v>11.17</v>
      </c>
      <c r="E43" s="3">
        <v>0.51</v>
      </c>
      <c r="F43" s="3">
        <v>-451.14800000000002</v>
      </c>
      <c r="G43" s="3">
        <v>-453.79399999999998</v>
      </c>
      <c r="H43" s="3">
        <f t="shared" si="16"/>
        <v>-2.6459999999999582</v>
      </c>
      <c r="I43" s="3">
        <v>-0.28199999999999997</v>
      </c>
      <c r="J43" s="6">
        <v>-0.188</v>
      </c>
      <c r="K43" s="3">
        <f t="shared" si="17"/>
        <v>9.3999999999999972E-2</v>
      </c>
      <c r="L43" s="3">
        <v>0.153</v>
      </c>
      <c r="M43" s="6">
        <v>0</v>
      </c>
      <c r="N43" s="3">
        <f t="shared" si="18"/>
        <v>-0.153</v>
      </c>
      <c r="O43" s="3">
        <f t="shared" si="19"/>
        <v>6.4499999999999988E-2</v>
      </c>
      <c r="P43" s="3">
        <f t="shared" si="19"/>
        <v>9.4E-2</v>
      </c>
      <c r="Q43" s="3">
        <f t="shared" si="20"/>
        <v>2.9500000000000012E-2</v>
      </c>
      <c r="R43" s="3">
        <f t="shared" si="21"/>
        <v>0.43499999999999994</v>
      </c>
      <c r="S43" s="3">
        <f t="shared" si="21"/>
        <v>0.188</v>
      </c>
      <c r="T43" s="3">
        <f t="shared" si="22"/>
        <v>-0.24699999999999994</v>
      </c>
      <c r="U43" s="3">
        <f t="shared" si="23"/>
        <v>-6.4499999999999988E-2</v>
      </c>
      <c r="V43" s="3">
        <f t="shared" si="23"/>
        <v>-9.4E-2</v>
      </c>
      <c r="W43" s="3">
        <f t="shared" si="24"/>
        <v>-2.9500000000000012E-2</v>
      </c>
      <c r="X43" s="3">
        <f t="shared" si="0"/>
        <v>4.7818965517241368E-3</v>
      </c>
      <c r="Y43" s="3">
        <f t="shared" si="1"/>
        <v>2.35E-2</v>
      </c>
      <c r="Z43" s="3">
        <f t="shared" si="25"/>
        <v>1.8718103448275864E-2</v>
      </c>
      <c r="AA43" s="3">
        <v>5.7080000000000002</v>
      </c>
      <c r="AB43" s="3">
        <v>5.1479999999999997</v>
      </c>
      <c r="AC43" s="3">
        <f t="shared" si="26"/>
        <v>-0.5600000000000005</v>
      </c>
      <c r="AD43" s="3">
        <f>-451.031293*627.50956</f>
        <v>-283026.44821666105</v>
      </c>
      <c r="AE43" s="3">
        <f>-453.684971*627.50956</f>
        <v>-284691.65653082274</v>
      </c>
      <c r="AF43" s="3">
        <f t="shared" si="27"/>
        <v>-1665.2083141616895</v>
      </c>
      <c r="AG43" s="3">
        <f>-451.07109*627.50956</f>
        <v>-283051.42121462041</v>
      </c>
      <c r="AH43" s="3">
        <f>-453.725871*627.50956</f>
        <v>-284717.32167182671</v>
      </c>
      <c r="AI43" s="3">
        <f t="shared" si="28"/>
        <v>-1665.9004572062986</v>
      </c>
      <c r="AJ43" s="3">
        <v>-0.80600000000000005</v>
      </c>
      <c r="AK43" s="3">
        <v>-0.65</v>
      </c>
      <c r="AL43" s="3">
        <f t="shared" si="29"/>
        <v>0.15600000000000003</v>
      </c>
      <c r="AM43" s="3">
        <v>125.1054</v>
      </c>
      <c r="AN43" s="3">
        <v>161.42250000000001</v>
      </c>
      <c r="AO43" s="3">
        <v>162.73089999999999</v>
      </c>
      <c r="AP43" s="3">
        <f t="shared" si="30"/>
        <v>1.1200566835494503</v>
      </c>
      <c r="AQ43" s="3">
        <v>8.7810000000000006</v>
      </c>
      <c r="AR43" s="3">
        <v>2.0179819000000001</v>
      </c>
      <c r="AS43" s="3">
        <v>-76.454999999999998</v>
      </c>
      <c r="AT43" s="3">
        <v>-76.055000000000007</v>
      </c>
      <c r="AU43" s="3">
        <f t="shared" si="2"/>
        <v>-0.39999999999999147</v>
      </c>
      <c r="AV43" s="3">
        <v>-0.30399999999999999</v>
      </c>
      <c r="AW43" s="3">
        <v>-0.505</v>
      </c>
      <c r="AX43" s="3">
        <f t="shared" si="3"/>
        <v>0.20100000000000001</v>
      </c>
      <c r="AY43" s="3">
        <v>0.04</v>
      </c>
      <c r="AZ43" s="3">
        <v>0.16400000000000001</v>
      </c>
      <c r="BA43" s="3">
        <f t="shared" si="4"/>
        <v>-0.124</v>
      </c>
      <c r="BB43" s="3">
        <f t="shared" si="35"/>
        <v>0.13200000000000001</v>
      </c>
      <c r="BC43" s="3">
        <f t="shared" si="35"/>
        <v>0.17049999999999998</v>
      </c>
      <c r="BD43" s="3">
        <f t="shared" si="6"/>
        <v>-3.8499999999999979E-2</v>
      </c>
      <c r="BE43" s="3">
        <f t="shared" si="36"/>
        <v>0.34399999999999997</v>
      </c>
      <c r="BF43" s="3">
        <f t="shared" si="36"/>
        <v>0.66900000000000004</v>
      </c>
      <c r="BG43" s="3">
        <f t="shared" si="8"/>
        <v>-0.32500000000000007</v>
      </c>
      <c r="BH43" s="3">
        <f t="shared" si="37"/>
        <v>-0.13200000000000001</v>
      </c>
      <c r="BI43" s="3">
        <f t="shared" si="37"/>
        <v>-0.17049999999999998</v>
      </c>
      <c r="BJ43" s="3">
        <f t="shared" si="31"/>
        <v>3.8499999999999979E-2</v>
      </c>
      <c r="BK43" s="3">
        <f t="shared" si="10"/>
        <v>2.5325581395348844E-2</v>
      </c>
      <c r="BL43" s="3">
        <f t="shared" si="11"/>
        <v>2.1726644245141997E-2</v>
      </c>
      <c r="BM43" s="3">
        <f t="shared" si="12"/>
        <v>3.5989371502068469E-3</v>
      </c>
      <c r="BN43" s="3">
        <v>2.3010000000000002</v>
      </c>
      <c r="BO43" s="3">
        <v>2.3559999999999999</v>
      </c>
      <c r="BP43" s="3">
        <f t="shared" si="13"/>
        <v>-5.4999999999999716E-2</v>
      </c>
      <c r="BQ43" s="3">
        <v>-47960.305999999997</v>
      </c>
      <c r="BR43" s="3">
        <v>-47708.290999999997</v>
      </c>
      <c r="BS43" s="3">
        <f t="shared" si="14"/>
        <v>-252.01499999999942</v>
      </c>
      <c r="BT43" s="3">
        <v>-47973.754999999997</v>
      </c>
      <c r="BU43" s="3">
        <v>-47721.697</v>
      </c>
      <c r="BV43" s="3">
        <f t="shared" si="15"/>
        <v>-252.05799999999726</v>
      </c>
    </row>
    <row r="44" spans="1:74" x14ac:dyDescent="0.25">
      <c r="A44" t="s">
        <v>262</v>
      </c>
      <c r="B44" t="s">
        <v>514</v>
      </c>
      <c r="C44" t="s">
        <v>99</v>
      </c>
      <c r="D44" s="3">
        <v>11.31</v>
      </c>
      <c r="E44" s="3">
        <v>0.67</v>
      </c>
      <c r="F44" s="3">
        <v>-454.46800000000002</v>
      </c>
      <c r="G44" s="3">
        <v>-457.38799999999998</v>
      </c>
      <c r="H44" s="3">
        <f t="shared" si="16"/>
        <v>-2.9199999999999591</v>
      </c>
      <c r="I44" s="3">
        <v>-0.32500000000000001</v>
      </c>
      <c r="J44" s="6">
        <v>-0.24</v>
      </c>
      <c r="K44" s="3">
        <f t="shared" si="17"/>
        <v>8.500000000000002E-2</v>
      </c>
      <c r="L44" s="3">
        <v>0.115</v>
      </c>
      <c r="M44" s="6">
        <v>-3.2000000000000001E-2</v>
      </c>
      <c r="N44" s="3">
        <f t="shared" si="18"/>
        <v>-0.14700000000000002</v>
      </c>
      <c r="O44" s="3">
        <f t="shared" si="19"/>
        <v>0.10500000000000001</v>
      </c>
      <c r="P44" s="3">
        <f t="shared" si="19"/>
        <v>0.13600000000000001</v>
      </c>
      <c r="Q44" s="3">
        <f t="shared" si="20"/>
        <v>3.1E-2</v>
      </c>
      <c r="R44" s="3">
        <f t="shared" si="21"/>
        <v>0.44</v>
      </c>
      <c r="S44" s="3">
        <f t="shared" si="21"/>
        <v>0.20799999999999999</v>
      </c>
      <c r="T44" s="3">
        <f t="shared" si="22"/>
        <v>-0.23200000000000001</v>
      </c>
      <c r="U44" s="3">
        <f t="shared" si="23"/>
        <v>-0.10500000000000001</v>
      </c>
      <c r="V44" s="3">
        <f t="shared" si="23"/>
        <v>-0.13600000000000001</v>
      </c>
      <c r="W44" s="3">
        <f t="shared" si="24"/>
        <v>-3.1E-2</v>
      </c>
      <c r="X44" s="3">
        <f t="shared" si="0"/>
        <v>1.2528409090909094E-2</v>
      </c>
      <c r="Y44" s="3">
        <f t="shared" si="1"/>
        <v>4.4461538461538469E-2</v>
      </c>
      <c r="Z44" s="3">
        <f t="shared" si="25"/>
        <v>3.1933129370629379E-2</v>
      </c>
      <c r="AA44" s="3">
        <v>5.1050000000000004</v>
      </c>
      <c r="AB44" s="3">
        <v>4.9409999999999998</v>
      </c>
      <c r="AC44" s="3">
        <f t="shared" si="26"/>
        <v>-0.16400000000000059</v>
      </c>
      <c r="AD44" s="3">
        <f>-454.297817*627.50956</f>
        <v>-285076.22325463052</v>
      </c>
      <c r="AE44" s="3">
        <f>-457.227572*627.50956</f>
        <v>-286914.67252558831</v>
      </c>
      <c r="AF44" s="3">
        <f t="shared" si="27"/>
        <v>-1838.4492709577898</v>
      </c>
      <c r="AG44" s="3">
        <f>-454.339772*627.50956</f>
        <v>-285102.55041822029</v>
      </c>
      <c r="AH44" s="3">
        <f>-457.270504*627.50956</f>
        <v>-286941.61276601825</v>
      </c>
      <c r="AI44" s="3">
        <f t="shared" si="28"/>
        <v>-1839.062347797968</v>
      </c>
      <c r="AJ44" s="3">
        <v>-0.59599999999999997</v>
      </c>
      <c r="AK44" s="3">
        <v>-0.53300000000000003</v>
      </c>
      <c r="AL44" s="3">
        <f t="shared" si="29"/>
        <v>6.2999999999999945E-2</v>
      </c>
      <c r="AM44" s="3">
        <v>144.17321999999999</v>
      </c>
      <c r="AN44" s="3">
        <v>201.9477</v>
      </c>
      <c r="AO44" s="3">
        <v>216.1824</v>
      </c>
      <c r="AP44" s="3">
        <f t="shared" si="30"/>
        <v>1.1595281745968702</v>
      </c>
      <c r="AQ44" s="3">
        <v>10.814</v>
      </c>
      <c r="AR44" s="3">
        <v>2.4305889999999999</v>
      </c>
      <c r="AS44" s="3">
        <v>-132.80099999999999</v>
      </c>
      <c r="AT44" s="3">
        <v>-131.97</v>
      </c>
      <c r="AU44" s="3">
        <f t="shared" si="2"/>
        <v>-0.83099999999998886</v>
      </c>
      <c r="AV44" s="3">
        <v>-0.34100000000000003</v>
      </c>
      <c r="AW44" s="3">
        <v>-0.47499999999999998</v>
      </c>
      <c r="AX44" s="3">
        <f t="shared" si="3"/>
        <v>0.13399999999999995</v>
      </c>
      <c r="AY44" s="3">
        <v>2.9000000000000001E-2</v>
      </c>
      <c r="AZ44" s="3">
        <v>0.156</v>
      </c>
      <c r="BA44" s="3">
        <f t="shared" si="4"/>
        <v>-0.127</v>
      </c>
      <c r="BB44" s="3">
        <f t="shared" si="35"/>
        <v>0.156</v>
      </c>
      <c r="BC44" s="3">
        <f t="shared" si="35"/>
        <v>0.15949999999999998</v>
      </c>
      <c r="BD44" s="3">
        <f t="shared" si="6"/>
        <v>-3.4999999999999754E-3</v>
      </c>
      <c r="BE44" s="3">
        <f t="shared" si="36"/>
        <v>0.37000000000000005</v>
      </c>
      <c r="BF44" s="3">
        <f t="shared" si="36"/>
        <v>0.63100000000000001</v>
      </c>
      <c r="BG44" s="3">
        <f t="shared" si="8"/>
        <v>-0.26099999999999995</v>
      </c>
      <c r="BH44" s="3">
        <f t="shared" si="37"/>
        <v>-0.156</v>
      </c>
      <c r="BI44" s="3">
        <f t="shared" si="37"/>
        <v>-0.15949999999999998</v>
      </c>
      <c r="BJ44" s="3">
        <f t="shared" si="31"/>
        <v>3.4999999999999754E-3</v>
      </c>
      <c r="BK44" s="3">
        <f t="shared" si="10"/>
        <v>3.2886486486486483E-2</v>
      </c>
      <c r="BL44" s="3">
        <f t="shared" si="11"/>
        <v>2.0158676703645E-2</v>
      </c>
      <c r="BM44" s="3">
        <f t="shared" si="12"/>
        <v>1.2727809782841482E-2</v>
      </c>
      <c r="BN44" s="3">
        <v>4.7279999999999998</v>
      </c>
      <c r="BO44" s="3">
        <v>4.9340000000000002</v>
      </c>
      <c r="BP44" s="3">
        <f t="shared" si="13"/>
        <v>-0.20600000000000041</v>
      </c>
      <c r="BQ44" s="3">
        <v>-83302.89</v>
      </c>
      <c r="BR44" s="3">
        <v>-82779.224000000002</v>
      </c>
      <c r="BS44" s="3">
        <f t="shared" si="14"/>
        <v>-523.66599999999744</v>
      </c>
      <c r="BT44" s="3">
        <v>-83320.774999999994</v>
      </c>
      <c r="BU44" s="3">
        <v>-82796.997000000003</v>
      </c>
      <c r="BV44" s="3">
        <f t="shared" si="15"/>
        <v>-523.77799999999115</v>
      </c>
    </row>
    <row r="45" spans="1:74" x14ac:dyDescent="0.25">
      <c r="A45" t="s">
        <v>263</v>
      </c>
      <c r="B45" t="s">
        <v>514</v>
      </c>
      <c r="C45" t="s">
        <v>199</v>
      </c>
      <c r="D45" s="3">
        <v>11.37</v>
      </c>
      <c r="E45" s="3">
        <v>0.53</v>
      </c>
      <c r="F45" s="3">
        <v>-427.93099999999998</v>
      </c>
      <c r="G45" s="3">
        <v>-430.375</v>
      </c>
      <c r="H45" s="3">
        <f t="shared" si="16"/>
        <v>-2.4440000000000168</v>
      </c>
      <c r="I45" s="3">
        <v>-0.30199999999999999</v>
      </c>
      <c r="J45" s="6">
        <v>-0.217</v>
      </c>
      <c r="K45" s="3">
        <f t="shared" si="17"/>
        <v>8.4999999999999992E-2</v>
      </c>
      <c r="L45" s="3">
        <v>9.5000000000000001E-2</v>
      </c>
      <c r="M45" s="6">
        <v>-6.2E-2</v>
      </c>
      <c r="N45" s="3">
        <f t="shared" si="18"/>
        <v>-0.157</v>
      </c>
      <c r="O45" s="3">
        <f t="shared" si="19"/>
        <v>0.10349999999999999</v>
      </c>
      <c r="P45" s="3">
        <f t="shared" si="19"/>
        <v>0.13950000000000001</v>
      </c>
      <c r="Q45" s="3">
        <f t="shared" si="20"/>
        <v>3.6000000000000018E-2</v>
      </c>
      <c r="R45" s="3">
        <f t="shared" si="21"/>
        <v>0.39700000000000002</v>
      </c>
      <c r="S45" s="3">
        <f t="shared" si="21"/>
        <v>0.155</v>
      </c>
      <c r="T45" s="3">
        <f t="shared" si="22"/>
        <v>-0.24200000000000002</v>
      </c>
      <c r="U45" s="3">
        <f t="shared" si="23"/>
        <v>-0.10349999999999999</v>
      </c>
      <c r="V45" s="3">
        <f t="shared" si="23"/>
        <v>-0.13950000000000001</v>
      </c>
      <c r="W45" s="3">
        <f t="shared" si="24"/>
        <v>-3.6000000000000018E-2</v>
      </c>
      <c r="X45" s="3">
        <f t="shared" si="0"/>
        <v>1.3491498740554156E-2</v>
      </c>
      <c r="Y45" s="3">
        <f t="shared" si="1"/>
        <v>6.2775000000000011E-2</v>
      </c>
      <c r="Z45" s="3">
        <f t="shared" si="25"/>
        <v>4.9283501259445854E-2</v>
      </c>
      <c r="AA45" s="3">
        <v>1.3759999999999999</v>
      </c>
      <c r="AB45" s="3">
        <v>1.387</v>
      </c>
      <c r="AC45" s="3">
        <f t="shared" si="26"/>
        <v>1.1000000000000121E-2</v>
      </c>
      <c r="AD45" s="3">
        <f>-427.858439*627.50956</f>
        <v>-268485.26079917682</v>
      </c>
      <c r="AE45" s="3">
        <f>-430.30805*627.50956</f>
        <v>-270022.41511995799</v>
      </c>
      <c r="AF45" s="3">
        <f t="shared" si="27"/>
        <v>-1537.1543207811774</v>
      </c>
      <c r="AG45" s="3">
        <f>-427.894958*627.50956</f>
        <v>-268508.17682079843</v>
      </c>
      <c r="AH45" s="3">
        <f>-430.345218*627.50956</f>
        <v>-270045.73839528405</v>
      </c>
      <c r="AI45" s="3">
        <f t="shared" si="28"/>
        <v>-1537.5615744856186</v>
      </c>
      <c r="AJ45" s="3">
        <v>-0.65800000000000003</v>
      </c>
      <c r="AK45" s="3">
        <v>-0.58499999999999996</v>
      </c>
      <c r="AL45" s="3">
        <f t="shared" si="29"/>
        <v>7.3000000000000065E-2</v>
      </c>
      <c r="AM45" s="3">
        <v>112.0668</v>
      </c>
      <c r="AN45" s="3">
        <v>135.48089999999999</v>
      </c>
      <c r="AO45" s="3">
        <v>127.5774</v>
      </c>
      <c r="AP45" s="3">
        <f t="shared" si="30"/>
        <v>1.105651328295755</v>
      </c>
      <c r="AQ45" s="3">
        <v>8.1379999999999999</v>
      </c>
      <c r="AR45" s="3">
        <v>1.8449842000000001</v>
      </c>
      <c r="AS45" s="3">
        <v>-76.454999999999998</v>
      </c>
      <c r="AT45" s="3">
        <v>-76.055000000000007</v>
      </c>
      <c r="AU45" s="3">
        <f t="shared" si="2"/>
        <v>-0.39999999999999147</v>
      </c>
      <c r="AV45" s="3">
        <v>-0.30399999999999999</v>
      </c>
      <c r="AW45" s="3">
        <v>-0.505</v>
      </c>
      <c r="AX45" s="3">
        <f t="shared" si="3"/>
        <v>0.20100000000000001</v>
      </c>
      <c r="AY45" s="3">
        <v>0.04</v>
      </c>
      <c r="AZ45" s="3">
        <v>0.16400000000000001</v>
      </c>
      <c r="BA45" s="3">
        <f t="shared" si="4"/>
        <v>-0.124</v>
      </c>
      <c r="BB45" s="3">
        <f t="shared" si="35"/>
        <v>0.13200000000000001</v>
      </c>
      <c r="BC45" s="3">
        <f t="shared" si="35"/>
        <v>0.17049999999999998</v>
      </c>
      <c r="BD45" s="3">
        <f t="shared" si="6"/>
        <v>-3.8499999999999979E-2</v>
      </c>
      <c r="BE45" s="3">
        <f t="shared" si="36"/>
        <v>0.34399999999999997</v>
      </c>
      <c r="BF45" s="3">
        <f t="shared" si="36"/>
        <v>0.66900000000000004</v>
      </c>
      <c r="BG45" s="3">
        <f t="shared" si="8"/>
        <v>-0.32500000000000007</v>
      </c>
      <c r="BH45" s="3">
        <f t="shared" si="37"/>
        <v>-0.13200000000000001</v>
      </c>
      <c r="BI45" s="3">
        <f t="shared" si="37"/>
        <v>-0.17049999999999998</v>
      </c>
      <c r="BJ45" s="3">
        <f t="shared" si="31"/>
        <v>3.8499999999999979E-2</v>
      </c>
      <c r="BK45" s="3">
        <f t="shared" si="10"/>
        <v>2.5325581395348844E-2</v>
      </c>
      <c r="BL45" s="3">
        <f t="shared" si="11"/>
        <v>2.1726644245141997E-2</v>
      </c>
      <c r="BM45" s="3">
        <f t="shared" si="12"/>
        <v>3.5989371502068469E-3</v>
      </c>
      <c r="BN45" s="3">
        <v>2.3010000000000002</v>
      </c>
      <c r="BO45" s="3">
        <v>2.3559999999999999</v>
      </c>
      <c r="BP45" s="3">
        <f t="shared" si="13"/>
        <v>-5.4999999999999716E-2</v>
      </c>
      <c r="BQ45" s="3">
        <v>-47960.305999999997</v>
      </c>
      <c r="BR45" s="3">
        <v>-47708.290999999997</v>
      </c>
      <c r="BS45" s="3">
        <f t="shared" si="14"/>
        <v>-252.01499999999942</v>
      </c>
      <c r="BT45" s="3">
        <v>-47973.754999999997</v>
      </c>
      <c r="BU45" s="3">
        <v>-47721.697</v>
      </c>
      <c r="BV45" s="3">
        <f t="shared" si="15"/>
        <v>-252.05799999999726</v>
      </c>
    </row>
    <row r="46" spans="1:74" x14ac:dyDescent="0.25">
      <c r="A46" t="s">
        <v>227</v>
      </c>
      <c r="B46" t="s">
        <v>514</v>
      </c>
      <c r="C46" t="s">
        <v>99</v>
      </c>
      <c r="D46" s="3">
        <v>11.39</v>
      </c>
      <c r="E46" s="3">
        <v>0.69</v>
      </c>
      <c r="F46" s="3">
        <v>-56.216000000000001</v>
      </c>
      <c r="G46" s="3">
        <v>-56.581000000000003</v>
      </c>
      <c r="H46" s="3">
        <f t="shared" si="16"/>
        <v>-0.36500000000000199</v>
      </c>
      <c r="I46" s="3">
        <v>-0.43</v>
      </c>
      <c r="J46" s="6">
        <v>-0.26700000000000002</v>
      </c>
      <c r="K46" s="3">
        <f t="shared" si="17"/>
        <v>0.16299999999999998</v>
      </c>
      <c r="L46" s="3">
        <v>0.16400000000000001</v>
      </c>
      <c r="M46" s="6">
        <v>4.4999999999999998E-2</v>
      </c>
      <c r="N46" s="3">
        <f t="shared" si="18"/>
        <v>-0.11900000000000001</v>
      </c>
      <c r="O46" s="3">
        <f t="shared" si="19"/>
        <v>0.13300000000000001</v>
      </c>
      <c r="P46" s="3">
        <f t="shared" si="19"/>
        <v>0.11100000000000002</v>
      </c>
      <c r="Q46" s="3">
        <f t="shared" si="20"/>
        <v>-2.1999999999999992E-2</v>
      </c>
      <c r="R46" s="3">
        <f t="shared" si="21"/>
        <v>0.59399999999999997</v>
      </c>
      <c r="S46" s="3">
        <f t="shared" si="21"/>
        <v>0.312</v>
      </c>
      <c r="T46" s="3">
        <f t="shared" si="22"/>
        <v>-0.28199999999999997</v>
      </c>
      <c r="U46" s="3">
        <f t="shared" si="23"/>
        <v>-0.13300000000000001</v>
      </c>
      <c r="V46" s="3">
        <f t="shared" si="23"/>
        <v>-0.11100000000000002</v>
      </c>
      <c r="W46" s="3">
        <f t="shared" si="24"/>
        <v>2.1999999999999992E-2</v>
      </c>
      <c r="X46" s="3">
        <f t="shared" si="0"/>
        <v>1.4889730639730644E-2</v>
      </c>
      <c r="Y46" s="3">
        <f t="shared" si="1"/>
        <v>1.9745192307692314E-2</v>
      </c>
      <c r="Z46" s="3">
        <f t="shared" si="25"/>
        <v>4.8554616679616705E-3</v>
      </c>
      <c r="AA46" s="3">
        <v>1.994</v>
      </c>
      <c r="AB46" s="3">
        <v>1.996</v>
      </c>
      <c r="AC46" s="3">
        <f t="shared" si="26"/>
        <v>2.0000000000000018E-3</v>
      </c>
      <c r="AD46" s="3">
        <f>-56.175575*627.50956</f>
        <v>-35250.710350996997</v>
      </c>
      <c r="AE46" s="3">
        <f>-56.543272*627.50956</f>
        <v>-35481.443733680317</v>
      </c>
      <c r="AF46" s="3">
        <f t="shared" si="27"/>
        <v>-230.73338268332009</v>
      </c>
      <c r="AG46" s="3">
        <f>-56.197365*627.50956</f>
        <v>-35264.383784309393</v>
      </c>
      <c r="AH46" s="3">
        <f>-56.565112*627.50956</f>
        <v>-35495.148542470721</v>
      </c>
      <c r="AI46" s="3">
        <f t="shared" si="28"/>
        <v>-230.76475816132734</v>
      </c>
      <c r="AJ46" s="3">
        <v>-1.024</v>
      </c>
      <c r="AK46" s="3">
        <v>-1.0429999999999999</v>
      </c>
      <c r="AL46" s="3">
        <f t="shared" si="29"/>
        <v>-1.8999999999999906E-2</v>
      </c>
      <c r="AM46" s="3">
        <v>17.0305</v>
      </c>
      <c r="AN46" s="3">
        <v>61.171300000000002</v>
      </c>
      <c r="AO46" s="3">
        <v>43.826099999999997</v>
      </c>
      <c r="AP46" s="3">
        <f t="shared" si="30"/>
        <v>1.0177671837030722</v>
      </c>
      <c r="AQ46" s="3">
        <v>4.0190000000000001</v>
      </c>
      <c r="AR46" s="3">
        <v>0.42259999999999998</v>
      </c>
      <c r="AS46" s="3">
        <v>-132.80099999999999</v>
      </c>
      <c r="AT46" s="3">
        <v>-131.97</v>
      </c>
      <c r="AU46" s="3">
        <f t="shared" si="2"/>
        <v>-0.83099999999998886</v>
      </c>
      <c r="AV46" s="3">
        <v>-0.34100000000000003</v>
      </c>
      <c r="AW46" s="3">
        <v>-0.47499999999999998</v>
      </c>
      <c r="AX46" s="3">
        <f t="shared" si="3"/>
        <v>0.13399999999999995</v>
      </c>
      <c r="AY46" s="3">
        <v>2.9000000000000001E-2</v>
      </c>
      <c r="AZ46" s="3">
        <v>0.156</v>
      </c>
      <c r="BA46" s="3">
        <f t="shared" si="4"/>
        <v>-0.127</v>
      </c>
      <c r="BB46" s="3">
        <f t="shared" si="35"/>
        <v>0.156</v>
      </c>
      <c r="BC46" s="3">
        <f t="shared" si="35"/>
        <v>0.15949999999999998</v>
      </c>
      <c r="BD46" s="3">
        <f t="shared" si="6"/>
        <v>-3.4999999999999754E-3</v>
      </c>
      <c r="BE46" s="3">
        <f t="shared" si="36"/>
        <v>0.37000000000000005</v>
      </c>
      <c r="BF46" s="3">
        <f t="shared" si="36"/>
        <v>0.63100000000000001</v>
      </c>
      <c r="BG46" s="3">
        <f t="shared" si="8"/>
        <v>-0.26099999999999995</v>
      </c>
      <c r="BH46" s="3">
        <f t="shared" si="37"/>
        <v>-0.156</v>
      </c>
      <c r="BI46" s="3">
        <f t="shared" si="37"/>
        <v>-0.15949999999999998</v>
      </c>
      <c r="BJ46" s="3">
        <f t="shared" si="31"/>
        <v>3.4999999999999754E-3</v>
      </c>
      <c r="BK46" s="3">
        <f t="shared" si="10"/>
        <v>3.2886486486486483E-2</v>
      </c>
      <c r="BL46" s="3">
        <f t="shared" si="11"/>
        <v>2.0158676703645E-2</v>
      </c>
      <c r="BM46" s="3">
        <f t="shared" si="12"/>
        <v>1.2727809782841482E-2</v>
      </c>
      <c r="BN46" s="3">
        <v>4.7279999999999998</v>
      </c>
      <c r="BO46" s="3">
        <v>4.9340000000000002</v>
      </c>
      <c r="BP46" s="3">
        <f t="shared" si="13"/>
        <v>-0.20600000000000041</v>
      </c>
      <c r="BQ46" s="3">
        <v>-83302.89</v>
      </c>
      <c r="BR46" s="3">
        <v>-82779.224000000002</v>
      </c>
      <c r="BS46" s="3">
        <f t="shared" si="14"/>
        <v>-523.66599999999744</v>
      </c>
      <c r="BT46" s="3">
        <v>-83320.774999999994</v>
      </c>
      <c r="BU46" s="3">
        <v>-82796.997000000003</v>
      </c>
      <c r="BV46" s="3">
        <f t="shared" si="15"/>
        <v>-523.77799999999115</v>
      </c>
    </row>
    <row r="47" spans="1:74" x14ac:dyDescent="0.25">
      <c r="A47" t="s">
        <v>264</v>
      </c>
      <c r="B47" t="s">
        <v>514</v>
      </c>
      <c r="C47" t="s">
        <v>99</v>
      </c>
      <c r="D47" s="3">
        <v>11.4</v>
      </c>
      <c r="E47" s="3">
        <v>0.7</v>
      </c>
      <c r="F47" s="3">
        <v>-455.08199999999999</v>
      </c>
      <c r="G47" s="3">
        <v>-457.85</v>
      </c>
      <c r="H47" s="3">
        <f t="shared" si="16"/>
        <v>-2.7680000000000291</v>
      </c>
      <c r="I47" s="3">
        <v>-0.41099999999999998</v>
      </c>
      <c r="J47" s="6">
        <v>-0.26800000000000002</v>
      </c>
      <c r="K47" s="3">
        <f t="shared" si="17"/>
        <v>0.14299999999999996</v>
      </c>
      <c r="L47" s="3">
        <v>0.155</v>
      </c>
      <c r="M47" s="6">
        <v>0.04</v>
      </c>
      <c r="N47" s="3">
        <f t="shared" si="18"/>
        <v>-0.11499999999999999</v>
      </c>
      <c r="O47" s="3">
        <f t="shared" si="19"/>
        <v>0.128</v>
      </c>
      <c r="P47" s="3">
        <f t="shared" si="19"/>
        <v>0.114</v>
      </c>
      <c r="Q47" s="3">
        <f t="shared" si="20"/>
        <v>-1.3999999999999999E-2</v>
      </c>
      <c r="R47" s="3">
        <f t="shared" si="21"/>
        <v>0.56599999999999995</v>
      </c>
      <c r="S47" s="3">
        <f t="shared" si="21"/>
        <v>0.308</v>
      </c>
      <c r="T47" s="3">
        <f t="shared" si="22"/>
        <v>-0.25799999999999995</v>
      </c>
      <c r="U47" s="3">
        <f t="shared" si="23"/>
        <v>-0.128</v>
      </c>
      <c r="V47" s="3">
        <f t="shared" si="23"/>
        <v>-0.114</v>
      </c>
      <c r="W47" s="3">
        <f t="shared" si="24"/>
        <v>1.3999999999999999E-2</v>
      </c>
      <c r="X47" s="3">
        <f t="shared" si="0"/>
        <v>1.4473498233215549E-2</v>
      </c>
      <c r="Y47" s="3">
        <f t="shared" si="1"/>
        <v>2.1097402597402597E-2</v>
      </c>
      <c r="Z47" s="3">
        <f t="shared" si="25"/>
        <v>6.6239043641870485E-3</v>
      </c>
      <c r="AA47" s="3">
        <v>2.2480000000000002</v>
      </c>
      <c r="AB47" s="3">
        <v>1.9319999999999999</v>
      </c>
      <c r="AC47" s="3">
        <f t="shared" si="26"/>
        <v>-0.31600000000000028</v>
      </c>
      <c r="AD47" s="3">
        <f>-454.878585*627.50956</f>
        <v>-285440.66072677256</v>
      </c>
      <c r="AE47" s="3">
        <f>-457.658282*627.50956</f>
        <v>-287184.94716817589</v>
      </c>
      <c r="AF47" s="3">
        <f t="shared" si="27"/>
        <v>-1744.2864414033247</v>
      </c>
      <c r="AG47" s="3">
        <f>-454.925631*627.50956</f>
        <v>-285470.18254153233</v>
      </c>
      <c r="AH47" s="3">
        <f>-457.706656*627.50956</f>
        <v>-287215.30231563136</v>
      </c>
      <c r="AI47" s="3">
        <f t="shared" si="28"/>
        <v>-1745.1197740990319</v>
      </c>
      <c r="AJ47" s="3">
        <v>-0.51900000000000002</v>
      </c>
      <c r="AK47" s="3">
        <v>-0.46899999999999997</v>
      </c>
      <c r="AL47" s="3">
        <f t="shared" si="29"/>
        <v>5.0000000000000044E-2</v>
      </c>
      <c r="AM47" s="3">
        <v>132.16098</v>
      </c>
      <c r="AN47" s="3">
        <v>199.11959999999999</v>
      </c>
      <c r="AO47" s="3">
        <v>212.02260000000001</v>
      </c>
      <c r="AP47" s="3">
        <f t="shared" si="30"/>
        <v>1.1581954584452276</v>
      </c>
      <c r="AQ47" s="3">
        <v>9.6080000000000005</v>
      </c>
      <c r="AR47" s="3">
        <v>2.200968</v>
      </c>
      <c r="AS47" s="3">
        <v>-132.80099999999999</v>
      </c>
      <c r="AT47" s="3">
        <v>-131.97</v>
      </c>
      <c r="AU47" s="3">
        <f t="shared" si="2"/>
        <v>-0.83099999999998886</v>
      </c>
      <c r="AV47" s="3">
        <v>-0.34100000000000003</v>
      </c>
      <c r="AW47" s="3">
        <v>-0.47499999999999998</v>
      </c>
      <c r="AX47" s="3">
        <f t="shared" si="3"/>
        <v>0.13399999999999995</v>
      </c>
      <c r="AY47" s="3">
        <v>2.9000000000000001E-2</v>
      </c>
      <c r="AZ47" s="3">
        <v>0.156</v>
      </c>
      <c r="BA47" s="3">
        <f t="shared" si="4"/>
        <v>-0.127</v>
      </c>
      <c r="BB47" s="3">
        <f t="shared" si="35"/>
        <v>0.156</v>
      </c>
      <c r="BC47" s="3">
        <f t="shared" si="35"/>
        <v>0.15949999999999998</v>
      </c>
      <c r="BD47" s="3">
        <f t="shared" si="6"/>
        <v>-3.4999999999999754E-3</v>
      </c>
      <c r="BE47" s="3">
        <f t="shared" si="36"/>
        <v>0.37000000000000005</v>
      </c>
      <c r="BF47" s="3">
        <f t="shared" si="36"/>
        <v>0.63100000000000001</v>
      </c>
      <c r="BG47" s="3">
        <f t="shared" si="8"/>
        <v>-0.26099999999999995</v>
      </c>
      <c r="BH47" s="3">
        <f t="shared" si="37"/>
        <v>-0.156</v>
      </c>
      <c r="BI47" s="3">
        <f t="shared" si="37"/>
        <v>-0.15949999999999998</v>
      </c>
      <c r="BJ47" s="3">
        <f t="shared" si="31"/>
        <v>3.4999999999999754E-3</v>
      </c>
      <c r="BK47" s="3">
        <f t="shared" si="10"/>
        <v>3.2886486486486483E-2</v>
      </c>
      <c r="BL47" s="3">
        <f t="shared" si="11"/>
        <v>2.0158676703645E-2</v>
      </c>
      <c r="BM47" s="3">
        <f t="shared" si="12"/>
        <v>1.2727809782841482E-2</v>
      </c>
      <c r="BN47" s="3">
        <v>4.7279999999999998</v>
      </c>
      <c r="BO47" s="3">
        <v>4.9340000000000002</v>
      </c>
      <c r="BP47" s="3">
        <f t="shared" si="13"/>
        <v>-0.20600000000000041</v>
      </c>
      <c r="BQ47" s="3">
        <v>-83302.89</v>
      </c>
      <c r="BR47" s="3">
        <v>-82779.224000000002</v>
      </c>
      <c r="BS47" s="3">
        <f t="shared" si="14"/>
        <v>-523.66599999999744</v>
      </c>
      <c r="BT47" s="3">
        <v>-83320.774999999994</v>
      </c>
      <c r="BU47" s="3">
        <v>-82796.997000000003</v>
      </c>
      <c r="BV47" s="3">
        <f t="shared" si="15"/>
        <v>-523.77799999999115</v>
      </c>
    </row>
    <row r="48" spans="1:74" x14ac:dyDescent="0.25">
      <c r="A48" t="s">
        <v>265</v>
      </c>
      <c r="B48" t="s">
        <v>514</v>
      </c>
      <c r="C48" t="s">
        <v>199</v>
      </c>
      <c r="D48" s="3">
        <v>11.41</v>
      </c>
      <c r="E48" s="3">
        <v>0.55000000000000004</v>
      </c>
      <c r="F48" s="3">
        <v>-131.035</v>
      </c>
      <c r="G48" s="3">
        <v>-131.76300000000001</v>
      </c>
      <c r="H48" s="3">
        <f t="shared" si="16"/>
        <v>-0.72800000000000864</v>
      </c>
      <c r="I48" s="3">
        <v>-0.42199999999999999</v>
      </c>
      <c r="J48" s="6">
        <v>-0.26400000000000001</v>
      </c>
      <c r="K48" s="3">
        <f t="shared" si="17"/>
        <v>0.15799999999999997</v>
      </c>
      <c r="L48" s="3">
        <v>0.17100000000000001</v>
      </c>
      <c r="M48" s="6">
        <v>4.8000000000000001E-2</v>
      </c>
      <c r="N48" s="3">
        <f t="shared" si="18"/>
        <v>-0.12300000000000001</v>
      </c>
      <c r="O48" s="3">
        <f t="shared" si="19"/>
        <v>0.1255</v>
      </c>
      <c r="P48" s="3">
        <f t="shared" si="19"/>
        <v>0.10800000000000001</v>
      </c>
      <c r="Q48" s="3">
        <f t="shared" si="20"/>
        <v>-1.7499999999999988E-2</v>
      </c>
      <c r="R48" s="3">
        <f t="shared" si="21"/>
        <v>0.59299999999999997</v>
      </c>
      <c r="S48" s="3">
        <f t="shared" si="21"/>
        <v>0.312</v>
      </c>
      <c r="T48" s="3">
        <f t="shared" si="22"/>
        <v>-0.28099999999999997</v>
      </c>
      <c r="U48" s="3">
        <f t="shared" si="23"/>
        <v>-0.1255</v>
      </c>
      <c r="V48" s="3">
        <f t="shared" si="23"/>
        <v>-0.10800000000000001</v>
      </c>
      <c r="W48" s="3">
        <f t="shared" si="24"/>
        <v>1.7499999999999988E-2</v>
      </c>
      <c r="X48" s="3">
        <f t="shared" si="0"/>
        <v>1.328014333895447E-2</v>
      </c>
      <c r="Y48" s="3">
        <f t="shared" si="1"/>
        <v>1.8692307692307696E-2</v>
      </c>
      <c r="Z48" s="3">
        <f t="shared" si="25"/>
        <v>5.4121643533532257E-3</v>
      </c>
      <c r="AA48" s="3">
        <v>0.80900000000000005</v>
      </c>
      <c r="AB48" s="3">
        <v>0.748</v>
      </c>
      <c r="AC48" s="3">
        <f t="shared" si="26"/>
        <v>-6.1000000000000054E-2</v>
      </c>
      <c r="AD48" s="3">
        <f>-130.986614*627.50956</f>
        <v>-82195.352517029838</v>
      </c>
      <c r="AE48" s="3">
        <f>-131.718797*627.50956</f>
        <v>-82654.804349199316</v>
      </c>
      <c r="AF48" s="3">
        <f t="shared" si="27"/>
        <v>-459.45183216947771</v>
      </c>
      <c r="AG48" s="3">
        <f>-131.013203*627.50956</f>
        <v>-82212.037368720674</v>
      </c>
      <c r="AH48" s="3">
        <f>-131.74557*627.50956</f>
        <v>-82671.604662649188</v>
      </c>
      <c r="AI48" s="3">
        <f t="shared" si="28"/>
        <v>-459.56729392851412</v>
      </c>
      <c r="AJ48" s="3">
        <v>-0.48899999999999999</v>
      </c>
      <c r="AK48" s="3">
        <v>-0.52500000000000002</v>
      </c>
      <c r="AL48" s="3">
        <f t="shared" si="29"/>
        <v>-3.6000000000000032E-2</v>
      </c>
      <c r="AM48" s="3">
        <v>33.029919999999997</v>
      </c>
      <c r="AN48" s="3">
        <v>73.869900000000001</v>
      </c>
      <c r="AO48" s="3">
        <v>56.236809999999998</v>
      </c>
      <c r="AP48" s="3">
        <f t="shared" si="30"/>
        <v>1.0408217116642418</v>
      </c>
      <c r="AQ48" s="3">
        <v>4.9589999999999996</v>
      </c>
      <c r="AR48" s="3">
        <v>0.80437700000000001</v>
      </c>
      <c r="AS48" s="3">
        <v>-76.454999999999998</v>
      </c>
      <c r="AT48" s="3">
        <v>-76.055000000000007</v>
      </c>
      <c r="AU48" s="3">
        <f t="shared" si="2"/>
        <v>-0.39999999999999147</v>
      </c>
      <c r="AV48" s="3">
        <v>-0.30399999999999999</v>
      </c>
      <c r="AW48" s="3">
        <v>-0.505</v>
      </c>
      <c r="AX48" s="3">
        <f t="shared" si="3"/>
        <v>0.20100000000000001</v>
      </c>
      <c r="AY48" s="3">
        <v>0.04</v>
      </c>
      <c r="AZ48" s="3">
        <v>0.16400000000000001</v>
      </c>
      <c r="BA48" s="3">
        <f t="shared" si="4"/>
        <v>-0.124</v>
      </c>
      <c r="BB48" s="3">
        <f t="shared" ref="BB48:BC63" si="38">-(AV48+AY48)/2</f>
        <v>0.13200000000000001</v>
      </c>
      <c r="BC48" s="3">
        <f t="shared" si="38"/>
        <v>0.17049999999999998</v>
      </c>
      <c r="BD48" s="3">
        <f t="shared" si="6"/>
        <v>-3.8499999999999979E-2</v>
      </c>
      <c r="BE48" s="3">
        <f t="shared" ref="BE48:BF63" si="39">AY48-AV48</f>
        <v>0.34399999999999997</v>
      </c>
      <c r="BF48" s="3">
        <f t="shared" si="39"/>
        <v>0.66900000000000004</v>
      </c>
      <c r="BG48" s="3">
        <f t="shared" si="8"/>
        <v>-0.32500000000000007</v>
      </c>
      <c r="BH48" s="3">
        <f t="shared" ref="BH48:BI63" si="40">(AV48+AY48)/2</f>
        <v>-0.13200000000000001</v>
      </c>
      <c r="BI48" s="3">
        <f t="shared" si="40"/>
        <v>-0.17049999999999998</v>
      </c>
      <c r="BJ48" s="3">
        <f t="shared" si="31"/>
        <v>3.8499999999999979E-2</v>
      </c>
      <c r="BK48" s="3">
        <f t="shared" si="10"/>
        <v>2.5325581395348844E-2</v>
      </c>
      <c r="BL48" s="3">
        <f t="shared" si="11"/>
        <v>2.1726644245141997E-2</v>
      </c>
      <c r="BM48" s="3">
        <f t="shared" si="12"/>
        <v>3.5989371502068469E-3</v>
      </c>
      <c r="BN48" s="3">
        <v>2.3010000000000002</v>
      </c>
      <c r="BO48" s="3">
        <v>2.3559999999999999</v>
      </c>
      <c r="BP48" s="3">
        <f t="shared" si="13"/>
        <v>-5.4999999999999716E-2</v>
      </c>
      <c r="BQ48" s="3">
        <v>-47960.305999999997</v>
      </c>
      <c r="BR48" s="3">
        <v>-47708.290999999997</v>
      </c>
      <c r="BS48" s="3">
        <f t="shared" si="14"/>
        <v>-252.01499999999942</v>
      </c>
      <c r="BT48" s="3">
        <v>-47973.754999999997</v>
      </c>
      <c r="BU48" s="3">
        <v>-47721.697</v>
      </c>
      <c r="BV48" s="3">
        <f t="shared" si="15"/>
        <v>-252.05799999999726</v>
      </c>
    </row>
    <row r="49" spans="1:74" x14ac:dyDescent="0.25">
      <c r="A49" t="s">
        <v>266</v>
      </c>
      <c r="B49" t="s">
        <v>514</v>
      </c>
      <c r="C49" t="s">
        <v>99</v>
      </c>
      <c r="D49" s="3">
        <v>11.43</v>
      </c>
      <c r="E49" s="3">
        <v>0.79</v>
      </c>
      <c r="F49" s="3">
        <v>-632.17999999999995</v>
      </c>
      <c r="G49" s="3">
        <v>-635.048</v>
      </c>
      <c r="H49" s="3">
        <f t="shared" si="16"/>
        <v>-2.8680000000000518</v>
      </c>
      <c r="I49" s="3">
        <v>-0.32500000000000001</v>
      </c>
      <c r="J49" s="6">
        <v>-0.23499999999999999</v>
      </c>
      <c r="K49" s="3">
        <f t="shared" si="17"/>
        <v>9.0000000000000024E-2</v>
      </c>
      <c r="L49" s="3">
        <v>0.14000000000000001</v>
      </c>
      <c r="M49" s="6">
        <v>1.4999999999999999E-2</v>
      </c>
      <c r="N49" s="3">
        <f t="shared" si="18"/>
        <v>-0.125</v>
      </c>
      <c r="O49" s="3">
        <f t="shared" si="19"/>
        <v>9.2499999999999999E-2</v>
      </c>
      <c r="P49" s="3">
        <f t="shared" si="19"/>
        <v>0.10999999999999999</v>
      </c>
      <c r="Q49" s="3">
        <f t="shared" si="20"/>
        <v>1.7499999999999988E-2</v>
      </c>
      <c r="R49" s="3">
        <f t="shared" si="21"/>
        <v>0.46500000000000002</v>
      </c>
      <c r="S49" s="3">
        <f t="shared" si="21"/>
        <v>0.25</v>
      </c>
      <c r="T49" s="3">
        <f t="shared" si="22"/>
        <v>-0.21500000000000002</v>
      </c>
      <c r="U49" s="3">
        <f t="shared" si="23"/>
        <v>-9.2499999999999999E-2</v>
      </c>
      <c r="V49" s="3">
        <f t="shared" si="23"/>
        <v>-0.10999999999999999</v>
      </c>
      <c r="W49" s="3">
        <f t="shared" si="24"/>
        <v>-1.7499999999999988E-2</v>
      </c>
      <c r="X49" s="3">
        <f t="shared" si="0"/>
        <v>9.2002688172043001E-3</v>
      </c>
      <c r="Y49" s="3">
        <f t="shared" si="1"/>
        <v>2.4199999999999996E-2</v>
      </c>
      <c r="Z49" s="3">
        <f t="shared" si="25"/>
        <v>1.4999731182795696E-2</v>
      </c>
      <c r="AA49" s="3">
        <v>5.6260000000000003</v>
      </c>
      <c r="AB49" s="3">
        <v>5.8109999999999999</v>
      </c>
      <c r="AC49" s="3">
        <f t="shared" si="26"/>
        <v>0.18499999999999961</v>
      </c>
      <c r="AD49" s="3">
        <f>-631.985218*627.50956</f>
        <v>-396576.76607368409</v>
      </c>
      <c r="AE49" s="3">
        <f>-634.863731*627.50956</f>
        <v>-398383.06049976835</v>
      </c>
      <c r="AF49" s="3">
        <f t="shared" si="27"/>
        <v>-1806.2944260842633</v>
      </c>
      <c r="AG49" s="3">
        <f>-632.033392*627.50956</f>
        <v>-396606.99571922753</v>
      </c>
      <c r="AH49" s="3">
        <f>-634.913187*627.50956</f>
        <v>-398414.09461256769</v>
      </c>
      <c r="AI49" s="3">
        <f t="shared" si="28"/>
        <v>-1807.0988933401532</v>
      </c>
      <c r="AJ49" s="3">
        <v>-0.60899999999999999</v>
      </c>
      <c r="AK49" s="3">
        <v>-0.54800000000000004</v>
      </c>
      <c r="AL49" s="3">
        <f t="shared" si="29"/>
        <v>6.0999999999999943E-2</v>
      </c>
      <c r="AM49" s="3">
        <v>140.25800000000001</v>
      </c>
      <c r="AN49" s="3">
        <v>213.03399999999999</v>
      </c>
      <c r="AO49" s="3">
        <v>237.29830000000001</v>
      </c>
      <c r="AP49" s="3">
        <f t="shared" si="30"/>
        <v>1.1494986202694659</v>
      </c>
      <c r="AQ49" s="3">
        <v>9.56</v>
      </c>
      <c r="AR49" s="3">
        <v>2.1824469999999998</v>
      </c>
      <c r="AS49" s="3">
        <v>-132.80099999999999</v>
      </c>
      <c r="AT49" s="3">
        <v>-131.97</v>
      </c>
      <c r="AU49" s="3">
        <f t="shared" si="2"/>
        <v>-0.83099999999998886</v>
      </c>
      <c r="AV49" s="3">
        <v>-0.34100000000000003</v>
      </c>
      <c r="AW49" s="3">
        <v>-0.47499999999999998</v>
      </c>
      <c r="AX49" s="3">
        <f t="shared" si="3"/>
        <v>0.13399999999999995</v>
      </c>
      <c r="AY49" s="3">
        <v>2.9000000000000001E-2</v>
      </c>
      <c r="AZ49" s="3">
        <v>0.156</v>
      </c>
      <c r="BA49" s="3">
        <f t="shared" si="4"/>
        <v>-0.127</v>
      </c>
      <c r="BB49" s="3">
        <f t="shared" si="38"/>
        <v>0.156</v>
      </c>
      <c r="BC49" s="3">
        <f t="shared" si="38"/>
        <v>0.15949999999999998</v>
      </c>
      <c r="BD49" s="3">
        <f t="shared" si="6"/>
        <v>-3.4999999999999754E-3</v>
      </c>
      <c r="BE49" s="3">
        <f t="shared" si="39"/>
        <v>0.37000000000000005</v>
      </c>
      <c r="BF49" s="3">
        <f t="shared" si="39"/>
        <v>0.63100000000000001</v>
      </c>
      <c r="BG49" s="3">
        <f t="shared" si="8"/>
        <v>-0.26099999999999995</v>
      </c>
      <c r="BH49" s="3">
        <f t="shared" si="40"/>
        <v>-0.156</v>
      </c>
      <c r="BI49" s="3">
        <f t="shared" si="40"/>
        <v>-0.15949999999999998</v>
      </c>
      <c r="BJ49" s="3">
        <f t="shared" si="31"/>
        <v>3.4999999999999754E-3</v>
      </c>
      <c r="BK49" s="3">
        <f t="shared" si="10"/>
        <v>3.2886486486486483E-2</v>
      </c>
      <c r="BL49" s="3">
        <f t="shared" si="11"/>
        <v>2.0158676703645E-2</v>
      </c>
      <c r="BM49" s="3">
        <f t="shared" si="12"/>
        <v>1.2727809782841482E-2</v>
      </c>
      <c r="BN49" s="3">
        <v>4.7279999999999998</v>
      </c>
      <c r="BO49" s="3">
        <v>4.9340000000000002</v>
      </c>
      <c r="BP49" s="3">
        <f t="shared" si="13"/>
        <v>-0.20600000000000041</v>
      </c>
      <c r="BQ49" s="3">
        <v>-83302.89</v>
      </c>
      <c r="BR49" s="3">
        <v>-82779.224000000002</v>
      </c>
      <c r="BS49" s="3">
        <f t="shared" si="14"/>
        <v>-523.66599999999744</v>
      </c>
      <c r="BT49" s="3">
        <v>-83320.774999999994</v>
      </c>
      <c r="BU49" s="3">
        <v>-82796.997000000003</v>
      </c>
      <c r="BV49" s="3">
        <f t="shared" si="15"/>
        <v>-523.77799999999115</v>
      </c>
    </row>
    <row r="50" spans="1:74" x14ac:dyDescent="0.25">
      <c r="A50" t="s">
        <v>267</v>
      </c>
      <c r="B50" t="s">
        <v>514</v>
      </c>
      <c r="C50" t="s">
        <v>199</v>
      </c>
      <c r="D50" s="3">
        <v>11.44</v>
      </c>
      <c r="E50" s="3">
        <v>0.68</v>
      </c>
      <c r="F50" s="3">
        <v>-360.66699999999997</v>
      </c>
      <c r="G50" s="3">
        <v>-362.90300000000002</v>
      </c>
      <c r="H50" s="3">
        <f t="shared" si="16"/>
        <v>-2.2360000000000468</v>
      </c>
      <c r="I50" s="3">
        <v>-0.35499999999999998</v>
      </c>
      <c r="J50" s="6">
        <v>-0.27200000000000002</v>
      </c>
      <c r="K50" s="3">
        <f t="shared" si="17"/>
        <v>8.2999999999999963E-2</v>
      </c>
      <c r="L50" s="3">
        <v>0.11899999999999999</v>
      </c>
      <c r="M50" s="6">
        <v>-3.3000000000000002E-2</v>
      </c>
      <c r="N50" s="3">
        <f t="shared" si="18"/>
        <v>-0.152</v>
      </c>
      <c r="O50" s="3">
        <f t="shared" si="19"/>
        <v>0.11799999999999999</v>
      </c>
      <c r="P50" s="3">
        <f t="shared" si="19"/>
        <v>0.15250000000000002</v>
      </c>
      <c r="Q50" s="3">
        <f t="shared" si="20"/>
        <v>3.4500000000000031E-2</v>
      </c>
      <c r="R50" s="3">
        <f t="shared" si="21"/>
        <v>0.47399999999999998</v>
      </c>
      <c r="S50" s="3">
        <f t="shared" si="21"/>
        <v>0.23900000000000002</v>
      </c>
      <c r="T50" s="3">
        <f t="shared" si="22"/>
        <v>-0.23499999999999996</v>
      </c>
      <c r="U50" s="3">
        <f t="shared" si="23"/>
        <v>-0.11799999999999999</v>
      </c>
      <c r="V50" s="3">
        <f t="shared" si="23"/>
        <v>-0.15250000000000002</v>
      </c>
      <c r="W50" s="3">
        <f t="shared" si="24"/>
        <v>-3.4500000000000031E-2</v>
      </c>
      <c r="X50" s="3">
        <f t="shared" si="0"/>
        <v>1.4687763713080169E-2</v>
      </c>
      <c r="Y50" s="3">
        <f t="shared" si="1"/>
        <v>4.8653242677824275E-2</v>
      </c>
      <c r="Z50" s="3">
        <f t="shared" si="25"/>
        <v>3.3965478964744104E-2</v>
      </c>
      <c r="AA50" s="3">
        <v>3.38</v>
      </c>
      <c r="AB50" s="3">
        <v>3.32</v>
      </c>
      <c r="AC50" s="3">
        <f t="shared" si="26"/>
        <v>-6.0000000000000053E-2</v>
      </c>
      <c r="AD50" s="3">
        <f>-360.530606*627.50956</f>
        <v>-226236.40193759333</v>
      </c>
      <c r="AE50" s="3">
        <f>-362.775824*627.50956</f>
        <v>-227645.29769687742</v>
      </c>
      <c r="AF50" s="3">
        <f t="shared" si="27"/>
        <v>-1408.8957592840889</v>
      </c>
      <c r="AG50" s="3">
        <f>-360.56753*627.50956</f>
        <v>-226259.57210058678</v>
      </c>
      <c r="AH50" s="3">
        <f>-362.813461*627.50956</f>
        <v>-227668.91527418717</v>
      </c>
      <c r="AI50" s="3">
        <f t="shared" si="28"/>
        <v>-1409.343173600384</v>
      </c>
      <c r="AJ50" s="3">
        <v>-0.56200000000000006</v>
      </c>
      <c r="AK50" s="3">
        <v>-0.498</v>
      </c>
      <c r="AL50" s="3">
        <f t="shared" si="29"/>
        <v>6.4000000000000057E-2</v>
      </c>
      <c r="AM50" s="3">
        <v>109.12588</v>
      </c>
      <c r="AN50" s="3">
        <v>167.2433</v>
      </c>
      <c r="AO50" s="3">
        <v>169.59935999999999</v>
      </c>
      <c r="AP50" s="3">
        <f t="shared" si="30"/>
        <v>1.1288993059079595</v>
      </c>
      <c r="AQ50" s="3">
        <v>8.6180000000000003</v>
      </c>
      <c r="AR50" s="3">
        <v>1.9463938999999999</v>
      </c>
      <c r="AS50" s="3">
        <v>-76.454999999999998</v>
      </c>
      <c r="AT50" s="3">
        <v>-76.055000000000007</v>
      </c>
      <c r="AU50" s="3">
        <f t="shared" si="2"/>
        <v>-0.39999999999999147</v>
      </c>
      <c r="AV50" s="3">
        <v>-0.30399999999999999</v>
      </c>
      <c r="AW50" s="3">
        <v>-0.505</v>
      </c>
      <c r="AX50" s="3">
        <f t="shared" si="3"/>
        <v>0.20100000000000001</v>
      </c>
      <c r="AY50" s="3">
        <v>0.04</v>
      </c>
      <c r="AZ50" s="3">
        <v>0.16400000000000001</v>
      </c>
      <c r="BA50" s="3">
        <f t="shared" si="4"/>
        <v>-0.124</v>
      </c>
      <c r="BB50" s="3">
        <f t="shared" si="38"/>
        <v>0.13200000000000001</v>
      </c>
      <c r="BC50" s="3">
        <f t="shared" si="38"/>
        <v>0.17049999999999998</v>
      </c>
      <c r="BD50" s="3">
        <f t="shared" si="6"/>
        <v>-3.8499999999999979E-2</v>
      </c>
      <c r="BE50" s="3">
        <f t="shared" si="39"/>
        <v>0.34399999999999997</v>
      </c>
      <c r="BF50" s="3">
        <f t="shared" si="39"/>
        <v>0.66900000000000004</v>
      </c>
      <c r="BG50" s="3">
        <f t="shared" si="8"/>
        <v>-0.32500000000000007</v>
      </c>
      <c r="BH50" s="3">
        <f t="shared" si="40"/>
        <v>-0.13200000000000001</v>
      </c>
      <c r="BI50" s="3">
        <f t="shared" si="40"/>
        <v>-0.17049999999999998</v>
      </c>
      <c r="BJ50" s="3">
        <f t="shared" si="31"/>
        <v>3.8499999999999979E-2</v>
      </c>
      <c r="BK50" s="3">
        <f t="shared" si="10"/>
        <v>2.5325581395348844E-2</v>
      </c>
      <c r="BL50" s="3">
        <f t="shared" si="11"/>
        <v>2.1726644245141997E-2</v>
      </c>
      <c r="BM50" s="3">
        <f t="shared" si="12"/>
        <v>3.5989371502068469E-3</v>
      </c>
      <c r="BN50" s="3">
        <v>2.3010000000000002</v>
      </c>
      <c r="BO50" s="3">
        <v>2.3559999999999999</v>
      </c>
      <c r="BP50" s="3">
        <f t="shared" si="13"/>
        <v>-5.4999999999999716E-2</v>
      </c>
      <c r="BQ50" s="3">
        <v>-47960.305999999997</v>
      </c>
      <c r="BR50" s="3">
        <v>-47708.290999999997</v>
      </c>
      <c r="BS50" s="3">
        <f t="shared" si="14"/>
        <v>-252.01499999999942</v>
      </c>
      <c r="BT50" s="3">
        <v>-47973.754999999997</v>
      </c>
      <c r="BU50" s="3">
        <v>-47721.697</v>
      </c>
      <c r="BV50" s="3">
        <f t="shared" si="15"/>
        <v>-252.05799999999726</v>
      </c>
    </row>
    <row r="51" spans="1:74" x14ac:dyDescent="0.25">
      <c r="A51" t="s">
        <v>229</v>
      </c>
      <c r="B51" t="s">
        <v>514</v>
      </c>
      <c r="C51" t="s">
        <v>99</v>
      </c>
      <c r="D51" s="3">
        <v>11.47</v>
      </c>
      <c r="E51" s="3">
        <v>0.79</v>
      </c>
      <c r="F51" s="3">
        <v>-224.881</v>
      </c>
      <c r="G51" s="3">
        <v>-226.28700000000001</v>
      </c>
      <c r="H51" s="3">
        <f t="shared" si="16"/>
        <v>-1.4060000000000059</v>
      </c>
      <c r="I51" s="3">
        <v>-0.32700000000000001</v>
      </c>
      <c r="J51" s="6">
        <v>-0.23799999999999999</v>
      </c>
      <c r="K51" s="3">
        <f t="shared" si="17"/>
        <v>8.9000000000000024E-2</v>
      </c>
      <c r="L51" s="3">
        <v>0.16500000000000001</v>
      </c>
      <c r="M51" s="6">
        <v>0.02</v>
      </c>
      <c r="N51" s="3">
        <f t="shared" si="18"/>
        <v>-0.14500000000000002</v>
      </c>
      <c r="O51" s="3">
        <f t="shared" si="19"/>
        <v>8.1000000000000003E-2</v>
      </c>
      <c r="P51" s="3">
        <f t="shared" si="19"/>
        <v>0.109</v>
      </c>
      <c r="Q51" s="3">
        <f t="shared" si="20"/>
        <v>2.7999999999999997E-2</v>
      </c>
      <c r="R51" s="3">
        <f t="shared" si="21"/>
        <v>0.49199999999999999</v>
      </c>
      <c r="S51" s="3">
        <f t="shared" si="21"/>
        <v>0.25800000000000001</v>
      </c>
      <c r="T51" s="3">
        <f t="shared" si="22"/>
        <v>-0.23399999999999999</v>
      </c>
      <c r="U51" s="3">
        <f t="shared" si="23"/>
        <v>-8.1000000000000003E-2</v>
      </c>
      <c r="V51" s="3">
        <f t="shared" si="23"/>
        <v>-0.109</v>
      </c>
      <c r="W51" s="3">
        <f t="shared" si="24"/>
        <v>-2.7999999999999997E-2</v>
      </c>
      <c r="X51" s="3">
        <f t="shared" si="0"/>
        <v>6.6676829268292681E-3</v>
      </c>
      <c r="Y51" s="3">
        <f t="shared" si="1"/>
        <v>2.3025193798449611E-2</v>
      </c>
      <c r="Z51" s="3">
        <f t="shared" si="25"/>
        <v>1.6357510871620344E-2</v>
      </c>
      <c r="AA51" s="3">
        <v>4.8890000000000002</v>
      </c>
      <c r="AB51" s="3">
        <v>4.7869999999999999</v>
      </c>
      <c r="AC51" s="3">
        <f t="shared" si="26"/>
        <v>-0.10200000000000031</v>
      </c>
      <c r="AD51" s="3">
        <f>-224.800362*627.50956</f>
        <v>-141064.37624646071</v>
      </c>
      <c r="AE51" s="3">
        <f>-226.211469*627.50956</f>
        <v>-141949.85937914363</v>
      </c>
      <c r="AF51" s="3">
        <f t="shared" si="27"/>
        <v>-885.48313268291531</v>
      </c>
      <c r="AG51" s="3">
        <f>-224.830967*627.50956</f>
        <v>-141083.58117654451</v>
      </c>
      <c r="AH51" s="3">
        <f>-226.24236*627.50956</f>
        <v>-141969.24377696158</v>
      </c>
      <c r="AI51" s="3">
        <f t="shared" si="28"/>
        <v>-885.66260041706846</v>
      </c>
      <c r="AJ51" s="3">
        <v>-0.58799999999999997</v>
      </c>
      <c r="AK51" s="3">
        <v>-0.53</v>
      </c>
      <c r="AL51" s="3">
        <f t="shared" si="29"/>
        <v>5.799999999999994E-2</v>
      </c>
      <c r="AM51" s="3">
        <v>68.077200000000005</v>
      </c>
      <c r="AN51" s="3">
        <v>115.40653</v>
      </c>
      <c r="AO51" s="3">
        <v>105.56310000000001</v>
      </c>
      <c r="AP51" s="3">
        <f t="shared" si="30"/>
        <v>1.0685911584427252</v>
      </c>
      <c r="AQ51" s="3">
        <v>6.6130000000000004</v>
      </c>
      <c r="AR51" s="3">
        <v>1.2456480000000001</v>
      </c>
      <c r="AS51" s="3">
        <v>-132.80099999999999</v>
      </c>
      <c r="AT51" s="3">
        <v>-131.97</v>
      </c>
      <c r="AU51" s="3">
        <f t="shared" si="2"/>
        <v>-0.83099999999998886</v>
      </c>
      <c r="AV51" s="3">
        <v>-0.34100000000000003</v>
      </c>
      <c r="AW51" s="3">
        <v>-0.47499999999999998</v>
      </c>
      <c r="AX51" s="3">
        <f t="shared" si="3"/>
        <v>0.13399999999999995</v>
      </c>
      <c r="AY51" s="3">
        <v>2.9000000000000001E-2</v>
      </c>
      <c r="AZ51" s="3">
        <v>0.156</v>
      </c>
      <c r="BA51" s="3">
        <f t="shared" si="4"/>
        <v>-0.127</v>
      </c>
      <c r="BB51" s="3">
        <f t="shared" si="38"/>
        <v>0.156</v>
      </c>
      <c r="BC51" s="3">
        <f t="shared" si="38"/>
        <v>0.15949999999999998</v>
      </c>
      <c r="BD51" s="3">
        <f t="shared" si="6"/>
        <v>-3.4999999999999754E-3</v>
      </c>
      <c r="BE51" s="3">
        <f t="shared" si="39"/>
        <v>0.37000000000000005</v>
      </c>
      <c r="BF51" s="3">
        <f t="shared" si="39"/>
        <v>0.63100000000000001</v>
      </c>
      <c r="BG51" s="3">
        <f t="shared" si="8"/>
        <v>-0.26099999999999995</v>
      </c>
      <c r="BH51" s="3">
        <f t="shared" si="40"/>
        <v>-0.156</v>
      </c>
      <c r="BI51" s="3">
        <f t="shared" si="40"/>
        <v>-0.15949999999999998</v>
      </c>
      <c r="BJ51" s="3">
        <f t="shared" si="31"/>
        <v>3.4999999999999754E-3</v>
      </c>
      <c r="BK51" s="3">
        <f t="shared" si="10"/>
        <v>3.2886486486486483E-2</v>
      </c>
      <c r="BL51" s="3">
        <f t="shared" si="11"/>
        <v>2.0158676703645E-2</v>
      </c>
      <c r="BM51" s="3">
        <f t="shared" si="12"/>
        <v>1.2727809782841482E-2</v>
      </c>
      <c r="BN51" s="3">
        <v>4.7279999999999998</v>
      </c>
      <c r="BO51" s="3">
        <v>4.9340000000000002</v>
      </c>
      <c r="BP51" s="3">
        <f t="shared" si="13"/>
        <v>-0.20600000000000041</v>
      </c>
      <c r="BQ51" s="3">
        <v>-83302.89</v>
      </c>
      <c r="BR51" s="3">
        <v>-82779.224000000002</v>
      </c>
      <c r="BS51" s="3">
        <f t="shared" si="14"/>
        <v>-523.66599999999744</v>
      </c>
      <c r="BT51" s="3">
        <v>-83320.774999999994</v>
      </c>
      <c r="BU51" s="3">
        <v>-82796.997000000003</v>
      </c>
      <c r="BV51" s="3">
        <f t="shared" si="15"/>
        <v>-523.77799999999115</v>
      </c>
    </row>
    <row r="52" spans="1:74" x14ac:dyDescent="0.25">
      <c r="A52" t="s">
        <v>268</v>
      </c>
      <c r="B52" t="s">
        <v>514</v>
      </c>
      <c r="C52" t="s">
        <v>99</v>
      </c>
      <c r="D52" s="3">
        <v>11.5</v>
      </c>
      <c r="E52" s="3">
        <v>0.8</v>
      </c>
      <c r="F52" s="3">
        <v>-285.80200000000002</v>
      </c>
      <c r="G52" s="3">
        <v>-287.68</v>
      </c>
      <c r="H52" s="3">
        <f t="shared" si="16"/>
        <v>-1.8779999999999859</v>
      </c>
      <c r="I52" s="3">
        <v>-0.34</v>
      </c>
      <c r="J52" s="6">
        <v>-0.26200000000000001</v>
      </c>
      <c r="K52" s="3">
        <f t="shared" si="17"/>
        <v>7.8000000000000014E-2</v>
      </c>
      <c r="L52" s="3">
        <v>0.112</v>
      </c>
      <c r="M52" s="6">
        <v>-3.5000000000000003E-2</v>
      </c>
      <c r="N52" s="3">
        <f t="shared" si="18"/>
        <v>-0.14700000000000002</v>
      </c>
      <c r="O52" s="3">
        <f t="shared" si="19"/>
        <v>0.11400000000000002</v>
      </c>
      <c r="P52" s="3">
        <f t="shared" si="19"/>
        <v>0.14850000000000002</v>
      </c>
      <c r="Q52" s="3">
        <f t="shared" si="20"/>
        <v>3.4500000000000003E-2</v>
      </c>
      <c r="R52" s="3">
        <f t="shared" si="21"/>
        <v>0.45200000000000001</v>
      </c>
      <c r="S52" s="3">
        <f t="shared" si="21"/>
        <v>0.22700000000000001</v>
      </c>
      <c r="T52" s="3">
        <f t="shared" si="22"/>
        <v>-0.22500000000000001</v>
      </c>
      <c r="U52" s="3">
        <f t="shared" si="23"/>
        <v>-0.11400000000000002</v>
      </c>
      <c r="V52" s="3">
        <f t="shared" si="23"/>
        <v>-0.14850000000000002</v>
      </c>
      <c r="W52" s="3">
        <f t="shared" si="24"/>
        <v>-3.4500000000000003E-2</v>
      </c>
      <c r="X52" s="3">
        <f t="shared" si="0"/>
        <v>1.4376106194690269E-2</v>
      </c>
      <c r="Y52" s="3">
        <f t="shared" si="1"/>
        <v>4.857323788546257E-2</v>
      </c>
      <c r="Z52" s="3">
        <f t="shared" si="25"/>
        <v>3.4197131690772299E-2</v>
      </c>
      <c r="AA52" s="3">
        <v>3.242</v>
      </c>
      <c r="AB52" s="3">
        <v>3.22</v>
      </c>
      <c r="AC52" s="3">
        <f t="shared" si="26"/>
        <v>-2.1999999999999797E-2</v>
      </c>
      <c r="AD52" s="3">
        <f>-285.671659*627.50956</f>
        <v>-179261.69704356001</v>
      </c>
      <c r="AE52" s="3">
        <f>-287.557559*627.50956</f>
        <v>-180445.11732276404</v>
      </c>
      <c r="AF52" s="3">
        <f t="shared" si="27"/>
        <v>-1183.4202792040305</v>
      </c>
      <c r="AG52" s="3">
        <f>-285.708304*627.50956</f>
        <v>-179284.69213138623</v>
      </c>
      <c r="AH52" s="3">
        <f>-287.59476*627.50956</f>
        <v>-180468.4613059056</v>
      </c>
      <c r="AI52" s="3">
        <f t="shared" si="28"/>
        <v>-1183.7691745193733</v>
      </c>
      <c r="AJ52" s="3">
        <v>-0.53300000000000003</v>
      </c>
      <c r="AK52" s="3">
        <v>-0.48399999999999999</v>
      </c>
      <c r="AL52" s="3">
        <f t="shared" si="29"/>
        <v>4.9000000000000044E-2</v>
      </c>
      <c r="AM52" s="3">
        <v>93.126480000000001</v>
      </c>
      <c r="AN52" s="3">
        <v>155.59190000000001</v>
      </c>
      <c r="AO52" s="3">
        <v>157.0274</v>
      </c>
      <c r="AP52" s="3">
        <f t="shared" si="30"/>
        <v>1.105586281875452</v>
      </c>
      <c r="AQ52" s="3">
        <v>8.2409999999999997</v>
      </c>
      <c r="AR52" s="3">
        <v>1.7434270000000001</v>
      </c>
      <c r="AS52" s="3">
        <v>-132.80099999999999</v>
      </c>
      <c r="AT52" s="3">
        <v>-131.97</v>
      </c>
      <c r="AU52" s="3">
        <f t="shared" si="2"/>
        <v>-0.83099999999998886</v>
      </c>
      <c r="AV52" s="3">
        <v>-0.34100000000000003</v>
      </c>
      <c r="AW52" s="3">
        <v>-0.47499999999999998</v>
      </c>
      <c r="AX52" s="3">
        <f t="shared" si="3"/>
        <v>0.13399999999999995</v>
      </c>
      <c r="AY52" s="3">
        <v>2.9000000000000001E-2</v>
      </c>
      <c r="AZ52" s="3">
        <v>0.156</v>
      </c>
      <c r="BA52" s="3">
        <f t="shared" si="4"/>
        <v>-0.127</v>
      </c>
      <c r="BB52" s="3">
        <f t="shared" si="38"/>
        <v>0.156</v>
      </c>
      <c r="BC52" s="3">
        <f t="shared" si="38"/>
        <v>0.15949999999999998</v>
      </c>
      <c r="BD52" s="3">
        <f t="shared" si="6"/>
        <v>-3.4999999999999754E-3</v>
      </c>
      <c r="BE52" s="3">
        <f t="shared" si="39"/>
        <v>0.37000000000000005</v>
      </c>
      <c r="BF52" s="3">
        <f t="shared" si="39"/>
        <v>0.63100000000000001</v>
      </c>
      <c r="BG52" s="3">
        <f t="shared" si="8"/>
        <v>-0.26099999999999995</v>
      </c>
      <c r="BH52" s="3">
        <f t="shared" si="40"/>
        <v>-0.156</v>
      </c>
      <c r="BI52" s="3">
        <f t="shared" si="40"/>
        <v>-0.15949999999999998</v>
      </c>
      <c r="BJ52" s="3">
        <f t="shared" si="31"/>
        <v>3.4999999999999754E-3</v>
      </c>
      <c r="BK52" s="3">
        <f t="shared" si="10"/>
        <v>3.2886486486486483E-2</v>
      </c>
      <c r="BL52" s="3">
        <f t="shared" si="11"/>
        <v>2.0158676703645E-2</v>
      </c>
      <c r="BM52" s="3">
        <f t="shared" si="12"/>
        <v>1.2727809782841482E-2</v>
      </c>
      <c r="BN52" s="3">
        <v>4.7279999999999998</v>
      </c>
      <c r="BO52" s="3">
        <v>4.9340000000000002</v>
      </c>
      <c r="BP52" s="3">
        <f t="shared" si="13"/>
        <v>-0.20600000000000041</v>
      </c>
      <c r="BQ52" s="3">
        <v>-83302.89</v>
      </c>
      <c r="BR52" s="3">
        <v>-82779.224000000002</v>
      </c>
      <c r="BS52" s="3">
        <f t="shared" si="14"/>
        <v>-523.66599999999744</v>
      </c>
      <c r="BT52" s="3">
        <v>-83320.774999999994</v>
      </c>
      <c r="BU52" s="3">
        <v>-82796.997000000003</v>
      </c>
      <c r="BV52" s="3">
        <f t="shared" si="15"/>
        <v>-523.77799999999115</v>
      </c>
    </row>
    <row r="53" spans="1:74" x14ac:dyDescent="0.25">
      <c r="A53" t="s">
        <v>269</v>
      </c>
      <c r="B53" t="s">
        <v>514</v>
      </c>
      <c r="C53" t="s">
        <v>99</v>
      </c>
      <c r="D53" s="3">
        <v>11.51</v>
      </c>
      <c r="E53" s="3">
        <v>0.84</v>
      </c>
      <c r="F53" s="3">
        <v>-263.93299999999999</v>
      </c>
      <c r="G53" s="3">
        <v>-265.61900000000003</v>
      </c>
      <c r="H53" s="3">
        <f t="shared" si="16"/>
        <v>-1.6860000000000355</v>
      </c>
      <c r="I53" s="3">
        <v>-0.318</v>
      </c>
      <c r="J53" s="6">
        <v>-0.22900000000000001</v>
      </c>
      <c r="K53" s="3">
        <f t="shared" si="17"/>
        <v>8.8999999999999996E-2</v>
      </c>
      <c r="L53" s="3">
        <v>0.159</v>
      </c>
      <c r="M53" s="6">
        <v>2.1999999999999999E-2</v>
      </c>
      <c r="N53" s="3">
        <f t="shared" si="18"/>
        <v>-0.13700000000000001</v>
      </c>
      <c r="O53" s="3">
        <f t="shared" si="19"/>
        <v>7.9500000000000001E-2</v>
      </c>
      <c r="P53" s="3">
        <f t="shared" si="19"/>
        <v>0.10350000000000001</v>
      </c>
      <c r="Q53" s="3">
        <f t="shared" si="20"/>
        <v>2.4000000000000007E-2</v>
      </c>
      <c r="R53" s="3">
        <f t="shared" si="21"/>
        <v>0.47699999999999998</v>
      </c>
      <c r="S53" s="3">
        <f t="shared" si="21"/>
        <v>0.251</v>
      </c>
      <c r="T53" s="3">
        <f t="shared" si="22"/>
        <v>-0.22599999999999998</v>
      </c>
      <c r="U53" s="3">
        <f t="shared" si="23"/>
        <v>-7.9500000000000001E-2</v>
      </c>
      <c r="V53" s="3">
        <f t="shared" si="23"/>
        <v>-0.10350000000000001</v>
      </c>
      <c r="W53" s="3">
        <f t="shared" si="24"/>
        <v>-2.4000000000000007E-2</v>
      </c>
      <c r="X53" s="3">
        <f t="shared" si="0"/>
        <v>6.6250000000000007E-3</v>
      </c>
      <c r="Y53" s="3">
        <f t="shared" si="1"/>
        <v>2.1339143426294824E-2</v>
      </c>
      <c r="Z53" s="3">
        <f t="shared" si="25"/>
        <v>1.4714143426294823E-2</v>
      </c>
      <c r="AA53" s="3">
        <v>4.88</v>
      </c>
      <c r="AB53" s="3">
        <v>4.766</v>
      </c>
      <c r="AC53" s="3">
        <f t="shared" si="26"/>
        <v>-0.11399999999999988</v>
      </c>
      <c r="AD53" s="3">
        <f>-263.821842*627.50956</f>
        <v>-165550.72799180952</v>
      </c>
      <c r="AE53" s="3">
        <f>-265.514664*627.50956</f>
        <v>-166612.98998018782</v>
      </c>
      <c r="AF53" s="3">
        <f t="shared" si="27"/>
        <v>-1062.2619883783045</v>
      </c>
      <c r="AG53" s="3">
        <f>-263.856891*627.50956</f>
        <v>-165572.72157437797</v>
      </c>
      <c r="AH53" s="3">
        <f>-265.55014*627.50956</f>
        <v>-166635.25150933838</v>
      </c>
      <c r="AI53" s="3">
        <f t="shared" si="28"/>
        <v>-1062.5299349604174</v>
      </c>
      <c r="AJ53" s="3">
        <v>-0.441</v>
      </c>
      <c r="AK53" s="3">
        <v>-0.54100000000000004</v>
      </c>
      <c r="AL53" s="3">
        <f t="shared" si="29"/>
        <v>-0.10000000000000003</v>
      </c>
      <c r="AM53" s="3">
        <v>82.103800000000007</v>
      </c>
      <c r="AN53" s="3">
        <v>140.22407000000001</v>
      </c>
      <c r="AO53" s="3">
        <v>134.40090000000001</v>
      </c>
      <c r="AP53" s="3">
        <f t="shared" si="30"/>
        <v>1.105292103820813</v>
      </c>
      <c r="AQ53" s="3">
        <v>7.7590000000000003</v>
      </c>
      <c r="AR53" s="3">
        <v>1.5445088</v>
      </c>
      <c r="AS53" s="3">
        <v>-132.80099999999999</v>
      </c>
      <c r="AT53" s="3">
        <v>-131.97</v>
      </c>
      <c r="AU53" s="3">
        <f t="shared" si="2"/>
        <v>-0.83099999999998886</v>
      </c>
      <c r="AV53" s="3">
        <v>-0.34100000000000003</v>
      </c>
      <c r="AW53" s="3">
        <v>-0.47499999999999998</v>
      </c>
      <c r="AX53" s="3">
        <f t="shared" si="3"/>
        <v>0.13399999999999995</v>
      </c>
      <c r="AY53" s="3">
        <v>2.9000000000000001E-2</v>
      </c>
      <c r="AZ53" s="3">
        <v>0.156</v>
      </c>
      <c r="BA53" s="3">
        <f t="shared" si="4"/>
        <v>-0.127</v>
      </c>
      <c r="BB53" s="3">
        <f t="shared" si="38"/>
        <v>0.156</v>
      </c>
      <c r="BC53" s="3">
        <f t="shared" si="38"/>
        <v>0.15949999999999998</v>
      </c>
      <c r="BD53" s="3">
        <f t="shared" si="6"/>
        <v>-3.4999999999999754E-3</v>
      </c>
      <c r="BE53" s="3">
        <f t="shared" si="39"/>
        <v>0.37000000000000005</v>
      </c>
      <c r="BF53" s="3">
        <f t="shared" si="39"/>
        <v>0.63100000000000001</v>
      </c>
      <c r="BG53" s="3">
        <f t="shared" si="8"/>
        <v>-0.26099999999999995</v>
      </c>
      <c r="BH53" s="3">
        <f t="shared" si="40"/>
        <v>-0.156</v>
      </c>
      <c r="BI53" s="3">
        <f t="shared" si="40"/>
        <v>-0.15949999999999998</v>
      </c>
      <c r="BJ53" s="3">
        <f t="shared" si="31"/>
        <v>3.4999999999999754E-3</v>
      </c>
      <c r="BK53" s="3">
        <f t="shared" si="10"/>
        <v>3.2886486486486483E-2</v>
      </c>
      <c r="BL53" s="3">
        <f t="shared" si="11"/>
        <v>2.0158676703645E-2</v>
      </c>
      <c r="BM53" s="3">
        <f t="shared" si="12"/>
        <v>1.2727809782841482E-2</v>
      </c>
      <c r="BN53" s="3">
        <v>4.7279999999999998</v>
      </c>
      <c r="BO53" s="3">
        <v>4.9340000000000002</v>
      </c>
      <c r="BP53" s="3">
        <f t="shared" si="13"/>
        <v>-0.20600000000000041</v>
      </c>
      <c r="BQ53" s="3">
        <v>-83302.89</v>
      </c>
      <c r="BR53" s="3">
        <v>-82779.224000000002</v>
      </c>
      <c r="BS53" s="3">
        <f t="shared" si="14"/>
        <v>-523.66599999999744</v>
      </c>
      <c r="BT53" s="3">
        <v>-83320.774999999994</v>
      </c>
      <c r="BU53" s="3">
        <v>-82796.997000000003</v>
      </c>
      <c r="BV53" s="3">
        <f t="shared" si="15"/>
        <v>-523.77799999999115</v>
      </c>
    </row>
    <row r="54" spans="1:74" x14ac:dyDescent="0.25">
      <c r="A54" t="s">
        <v>270</v>
      </c>
      <c r="B54" t="s">
        <v>514</v>
      </c>
      <c r="C54" t="s">
        <v>199</v>
      </c>
      <c r="D54" s="3">
        <v>11.52</v>
      </c>
      <c r="E54" s="3">
        <v>0.67</v>
      </c>
      <c r="F54" s="3">
        <v>-393.03500000000003</v>
      </c>
      <c r="G54" s="3">
        <v>-395.49599999999998</v>
      </c>
      <c r="H54" s="3">
        <f t="shared" si="16"/>
        <v>-2.4609999999999559</v>
      </c>
      <c r="I54" s="3">
        <v>-0.28499999999999998</v>
      </c>
      <c r="J54" s="6">
        <v>-0.20399999999999999</v>
      </c>
      <c r="K54" s="3">
        <f t="shared" si="17"/>
        <v>8.0999999999999989E-2</v>
      </c>
      <c r="L54" s="3">
        <v>0.126</v>
      </c>
      <c r="M54" s="6">
        <v>-1.6E-2</v>
      </c>
      <c r="N54" s="3">
        <f t="shared" si="18"/>
        <v>-0.14200000000000002</v>
      </c>
      <c r="O54" s="3">
        <f t="shared" si="19"/>
        <v>7.9499999999999987E-2</v>
      </c>
      <c r="P54" s="3">
        <f t="shared" si="19"/>
        <v>0.10999999999999999</v>
      </c>
      <c r="Q54" s="3">
        <f t="shared" si="20"/>
        <v>3.0499999999999999E-2</v>
      </c>
      <c r="R54" s="3">
        <f t="shared" si="21"/>
        <v>0.41099999999999998</v>
      </c>
      <c r="S54" s="3">
        <f t="shared" si="21"/>
        <v>0.188</v>
      </c>
      <c r="T54" s="3">
        <f t="shared" si="22"/>
        <v>-0.22299999999999998</v>
      </c>
      <c r="U54" s="3">
        <f t="shared" si="23"/>
        <v>-7.9499999999999987E-2</v>
      </c>
      <c r="V54" s="3">
        <f t="shared" si="23"/>
        <v>-0.10999999999999999</v>
      </c>
      <c r="W54" s="3">
        <f t="shared" si="24"/>
        <v>-3.0499999999999999E-2</v>
      </c>
      <c r="X54" s="3">
        <f t="shared" si="0"/>
        <v>7.6888686131386837E-3</v>
      </c>
      <c r="Y54" s="3">
        <f t="shared" si="1"/>
        <v>3.2180851063829778E-2</v>
      </c>
      <c r="Z54" s="3">
        <f t="shared" si="25"/>
        <v>2.4491982450691095E-2</v>
      </c>
      <c r="AA54" s="3">
        <v>8.9220000000000006</v>
      </c>
      <c r="AB54" s="3">
        <v>8.5210000000000008</v>
      </c>
      <c r="AC54" s="3">
        <f t="shared" si="26"/>
        <v>-0.4009999999999998</v>
      </c>
      <c r="AD54" s="3">
        <f>-392.928881*627.50956</f>
        <v>-246566.62922760233</v>
      </c>
      <c r="AE54" s="3">
        <f>-395.396767*627.50956</f>
        <v>-248115.2512855925</v>
      </c>
      <c r="AF54" s="3">
        <f t="shared" si="27"/>
        <v>-1548.622057990171</v>
      </c>
      <c r="AG54" s="3">
        <f>-392.964724*627.50956</f>
        <v>-246589.12105276142</v>
      </c>
      <c r="AH54" s="3">
        <f>-395.433277*627.50956</f>
        <v>-248138.16165962809</v>
      </c>
      <c r="AI54" s="3">
        <f t="shared" si="28"/>
        <v>-1549.040606866678</v>
      </c>
      <c r="AJ54" s="3">
        <v>-0.45200000000000001</v>
      </c>
      <c r="AK54" s="3">
        <v>-0.41099999999999998</v>
      </c>
      <c r="AL54" s="3">
        <f t="shared" si="29"/>
        <v>4.1000000000000036E-2</v>
      </c>
      <c r="AM54" s="3">
        <v>118.116</v>
      </c>
      <c r="AN54" s="3">
        <v>155.37249</v>
      </c>
      <c r="AO54" s="3">
        <v>157.72569999999999</v>
      </c>
      <c r="AP54" s="3">
        <f t="shared" si="30"/>
        <v>1.1007662375274028</v>
      </c>
      <c r="AQ54" s="3">
        <v>8.2720000000000002</v>
      </c>
      <c r="AR54" s="3">
        <v>1.88564</v>
      </c>
      <c r="AS54" s="3">
        <v>-76.454999999999998</v>
      </c>
      <c r="AT54" s="3">
        <v>-76.055000000000007</v>
      </c>
      <c r="AU54" s="3">
        <f t="shared" si="2"/>
        <v>-0.39999999999999147</v>
      </c>
      <c r="AV54" s="3">
        <v>-0.30399999999999999</v>
      </c>
      <c r="AW54" s="3">
        <v>-0.505</v>
      </c>
      <c r="AX54" s="3">
        <f t="shared" si="3"/>
        <v>0.20100000000000001</v>
      </c>
      <c r="AY54" s="3">
        <v>0.04</v>
      </c>
      <c r="AZ54" s="3">
        <v>0.16400000000000001</v>
      </c>
      <c r="BA54" s="3">
        <f t="shared" si="4"/>
        <v>-0.124</v>
      </c>
      <c r="BB54" s="3">
        <f t="shared" si="38"/>
        <v>0.13200000000000001</v>
      </c>
      <c r="BC54" s="3">
        <f t="shared" si="38"/>
        <v>0.17049999999999998</v>
      </c>
      <c r="BD54" s="3">
        <f t="shared" si="6"/>
        <v>-3.8499999999999979E-2</v>
      </c>
      <c r="BE54" s="3">
        <f t="shared" si="39"/>
        <v>0.34399999999999997</v>
      </c>
      <c r="BF54" s="3">
        <f t="shared" si="39"/>
        <v>0.66900000000000004</v>
      </c>
      <c r="BG54" s="3">
        <f t="shared" si="8"/>
        <v>-0.32500000000000007</v>
      </c>
      <c r="BH54" s="3">
        <f t="shared" si="40"/>
        <v>-0.13200000000000001</v>
      </c>
      <c r="BI54" s="3">
        <f t="shared" si="40"/>
        <v>-0.17049999999999998</v>
      </c>
      <c r="BJ54" s="3">
        <f t="shared" si="31"/>
        <v>3.8499999999999979E-2</v>
      </c>
      <c r="BK54" s="3">
        <f t="shared" si="10"/>
        <v>2.5325581395348844E-2</v>
      </c>
      <c r="BL54" s="3">
        <f t="shared" si="11"/>
        <v>2.1726644245141997E-2</v>
      </c>
      <c r="BM54" s="3">
        <f t="shared" si="12"/>
        <v>3.5989371502068469E-3</v>
      </c>
      <c r="BN54" s="3">
        <v>2.3010000000000002</v>
      </c>
      <c r="BO54" s="3">
        <v>2.3559999999999999</v>
      </c>
      <c r="BP54" s="3">
        <f t="shared" si="13"/>
        <v>-5.4999999999999716E-2</v>
      </c>
      <c r="BQ54" s="3">
        <v>-47960.305999999997</v>
      </c>
      <c r="BR54" s="3">
        <v>-47708.290999999997</v>
      </c>
      <c r="BS54" s="3">
        <f t="shared" si="14"/>
        <v>-252.01499999999942</v>
      </c>
      <c r="BT54" s="3">
        <v>-47973.754999999997</v>
      </c>
      <c r="BU54" s="3">
        <v>-47721.697</v>
      </c>
      <c r="BV54" s="3">
        <f t="shared" si="15"/>
        <v>-252.05799999999726</v>
      </c>
    </row>
    <row r="55" spans="1:74" x14ac:dyDescent="0.25">
      <c r="A55" t="s">
        <v>229</v>
      </c>
      <c r="B55" t="s">
        <v>514</v>
      </c>
      <c r="C55" t="s">
        <v>200</v>
      </c>
      <c r="D55" s="3">
        <v>11.58</v>
      </c>
      <c r="E55" s="3">
        <v>0.79</v>
      </c>
      <c r="F55" s="3">
        <v>-224.88200000000001</v>
      </c>
      <c r="G55" s="3">
        <v>-226.28700000000001</v>
      </c>
      <c r="H55" s="3">
        <f t="shared" si="16"/>
        <v>-1.4050000000000011</v>
      </c>
      <c r="I55" s="3">
        <v>-0.32700000000000001</v>
      </c>
      <c r="J55" s="6">
        <v>-0.23899999999999999</v>
      </c>
      <c r="K55" s="3">
        <f t="shared" si="17"/>
        <v>8.8000000000000023E-2</v>
      </c>
      <c r="L55" s="3">
        <v>0.16500000000000001</v>
      </c>
      <c r="M55" s="6">
        <v>0.02</v>
      </c>
      <c r="N55" s="3">
        <f t="shared" si="18"/>
        <v>-0.14500000000000002</v>
      </c>
      <c r="O55" s="3">
        <f t="shared" si="19"/>
        <v>8.1000000000000003E-2</v>
      </c>
      <c r="P55" s="3">
        <f t="shared" si="19"/>
        <v>0.1095</v>
      </c>
      <c r="Q55" s="3">
        <f t="shared" si="20"/>
        <v>2.8499999999999998E-2</v>
      </c>
      <c r="R55" s="3">
        <f t="shared" si="21"/>
        <v>0.49199999999999999</v>
      </c>
      <c r="S55" s="3">
        <f t="shared" si="21"/>
        <v>0.25900000000000001</v>
      </c>
      <c r="T55" s="3">
        <f t="shared" si="22"/>
        <v>-0.23299999999999998</v>
      </c>
      <c r="U55" s="3">
        <f t="shared" si="23"/>
        <v>-8.1000000000000003E-2</v>
      </c>
      <c r="V55" s="3">
        <f t="shared" si="23"/>
        <v>-0.1095</v>
      </c>
      <c r="W55" s="3">
        <f t="shared" si="24"/>
        <v>-2.8499999999999998E-2</v>
      </c>
      <c r="X55" s="3">
        <f t="shared" si="0"/>
        <v>6.6676829268292681E-3</v>
      </c>
      <c r="Y55" s="3">
        <f t="shared" si="1"/>
        <v>2.3147200772200768E-2</v>
      </c>
      <c r="Z55" s="3">
        <f t="shared" si="25"/>
        <v>1.6479517845371501E-2</v>
      </c>
      <c r="AA55" s="3">
        <v>4.9000000000000004</v>
      </c>
      <c r="AB55" s="3">
        <v>4.8</v>
      </c>
      <c r="AC55" s="3">
        <f t="shared" si="26"/>
        <v>-0.10000000000000053</v>
      </c>
      <c r="AD55" s="3">
        <f>-224.800497*627.50956</f>
        <v>-141064.46096025131</v>
      </c>
      <c r="AE55" s="3">
        <f>-226.211589*627.50956</f>
        <v>-141949.93468029084</v>
      </c>
      <c r="AF55" s="3">
        <f t="shared" si="27"/>
        <v>-885.47372003953205</v>
      </c>
      <c r="AG55" s="3">
        <f>-224.831101*627.50956</f>
        <v>-141083.66526282555</v>
      </c>
      <c r="AH55" s="3">
        <f>-226.242479*627.50956</f>
        <v>-141969.31845059924</v>
      </c>
      <c r="AI55" s="3">
        <f t="shared" si="28"/>
        <v>-885.6531877736852</v>
      </c>
      <c r="AJ55" s="3">
        <v>-0.58799999999999997</v>
      </c>
      <c r="AK55" s="3">
        <v>-0.53</v>
      </c>
      <c r="AL55" s="3">
        <f t="shared" si="29"/>
        <v>5.799999999999994E-2</v>
      </c>
      <c r="AM55" s="3">
        <v>68.077259999999995</v>
      </c>
      <c r="AN55" s="3">
        <v>115.4068</v>
      </c>
      <c r="AO55" s="3">
        <v>105.5641</v>
      </c>
      <c r="AP55" s="3">
        <f t="shared" si="30"/>
        <v>1.06858690999425</v>
      </c>
      <c r="AQ55" s="3">
        <v>6.6130000000000004</v>
      </c>
      <c r="AR55" s="3">
        <v>1.2456529999999999</v>
      </c>
      <c r="AS55" s="3">
        <v>-553.27200000000005</v>
      </c>
      <c r="AT55" s="3">
        <v>-551.61699999999996</v>
      </c>
      <c r="AU55" s="3">
        <f t="shared" si="2"/>
        <v>-1.6550000000000864</v>
      </c>
      <c r="AV55" s="3">
        <v>-0.23699999999999999</v>
      </c>
      <c r="AW55" s="3">
        <v>-0.36899999999999999</v>
      </c>
      <c r="AX55" s="3">
        <f t="shared" si="3"/>
        <v>0.13200000000000001</v>
      </c>
      <c r="AY55" s="3">
        <v>2.8000000000000001E-2</v>
      </c>
      <c r="AZ55" s="3">
        <v>0.154</v>
      </c>
      <c r="BA55" s="3">
        <f t="shared" si="4"/>
        <v>-0.126</v>
      </c>
      <c r="BB55" s="3">
        <f t="shared" si="38"/>
        <v>0.1045</v>
      </c>
      <c r="BC55" s="3">
        <f t="shared" si="38"/>
        <v>0.1075</v>
      </c>
      <c r="BD55" s="3">
        <f t="shared" si="6"/>
        <v>-3.0000000000000027E-3</v>
      </c>
      <c r="BE55" s="3">
        <f t="shared" si="39"/>
        <v>0.26500000000000001</v>
      </c>
      <c r="BF55" s="3">
        <f t="shared" si="39"/>
        <v>0.52300000000000002</v>
      </c>
      <c r="BG55" s="3">
        <f t="shared" si="8"/>
        <v>-0.25800000000000001</v>
      </c>
      <c r="BH55" s="3">
        <f t="shared" si="40"/>
        <v>-0.1045</v>
      </c>
      <c r="BI55" s="3">
        <f t="shared" si="40"/>
        <v>-0.1075</v>
      </c>
      <c r="BJ55" s="3">
        <f t="shared" si="31"/>
        <v>3.0000000000000027E-3</v>
      </c>
      <c r="BK55" s="3">
        <f t="shared" si="10"/>
        <v>2.0604245283018865E-2</v>
      </c>
      <c r="BL55" s="3">
        <f t="shared" si="11"/>
        <v>1.104804015296367E-2</v>
      </c>
      <c r="BM55" s="3">
        <f t="shared" si="12"/>
        <v>9.5562051300551957E-3</v>
      </c>
      <c r="BN55" s="3">
        <v>5.4870000000000001</v>
      </c>
      <c r="BO55" s="3">
        <v>6.0839999999999996</v>
      </c>
      <c r="BP55" s="3">
        <f t="shared" si="13"/>
        <v>-0.59699999999999953</v>
      </c>
      <c r="BQ55" s="3">
        <v>-347129.96399999998</v>
      </c>
      <c r="BR55" s="3">
        <v>-346087.64600000001</v>
      </c>
      <c r="BS55" s="3">
        <f t="shared" si="14"/>
        <v>-1042.3179999999702</v>
      </c>
      <c r="BT55" s="3">
        <v>-347152.04599999997</v>
      </c>
      <c r="BU55" s="3">
        <v>-346109.22600000002</v>
      </c>
      <c r="BV55" s="3">
        <f t="shared" si="15"/>
        <v>-1042.8199999999488</v>
      </c>
    </row>
    <row r="56" spans="1:74" x14ac:dyDescent="0.25">
      <c r="A56" t="s">
        <v>271</v>
      </c>
      <c r="B56" t="s">
        <v>514</v>
      </c>
      <c r="C56" t="s">
        <v>99</v>
      </c>
      <c r="D56" s="3">
        <v>11.6</v>
      </c>
      <c r="E56" s="3">
        <v>0.62</v>
      </c>
      <c r="F56" s="3">
        <v>-438.48599999999999</v>
      </c>
      <c r="G56" s="3">
        <v>-441.36</v>
      </c>
      <c r="H56" s="3">
        <f t="shared" si="16"/>
        <v>-2.8740000000000236</v>
      </c>
      <c r="I56" s="3">
        <v>-0.316</v>
      </c>
      <c r="J56" s="6">
        <v>-0.24099999999999999</v>
      </c>
      <c r="K56" s="3">
        <f t="shared" si="17"/>
        <v>7.5000000000000011E-2</v>
      </c>
      <c r="L56" s="3">
        <v>7.6999999999999999E-2</v>
      </c>
      <c r="M56" s="6">
        <v>-6.3E-2</v>
      </c>
      <c r="N56" s="3">
        <f t="shared" si="18"/>
        <v>-0.14000000000000001</v>
      </c>
      <c r="O56" s="3">
        <f t="shared" si="19"/>
        <v>0.1195</v>
      </c>
      <c r="P56" s="3">
        <f t="shared" si="19"/>
        <v>0.152</v>
      </c>
      <c r="Q56" s="3">
        <f t="shared" si="20"/>
        <v>3.2500000000000001E-2</v>
      </c>
      <c r="R56" s="3">
        <f t="shared" si="21"/>
        <v>0.39300000000000002</v>
      </c>
      <c r="S56" s="3">
        <f t="shared" si="21"/>
        <v>0.17799999999999999</v>
      </c>
      <c r="T56" s="3">
        <f t="shared" si="22"/>
        <v>-0.21500000000000002</v>
      </c>
      <c r="U56" s="3">
        <f t="shared" si="23"/>
        <v>-0.1195</v>
      </c>
      <c r="V56" s="3">
        <f t="shared" si="23"/>
        <v>-0.152</v>
      </c>
      <c r="W56" s="3">
        <f t="shared" si="24"/>
        <v>-3.2500000000000001E-2</v>
      </c>
      <c r="X56" s="3">
        <f t="shared" si="0"/>
        <v>1.816825699745547E-2</v>
      </c>
      <c r="Y56" s="3">
        <f t="shared" si="1"/>
        <v>6.4898876404494391E-2</v>
      </c>
      <c r="Z56" s="3">
        <f t="shared" si="25"/>
        <v>4.6730619407038917E-2</v>
      </c>
      <c r="AA56" s="3">
        <v>3.5640000000000001</v>
      </c>
      <c r="AB56" s="3">
        <v>3.5030000000000001</v>
      </c>
      <c r="AC56" s="3">
        <f t="shared" si="26"/>
        <v>-6.0999999999999943E-2</v>
      </c>
      <c r="AD56" s="3">
        <f>-438.303565*627.50956</f>
        <v>-275039.67721958138</v>
      </c>
      <c r="AE56" s="3">
        <f>-441.187829*627.50956</f>
        <v>-276849.58045314526</v>
      </c>
      <c r="AF56" s="3">
        <f t="shared" si="27"/>
        <v>-1809.9032335638767</v>
      </c>
      <c r="AG56" s="3">
        <f>-438.34476*627.50956</f>
        <v>-275065.5274759056</v>
      </c>
      <c r="AH56" s="3">
        <f>-441.230074*627.50956</f>
        <v>-276876.08959450742</v>
      </c>
      <c r="AI56" s="3">
        <f t="shared" si="28"/>
        <v>-1810.5621186018107</v>
      </c>
      <c r="AJ56" s="3">
        <v>-0.55100000000000005</v>
      </c>
      <c r="AK56" s="3">
        <v>-0.49</v>
      </c>
      <c r="AL56" s="3">
        <f t="shared" si="29"/>
        <v>6.1000000000000054E-2</v>
      </c>
      <c r="AM56" s="3">
        <v>143.18510000000001</v>
      </c>
      <c r="AN56" s="3">
        <v>202.87642</v>
      </c>
      <c r="AO56" s="3">
        <v>222.07159999999999</v>
      </c>
      <c r="AP56" s="3">
        <f t="shared" si="30"/>
        <v>1.1441742648888666</v>
      </c>
      <c r="AQ56" s="3">
        <v>9.6950000000000003</v>
      </c>
      <c r="AR56" s="3">
        <v>2.2160989999999998</v>
      </c>
      <c r="AS56" s="3">
        <v>-132.80099999999999</v>
      </c>
      <c r="AT56" s="3">
        <v>-131.97</v>
      </c>
      <c r="AU56" s="3">
        <f t="shared" si="2"/>
        <v>-0.83099999999998886</v>
      </c>
      <c r="AV56" s="3">
        <v>-0.34100000000000003</v>
      </c>
      <c r="AW56" s="3">
        <v>-0.47499999999999998</v>
      </c>
      <c r="AX56" s="3">
        <f t="shared" si="3"/>
        <v>0.13399999999999995</v>
      </c>
      <c r="AY56" s="3">
        <v>2.9000000000000001E-2</v>
      </c>
      <c r="AZ56" s="3">
        <v>0.156</v>
      </c>
      <c r="BA56" s="3">
        <f t="shared" si="4"/>
        <v>-0.127</v>
      </c>
      <c r="BB56" s="3">
        <f t="shared" si="38"/>
        <v>0.156</v>
      </c>
      <c r="BC56" s="3">
        <f t="shared" si="38"/>
        <v>0.15949999999999998</v>
      </c>
      <c r="BD56" s="3">
        <f t="shared" si="6"/>
        <v>-3.4999999999999754E-3</v>
      </c>
      <c r="BE56" s="3">
        <f t="shared" si="39"/>
        <v>0.37000000000000005</v>
      </c>
      <c r="BF56" s="3">
        <f t="shared" si="39"/>
        <v>0.63100000000000001</v>
      </c>
      <c r="BG56" s="3">
        <f t="shared" si="8"/>
        <v>-0.26099999999999995</v>
      </c>
      <c r="BH56" s="3">
        <f t="shared" si="40"/>
        <v>-0.156</v>
      </c>
      <c r="BI56" s="3">
        <f t="shared" si="40"/>
        <v>-0.15949999999999998</v>
      </c>
      <c r="BJ56" s="3">
        <f t="shared" si="31"/>
        <v>3.4999999999999754E-3</v>
      </c>
      <c r="BK56" s="3">
        <f t="shared" si="10"/>
        <v>3.2886486486486483E-2</v>
      </c>
      <c r="BL56" s="3">
        <f t="shared" si="11"/>
        <v>2.0158676703645E-2</v>
      </c>
      <c r="BM56" s="3">
        <f t="shared" si="12"/>
        <v>1.2727809782841482E-2</v>
      </c>
      <c r="BN56" s="3">
        <v>4.7279999999999998</v>
      </c>
      <c r="BO56" s="3">
        <v>4.9340000000000002</v>
      </c>
      <c r="BP56" s="3">
        <f t="shared" si="13"/>
        <v>-0.20600000000000041</v>
      </c>
      <c r="BQ56" s="3">
        <v>-83302.89</v>
      </c>
      <c r="BR56" s="3">
        <v>-82779.224000000002</v>
      </c>
      <c r="BS56" s="3">
        <f t="shared" si="14"/>
        <v>-523.66599999999744</v>
      </c>
      <c r="BT56" s="3">
        <v>-83320.774999999994</v>
      </c>
      <c r="BU56" s="3">
        <v>-82796.997000000003</v>
      </c>
      <c r="BV56" s="3">
        <f t="shared" si="15"/>
        <v>-523.77799999999115</v>
      </c>
    </row>
    <row r="57" spans="1:74" x14ac:dyDescent="0.25">
      <c r="A57" t="s">
        <v>240</v>
      </c>
      <c r="B57" t="s">
        <v>514</v>
      </c>
      <c r="C57" t="s">
        <v>99</v>
      </c>
      <c r="D57" s="3">
        <v>11.6</v>
      </c>
      <c r="E57" s="3">
        <v>0.81</v>
      </c>
      <c r="F57" s="3">
        <v>-495.83600000000001</v>
      </c>
      <c r="G57" s="3">
        <v>-499.11500000000001</v>
      </c>
      <c r="H57" s="3">
        <f t="shared" si="16"/>
        <v>-3.2789999999999964</v>
      </c>
      <c r="I57" s="3">
        <v>-0.34100000000000003</v>
      </c>
      <c r="J57" s="6">
        <v>-0.22600000000000001</v>
      </c>
      <c r="K57" s="3">
        <f t="shared" si="17"/>
        <v>0.11500000000000002</v>
      </c>
      <c r="L57" s="3">
        <v>0.111</v>
      </c>
      <c r="M57" s="6">
        <v>-3.5999999999999997E-2</v>
      </c>
      <c r="N57" s="3">
        <f t="shared" si="18"/>
        <v>-0.14699999999999999</v>
      </c>
      <c r="O57" s="3">
        <f t="shared" si="19"/>
        <v>0.11500000000000002</v>
      </c>
      <c r="P57" s="3">
        <f t="shared" si="19"/>
        <v>0.13100000000000001</v>
      </c>
      <c r="Q57" s="3">
        <f t="shared" si="20"/>
        <v>1.5999999999999986E-2</v>
      </c>
      <c r="R57" s="3">
        <f t="shared" si="21"/>
        <v>0.45200000000000001</v>
      </c>
      <c r="S57" s="3">
        <f t="shared" si="21"/>
        <v>0.19</v>
      </c>
      <c r="T57" s="3">
        <f t="shared" si="22"/>
        <v>-0.26200000000000001</v>
      </c>
      <c r="U57" s="3">
        <f t="shared" si="23"/>
        <v>-0.11500000000000002</v>
      </c>
      <c r="V57" s="3">
        <f t="shared" si="23"/>
        <v>-0.13100000000000001</v>
      </c>
      <c r="W57" s="3">
        <f t="shared" si="24"/>
        <v>-1.5999999999999986E-2</v>
      </c>
      <c r="X57" s="3">
        <f t="shared" si="0"/>
        <v>1.4629424778761066E-2</v>
      </c>
      <c r="Y57" s="3">
        <f t="shared" si="1"/>
        <v>4.5160526315789477E-2</v>
      </c>
      <c r="Z57" s="3">
        <f t="shared" si="25"/>
        <v>3.0531101537028413E-2</v>
      </c>
      <c r="AA57" s="3">
        <v>3.0710000000000002</v>
      </c>
      <c r="AB57" s="3">
        <v>3.1339999999999999</v>
      </c>
      <c r="AC57" s="3">
        <f t="shared" si="26"/>
        <v>6.2999999999999723E-2</v>
      </c>
      <c r="AD57" s="3">
        <f>-495.583718*627.50956</f>
        <v>-310983.52082534402</v>
      </c>
      <c r="AE57" s="3">
        <f>-498.877909*627.50956</f>
        <v>-313050.65717031003</v>
      </c>
      <c r="AF57" s="3">
        <f t="shared" si="27"/>
        <v>-2067.136344966013</v>
      </c>
      <c r="AG57" s="3">
        <f>-495.63158*627.50956</f>
        <v>-311013.55468790478</v>
      </c>
      <c r="AH57" s="3">
        <f>-498.92668*627.50956</f>
        <v>-313081.26143906079</v>
      </c>
      <c r="AI57" s="3">
        <f t="shared" si="28"/>
        <v>-2067.7067511560163</v>
      </c>
      <c r="AJ57" s="3">
        <v>-0.53600000000000003</v>
      </c>
      <c r="AK57" s="3">
        <v>-0.48399999999999999</v>
      </c>
      <c r="AL57" s="3">
        <f t="shared" si="29"/>
        <v>5.2000000000000046E-2</v>
      </c>
      <c r="AM57" s="3">
        <v>162.23150000000001</v>
      </c>
      <c r="AN57" s="3">
        <v>233.80369999999999</v>
      </c>
      <c r="AO57" s="3">
        <v>266.57279999999997</v>
      </c>
      <c r="AP57" s="3">
        <f t="shared" si="30"/>
        <v>1.1674280060317077</v>
      </c>
      <c r="AQ57" s="3">
        <v>10.707000000000001</v>
      </c>
      <c r="AR57" s="3">
        <v>2.514472</v>
      </c>
      <c r="AS57" s="3">
        <v>-132.80099999999999</v>
      </c>
      <c r="AT57" s="3">
        <v>-131.97</v>
      </c>
      <c r="AU57" s="3">
        <f t="shared" si="2"/>
        <v>-0.83099999999998886</v>
      </c>
      <c r="AV57" s="3">
        <v>-0.34100000000000003</v>
      </c>
      <c r="AW57" s="3">
        <v>-0.47499999999999998</v>
      </c>
      <c r="AX57" s="3">
        <f t="shared" si="3"/>
        <v>0.13399999999999995</v>
      </c>
      <c r="AY57" s="3">
        <v>2.9000000000000001E-2</v>
      </c>
      <c r="AZ57" s="3">
        <v>0.156</v>
      </c>
      <c r="BA57" s="3">
        <f t="shared" si="4"/>
        <v>-0.127</v>
      </c>
      <c r="BB57" s="3">
        <f t="shared" si="38"/>
        <v>0.156</v>
      </c>
      <c r="BC57" s="3">
        <f t="shared" si="38"/>
        <v>0.15949999999999998</v>
      </c>
      <c r="BD57" s="3">
        <f t="shared" si="6"/>
        <v>-3.4999999999999754E-3</v>
      </c>
      <c r="BE57" s="3">
        <f t="shared" si="39"/>
        <v>0.37000000000000005</v>
      </c>
      <c r="BF57" s="3">
        <f t="shared" si="39"/>
        <v>0.63100000000000001</v>
      </c>
      <c r="BG57" s="3">
        <f t="shared" si="8"/>
        <v>-0.26099999999999995</v>
      </c>
      <c r="BH57" s="3">
        <f t="shared" si="40"/>
        <v>-0.156</v>
      </c>
      <c r="BI57" s="3">
        <f t="shared" si="40"/>
        <v>-0.15949999999999998</v>
      </c>
      <c r="BJ57" s="3">
        <f t="shared" si="31"/>
        <v>3.4999999999999754E-3</v>
      </c>
      <c r="BK57" s="3">
        <f t="shared" si="10"/>
        <v>3.2886486486486483E-2</v>
      </c>
      <c r="BL57" s="3">
        <f t="shared" si="11"/>
        <v>2.0158676703645E-2</v>
      </c>
      <c r="BM57" s="3">
        <f t="shared" si="12"/>
        <v>1.2727809782841482E-2</v>
      </c>
      <c r="BN57" s="3">
        <v>4.7279999999999998</v>
      </c>
      <c r="BO57" s="3">
        <v>4.9340000000000002</v>
      </c>
      <c r="BP57" s="3">
        <f t="shared" si="13"/>
        <v>-0.20600000000000041</v>
      </c>
      <c r="BQ57" s="3">
        <v>-83302.89</v>
      </c>
      <c r="BR57" s="3">
        <v>-82779.224000000002</v>
      </c>
      <c r="BS57" s="3">
        <f t="shared" si="14"/>
        <v>-523.66599999999744</v>
      </c>
      <c r="BT57" s="3">
        <v>-83320.774999999994</v>
      </c>
      <c r="BU57" s="3">
        <v>-82796.997000000003</v>
      </c>
      <c r="BV57" s="3">
        <f t="shared" si="15"/>
        <v>-523.77799999999115</v>
      </c>
    </row>
    <row r="58" spans="1:74" x14ac:dyDescent="0.25">
      <c r="A58" t="s">
        <v>272</v>
      </c>
      <c r="B58" t="s">
        <v>514</v>
      </c>
      <c r="C58" t="s">
        <v>199</v>
      </c>
      <c r="D58" s="3">
        <v>11.63</v>
      </c>
      <c r="E58" s="3">
        <v>0.59</v>
      </c>
      <c r="F58" s="3">
        <v>-539.06399999999996</v>
      </c>
      <c r="G58" s="3">
        <v>-542.23699999999997</v>
      </c>
      <c r="H58" s="3">
        <f t="shared" si="16"/>
        <v>-3.1730000000000018</v>
      </c>
      <c r="I58" s="3">
        <v>-0.26800000000000002</v>
      </c>
      <c r="J58" s="6">
        <v>-0.184</v>
      </c>
      <c r="K58" s="3">
        <f t="shared" si="17"/>
        <v>8.4000000000000019E-2</v>
      </c>
      <c r="L58" s="3">
        <v>0.16200000000000001</v>
      </c>
      <c r="M58" s="6">
        <v>1.0999999999999999E-2</v>
      </c>
      <c r="N58" s="3">
        <f t="shared" si="18"/>
        <v>-0.151</v>
      </c>
      <c r="O58" s="3">
        <f t="shared" si="19"/>
        <v>5.3000000000000005E-2</v>
      </c>
      <c r="P58" s="3">
        <f t="shared" si="19"/>
        <v>8.6499999999999994E-2</v>
      </c>
      <c r="Q58" s="3">
        <f t="shared" si="20"/>
        <v>3.3499999999999988E-2</v>
      </c>
      <c r="R58" s="3">
        <f t="shared" si="21"/>
        <v>0.43000000000000005</v>
      </c>
      <c r="S58" s="3">
        <f t="shared" si="21"/>
        <v>0.19500000000000001</v>
      </c>
      <c r="T58" s="3">
        <f t="shared" si="22"/>
        <v>-0.23500000000000004</v>
      </c>
      <c r="U58" s="3">
        <f t="shared" si="23"/>
        <v>-5.3000000000000005E-2</v>
      </c>
      <c r="V58" s="3">
        <f t="shared" si="23"/>
        <v>-8.6499999999999994E-2</v>
      </c>
      <c r="W58" s="3">
        <f t="shared" si="24"/>
        <v>-3.3499999999999988E-2</v>
      </c>
      <c r="X58" s="3">
        <f t="shared" si="0"/>
        <v>3.2662790697674422E-3</v>
      </c>
      <c r="Y58" s="3">
        <f t="shared" si="1"/>
        <v>1.9185256410256406E-2</v>
      </c>
      <c r="Z58" s="3">
        <f t="shared" si="25"/>
        <v>1.5918977340488964E-2</v>
      </c>
      <c r="AA58" s="3">
        <v>10.919</v>
      </c>
      <c r="AB58" s="3">
        <v>10.551</v>
      </c>
      <c r="AC58" s="3">
        <f t="shared" si="26"/>
        <v>-0.36800000000000033</v>
      </c>
      <c r="AD58" s="3">
        <f>-538.942977*627.50956</f>
        <v>-338191.87036236015</v>
      </c>
      <c r="AE58" s="3">
        <f>-542.125018*627.50956</f>
        <v>-340188.63151017204</v>
      </c>
      <c r="AF58" s="3">
        <f t="shared" si="27"/>
        <v>-1996.7611478118924</v>
      </c>
      <c r="AG58" s="3">
        <f>-538.983622*627.50956</f>
        <v>-338217.3754884263</v>
      </c>
      <c r="AH58" s="3">
        <f>-542.166658*627.50956</f>
        <v>-340214.76100825047</v>
      </c>
      <c r="AI58" s="3">
        <f t="shared" si="28"/>
        <v>-1997.3855198241654</v>
      </c>
      <c r="AJ58" s="3">
        <v>-0.72</v>
      </c>
      <c r="AK58" s="3">
        <v>-0.63400000000000001</v>
      </c>
      <c r="AL58" s="3">
        <f t="shared" si="29"/>
        <v>8.5999999999999965E-2</v>
      </c>
      <c r="AM58" s="3">
        <v>150.11815999999999</v>
      </c>
      <c r="AN58" s="3">
        <v>174.1336</v>
      </c>
      <c r="AO58" s="3">
        <v>177.239</v>
      </c>
      <c r="AP58" s="3">
        <f t="shared" si="30"/>
        <v>1.1413854578293527</v>
      </c>
      <c r="AQ58" s="3">
        <v>9.8030000000000008</v>
      </c>
      <c r="AR58" s="3">
        <v>2.1705762000000002</v>
      </c>
      <c r="AS58" s="3">
        <v>-76.454999999999998</v>
      </c>
      <c r="AT58" s="3">
        <v>-76.055000000000007</v>
      </c>
      <c r="AU58" s="3">
        <f t="shared" si="2"/>
        <v>-0.39999999999999147</v>
      </c>
      <c r="AV58" s="3">
        <v>-0.30399999999999999</v>
      </c>
      <c r="AW58" s="3">
        <v>-0.505</v>
      </c>
      <c r="AX58" s="3">
        <f t="shared" si="3"/>
        <v>0.20100000000000001</v>
      </c>
      <c r="AY58" s="3">
        <v>0.04</v>
      </c>
      <c r="AZ58" s="3">
        <v>0.16400000000000001</v>
      </c>
      <c r="BA58" s="3">
        <f t="shared" si="4"/>
        <v>-0.124</v>
      </c>
      <c r="BB58" s="3">
        <f t="shared" si="38"/>
        <v>0.13200000000000001</v>
      </c>
      <c r="BC58" s="3">
        <f t="shared" si="38"/>
        <v>0.17049999999999998</v>
      </c>
      <c r="BD58" s="3">
        <f t="shared" si="6"/>
        <v>-3.8499999999999979E-2</v>
      </c>
      <c r="BE58" s="3">
        <f t="shared" si="39"/>
        <v>0.34399999999999997</v>
      </c>
      <c r="BF58" s="3">
        <f t="shared" si="39"/>
        <v>0.66900000000000004</v>
      </c>
      <c r="BG58" s="3">
        <f t="shared" si="8"/>
        <v>-0.32500000000000007</v>
      </c>
      <c r="BH58" s="3">
        <f t="shared" si="40"/>
        <v>-0.13200000000000001</v>
      </c>
      <c r="BI58" s="3">
        <f t="shared" si="40"/>
        <v>-0.17049999999999998</v>
      </c>
      <c r="BJ58" s="3">
        <f t="shared" si="31"/>
        <v>3.8499999999999979E-2</v>
      </c>
      <c r="BK58" s="3">
        <f t="shared" si="10"/>
        <v>2.5325581395348844E-2</v>
      </c>
      <c r="BL58" s="3">
        <f t="shared" si="11"/>
        <v>2.1726644245141997E-2</v>
      </c>
      <c r="BM58" s="3">
        <f t="shared" si="12"/>
        <v>3.5989371502068469E-3</v>
      </c>
      <c r="BN58" s="3">
        <v>2.3010000000000002</v>
      </c>
      <c r="BO58" s="3">
        <v>2.3559999999999999</v>
      </c>
      <c r="BP58" s="3">
        <f t="shared" si="13"/>
        <v>-5.4999999999999716E-2</v>
      </c>
      <c r="BQ58" s="3">
        <v>-47960.305999999997</v>
      </c>
      <c r="BR58" s="3">
        <v>-47708.290999999997</v>
      </c>
      <c r="BS58" s="3">
        <f t="shared" si="14"/>
        <v>-252.01499999999942</v>
      </c>
      <c r="BT58" s="3">
        <v>-47973.754999999997</v>
      </c>
      <c r="BU58" s="3">
        <v>-47721.697</v>
      </c>
      <c r="BV58" s="3">
        <f t="shared" si="15"/>
        <v>-252.05799999999726</v>
      </c>
    </row>
    <row r="59" spans="1:74" x14ac:dyDescent="0.25">
      <c r="A59" t="s">
        <v>242</v>
      </c>
      <c r="B59" t="s">
        <v>514</v>
      </c>
      <c r="C59" t="s">
        <v>103</v>
      </c>
      <c r="D59" s="3">
        <v>11.7</v>
      </c>
      <c r="E59" s="3">
        <v>0.67</v>
      </c>
      <c r="F59" s="3">
        <v>-705.67600000000004</v>
      </c>
      <c r="G59" s="3">
        <v>-707.97199999999998</v>
      </c>
      <c r="H59" s="3">
        <f t="shared" si="16"/>
        <v>-2.2959999999999354</v>
      </c>
      <c r="I59" s="3">
        <v>-0.36299999999999999</v>
      </c>
      <c r="J59" s="6">
        <v>-0.27800000000000002</v>
      </c>
      <c r="K59" s="3">
        <f t="shared" si="17"/>
        <v>8.4999999999999964E-2</v>
      </c>
      <c r="L59" s="3">
        <v>0.10100000000000001</v>
      </c>
      <c r="M59" s="6">
        <v>-4.5999999999999999E-2</v>
      </c>
      <c r="N59" s="3">
        <f t="shared" si="18"/>
        <v>-0.14700000000000002</v>
      </c>
      <c r="O59" s="3">
        <f t="shared" si="19"/>
        <v>0.13100000000000001</v>
      </c>
      <c r="P59" s="3">
        <f t="shared" si="19"/>
        <v>0.16200000000000001</v>
      </c>
      <c r="Q59" s="3">
        <f t="shared" si="20"/>
        <v>3.1E-2</v>
      </c>
      <c r="R59" s="3">
        <f t="shared" si="21"/>
        <v>0.46399999999999997</v>
      </c>
      <c r="S59" s="3">
        <f t="shared" si="21"/>
        <v>0.23200000000000004</v>
      </c>
      <c r="T59" s="3">
        <f t="shared" si="22"/>
        <v>-0.23199999999999993</v>
      </c>
      <c r="U59" s="3">
        <f t="shared" si="23"/>
        <v>-0.13100000000000001</v>
      </c>
      <c r="V59" s="3">
        <f t="shared" si="23"/>
        <v>-0.16200000000000001</v>
      </c>
      <c r="W59" s="3">
        <f t="shared" si="24"/>
        <v>-3.1E-2</v>
      </c>
      <c r="X59" s="3">
        <f t="shared" si="0"/>
        <v>1.849245689655173E-2</v>
      </c>
      <c r="Y59" s="3">
        <f t="shared" si="1"/>
        <v>5.6560344827586199E-2</v>
      </c>
      <c r="Z59" s="3">
        <f t="shared" si="25"/>
        <v>3.8067887931034466E-2</v>
      </c>
      <c r="AA59" s="3">
        <v>0.47499999999999998</v>
      </c>
      <c r="AB59" s="3">
        <v>0.624</v>
      </c>
      <c r="AC59" s="3">
        <f t="shared" si="26"/>
        <v>0.14900000000000002</v>
      </c>
      <c r="AD59" s="3">
        <f>-705.58523*627.50956</f>
        <v>-442761.47721979878</v>
      </c>
      <c r="AE59" s="3">
        <f>-707.887153*627.50956</f>
        <v>-444205.95590868266</v>
      </c>
      <c r="AF59" s="3">
        <f t="shared" si="27"/>
        <v>-1444.4786888838862</v>
      </c>
      <c r="AG59" s="3">
        <f>-705.620709*627.50956</f>
        <v>-442783.74063147802</v>
      </c>
      <c r="AH59" s="3">
        <f>-707.923208*627.50956</f>
        <v>-444228.58076586848</v>
      </c>
      <c r="AI59" s="3">
        <f t="shared" si="28"/>
        <v>-1444.8401343904552</v>
      </c>
      <c r="AJ59" s="3">
        <v>-0.53300000000000003</v>
      </c>
      <c r="AK59" s="3">
        <v>-0.47799999999999998</v>
      </c>
      <c r="AL59" s="3">
        <f t="shared" si="29"/>
        <v>5.5000000000000049E-2</v>
      </c>
      <c r="AM59" s="3">
        <v>113.5449</v>
      </c>
      <c r="AN59" s="3">
        <v>148.87029999999999</v>
      </c>
      <c r="AO59" s="3">
        <v>147.56838999999999</v>
      </c>
      <c r="AP59" s="3">
        <f t="shared" si="30"/>
        <v>1.1025588710779293</v>
      </c>
      <c r="AQ59" s="3">
        <v>7.2919999999999998</v>
      </c>
      <c r="AR59" s="3">
        <v>1.902366</v>
      </c>
      <c r="AS59" s="3">
        <v>-959.76900000000001</v>
      </c>
      <c r="AT59" s="3">
        <v>-958.05</v>
      </c>
      <c r="AU59" s="3">
        <f t="shared" si="2"/>
        <v>-1.7190000000000509</v>
      </c>
      <c r="AV59" s="3">
        <v>-0.317</v>
      </c>
      <c r="AW59" s="3">
        <v>-0.45</v>
      </c>
      <c r="AX59" s="3">
        <f t="shared" si="3"/>
        <v>0.13300000000000001</v>
      </c>
      <c r="AY59" s="3">
        <v>-2.4E-2</v>
      </c>
      <c r="AZ59" s="3">
        <v>0.13500000000000001</v>
      </c>
      <c r="BA59" s="3">
        <f t="shared" si="4"/>
        <v>-0.159</v>
      </c>
      <c r="BB59" s="3">
        <f t="shared" si="38"/>
        <v>0.17050000000000001</v>
      </c>
      <c r="BC59" s="3">
        <f t="shared" si="38"/>
        <v>0.1575</v>
      </c>
      <c r="BD59" s="3">
        <f t="shared" si="6"/>
        <v>1.3000000000000012E-2</v>
      </c>
      <c r="BE59" s="3">
        <f t="shared" si="39"/>
        <v>0.29299999999999998</v>
      </c>
      <c r="BF59" s="3">
        <f t="shared" si="39"/>
        <v>0.58499999999999996</v>
      </c>
      <c r="BG59" s="3">
        <f t="shared" si="8"/>
        <v>-0.29199999999999998</v>
      </c>
      <c r="BH59" s="3">
        <f t="shared" si="40"/>
        <v>-0.17050000000000001</v>
      </c>
      <c r="BI59" s="3">
        <f t="shared" si="40"/>
        <v>-0.1575</v>
      </c>
      <c r="BJ59" s="3">
        <f t="shared" si="31"/>
        <v>-1.3000000000000012E-2</v>
      </c>
      <c r="BK59" s="3">
        <f t="shared" si="10"/>
        <v>4.9607935153583631E-2</v>
      </c>
      <c r="BL59" s="3">
        <f t="shared" si="11"/>
        <v>2.120192307692308E-2</v>
      </c>
      <c r="BM59" s="3">
        <f t="shared" si="12"/>
        <v>2.8406012076660551E-2</v>
      </c>
      <c r="BN59" s="3">
        <v>2.2370000000000001</v>
      </c>
      <c r="BO59" s="3">
        <v>2.431</v>
      </c>
      <c r="BP59" s="3">
        <f t="shared" si="13"/>
        <v>-0.19399999999999995</v>
      </c>
      <c r="BQ59" s="3">
        <v>-602243.07700000005</v>
      </c>
      <c r="BR59" s="3">
        <v>-601163.24300000002</v>
      </c>
      <c r="BS59" s="3">
        <f t="shared" si="14"/>
        <v>-1079.8340000000317</v>
      </c>
      <c r="BT59" s="3">
        <v>-602262.36399999994</v>
      </c>
      <c r="BU59" s="3">
        <v>-601182.38500000001</v>
      </c>
      <c r="BV59" s="3">
        <f t="shared" si="15"/>
        <v>-1079.9789999999339</v>
      </c>
    </row>
    <row r="60" spans="1:74" x14ac:dyDescent="0.25">
      <c r="A60" t="s">
        <v>274</v>
      </c>
      <c r="B60" t="s">
        <v>514</v>
      </c>
      <c r="C60" t="s">
        <v>99</v>
      </c>
      <c r="D60" s="3">
        <v>11.72</v>
      </c>
      <c r="E60" s="3">
        <v>0.73</v>
      </c>
      <c r="F60" s="3">
        <v>-189.28899999999999</v>
      </c>
      <c r="G60" s="3">
        <v>-190.54300000000001</v>
      </c>
      <c r="H60" s="3">
        <f t="shared" si="16"/>
        <v>-1.2540000000000191</v>
      </c>
      <c r="I60" s="3">
        <v>-0.33700000000000002</v>
      </c>
      <c r="J60" s="6">
        <v>-0.20200000000000001</v>
      </c>
      <c r="K60" s="3">
        <f t="shared" si="17"/>
        <v>0.13500000000000001</v>
      </c>
      <c r="L60" s="3">
        <v>0.156</v>
      </c>
      <c r="M60" s="6">
        <v>3.9E-2</v>
      </c>
      <c r="N60" s="3">
        <f t="shared" si="18"/>
        <v>-0.11699999999999999</v>
      </c>
      <c r="O60" s="3">
        <f t="shared" si="19"/>
        <v>9.0500000000000011E-2</v>
      </c>
      <c r="P60" s="3">
        <f t="shared" si="19"/>
        <v>8.1500000000000003E-2</v>
      </c>
      <c r="Q60" s="3">
        <f t="shared" si="20"/>
        <v>-9.000000000000008E-3</v>
      </c>
      <c r="R60" s="3">
        <f t="shared" si="21"/>
        <v>0.49299999999999999</v>
      </c>
      <c r="S60" s="3">
        <f t="shared" si="21"/>
        <v>0.24100000000000002</v>
      </c>
      <c r="T60" s="3">
        <f t="shared" si="22"/>
        <v>-0.252</v>
      </c>
      <c r="U60" s="3">
        <f t="shared" si="23"/>
        <v>-9.0500000000000011E-2</v>
      </c>
      <c r="V60" s="3">
        <f t="shared" si="23"/>
        <v>-8.1500000000000003E-2</v>
      </c>
      <c r="W60" s="3">
        <f t="shared" si="24"/>
        <v>9.000000000000008E-3</v>
      </c>
      <c r="X60" s="3">
        <f t="shared" si="0"/>
        <v>8.306541582150103E-3</v>
      </c>
      <c r="Y60" s="3">
        <f t="shared" si="1"/>
        <v>1.3780601659751037E-2</v>
      </c>
      <c r="Z60" s="3">
        <f t="shared" si="25"/>
        <v>5.4740600776009337E-3</v>
      </c>
      <c r="AA60" s="3">
        <v>0.63300000000000001</v>
      </c>
      <c r="AB60" s="3">
        <v>0.76900000000000002</v>
      </c>
      <c r="AC60" s="3">
        <f t="shared" si="26"/>
        <v>0.13600000000000001</v>
      </c>
      <c r="AD60" s="3">
        <f>-189.166623*627.50956</f>
        <v>-118703.86436541587</v>
      </c>
      <c r="AE60" s="3">
        <f>-190.428169*627.50956</f>
        <v>-119495.49654079563</v>
      </c>
      <c r="AF60" s="3">
        <f t="shared" si="27"/>
        <v>-791.63217537976743</v>
      </c>
      <c r="AG60" s="3">
        <f>-189.200142*627.50956</f>
        <v>-118724.89785835751</v>
      </c>
      <c r="AH60" s="3">
        <f>-190.462022*627.50956</f>
        <v>-119516.7396219303</v>
      </c>
      <c r="AI60" s="3">
        <f t="shared" si="28"/>
        <v>-791.84176357279648</v>
      </c>
      <c r="AJ60" s="3">
        <v>-0.67</v>
      </c>
      <c r="AK60" s="3">
        <v>-0.68300000000000005</v>
      </c>
      <c r="AL60" s="3">
        <f t="shared" si="29"/>
        <v>-1.3000000000000012E-2</v>
      </c>
      <c r="AM60" s="3">
        <v>60.098320000000001</v>
      </c>
      <c r="AN60" s="3">
        <v>126.39619999999999</v>
      </c>
      <c r="AO60" s="3">
        <v>120.68103000000001</v>
      </c>
      <c r="AP60" s="3">
        <f t="shared" si="30"/>
        <v>1.0704440249985514</v>
      </c>
      <c r="AQ60" s="3">
        <v>6.5789999999999997</v>
      </c>
      <c r="AR60" s="3">
        <v>1.3342316000000001</v>
      </c>
      <c r="AS60" s="3">
        <v>-132.80099999999999</v>
      </c>
      <c r="AT60" s="3">
        <v>-131.97</v>
      </c>
      <c r="AU60" s="3">
        <f t="shared" si="2"/>
        <v>-0.83099999999998886</v>
      </c>
      <c r="AV60" s="3">
        <v>-0.34100000000000003</v>
      </c>
      <c r="AW60" s="3">
        <v>-0.47499999999999998</v>
      </c>
      <c r="AX60" s="3">
        <f t="shared" si="3"/>
        <v>0.13399999999999995</v>
      </c>
      <c r="AY60" s="3">
        <v>2.9000000000000001E-2</v>
      </c>
      <c r="AZ60" s="3">
        <v>0.156</v>
      </c>
      <c r="BA60" s="3">
        <f t="shared" si="4"/>
        <v>-0.127</v>
      </c>
      <c r="BB60" s="3">
        <f t="shared" si="38"/>
        <v>0.156</v>
      </c>
      <c r="BC60" s="3">
        <f t="shared" si="38"/>
        <v>0.15949999999999998</v>
      </c>
      <c r="BD60" s="3">
        <f t="shared" si="6"/>
        <v>-3.4999999999999754E-3</v>
      </c>
      <c r="BE60" s="3">
        <f t="shared" si="39"/>
        <v>0.37000000000000005</v>
      </c>
      <c r="BF60" s="3">
        <f t="shared" si="39"/>
        <v>0.63100000000000001</v>
      </c>
      <c r="BG60" s="3">
        <f t="shared" si="8"/>
        <v>-0.26099999999999995</v>
      </c>
      <c r="BH60" s="3">
        <f t="shared" si="40"/>
        <v>-0.156</v>
      </c>
      <c r="BI60" s="3">
        <f t="shared" si="40"/>
        <v>-0.15949999999999998</v>
      </c>
      <c r="BJ60" s="3">
        <f t="shared" si="31"/>
        <v>3.4999999999999754E-3</v>
      </c>
      <c r="BK60" s="3">
        <f t="shared" si="10"/>
        <v>3.2886486486486483E-2</v>
      </c>
      <c r="BL60" s="3">
        <f t="shared" si="11"/>
        <v>2.0158676703645E-2</v>
      </c>
      <c r="BM60" s="3">
        <f t="shared" si="12"/>
        <v>1.2727809782841482E-2</v>
      </c>
      <c r="BN60" s="3">
        <v>4.7279999999999998</v>
      </c>
      <c r="BO60" s="3">
        <v>4.9340000000000002</v>
      </c>
      <c r="BP60" s="3">
        <f t="shared" si="13"/>
        <v>-0.20600000000000041</v>
      </c>
      <c r="BQ60" s="3">
        <v>-83302.89</v>
      </c>
      <c r="BR60" s="3">
        <v>-82779.224000000002</v>
      </c>
      <c r="BS60" s="3">
        <f t="shared" si="14"/>
        <v>-523.66599999999744</v>
      </c>
      <c r="BT60" s="3">
        <v>-83320.774999999994</v>
      </c>
      <c r="BU60" s="3">
        <v>-82796.997000000003</v>
      </c>
      <c r="BV60" s="3">
        <f t="shared" si="15"/>
        <v>-523.77799999999115</v>
      </c>
    </row>
    <row r="61" spans="1:74" x14ac:dyDescent="0.25">
      <c r="A61" t="s">
        <v>226</v>
      </c>
      <c r="B61" t="s">
        <v>514</v>
      </c>
      <c r="C61" t="s">
        <v>99</v>
      </c>
      <c r="D61" s="3">
        <v>11.74</v>
      </c>
      <c r="E61" s="3">
        <v>0.76</v>
      </c>
      <c r="F61" s="3">
        <v>-263.93299999999999</v>
      </c>
      <c r="G61" s="3">
        <v>-265.61900000000003</v>
      </c>
      <c r="H61" s="3">
        <f t="shared" si="16"/>
        <v>-1.6860000000000355</v>
      </c>
      <c r="I61" s="3">
        <v>-0.318</v>
      </c>
      <c r="J61" s="6">
        <v>-0.22900000000000001</v>
      </c>
      <c r="K61" s="3">
        <f t="shared" si="17"/>
        <v>8.8999999999999996E-2</v>
      </c>
      <c r="L61" s="3">
        <v>0.159</v>
      </c>
      <c r="M61" s="6">
        <v>2.1999999999999999E-2</v>
      </c>
      <c r="N61" s="3">
        <f t="shared" si="18"/>
        <v>-0.13700000000000001</v>
      </c>
      <c r="O61" s="3">
        <f t="shared" si="19"/>
        <v>7.9500000000000001E-2</v>
      </c>
      <c r="P61" s="3">
        <f t="shared" si="19"/>
        <v>0.10350000000000001</v>
      </c>
      <c r="Q61" s="3">
        <f t="shared" si="20"/>
        <v>2.4000000000000007E-2</v>
      </c>
      <c r="R61" s="3">
        <f t="shared" si="21"/>
        <v>0.47699999999999998</v>
      </c>
      <c r="S61" s="3">
        <f t="shared" si="21"/>
        <v>0.251</v>
      </c>
      <c r="T61" s="3">
        <f t="shared" si="22"/>
        <v>-0.22599999999999998</v>
      </c>
      <c r="U61" s="3">
        <f t="shared" si="23"/>
        <v>-7.9500000000000001E-2</v>
      </c>
      <c r="V61" s="3">
        <f t="shared" si="23"/>
        <v>-0.10350000000000001</v>
      </c>
      <c r="W61" s="3">
        <f t="shared" si="24"/>
        <v>-2.4000000000000007E-2</v>
      </c>
      <c r="X61" s="3">
        <f t="shared" si="0"/>
        <v>6.6250000000000007E-3</v>
      </c>
      <c r="Y61" s="3">
        <f t="shared" si="1"/>
        <v>2.1339143426294824E-2</v>
      </c>
      <c r="Z61" s="3">
        <f t="shared" si="25"/>
        <v>1.4714143426294823E-2</v>
      </c>
      <c r="AA61" s="3">
        <v>4.88</v>
      </c>
      <c r="AB61" s="3">
        <v>4.766</v>
      </c>
      <c r="AC61" s="3">
        <f t="shared" si="26"/>
        <v>-0.11399999999999988</v>
      </c>
      <c r="AD61" s="3">
        <f>-263.821842*627.50956</f>
        <v>-165550.72799180952</v>
      </c>
      <c r="AE61" s="3">
        <f>-265.514663*627.50956</f>
        <v>-166612.98935267827</v>
      </c>
      <c r="AF61" s="3">
        <f t="shared" si="27"/>
        <v>-1062.2613608687534</v>
      </c>
      <c r="AG61" s="3">
        <f>-263.856891*627.50956</f>
        <v>-165572.72157437797</v>
      </c>
      <c r="AH61" s="3">
        <f>-265.550132*627.50956</f>
        <v>-166635.24648926192</v>
      </c>
      <c r="AI61" s="3">
        <f t="shared" si="28"/>
        <v>-1062.5249148839503</v>
      </c>
      <c r="AJ61" s="3">
        <v>-0.60299999999999998</v>
      </c>
      <c r="AK61" s="3">
        <v>-0.54100000000000004</v>
      </c>
      <c r="AL61" s="3">
        <f t="shared" si="29"/>
        <v>6.1999999999999944E-2</v>
      </c>
      <c r="AM61" s="3">
        <v>82.103840000000005</v>
      </c>
      <c r="AN61" s="3">
        <v>140.22460000000001</v>
      </c>
      <c r="AO61" s="3">
        <v>134.43182999999999</v>
      </c>
      <c r="AP61" s="3">
        <f t="shared" si="30"/>
        <v>1.1051267376540337</v>
      </c>
      <c r="AQ61" s="3">
        <v>7.7590000000000003</v>
      </c>
      <c r="AR61" s="3">
        <v>1.5445191</v>
      </c>
      <c r="AS61" s="3">
        <v>-132.80099999999999</v>
      </c>
      <c r="AT61" s="3">
        <v>-131.97</v>
      </c>
      <c r="AU61" s="3">
        <f t="shared" si="2"/>
        <v>-0.83099999999998886</v>
      </c>
      <c r="AV61" s="3">
        <v>-0.34100000000000003</v>
      </c>
      <c r="AW61" s="3">
        <v>-0.47499999999999998</v>
      </c>
      <c r="AX61" s="3">
        <f t="shared" si="3"/>
        <v>0.13399999999999995</v>
      </c>
      <c r="AY61" s="3">
        <v>2.9000000000000001E-2</v>
      </c>
      <c r="AZ61" s="3">
        <v>0.156</v>
      </c>
      <c r="BA61" s="3">
        <f t="shared" si="4"/>
        <v>-0.127</v>
      </c>
      <c r="BB61" s="3">
        <f t="shared" si="38"/>
        <v>0.156</v>
      </c>
      <c r="BC61" s="3">
        <f t="shared" si="38"/>
        <v>0.15949999999999998</v>
      </c>
      <c r="BD61" s="3">
        <f t="shared" si="6"/>
        <v>-3.4999999999999754E-3</v>
      </c>
      <c r="BE61" s="3">
        <f t="shared" si="39"/>
        <v>0.37000000000000005</v>
      </c>
      <c r="BF61" s="3">
        <f t="shared" si="39"/>
        <v>0.63100000000000001</v>
      </c>
      <c r="BG61" s="3">
        <f t="shared" si="8"/>
        <v>-0.26099999999999995</v>
      </c>
      <c r="BH61" s="3">
        <f t="shared" si="40"/>
        <v>-0.156</v>
      </c>
      <c r="BI61" s="3">
        <f t="shared" si="40"/>
        <v>-0.15949999999999998</v>
      </c>
      <c r="BJ61" s="3">
        <f t="shared" si="31"/>
        <v>3.4999999999999754E-3</v>
      </c>
      <c r="BK61" s="3">
        <f t="shared" si="10"/>
        <v>3.2886486486486483E-2</v>
      </c>
      <c r="BL61" s="3">
        <f t="shared" si="11"/>
        <v>2.0158676703645E-2</v>
      </c>
      <c r="BM61" s="3">
        <f t="shared" si="12"/>
        <v>1.2727809782841482E-2</v>
      </c>
      <c r="BN61" s="3">
        <v>4.7279999999999998</v>
      </c>
      <c r="BO61" s="3">
        <v>4.9340000000000002</v>
      </c>
      <c r="BP61" s="3">
        <f t="shared" si="13"/>
        <v>-0.20600000000000041</v>
      </c>
      <c r="BQ61" s="3">
        <v>-83302.89</v>
      </c>
      <c r="BR61" s="3">
        <v>-82779.224000000002</v>
      </c>
      <c r="BS61" s="3">
        <f t="shared" si="14"/>
        <v>-523.66599999999744</v>
      </c>
      <c r="BT61" s="3">
        <v>-83320.774999999994</v>
      </c>
      <c r="BU61" s="3">
        <v>-82796.997000000003</v>
      </c>
      <c r="BV61" s="3">
        <f t="shared" si="15"/>
        <v>-523.77799999999115</v>
      </c>
    </row>
    <row r="62" spans="1:74" x14ac:dyDescent="0.25">
      <c r="A62" t="s">
        <v>275</v>
      </c>
      <c r="B62" t="s">
        <v>514</v>
      </c>
      <c r="C62" t="s">
        <v>99</v>
      </c>
      <c r="D62" s="3">
        <v>11.79</v>
      </c>
      <c r="E62" s="3">
        <v>0.77</v>
      </c>
      <c r="F62" s="3">
        <v>-263.93099999999998</v>
      </c>
      <c r="G62" s="3">
        <v>-265.61799999999999</v>
      </c>
      <c r="H62" s="3">
        <f t="shared" si="16"/>
        <v>-1.6870000000000118</v>
      </c>
      <c r="I62" s="3">
        <v>-0.318</v>
      </c>
      <c r="J62" s="6">
        <v>-0.22900000000000001</v>
      </c>
      <c r="K62" s="3">
        <f t="shared" si="17"/>
        <v>8.8999999999999996E-2</v>
      </c>
      <c r="L62" s="3">
        <v>0.16600000000000001</v>
      </c>
      <c r="M62" s="6">
        <v>2.3E-2</v>
      </c>
      <c r="N62" s="3">
        <f t="shared" si="18"/>
        <v>-0.14300000000000002</v>
      </c>
      <c r="O62" s="3">
        <f t="shared" si="19"/>
        <v>7.5999999999999998E-2</v>
      </c>
      <c r="P62" s="3">
        <f t="shared" si="19"/>
        <v>0.10300000000000001</v>
      </c>
      <c r="Q62" s="3">
        <f t="shared" si="20"/>
        <v>2.700000000000001E-2</v>
      </c>
      <c r="R62" s="3">
        <f t="shared" si="21"/>
        <v>0.48399999999999999</v>
      </c>
      <c r="S62" s="3">
        <f t="shared" si="21"/>
        <v>0.252</v>
      </c>
      <c r="T62" s="3">
        <f t="shared" si="22"/>
        <v>-0.23199999999999998</v>
      </c>
      <c r="U62" s="3">
        <f t="shared" si="23"/>
        <v>-7.5999999999999998E-2</v>
      </c>
      <c r="V62" s="3">
        <f t="shared" si="23"/>
        <v>-0.10300000000000001</v>
      </c>
      <c r="W62" s="3">
        <f t="shared" si="24"/>
        <v>-2.700000000000001E-2</v>
      </c>
      <c r="X62" s="3">
        <f t="shared" si="0"/>
        <v>5.9669421487603307E-3</v>
      </c>
      <c r="Y62" s="3">
        <f t="shared" si="1"/>
        <v>2.1049603174603179E-2</v>
      </c>
      <c r="Z62" s="3">
        <f t="shared" si="25"/>
        <v>1.5082661025842849E-2</v>
      </c>
      <c r="AA62" s="3">
        <v>4.532</v>
      </c>
      <c r="AB62" s="3">
        <v>4.4489999999999998</v>
      </c>
      <c r="AC62" s="3">
        <f t="shared" si="26"/>
        <v>-8.3000000000000185E-2</v>
      </c>
      <c r="AD62" s="3">
        <f>-263.819035*627.50956</f>
        <v>-165548.96657247457</v>
      </c>
      <c r="AE62" s="3">
        <f>-265.51267*627.50956</f>
        <v>-166611.73872612519</v>
      </c>
      <c r="AF62" s="3">
        <f t="shared" si="27"/>
        <v>-1062.7721536506142</v>
      </c>
      <c r="AG62" s="3">
        <f>-263.853348*627.50956</f>
        <v>-165570.49830800685</v>
      </c>
      <c r="AH62" s="3">
        <f>-265.547653*627.50956</f>
        <v>-166633.69089306268</v>
      </c>
      <c r="AI62" s="3">
        <f t="shared" si="28"/>
        <v>-1063.1925850558328</v>
      </c>
      <c r="AJ62" s="3">
        <v>-0.58799999999999997</v>
      </c>
      <c r="AK62" s="3">
        <v>-0.53</v>
      </c>
      <c r="AL62" s="3">
        <f t="shared" si="29"/>
        <v>5.799999999999994E-2</v>
      </c>
      <c r="AM62" s="3">
        <v>82.103840000000005</v>
      </c>
      <c r="AN62" s="3">
        <v>140.21950000000001</v>
      </c>
      <c r="AO62" s="3">
        <v>134.4058</v>
      </c>
      <c r="AP62" s="3">
        <f t="shared" si="30"/>
        <v>1.1052292187150961</v>
      </c>
      <c r="AQ62" s="3">
        <v>7.7530000000000001</v>
      </c>
      <c r="AR62" s="3">
        <v>1.5573515</v>
      </c>
      <c r="AS62" s="3">
        <v>-132.80099999999999</v>
      </c>
      <c r="AT62" s="3">
        <v>-131.97</v>
      </c>
      <c r="AU62" s="3">
        <f t="shared" si="2"/>
        <v>-0.83099999999998886</v>
      </c>
      <c r="AV62" s="3">
        <v>-0.34100000000000003</v>
      </c>
      <c r="AW62" s="3">
        <v>-0.47499999999999998</v>
      </c>
      <c r="AX62" s="3">
        <f t="shared" si="3"/>
        <v>0.13399999999999995</v>
      </c>
      <c r="AY62" s="3">
        <v>2.9000000000000001E-2</v>
      </c>
      <c r="AZ62" s="3">
        <v>0.156</v>
      </c>
      <c r="BA62" s="3">
        <f t="shared" si="4"/>
        <v>-0.127</v>
      </c>
      <c r="BB62" s="3">
        <f t="shared" si="38"/>
        <v>0.156</v>
      </c>
      <c r="BC62" s="3">
        <f t="shared" si="38"/>
        <v>0.15949999999999998</v>
      </c>
      <c r="BD62" s="3">
        <f t="shared" si="6"/>
        <v>-3.4999999999999754E-3</v>
      </c>
      <c r="BE62" s="3">
        <f t="shared" si="39"/>
        <v>0.37000000000000005</v>
      </c>
      <c r="BF62" s="3">
        <f t="shared" si="39"/>
        <v>0.63100000000000001</v>
      </c>
      <c r="BG62" s="3">
        <f t="shared" si="8"/>
        <v>-0.26099999999999995</v>
      </c>
      <c r="BH62" s="3">
        <f t="shared" si="40"/>
        <v>-0.156</v>
      </c>
      <c r="BI62" s="3">
        <f t="shared" si="40"/>
        <v>-0.15949999999999998</v>
      </c>
      <c r="BJ62" s="3">
        <f t="shared" si="31"/>
        <v>3.4999999999999754E-3</v>
      </c>
      <c r="BK62" s="3">
        <f t="shared" si="10"/>
        <v>3.2886486486486483E-2</v>
      </c>
      <c r="BL62" s="3">
        <f t="shared" si="11"/>
        <v>2.0158676703645E-2</v>
      </c>
      <c r="BM62" s="3">
        <f t="shared" si="12"/>
        <v>1.2727809782841482E-2</v>
      </c>
      <c r="BN62" s="3">
        <v>4.7279999999999998</v>
      </c>
      <c r="BO62" s="3">
        <v>4.9340000000000002</v>
      </c>
      <c r="BP62" s="3">
        <f t="shared" si="13"/>
        <v>-0.20600000000000041</v>
      </c>
      <c r="BQ62" s="3">
        <v>-83302.89</v>
      </c>
      <c r="BR62" s="3">
        <v>-82779.224000000002</v>
      </c>
      <c r="BS62" s="3">
        <f t="shared" si="14"/>
        <v>-523.66599999999744</v>
      </c>
      <c r="BT62" s="3">
        <v>-83320.774999999994</v>
      </c>
      <c r="BU62" s="3">
        <v>-82796.997000000003</v>
      </c>
      <c r="BV62" s="3">
        <f t="shared" si="15"/>
        <v>-523.77799999999115</v>
      </c>
    </row>
    <row r="63" spans="1:74" x14ac:dyDescent="0.25">
      <c r="A63" t="s">
        <v>231</v>
      </c>
      <c r="B63" t="s">
        <v>514</v>
      </c>
      <c r="C63" t="s">
        <v>99</v>
      </c>
      <c r="D63" s="3">
        <v>11.9</v>
      </c>
      <c r="E63" s="3">
        <v>0.73</v>
      </c>
      <c r="F63" s="3">
        <v>-263.91899999999998</v>
      </c>
      <c r="G63" s="3">
        <v>-265.60599999999999</v>
      </c>
      <c r="H63" s="3">
        <f t="shared" si="16"/>
        <v>-1.6870000000000118</v>
      </c>
      <c r="I63" s="3">
        <v>-0.32400000000000001</v>
      </c>
      <c r="J63" s="6">
        <v>-0.23599999999999999</v>
      </c>
      <c r="K63" s="3">
        <f t="shared" si="17"/>
        <v>8.8000000000000023E-2</v>
      </c>
      <c r="L63" s="3">
        <v>0.16</v>
      </c>
      <c r="M63" s="6">
        <v>1.7000000000000001E-2</v>
      </c>
      <c r="N63" s="3">
        <f t="shared" si="18"/>
        <v>-0.14300000000000002</v>
      </c>
      <c r="O63" s="3">
        <f t="shared" si="19"/>
        <v>8.2000000000000003E-2</v>
      </c>
      <c r="P63" s="3">
        <f t="shared" si="19"/>
        <v>0.10949999999999999</v>
      </c>
      <c r="Q63" s="3">
        <f t="shared" si="20"/>
        <v>2.7499999999999983E-2</v>
      </c>
      <c r="R63" s="3">
        <f t="shared" si="21"/>
        <v>0.48399999999999999</v>
      </c>
      <c r="S63" s="3">
        <f t="shared" si="21"/>
        <v>0.253</v>
      </c>
      <c r="T63" s="3">
        <f t="shared" si="22"/>
        <v>-0.23099999999999998</v>
      </c>
      <c r="U63" s="3">
        <f t="shared" si="23"/>
        <v>-8.2000000000000003E-2</v>
      </c>
      <c r="V63" s="3">
        <f t="shared" si="23"/>
        <v>-0.10949999999999999</v>
      </c>
      <c r="W63" s="3">
        <f t="shared" si="24"/>
        <v>-2.7499999999999983E-2</v>
      </c>
      <c r="X63" s="3">
        <f t="shared" si="0"/>
        <v>6.9462809917355383E-3</v>
      </c>
      <c r="Y63" s="3">
        <f t="shared" si="1"/>
        <v>2.3696146245059283E-2</v>
      </c>
      <c r="Z63" s="3">
        <f t="shared" si="25"/>
        <v>1.6749865253323747E-2</v>
      </c>
      <c r="AA63" s="3">
        <v>5.3490000000000002</v>
      </c>
      <c r="AB63" s="3">
        <v>5.242</v>
      </c>
      <c r="AC63" s="3">
        <f t="shared" si="26"/>
        <v>-0.10700000000000021</v>
      </c>
      <c r="AD63" s="3">
        <f>-263.807042*627.50956</f>
        <v>-165541.44085032152</v>
      </c>
      <c r="AE63" s="3">
        <f>-265.500754*627.50956</f>
        <v>-166604.26132220821</v>
      </c>
      <c r="AF63" s="3">
        <f t="shared" si="27"/>
        <v>-1062.8204718866909</v>
      </c>
      <c r="AG63" s="3">
        <f>-263.841869*627.50956</f>
        <v>-165563.29512576762</v>
      </c>
      <c r="AH63" s="3">
        <f>-265.535972*627.50956</f>
        <v>-166626.36095389232</v>
      </c>
      <c r="AI63" s="3">
        <f t="shared" si="28"/>
        <v>-1063.0658281247015</v>
      </c>
      <c r="AJ63" s="3">
        <v>-0.61299999999999999</v>
      </c>
      <c r="AK63" s="3">
        <v>-0.54900000000000004</v>
      </c>
      <c r="AL63" s="3">
        <f t="shared" si="29"/>
        <v>6.3999999999999946E-2</v>
      </c>
      <c r="AM63" s="3">
        <v>82.103840000000005</v>
      </c>
      <c r="AN63" s="3">
        <v>139.06909999999999</v>
      </c>
      <c r="AO63" s="3">
        <v>134.45830000000001</v>
      </c>
      <c r="AP63" s="3">
        <f t="shared" si="30"/>
        <v>1.0958762555001229</v>
      </c>
      <c r="AQ63" s="3">
        <v>7.7160000000000002</v>
      </c>
      <c r="AR63" s="3">
        <v>1.5369079999999999</v>
      </c>
      <c r="AS63" s="3">
        <v>-132.80099999999999</v>
      </c>
      <c r="AT63" s="3">
        <v>-131.97</v>
      </c>
      <c r="AU63" s="3">
        <f t="shared" si="2"/>
        <v>-0.83099999999998886</v>
      </c>
      <c r="AV63" s="3">
        <v>-0.34100000000000003</v>
      </c>
      <c r="AW63" s="3">
        <v>-0.47499999999999998</v>
      </c>
      <c r="AX63" s="3">
        <f t="shared" si="3"/>
        <v>0.13399999999999995</v>
      </c>
      <c r="AY63" s="3">
        <v>2.9000000000000001E-2</v>
      </c>
      <c r="AZ63" s="3">
        <v>0.156</v>
      </c>
      <c r="BA63" s="3">
        <f t="shared" si="4"/>
        <v>-0.127</v>
      </c>
      <c r="BB63" s="3">
        <f t="shared" si="38"/>
        <v>0.156</v>
      </c>
      <c r="BC63" s="3">
        <f t="shared" si="38"/>
        <v>0.15949999999999998</v>
      </c>
      <c r="BD63" s="3">
        <f t="shared" si="6"/>
        <v>-3.4999999999999754E-3</v>
      </c>
      <c r="BE63" s="3">
        <f t="shared" si="39"/>
        <v>0.37000000000000005</v>
      </c>
      <c r="BF63" s="3">
        <f t="shared" si="39"/>
        <v>0.63100000000000001</v>
      </c>
      <c r="BG63" s="3">
        <f t="shared" si="8"/>
        <v>-0.26099999999999995</v>
      </c>
      <c r="BH63" s="3">
        <f t="shared" si="40"/>
        <v>-0.156</v>
      </c>
      <c r="BI63" s="3">
        <f t="shared" si="40"/>
        <v>-0.15949999999999998</v>
      </c>
      <c r="BJ63" s="3">
        <f t="shared" si="31"/>
        <v>3.4999999999999754E-3</v>
      </c>
      <c r="BK63" s="3">
        <f t="shared" si="10"/>
        <v>3.2886486486486483E-2</v>
      </c>
      <c r="BL63" s="3">
        <f t="shared" si="11"/>
        <v>2.0158676703645E-2</v>
      </c>
      <c r="BM63" s="3">
        <f t="shared" si="12"/>
        <v>1.2727809782841482E-2</v>
      </c>
      <c r="BN63" s="3">
        <v>4.7279999999999998</v>
      </c>
      <c r="BO63" s="3">
        <v>4.9340000000000002</v>
      </c>
      <c r="BP63" s="3">
        <f t="shared" si="13"/>
        <v>-0.20600000000000041</v>
      </c>
      <c r="BQ63" s="3">
        <v>-83302.89</v>
      </c>
      <c r="BR63" s="3">
        <v>-82779.224000000002</v>
      </c>
      <c r="BS63" s="3">
        <f t="shared" si="14"/>
        <v>-523.66599999999744</v>
      </c>
      <c r="BT63" s="3">
        <v>-83320.774999999994</v>
      </c>
      <c r="BU63" s="3">
        <v>-82796.997000000003</v>
      </c>
      <c r="BV63" s="3">
        <f t="shared" si="15"/>
        <v>-523.77799999999115</v>
      </c>
    </row>
    <row r="64" spans="1:74" x14ac:dyDescent="0.25">
      <c r="A64" t="s">
        <v>276</v>
      </c>
      <c r="B64" t="s">
        <v>514</v>
      </c>
      <c r="C64" t="s">
        <v>199</v>
      </c>
      <c r="D64" s="3">
        <v>12</v>
      </c>
      <c r="E64" s="3">
        <v>0.6</v>
      </c>
      <c r="F64" s="3">
        <v>-173.34100000000001</v>
      </c>
      <c r="G64" s="3">
        <v>-174.548</v>
      </c>
      <c r="H64" s="3">
        <f t="shared" si="16"/>
        <v>-1.2069999999999936</v>
      </c>
      <c r="I64" s="3">
        <v>-0.39</v>
      </c>
      <c r="J64" s="6">
        <v>-0.24299999999999999</v>
      </c>
      <c r="K64" s="3">
        <f t="shared" si="17"/>
        <v>0.14700000000000002</v>
      </c>
      <c r="L64" s="3">
        <v>0.155</v>
      </c>
      <c r="M64" s="6">
        <v>3.9E-2</v>
      </c>
      <c r="N64" s="3">
        <f t="shared" si="18"/>
        <v>-0.11599999999999999</v>
      </c>
      <c r="O64" s="3">
        <f t="shared" si="19"/>
        <v>0.11750000000000001</v>
      </c>
      <c r="P64" s="3">
        <f t="shared" si="19"/>
        <v>0.10199999999999999</v>
      </c>
      <c r="Q64" s="3">
        <f t="shared" si="20"/>
        <v>-1.5500000000000014E-2</v>
      </c>
      <c r="R64" s="3">
        <f t="shared" si="21"/>
        <v>0.54500000000000004</v>
      </c>
      <c r="S64" s="3">
        <f t="shared" si="21"/>
        <v>0.28199999999999997</v>
      </c>
      <c r="T64" s="3">
        <f t="shared" si="22"/>
        <v>-0.26300000000000007</v>
      </c>
      <c r="U64" s="3">
        <f t="shared" si="23"/>
        <v>-0.11750000000000001</v>
      </c>
      <c r="V64" s="3">
        <f t="shared" si="23"/>
        <v>-0.10199999999999999</v>
      </c>
      <c r="W64" s="3">
        <f t="shared" si="24"/>
        <v>1.5500000000000014E-2</v>
      </c>
      <c r="X64" s="3">
        <f t="shared" si="0"/>
        <v>1.2666284403669726E-2</v>
      </c>
      <c r="Y64" s="3">
        <f t="shared" si="1"/>
        <v>1.8446808510638298E-2</v>
      </c>
      <c r="Z64" s="3">
        <f t="shared" si="25"/>
        <v>5.7805241069685716E-3</v>
      </c>
      <c r="AA64" s="3">
        <v>1.7869999999999999</v>
      </c>
      <c r="AB64" s="3">
        <v>1.758</v>
      </c>
      <c r="AC64" s="3">
        <f t="shared" si="26"/>
        <v>-2.8999999999999915E-2</v>
      </c>
      <c r="AD64" s="3">
        <f>-173.207233*627.50956</f>
        <v>-108689.19456864748</v>
      </c>
      <c r="AE64" s="3">
        <f>-174.421834*627.50956</f>
        <v>-109451.36830773302</v>
      </c>
      <c r="AF64" s="3">
        <f t="shared" si="27"/>
        <v>-762.17373908554146</v>
      </c>
      <c r="AG64" s="3">
        <f>-173.24078*627.50956</f>
        <v>-108710.2456318568</v>
      </c>
      <c r="AH64" s="3">
        <f>-174.455867*627.50956</f>
        <v>-109472.72434058852</v>
      </c>
      <c r="AI64" s="3">
        <f t="shared" si="28"/>
        <v>-762.4787087317236</v>
      </c>
      <c r="AJ64" s="3">
        <v>-0.871</v>
      </c>
      <c r="AK64" s="3">
        <v>-0.86699999999999999</v>
      </c>
      <c r="AL64" s="3">
        <f t="shared" si="29"/>
        <v>4.0000000000000036E-3</v>
      </c>
      <c r="AM64" s="3">
        <v>59.110259999999997</v>
      </c>
      <c r="AN64" s="3">
        <v>132.36994999999999</v>
      </c>
      <c r="AO64" s="3">
        <v>129.2159</v>
      </c>
      <c r="AP64" s="3">
        <f t="shared" si="30"/>
        <v>1.0711115867453758</v>
      </c>
      <c r="AQ64" s="3">
        <v>6.7279999999999998</v>
      </c>
      <c r="AR64" s="3">
        <v>1.4070800000000001</v>
      </c>
      <c r="AS64" s="3">
        <v>-76.454999999999998</v>
      </c>
      <c r="AT64" s="3">
        <v>-76.055000000000007</v>
      </c>
      <c r="AU64" s="3">
        <f t="shared" ref="AU64:AU127" si="41">AS64-AT64</f>
        <v>-0.39999999999999147</v>
      </c>
      <c r="AV64" s="3">
        <v>-0.30399999999999999</v>
      </c>
      <c r="AW64" s="3">
        <v>-0.505</v>
      </c>
      <c r="AX64" s="3">
        <f t="shared" ref="AX64:AX127" si="42">AV64-AW64</f>
        <v>0.20100000000000001</v>
      </c>
      <c r="AY64" s="3">
        <v>0.04</v>
      </c>
      <c r="AZ64" s="3">
        <v>0.16400000000000001</v>
      </c>
      <c r="BA64" s="3">
        <f t="shared" ref="BA64:BA127" si="43">AY64-AZ64</f>
        <v>-0.124</v>
      </c>
      <c r="BB64" s="3">
        <f t="shared" ref="BB64:BC79" si="44">-(AV64+AY64)/2</f>
        <v>0.13200000000000001</v>
      </c>
      <c r="BC64" s="3">
        <f t="shared" si="44"/>
        <v>0.17049999999999998</v>
      </c>
      <c r="BD64" s="3">
        <f t="shared" ref="BD64:BD127" si="45">BB64-BC64</f>
        <v>-3.8499999999999979E-2</v>
      </c>
      <c r="BE64" s="3">
        <f t="shared" ref="BE64:BF79" si="46">AY64-AV64</f>
        <v>0.34399999999999997</v>
      </c>
      <c r="BF64" s="3">
        <f t="shared" si="46"/>
        <v>0.66900000000000004</v>
      </c>
      <c r="BG64" s="3">
        <f t="shared" ref="BG64:BG127" si="47">BE64-BF64</f>
        <v>-0.32500000000000007</v>
      </c>
      <c r="BH64" s="3">
        <f t="shared" ref="BH64:BI79" si="48">(AV64+AY64)/2</f>
        <v>-0.13200000000000001</v>
      </c>
      <c r="BI64" s="3">
        <f t="shared" si="48"/>
        <v>-0.17049999999999998</v>
      </c>
      <c r="BJ64" s="3">
        <f t="shared" si="31"/>
        <v>3.8499999999999979E-2</v>
      </c>
      <c r="BK64" s="3">
        <f t="shared" si="10"/>
        <v>2.5325581395348844E-2</v>
      </c>
      <c r="BL64" s="3">
        <f t="shared" si="11"/>
        <v>2.1726644245141997E-2</v>
      </c>
      <c r="BM64" s="3">
        <f t="shared" ref="BM64:BM127" si="49">BK64-BL64</f>
        <v>3.5989371502068469E-3</v>
      </c>
      <c r="BN64" s="3">
        <v>2.3010000000000002</v>
      </c>
      <c r="BO64" s="3">
        <v>2.3559999999999999</v>
      </c>
      <c r="BP64" s="3">
        <f t="shared" ref="BP64:BP127" si="50">BN64-BO64</f>
        <v>-5.4999999999999716E-2</v>
      </c>
      <c r="BQ64" s="3">
        <v>-47960.305999999997</v>
      </c>
      <c r="BR64" s="3">
        <v>-47708.290999999997</v>
      </c>
      <c r="BS64" s="3">
        <f t="shared" ref="BS64:BS127" si="51">BQ64-BR64</f>
        <v>-252.01499999999942</v>
      </c>
      <c r="BT64" s="3">
        <v>-47973.754999999997</v>
      </c>
      <c r="BU64" s="3">
        <v>-47721.697</v>
      </c>
      <c r="BV64" s="3">
        <f t="shared" ref="BV64:BV127" si="52">BT64-BU64</f>
        <v>-252.05799999999726</v>
      </c>
    </row>
    <row r="65" spans="1:74" x14ac:dyDescent="0.25">
      <c r="A65" t="s">
        <v>277</v>
      </c>
      <c r="B65" t="s">
        <v>514</v>
      </c>
      <c r="C65" t="s">
        <v>199</v>
      </c>
      <c r="D65" s="3">
        <v>12.08</v>
      </c>
      <c r="E65" s="3">
        <v>0.6</v>
      </c>
      <c r="F65" s="3">
        <v>-321.95499999999998</v>
      </c>
      <c r="G65" s="3">
        <v>-323.83499999999998</v>
      </c>
      <c r="H65" s="3">
        <f t="shared" ref="H65:H128" si="53">G65-F65</f>
        <v>-1.8799999999999955</v>
      </c>
      <c r="I65" s="3">
        <v>-0.40400000000000003</v>
      </c>
      <c r="J65" s="6">
        <v>-0.251</v>
      </c>
      <c r="K65" s="3">
        <f t="shared" ref="K65:K128" si="54">J65-I65</f>
        <v>0.15300000000000002</v>
      </c>
      <c r="L65" s="3">
        <v>0.159</v>
      </c>
      <c r="M65" s="6">
        <v>2E-3</v>
      </c>
      <c r="N65" s="3">
        <f t="shared" ref="N65:N128" si="55">M65-L65</f>
        <v>-0.157</v>
      </c>
      <c r="O65" s="3">
        <f t="shared" ref="O65:P128" si="56">-(I65+L65)/2</f>
        <v>0.12250000000000001</v>
      </c>
      <c r="P65" s="3">
        <f t="shared" si="56"/>
        <v>0.1245</v>
      </c>
      <c r="Q65" s="3">
        <f t="shared" ref="Q65:Q128" si="57">P65-O65</f>
        <v>1.9999999999999879E-3</v>
      </c>
      <c r="R65" s="3">
        <f t="shared" ref="R65:S128" si="58">L65-I65</f>
        <v>0.56300000000000006</v>
      </c>
      <c r="S65" s="3">
        <f t="shared" si="58"/>
        <v>0.253</v>
      </c>
      <c r="T65" s="3">
        <f t="shared" ref="T65:T128" si="59">S65-R65</f>
        <v>-0.31000000000000005</v>
      </c>
      <c r="U65" s="3">
        <f t="shared" ref="U65:V128" si="60">(I65+L65)/2</f>
        <v>-0.12250000000000001</v>
      </c>
      <c r="V65" s="3">
        <f t="shared" si="60"/>
        <v>-0.1245</v>
      </c>
      <c r="W65" s="3">
        <f t="shared" si="24"/>
        <v>-1.9999999999999879E-3</v>
      </c>
      <c r="X65" s="3">
        <f t="shared" si="0"/>
        <v>1.3327042628774424E-2</v>
      </c>
      <c r="Y65" s="3">
        <f t="shared" si="1"/>
        <v>3.0632905138339921E-2</v>
      </c>
      <c r="Z65" s="3">
        <f t="shared" ref="Z65:Z128" si="61">Y65-X65</f>
        <v>1.7305862509565499E-2</v>
      </c>
      <c r="AA65" s="3">
        <v>3.4119999999999999</v>
      </c>
      <c r="AB65" s="3">
        <v>3.0350000000000001</v>
      </c>
      <c r="AC65" s="3">
        <f t="shared" ref="AC65:AC128" si="62">AB65-AA65</f>
        <v>-0.37699999999999978</v>
      </c>
      <c r="AD65" s="3">
        <f>-321.831696*627.50956</f>
        <v>-201952.46595101376</v>
      </c>
      <c r="AE65" s="3">
        <f>-323.719244*627.50956</f>
        <v>-203136.92036597262</v>
      </c>
      <c r="AF65" s="3">
        <f t="shared" ref="AF65:AF128" si="63">AE65-AD65</f>
        <v>-1184.4544149588619</v>
      </c>
      <c r="AG65" s="3">
        <f>-321.870521*627.50956</f>
        <v>-201976.82900968075</v>
      </c>
      <c r="AH65" s="3">
        <f>-323.758961*627.50956</f>
        <v>-203161.84316316716</v>
      </c>
      <c r="AI65" s="3">
        <f t="shared" ref="AI65:AI128" si="64">AH65-AG65</f>
        <v>-1185.0141534864088</v>
      </c>
      <c r="AJ65" s="3">
        <v>-0.84499999999999997</v>
      </c>
      <c r="AK65" s="3">
        <v>-0.84399999999999997</v>
      </c>
      <c r="AL65" s="3">
        <f t="shared" ref="AL65:AL128" si="65">AK65-AJ65</f>
        <v>1.0000000000000009E-3</v>
      </c>
      <c r="AM65" s="3">
        <v>89.093180000000004</v>
      </c>
      <c r="AN65" s="3">
        <v>147.06720000000001</v>
      </c>
      <c r="AO65" s="3">
        <v>140.1662</v>
      </c>
      <c r="AP65" s="3">
        <f t="shared" ref="AP65:AP128" si="66">(AN65/(4*3.14*POWER(((3*AO65)/(4*3.14)),2/3)))</f>
        <v>1.1272223073627088</v>
      </c>
      <c r="AQ65" s="3">
        <v>8.7940000000000005</v>
      </c>
      <c r="AR65" s="3">
        <v>1.7798337399999999</v>
      </c>
      <c r="AS65" s="3">
        <v>-76.454999999999998</v>
      </c>
      <c r="AT65" s="3">
        <v>-76.055000000000007</v>
      </c>
      <c r="AU65" s="3">
        <f t="shared" si="41"/>
        <v>-0.39999999999999147</v>
      </c>
      <c r="AV65" s="3">
        <v>-0.30399999999999999</v>
      </c>
      <c r="AW65" s="3">
        <v>-0.505</v>
      </c>
      <c r="AX65" s="3">
        <f t="shared" si="42"/>
        <v>0.20100000000000001</v>
      </c>
      <c r="AY65" s="3">
        <v>0.04</v>
      </c>
      <c r="AZ65" s="3">
        <v>0.16400000000000001</v>
      </c>
      <c r="BA65" s="3">
        <f t="shared" si="43"/>
        <v>-0.124</v>
      </c>
      <c r="BB65" s="3">
        <f t="shared" si="44"/>
        <v>0.13200000000000001</v>
      </c>
      <c r="BC65" s="3">
        <f t="shared" si="44"/>
        <v>0.17049999999999998</v>
      </c>
      <c r="BD65" s="3">
        <f t="shared" si="45"/>
        <v>-3.8499999999999979E-2</v>
      </c>
      <c r="BE65" s="3">
        <f t="shared" si="46"/>
        <v>0.34399999999999997</v>
      </c>
      <c r="BF65" s="3">
        <f t="shared" si="46"/>
        <v>0.66900000000000004</v>
      </c>
      <c r="BG65" s="3">
        <f t="shared" si="47"/>
        <v>-0.32500000000000007</v>
      </c>
      <c r="BH65" s="3">
        <f t="shared" si="48"/>
        <v>-0.13200000000000001</v>
      </c>
      <c r="BI65" s="3">
        <f t="shared" si="48"/>
        <v>-0.17049999999999998</v>
      </c>
      <c r="BJ65" s="3">
        <f t="shared" si="31"/>
        <v>3.8499999999999979E-2</v>
      </c>
      <c r="BK65" s="3">
        <f t="shared" si="10"/>
        <v>2.5325581395348844E-2</v>
      </c>
      <c r="BL65" s="3">
        <f t="shared" si="11"/>
        <v>2.1726644245141997E-2</v>
      </c>
      <c r="BM65" s="3">
        <f t="shared" si="49"/>
        <v>3.5989371502068469E-3</v>
      </c>
      <c r="BN65" s="3">
        <v>2.3010000000000002</v>
      </c>
      <c r="BO65" s="3">
        <v>2.3559999999999999</v>
      </c>
      <c r="BP65" s="3">
        <f t="shared" si="50"/>
        <v>-5.4999999999999716E-2</v>
      </c>
      <c r="BQ65" s="3">
        <v>-47960.305999999997</v>
      </c>
      <c r="BR65" s="3">
        <v>-47708.290999999997</v>
      </c>
      <c r="BS65" s="3">
        <f t="shared" si="51"/>
        <v>-252.01499999999942</v>
      </c>
      <c r="BT65" s="3">
        <v>-47973.754999999997</v>
      </c>
      <c r="BU65" s="3">
        <v>-47721.697</v>
      </c>
      <c r="BV65" s="3">
        <f t="shared" si="52"/>
        <v>-252.05799999999726</v>
      </c>
    </row>
    <row r="66" spans="1:74" x14ac:dyDescent="0.25">
      <c r="A66" t="s">
        <v>278</v>
      </c>
      <c r="B66" t="s">
        <v>514</v>
      </c>
      <c r="C66" t="s">
        <v>199</v>
      </c>
      <c r="D66" s="3">
        <v>12.09</v>
      </c>
      <c r="E66" s="3">
        <v>0.52</v>
      </c>
      <c r="F66" s="3">
        <v>-1032.626</v>
      </c>
      <c r="G66" s="3">
        <v>-1038.5920000000001</v>
      </c>
      <c r="H66" s="3">
        <f t="shared" si="53"/>
        <v>-5.9660000000001219</v>
      </c>
      <c r="I66" s="3">
        <v>-0.27400000000000002</v>
      </c>
      <c r="J66" s="6">
        <v>-0.185</v>
      </c>
      <c r="K66" s="3">
        <f t="shared" si="54"/>
        <v>8.9000000000000024E-2</v>
      </c>
      <c r="L66" s="3">
        <v>0.155</v>
      </c>
      <c r="M66" s="6">
        <v>8.9999999999999993E-3</v>
      </c>
      <c r="N66" s="3">
        <f t="shared" si="55"/>
        <v>-0.14599999999999999</v>
      </c>
      <c r="O66" s="3">
        <f t="shared" si="56"/>
        <v>5.9500000000000011E-2</v>
      </c>
      <c r="P66" s="3">
        <f t="shared" si="56"/>
        <v>8.7999999999999995E-2</v>
      </c>
      <c r="Q66" s="3">
        <f t="shared" si="57"/>
        <v>2.8499999999999984E-2</v>
      </c>
      <c r="R66" s="3">
        <f t="shared" si="58"/>
        <v>0.42900000000000005</v>
      </c>
      <c r="S66" s="3">
        <f t="shared" si="58"/>
        <v>0.19400000000000001</v>
      </c>
      <c r="T66" s="3">
        <f t="shared" si="59"/>
        <v>-0.23500000000000004</v>
      </c>
      <c r="U66" s="3">
        <f t="shared" si="60"/>
        <v>-5.9500000000000011E-2</v>
      </c>
      <c r="V66" s="3">
        <f t="shared" si="60"/>
        <v>-8.7999999999999995E-2</v>
      </c>
      <c r="W66" s="3">
        <f t="shared" si="24"/>
        <v>-2.8499999999999984E-2</v>
      </c>
      <c r="X66" s="3">
        <f t="shared" ref="X66:X129" si="67">(U66*U66)/(2*R66)</f>
        <v>4.1261655011655025E-3</v>
      </c>
      <c r="Y66" s="3">
        <f t="shared" ref="Y66:Y129" si="68">(V66*V66)/(2*S66)</f>
        <v>1.9958762886597935E-2</v>
      </c>
      <c r="Z66" s="3">
        <f t="shared" si="61"/>
        <v>1.5832597385432433E-2</v>
      </c>
      <c r="AA66" s="3">
        <v>26.172999999999998</v>
      </c>
      <c r="AB66" s="3">
        <v>26.053000000000001</v>
      </c>
      <c r="AC66" s="3">
        <f t="shared" si="62"/>
        <v>-0.11999999999999744</v>
      </c>
      <c r="AD66" s="3">
        <f>-1032.346341*627.50956</f>
        <v>-647807.19820851984</v>
      </c>
      <c r="AE66" s="3">
        <f>-1038.331492*627.50956</f>
        <v>-651562.93767906353</v>
      </c>
      <c r="AF66" s="3">
        <f t="shared" si="63"/>
        <v>-3755.7394705436891</v>
      </c>
      <c r="AG66" s="3">
        <f>-1032.411162*627.50956</f>
        <v>-647847.87400570873</v>
      </c>
      <c r="AH66" s="3">
        <f>-1038.397067*627.50956</f>
        <v>-651604.0866184606</v>
      </c>
      <c r="AI66" s="3">
        <f t="shared" si="64"/>
        <v>-3756.2126127518713</v>
      </c>
      <c r="AJ66" s="3">
        <v>-0.82199999999999995</v>
      </c>
      <c r="AK66" s="3">
        <v>-0.70399999999999996</v>
      </c>
      <c r="AL66" s="3">
        <f t="shared" si="65"/>
        <v>0.11799999999999999</v>
      </c>
      <c r="AM66" s="3">
        <v>282.23277999999999</v>
      </c>
      <c r="AN66" s="3">
        <v>301.87599999999998</v>
      </c>
      <c r="AO66" s="3">
        <v>340.39890000000003</v>
      </c>
      <c r="AP66" s="3">
        <f t="shared" si="66"/>
        <v>1.2806361936845352</v>
      </c>
      <c r="AQ66" s="3">
        <v>12.420999999999999</v>
      </c>
      <c r="AR66" s="3">
        <v>3.41800806</v>
      </c>
      <c r="AS66" s="3">
        <v>-76.454999999999998</v>
      </c>
      <c r="AT66" s="3">
        <v>-76.055000000000007</v>
      </c>
      <c r="AU66" s="3">
        <f t="shared" si="41"/>
        <v>-0.39999999999999147</v>
      </c>
      <c r="AV66" s="3">
        <v>-0.30399999999999999</v>
      </c>
      <c r="AW66" s="3">
        <v>-0.505</v>
      </c>
      <c r="AX66" s="3">
        <f t="shared" si="42"/>
        <v>0.20100000000000001</v>
      </c>
      <c r="AY66" s="3">
        <v>0.04</v>
      </c>
      <c r="AZ66" s="3">
        <v>0.16400000000000001</v>
      </c>
      <c r="BA66" s="3">
        <f t="shared" si="43"/>
        <v>-0.124</v>
      </c>
      <c r="BB66" s="3">
        <f t="shared" si="44"/>
        <v>0.13200000000000001</v>
      </c>
      <c r="BC66" s="3">
        <f t="shared" si="44"/>
        <v>0.17049999999999998</v>
      </c>
      <c r="BD66" s="3">
        <f t="shared" si="45"/>
        <v>-3.8499999999999979E-2</v>
      </c>
      <c r="BE66" s="3">
        <f t="shared" si="46"/>
        <v>0.34399999999999997</v>
      </c>
      <c r="BF66" s="3">
        <f t="shared" si="46"/>
        <v>0.66900000000000004</v>
      </c>
      <c r="BG66" s="3">
        <f t="shared" si="47"/>
        <v>-0.32500000000000007</v>
      </c>
      <c r="BH66" s="3">
        <f t="shared" si="48"/>
        <v>-0.13200000000000001</v>
      </c>
      <c r="BI66" s="3">
        <f t="shared" si="48"/>
        <v>-0.17049999999999998</v>
      </c>
      <c r="BJ66" s="3">
        <f t="shared" si="31"/>
        <v>3.8499999999999979E-2</v>
      </c>
      <c r="BK66" s="3">
        <f t="shared" ref="BK66:BK129" si="69">(BH66*BH66)/(2*BE66)</f>
        <v>2.5325581395348844E-2</v>
      </c>
      <c r="BL66" s="3">
        <f t="shared" ref="BL66:BL129" si="70">(BI66*BI66)/(2*BF66)</f>
        <v>2.1726644245141997E-2</v>
      </c>
      <c r="BM66" s="3">
        <f t="shared" si="49"/>
        <v>3.5989371502068469E-3</v>
      </c>
      <c r="BN66" s="3">
        <v>2.3010000000000002</v>
      </c>
      <c r="BO66" s="3">
        <v>2.3559999999999999</v>
      </c>
      <c r="BP66" s="3">
        <f t="shared" si="50"/>
        <v>-5.4999999999999716E-2</v>
      </c>
      <c r="BQ66" s="3">
        <v>-47960.305999999997</v>
      </c>
      <c r="BR66" s="3">
        <v>-47708.290999999997</v>
      </c>
      <c r="BS66" s="3">
        <f t="shared" si="51"/>
        <v>-252.01499999999942</v>
      </c>
      <c r="BT66" s="3">
        <v>-47973.754999999997</v>
      </c>
      <c r="BU66" s="3">
        <v>-47721.697</v>
      </c>
      <c r="BV66" s="3">
        <f t="shared" si="52"/>
        <v>-252.05799999999726</v>
      </c>
    </row>
    <row r="67" spans="1:74" x14ac:dyDescent="0.25">
      <c r="A67" t="s">
        <v>279</v>
      </c>
      <c r="B67" t="s">
        <v>514</v>
      </c>
      <c r="C67" t="s">
        <v>99</v>
      </c>
      <c r="D67" s="3">
        <v>12.13</v>
      </c>
      <c r="E67" s="3">
        <v>0.6</v>
      </c>
      <c r="F67" s="3">
        <v>-490.012</v>
      </c>
      <c r="G67" s="3">
        <v>-491.24900000000002</v>
      </c>
      <c r="H67" s="3">
        <f t="shared" si="53"/>
        <v>-1.2370000000000232</v>
      </c>
      <c r="I67" s="3">
        <v>-0.318</v>
      </c>
      <c r="J67" s="6">
        <v>-0.21099999999999999</v>
      </c>
      <c r="K67" s="3">
        <f t="shared" si="54"/>
        <v>0.10700000000000001</v>
      </c>
      <c r="L67" s="3">
        <v>0.19400000000000001</v>
      </c>
      <c r="M67" s="6">
        <v>7.2999999999999995E-2</v>
      </c>
      <c r="N67" s="3">
        <f t="shared" si="55"/>
        <v>-0.12100000000000001</v>
      </c>
      <c r="O67" s="3">
        <f t="shared" si="56"/>
        <v>6.2E-2</v>
      </c>
      <c r="P67" s="3">
        <f t="shared" si="56"/>
        <v>6.9000000000000006E-2</v>
      </c>
      <c r="Q67" s="3">
        <f t="shared" si="57"/>
        <v>7.0000000000000062E-3</v>
      </c>
      <c r="R67" s="3">
        <f t="shared" si="58"/>
        <v>0.51200000000000001</v>
      </c>
      <c r="S67" s="3">
        <f t="shared" si="58"/>
        <v>0.28399999999999997</v>
      </c>
      <c r="T67" s="3">
        <f t="shared" si="59"/>
        <v>-0.22800000000000004</v>
      </c>
      <c r="U67" s="3">
        <f t="shared" si="60"/>
        <v>-6.2E-2</v>
      </c>
      <c r="V67" s="3">
        <f t="shared" si="60"/>
        <v>-6.9000000000000006E-2</v>
      </c>
      <c r="W67" s="3">
        <f t="shared" ref="W67:W130" si="71">(V67-U67)</f>
        <v>-7.0000000000000062E-3</v>
      </c>
      <c r="X67" s="3">
        <f t="shared" si="67"/>
        <v>3.7539062499999999E-3</v>
      </c>
      <c r="Y67" s="3">
        <f t="shared" si="68"/>
        <v>8.3820422535211287E-3</v>
      </c>
      <c r="Z67" s="3">
        <f t="shared" si="61"/>
        <v>4.6281360035211293E-3</v>
      </c>
      <c r="AA67" s="3">
        <v>0.995</v>
      </c>
      <c r="AB67" s="3">
        <v>1.413</v>
      </c>
      <c r="AC67" s="3">
        <f t="shared" si="62"/>
        <v>0.41800000000000004</v>
      </c>
      <c r="AD67" s="3">
        <f>-489.998454*627.50956</f>
        <v>-307478.7142702202</v>
      </c>
      <c r="AE67" s="3">
        <f>-491.23639*627.50956</f>
        <v>-308255.53094488836</v>
      </c>
      <c r="AF67" s="3">
        <f t="shared" si="63"/>
        <v>-776.81667466816725</v>
      </c>
      <c r="AG67" s="3">
        <f>-490.024815*627.50956</f>
        <v>-307495.2560497314</v>
      </c>
      <c r="AH67" s="3">
        <f>-491.262847*627.50956</f>
        <v>-308272.13296531735</v>
      </c>
      <c r="AI67" s="3">
        <f t="shared" si="64"/>
        <v>-776.87691558594815</v>
      </c>
      <c r="AJ67" s="3">
        <v>-0.61599999999999999</v>
      </c>
      <c r="AK67" s="3">
        <v>-0.57699999999999996</v>
      </c>
      <c r="AL67" s="3">
        <f t="shared" si="65"/>
        <v>3.9000000000000035E-2</v>
      </c>
      <c r="AM67" s="3">
        <v>58.0824</v>
      </c>
      <c r="AN67" s="3">
        <v>86.9452</v>
      </c>
      <c r="AO67" s="3">
        <v>70.9619</v>
      </c>
      <c r="AP67" s="3">
        <f t="shared" si="66"/>
        <v>1.0491028602645858</v>
      </c>
      <c r="AQ67" s="3">
        <v>6.194</v>
      </c>
      <c r="AR67" s="3">
        <v>1.210351</v>
      </c>
      <c r="AS67" s="3">
        <v>-132.80099999999999</v>
      </c>
      <c r="AT67" s="3">
        <v>-131.97</v>
      </c>
      <c r="AU67" s="3">
        <f t="shared" si="41"/>
        <v>-0.83099999999998886</v>
      </c>
      <c r="AV67" s="3">
        <v>-0.34100000000000003</v>
      </c>
      <c r="AW67" s="3">
        <v>-0.47499999999999998</v>
      </c>
      <c r="AX67" s="3">
        <f t="shared" si="42"/>
        <v>0.13399999999999995</v>
      </c>
      <c r="AY67" s="3">
        <v>2.9000000000000001E-2</v>
      </c>
      <c r="AZ67" s="3">
        <v>0.156</v>
      </c>
      <c r="BA67" s="3">
        <f t="shared" si="43"/>
        <v>-0.127</v>
      </c>
      <c r="BB67" s="3">
        <f t="shared" si="44"/>
        <v>0.156</v>
      </c>
      <c r="BC67" s="3">
        <f t="shared" si="44"/>
        <v>0.15949999999999998</v>
      </c>
      <c r="BD67" s="3">
        <f t="shared" si="45"/>
        <v>-3.4999999999999754E-3</v>
      </c>
      <c r="BE67" s="3">
        <f t="shared" si="46"/>
        <v>0.37000000000000005</v>
      </c>
      <c r="BF67" s="3">
        <f t="shared" si="46"/>
        <v>0.63100000000000001</v>
      </c>
      <c r="BG67" s="3">
        <f t="shared" si="47"/>
        <v>-0.26099999999999995</v>
      </c>
      <c r="BH67" s="3">
        <f t="shared" si="48"/>
        <v>-0.156</v>
      </c>
      <c r="BI67" s="3">
        <f t="shared" si="48"/>
        <v>-0.15949999999999998</v>
      </c>
      <c r="BJ67" s="3">
        <f t="shared" ref="BJ67:BJ130" si="72">(BH67-BI67)</f>
        <v>3.4999999999999754E-3</v>
      </c>
      <c r="BK67" s="3">
        <f t="shared" si="69"/>
        <v>3.2886486486486483E-2</v>
      </c>
      <c r="BL67" s="3">
        <f t="shared" si="70"/>
        <v>2.0158676703645E-2</v>
      </c>
      <c r="BM67" s="3">
        <f t="shared" si="49"/>
        <v>1.2727809782841482E-2</v>
      </c>
      <c r="BN67" s="3">
        <v>4.7279999999999998</v>
      </c>
      <c r="BO67" s="3">
        <v>4.9340000000000002</v>
      </c>
      <c r="BP67" s="3">
        <f t="shared" si="50"/>
        <v>-0.20600000000000041</v>
      </c>
      <c r="BQ67" s="3">
        <v>-83302.89</v>
      </c>
      <c r="BR67" s="3">
        <v>-82779.224000000002</v>
      </c>
      <c r="BS67" s="3">
        <f t="shared" si="51"/>
        <v>-523.66599999999744</v>
      </c>
      <c r="BT67" s="3">
        <v>-83320.774999999994</v>
      </c>
      <c r="BU67" s="3">
        <v>-82796.997000000003</v>
      </c>
      <c r="BV67" s="3">
        <f t="shared" si="52"/>
        <v>-523.77799999999115</v>
      </c>
    </row>
    <row r="68" spans="1:74" x14ac:dyDescent="0.25">
      <c r="A68" t="s">
        <v>235</v>
      </c>
      <c r="B68" t="s">
        <v>514</v>
      </c>
      <c r="C68" t="s">
        <v>200</v>
      </c>
      <c r="D68" s="3">
        <v>12.15</v>
      </c>
      <c r="E68" s="3">
        <v>0.65</v>
      </c>
      <c r="F68" s="3">
        <v>-430.96800000000002</v>
      </c>
      <c r="G68" s="3">
        <v>-433.03800000000001</v>
      </c>
      <c r="H68" s="3">
        <f t="shared" si="53"/>
        <v>-2.0699999999999932</v>
      </c>
      <c r="I68" s="3">
        <v>-0.41699999999999998</v>
      </c>
      <c r="J68" s="6">
        <v>-0.26200000000000001</v>
      </c>
      <c r="K68" s="3">
        <f t="shared" si="54"/>
        <v>0.15499999999999997</v>
      </c>
      <c r="L68" s="3">
        <v>0.16300000000000001</v>
      </c>
      <c r="M68" s="6">
        <v>4.1000000000000002E-2</v>
      </c>
      <c r="N68" s="3">
        <f t="shared" si="55"/>
        <v>-0.122</v>
      </c>
      <c r="O68" s="3">
        <f t="shared" si="56"/>
        <v>0.127</v>
      </c>
      <c r="P68" s="3">
        <f t="shared" si="56"/>
        <v>0.1105</v>
      </c>
      <c r="Q68" s="3">
        <f t="shared" si="57"/>
        <v>-1.6500000000000001E-2</v>
      </c>
      <c r="R68" s="3">
        <f t="shared" si="58"/>
        <v>0.57999999999999996</v>
      </c>
      <c r="S68" s="3">
        <f t="shared" si="58"/>
        <v>0.30299999999999999</v>
      </c>
      <c r="T68" s="3">
        <f t="shared" si="59"/>
        <v>-0.27699999999999997</v>
      </c>
      <c r="U68" s="3">
        <f t="shared" si="60"/>
        <v>-0.127</v>
      </c>
      <c r="V68" s="3">
        <f t="shared" si="60"/>
        <v>-0.1105</v>
      </c>
      <c r="W68" s="3">
        <f t="shared" si="71"/>
        <v>1.6500000000000001E-2</v>
      </c>
      <c r="X68" s="3">
        <f t="shared" si="67"/>
        <v>1.3904310344827588E-2</v>
      </c>
      <c r="Y68" s="3">
        <f t="shared" si="68"/>
        <v>2.0148927392739276E-2</v>
      </c>
      <c r="Z68" s="3">
        <f t="shared" si="61"/>
        <v>6.2446170479116877E-3</v>
      </c>
      <c r="AA68" s="3">
        <v>4.101</v>
      </c>
      <c r="AB68" s="3">
        <v>3.8980000000000001</v>
      </c>
      <c r="AC68" s="3">
        <f t="shared" si="62"/>
        <v>-0.20299999999999985</v>
      </c>
      <c r="AD68" s="3">
        <f>-430.885455*627.50956</f>
        <v>-270384.74227744975</v>
      </c>
      <c r="AE68" s="3">
        <f>-432.961386*627.50956</f>
        <v>-271687.40882585017</v>
      </c>
      <c r="AF68" s="3">
        <f t="shared" si="63"/>
        <v>-1302.6665484004188</v>
      </c>
      <c r="AG68" s="3">
        <f>-430.9217*627.50956</f>
        <v>-270407.48636145197</v>
      </c>
      <c r="AH68" s="3">
        <f>-432.998376*627.50956</f>
        <v>-271710.62040447455</v>
      </c>
      <c r="AI68" s="3">
        <f t="shared" si="64"/>
        <v>-1303.1340430225828</v>
      </c>
      <c r="AJ68" s="3">
        <v>-0.85299999999999998</v>
      </c>
      <c r="AK68" s="3">
        <v>-0.84699999999999998</v>
      </c>
      <c r="AL68" s="3">
        <f t="shared" si="65"/>
        <v>6.0000000000000053E-3</v>
      </c>
      <c r="AM68" s="3">
        <v>99.055059999999997</v>
      </c>
      <c r="AN68" s="3">
        <v>120.5352</v>
      </c>
      <c r="AO68" s="3">
        <v>110.04085000000001</v>
      </c>
      <c r="AP68" s="3">
        <f t="shared" si="66"/>
        <v>1.0855934615936065</v>
      </c>
      <c r="AQ68" s="3">
        <v>7.0430000000000001</v>
      </c>
      <c r="AR68" s="3">
        <v>1.529811</v>
      </c>
      <c r="AS68" s="3">
        <v>-553.27200000000005</v>
      </c>
      <c r="AT68" s="3">
        <v>-551.61699999999996</v>
      </c>
      <c r="AU68" s="3">
        <f t="shared" si="41"/>
        <v>-1.6550000000000864</v>
      </c>
      <c r="AV68" s="3">
        <v>-0.23699999999999999</v>
      </c>
      <c r="AW68" s="3">
        <v>-0.36899999999999999</v>
      </c>
      <c r="AX68" s="3">
        <f t="shared" si="42"/>
        <v>0.13200000000000001</v>
      </c>
      <c r="AY68" s="3">
        <v>2.8000000000000001E-2</v>
      </c>
      <c r="AZ68" s="3">
        <v>0.154</v>
      </c>
      <c r="BA68" s="3">
        <f t="shared" si="43"/>
        <v>-0.126</v>
      </c>
      <c r="BB68" s="3">
        <f t="shared" si="44"/>
        <v>0.1045</v>
      </c>
      <c r="BC68" s="3">
        <f t="shared" si="44"/>
        <v>0.1075</v>
      </c>
      <c r="BD68" s="3">
        <f t="shared" si="45"/>
        <v>-3.0000000000000027E-3</v>
      </c>
      <c r="BE68" s="3">
        <f t="shared" si="46"/>
        <v>0.26500000000000001</v>
      </c>
      <c r="BF68" s="3">
        <f t="shared" si="46"/>
        <v>0.52300000000000002</v>
      </c>
      <c r="BG68" s="3">
        <f t="shared" si="47"/>
        <v>-0.25800000000000001</v>
      </c>
      <c r="BH68" s="3">
        <f t="shared" si="48"/>
        <v>-0.1045</v>
      </c>
      <c r="BI68" s="3">
        <f t="shared" si="48"/>
        <v>-0.1075</v>
      </c>
      <c r="BJ68" s="3">
        <f t="shared" si="72"/>
        <v>3.0000000000000027E-3</v>
      </c>
      <c r="BK68" s="3">
        <f t="shared" si="69"/>
        <v>2.0604245283018865E-2</v>
      </c>
      <c r="BL68" s="3">
        <f t="shared" si="70"/>
        <v>1.104804015296367E-2</v>
      </c>
      <c r="BM68" s="3">
        <f t="shared" si="49"/>
        <v>9.5562051300551957E-3</v>
      </c>
      <c r="BN68" s="3">
        <v>5.4870000000000001</v>
      </c>
      <c r="BO68" s="3">
        <v>6.0839999999999996</v>
      </c>
      <c r="BP68" s="3">
        <f t="shared" si="50"/>
        <v>-0.59699999999999953</v>
      </c>
      <c r="BQ68" s="3">
        <v>-347129.96399999998</v>
      </c>
      <c r="BR68" s="3">
        <v>-346087.64600000001</v>
      </c>
      <c r="BS68" s="3">
        <f t="shared" si="51"/>
        <v>-1042.3179999999702</v>
      </c>
      <c r="BT68" s="3">
        <v>-347152.04599999997</v>
      </c>
      <c r="BU68" s="3">
        <v>-346109.22600000002</v>
      </c>
      <c r="BV68" s="3">
        <f t="shared" si="52"/>
        <v>-1042.8199999999488</v>
      </c>
    </row>
    <row r="69" spans="1:74" x14ac:dyDescent="0.25">
      <c r="A69" t="s">
        <v>280</v>
      </c>
      <c r="B69" t="s">
        <v>514</v>
      </c>
      <c r="C69" t="s">
        <v>199</v>
      </c>
      <c r="D69" s="3">
        <v>12.19</v>
      </c>
      <c r="E69" s="3">
        <v>0.66</v>
      </c>
      <c r="F69" s="3">
        <v>-301.81299999999999</v>
      </c>
      <c r="G69" s="3">
        <v>-303.73500000000001</v>
      </c>
      <c r="H69" s="3">
        <f t="shared" si="53"/>
        <v>-1.9220000000000255</v>
      </c>
      <c r="I69" s="3">
        <v>-0.33100000000000002</v>
      </c>
      <c r="J69" s="6">
        <v>-0.23100000000000001</v>
      </c>
      <c r="K69" s="3">
        <f t="shared" si="54"/>
        <v>0.1</v>
      </c>
      <c r="L69" s="3">
        <v>0.13100000000000001</v>
      </c>
      <c r="M69" s="6">
        <v>-1.6E-2</v>
      </c>
      <c r="N69" s="3">
        <f t="shared" si="55"/>
        <v>-0.14700000000000002</v>
      </c>
      <c r="O69" s="3">
        <f t="shared" si="56"/>
        <v>0.1</v>
      </c>
      <c r="P69" s="3">
        <f t="shared" si="56"/>
        <v>0.1235</v>
      </c>
      <c r="Q69" s="3">
        <f t="shared" si="57"/>
        <v>2.3499999999999993E-2</v>
      </c>
      <c r="R69" s="3">
        <f t="shared" si="58"/>
        <v>0.46200000000000002</v>
      </c>
      <c r="S69" s="3">
        <f t="shared" si="58"/>
        <v>0.21500000000000002</v>
      </c>
      <c r="T69" s="3">
        <f t="shared" si="59"/>
        <v>-0.247</v>
      </c>
      <c r="U69" s="3">
        <f t="shared" si="60"/>
        <v>-0.1</v>
      </c>
      <c r="V69" s="3">
        <f t="shared" si="60"/>
        <v>-0.1235</v>
      </c>
      <c r="W69" s="3">
        <f t="shared" si="71"/>
        <v>-2.3499999999999993E-2</v>
      </c>
      <c r="X69" s="3">
        <f t="shared" si="67"/>
        <v>1.0822510822510824E-2</v>
      </c>
      <c r="Y69" s="3">
        <f t="shared" si="68"/>
        <v>3.5470348837209301E-2</v>
      </c>
      <c r="Z69" s="3">
        <f t="shared" si="61"/>
        <v>2.4647838014698477E-2</v>
      </c>
      <c r="AA69" s="3">
        <v>4.867</v>
      </c>
      <c r="AB69" s="3">
        <v>5.4720000000000004</v>
      </c>
      <c r="AC69" s="3">
        <f t="shared" si="62"/>
        <v>0.60500000000000043</v>
      </c>
      <c r="AD69" s="3">
        <f>-301.694003*627.50956</f>
        <v>-189315.87107716867</v>
      </c>
      <c r="AE69" s="3">
        <f>-303.623328*627.50956</f>
        <v>-190526.54095901569</v>
      </c>
      <c r="AF69" s="3">
        <f t="shared" si="63"/>
        <v>-1210.6698818470177</v>
      </c>
      <c r="AG69" s="3">
        <f>-301.728998*627.50956</f>
        <v>-189337.83077422087</v>
      </c>
      <c r="AH69" s="3">
        <f>-303.658977*627.50956</f>
        <v>-190548.91104732011</v>
      </c>
      <c r="AI69" s="3">
        <f t="shared" si="64"/>
        <v>-1211.0802730992436</v>
      </c>
      <c r="AJ69" s="3">
        <v>-0.81499999999999995</v>
      </c>
      <c r="AK69" s="3">
        <v>-0.53900000000000003</v>
      </c>
      <c r="AL69" s="3">
        <f t="shared" si="65"/>
        <v>0.27599999999999991</v>
      </c>
      <c r="AM69" s="3">
        <v>94.114540000000005</v>
      </c>
      <c r="AN69" s="3">
        <v>148.08565999999999</v>
      </c>
      <c r="AO69" s="3">
        <v>147.26220000000001</v>
      </c>
      <c r="AP69" s="3">
        <f t="shared" si="66"/>
        <v>1.0982674174937723</v>
      </c>
      <c r="AQ69" s="3">
        <v>7.8010000000000002</v>
      </c>
      <c r="AR69" s="3">
        <v>1.7199709999999999</v>
      </c>
      <c r="AS69" s="3">
        <v>-76.454999999999998</v>
      </c>
      <c r="AT69" s="3">
        <v>-76.055000000000007</v>
      </c>
      <c r="AU69" s="3">
        <f t="shared" si="41"/>
        <v>-0.39999999999999147</v>
      </c>
      <c r="AV69" s="3">
        <v>-0.30399999999999999</v>
      </c>
      <c r="AW69" s="3">
        <v>-0.505</v>
      </c>
      <c r="AX69" s="3">
        <f t="shared" si="42"/>
        <v>0.20100000000000001</v>
      </c>
      <c r="AY69" s="3">
        <v>0.04</v>
      </c>
      <c r="AZ69" s="3">
        <v>0.16400000000000001</v>
      </c>
      <c r="BA69" s="3">
        <f t="shared" si="43"/>
        <v>-0.124</v>
      </c>
      <c r="BB69" s="3">
        <f t="shared" si="44"/>
        <v>0.13200000000000001</v>
      </c>
      <c r="BC69" s="3">
        <f t="shared" si="44"/>
        <v>0.17049999999999998</v>
      </c>
      <c r="BD69" s="3">
        <f t="shared" si="45"/>
        <v>-3.8499999999999979E-2</v>
      </c>
      <c r="BE69" s="3">
        <f t="shared" si="46"/>
        <v>0.34399999999999997</v>
      </c>
      <c r="BF69" s="3">
        <f t="shared" si="46"/>
        <v>0.66900000000000004</v>
      </c>
      <c r="BG69" s="3">
        <f t="shared" si="47"/>
        <v>-0.32500000000000007</v>
      </c>
      <c r="BH69" s="3">
        <f t="shared" si="48"/>
        <v>-0.13200000000000001</v>
      </c>
      <c r="BI69" s="3">
        <f t="shared" si="48"/>
        <v>-0.17049999999999998</v>
      </c>
      <c r="BJ69" s="3">
        <f t="shared" si="72"/>
        <v>3.8499999999999979E-2</v>
      </c>
      <c r="BK69" s="3">
        <f t="shared" si="69"/>
        <v>2.5325581395348844E-2</v>
      </c>
      <c r="BL69" s="3">
        <f t="shared" si="70"/>
        <v>2.1726644245141997E-2</v>
      </c>
      <c r="BM69" s="3">
        <f t="shared" si="49"/>
        <v>3.5989371502068469E-3</v>
      </c>
      <c r="BN69" s="3">
        <v>2.3010000000000002</v>
      </c>
      <c r="BO69" s="3">
        <v>2.3559999999999999</v>
      </c>
      <c r="BP69" s="3">
        <f t="shared" si="50"/>
        <v>-5.4999999999999716E-2</v>
      </c>
      <c r="BQ69" s="3">
        <v>-47960.305999999997</v>
      </c>
      <c r="BR69" s="3">
        <v>-47708.290999999997</v>
      </c>
      <c r="BS69" s="3">
        <f t="shared" si="51"/>
        <v>-252.01499999999942</v>
      </c>
      <c r="BT69" s="3">
        <v>-47973.754999999997</v>
      </c>
      <c r="BU69" s="3">
        <v>-47721.697</v>
      </c>
      <c r="BV69" s="3">
        <f t="shared" si="52"/>
        <v>-252.05799999999726</v>
      </c>
    </row>
    <row r="70" spans="1:74" x14ac:dyDescent="0.25">
      <c r="A70" t="s">
        <v>281</v>
      </c>
      <c r="B70" t="s">
        <v>514</v>
      </c>
      <c r="C70" t="s">
        <v>199</v>
      </c>
      <c r="D70" s="3">
        <v>12.26</v>
      </c>
      <c r="E70" s="3">
        <v>0.63</v>
      </c>
      <c r="F70" s="3">
        <v>-696.19899999999996</v>
      </c>
      <c r="G70" s="3">
        <v>-700.20699999999999</v>
      </c>
      <c r="H70" s="3">
        <f t="shared" si="53"/>
        <v>-4.0080000000000382</v>
      </c>
      <c r="I70" s="3">
        <v>-0.374</v>
      </c>
      <c r="J70" s="6">
        <v>-0.219</v>
      </c>
      <c r="K70" s="3">
        <f t="shared" si="54"/>
        <v>0.155</v>
      </c>
      <c r="L70" s="3">
        <v>0.161</v>
      </c>
      <c r="M70" s="6">
        <v>1.4E-2</v>
      </c>
      <c r="N70" s="3">
        <f t="shared" si="55"/>
        <v>-0.14699999999999999</v>
      </c>
      <c r="O70" s="3">
        <f t="shared" si="56"/>
        <v>0.1065</v>
      </c>
      <c r="P70" s="3">
        <f t="shared" si="56"/>
        <v>0.10249999999999999</v>
      </c>
      <c r="Q70" s="3">
        <f t="shared" si="57"/>
        <v>-4.0000000000000036E-3</v>
      </c>
      <c r="R70" s="3">
        <f t="shared" si="58"/>
        <v>0.53500000000000003</v>
      </c>
      <c r="S70" s="3">
        <f t="shared" si="58"/>
        <v>0.23300000000000001</v>
      </c>
      <c r="T70" s="3">
        <f t="shared" si="59"/>
        <v>-0.30200000000000005</v>
      </c>
      <c r="U70" s="3">
        <f t="shared" si="60"/>
        <v>-0.1065</v>
      </c>
      <c r="V70" s="3">
        <f t="shared" si="60"/>
        <v>-0.10249999999999999</v>
      </c>
      <c r="W70" s="3">
        <f t="shared" si="71"/>
        <v>4.0000000000000036E-3</v>
      </c>
      <c r="X70" s="3">
        <f t="shared" si="67"/>
        <v>1.0600233644859812E-2</v>
      </c>
      <c r="Y70" s="3">
        <f t="shared" si="68"/>
        <v>2.2545600858369094E-2</v>
      </c>
      <c r="Z70" s="3">
        <f t="shared" si="61"/>
        <v>1.1945367213509282E-2</v>
      </c>
      <c r="AA70" s="3">
        <v>19.646000000000001</v>
      </c>
      <c r="AB70" s="3">
        <v>17.524999999999999</v>
      </c>
      <c r="AC70" s="3">
        <f t="shared" si="62"/>
        <v>-2.1210000000000022</v>
      </c>
      <c r="AD70" s="3">
        <f>-695.992875*627.50956</f>
        <v>-436742.18275438499</v>
      </c>
      <c r="AE70" s="3">
        <f>-700.014832*627.50956</f>
        <v>-439265.99922179384</v>
      </c>
      <c r="AF70" s="3">
        <f t="shared" si="63"/>
        <v>-2523.8164674088475</v>
      </c>
      <c r="AG70" s="3">
        <f>-696.050742*627.50956</f>
        <v>-436778.4948500935</v>
      </c>
      <c r="AH70" s="3">
        <f>-700.074571*627.50956</f>
        <v>-439303.48601539875</v>
      </c>
      <c r="AI70" s="3">
        <f t="shared" si="64"/>
        <v>-2524.991165305255</v>
      </c>
      <c r="AJ70" s="3">
        <v>-0.69299999999999995</v>
      </c>
      <c r="AK70" s="3">
        <v>-0.61599999999999999</v>
      </c>
      <c r="AL70" s="3">
        <f t="shared" si="65"/>
        <v>7.6999999999999957E-2</v>
      </c>
      <c r="AM70" s="3">
        <v>188.16130000000001</v>
      </c>
      <c r="AN70" s="3">
        <v>239.20500000000001</v>
      </c>
      <c r="AO70" s="3">
        <v>250.1996</v>
      </c>
      <c r="AP70" s="3">
        <f t="shared" si="66"/>
        <v>1.2459533907160423</v>
      </c>
      <c r="AQ70" s="3">
        <v>14.332000000000001</v>
      </c>
      <c r="AR70" s="3">
        <v>3.520311</v>
      </c>
      <c r="AS70" s="3">
        <v>-76.454999999999998</v>
      </c>
      <c r="AT70" s="3">
        <v>-76.055000000000007</v>
      </c>
      <c r="AU70" s="3">
        <f t="shared" si="41"/>
        <v>-0.39999999999999147</v>
      </c>
      <c r="AV70" s="3">
        <v>-0.30399999999999999</v>
      </c>
      <c r="AW70" s="3">
        <v>-0.505</v>
      </c>
      <c r="AX70" s="3">
        <f t="shared" si="42"/>
        <v>0.20100000000000001</v>
      </c>
      <c r="AY70" s="3">
        <v>0.04</v>
      </c>
      <c r="AZ70" s="3">
        <v>0.16400000000000001</v>
      </c>
      <c r="BA70" s="3">
        <f t="shared" si="43"/>
        <v>-0.124</v>
      </c>
      <c r="BB70" s="3">
        <f t="shared" si="44"/>
        <v>0.13200000000000001</v>
      </c>
      <c r="BC70" s="3">
        <f t="shared" si="44"/>
        <v>0.17049999999999998</v>
      </c>
      <c r="BD70" s="3">
        <f t="shared" si="45"/>
        <v>-3.8499999999999979E-2</v>
      </c>
      <c r="BE70" s="3">
        <f t="shared" si="46"/>
        <v>0.34399999999999997</v>
      </c>
      <c r="BF70" s="3">
        <f t="shared" si="46"/>
        <v>0.66900000000000004</v>
      </c>
      <c r="BG70" s="3">
        <f t="shared" si="47"/>
        <v>-0.32500000000000007</v>
      </c>
      <c r="BH70" s="3">
        <f t="shared" si="48"/>
        <v>-0.13200000000000001</v>
      </c>
      <c r="BI70" s="3">
        <f t="shared" si="48"/>
        <v>-0.17049999999999998</v>
      </c>
      <c r="BJ70" s="3">
        <f t="shared" si="72"/>
        <v>3.8499999999999979E-2</v>
      </c>
      <c r="BK70" s="3">
        <f t="shared" si="69"/>
        <v>2.5325581395348844E-2</v>
      </c>
      <c r="BL70" s="3">
        <f t="shared" si="70"/>
        <v>2.1726644245141997E-2</v>
      </c>
      <c r="BM70" s="3">
        <f t="shared" si="49"/>
        <v>3.5989371502068469E-3</v>
      </c>
      <c r="BN70" s="3">
        <v>2.3010000000000002</v>
      </c>
      <c r="BO70" s="3">
        <v>2.3559999999999999</v>
      </c>
      <c r="BP70" s="3">
        <f t="shared" si="50"/>
        <v>-5.4999999999999716E-2</v>
      </c>
      <c r="BQ70" s="3">
        <v>-47960.305999999997</v>
      </c>
      <c r="BR70" s="3">
        <v>-47708.290999999997</v>
      </c>
      <c r="BS70" s="3">
        <f t="shared" si="51"/>
        <v>-252.01499999999942</v>
      </c>
      <c r="BT70" s="3">
        <v>-47973.754999999997</v>
      </c>
      <c r="BU70" s="3">
        <v>-47721.697</v>
      </c>
      <c r="BV70" s="3">
        <f t="shared" si="52"/>
        <v>-252.05799999999726</v>
      </c>
    </row>
    <row r="71" spans="1:74" x14ac:dyDescent="0.25">
      <c r="A71" t="s">
        <v>283</v>
      </c>
      <c r="B71" t="s">
        <v>514</v>
      </c>
      <c r="C71" t="s">
        <v>199</v>
      </c>
      <c r="D71" s="3">
        <v>12.29</v>
      </c>
      <c r="E71" s="3">
        <v>0.57999999999999996</v>
      </c>
      <c r="F71" s="3">
        <v>-170.93799999999999</v>
      </c>
      <c r="G71" s="3">
        <v>-172.054</v>
      </c>
      <c r="H71" s="3">
        <f t="shared" si="53"/>
        <v>-1.1160000000000139</v>
      </c>
      <c r="I71" s="3">
        <v>-0.39100000000000001</v>
      </c>
      <c r="J71" s="6">
        <v>-0.254</v>
      </c>
      <c r="K71" s="3">
        <f t="shared" si="54"/>
        <v>0.13700000000000001</v>
      </c>
      <c r="L71" s="3">
        <v>0.153</v>
      </c>
      <c r="M71" s="6">
        <v>0.02</v>
      </c>
      <c r="N71" s="3">
        <f t="shared" si="55"/>
        <v>-0.13300000000000001</v>
      </c>
      <c r="O71" s="3">
        <f t="shared" si="56"/>
        <v>0.11900000000000001</v>
      </c>
      <c r="P71" s="3">
        <f t="shared" si="56"/>
        <v>0.11700000000000001</v>
      </c>
      <c r="Q71" s="3">
        <f t="shared" si="57"/>
        <v>-2.0000000000000018E-3</v>
      </c>
      <c r="R71" s="3">
        <f t="shared" si="58"/>
        <v>0.54400000000000004</v>
      </c>
      <c r="S71" s="3">
        <f t="shared" si="58"/>
        <v>0.27400000000000002</v>
      </c>
      <c r="T71" s="3">
        <f t="shared" si="59"/>
        <v>-0.27</v>
      </c>
      <c r="U71" s="3">
        <f t="shared" si="60"/>
        <v>-0.11900000000000001</v>
      </c>
      <c r="V71" s="3">
        <f t="shared" si="60"/>
        <v>-0.11700000000000001</v>
      </c>
      <c r="W71" s="3">
        <f t="shared" si="71"/>
        <v>2.0000000000000018E-3</v>
      </c>
      <c r="X71" s="3">
        <f t="shared" si="67"/>
        <v>1.3015625000000001E-2</v>
      </c>
      <c r="Y71" s="3">
        <f t="shared" si="68"/>
        <v>2.4979927007299271E-2</v>
      </c>
      <c r="Z71" s="3">
        <f t="shared" si="61"/>
        <v>1.196430200729927E-2</v>
      </c>
      <c r="AA71" s="3">
        <v>2.1850000000000001</v>
      </c>
      <c r="AB71" s="3">
        <v>2.173</v>
      </c>
      <c r="AC71" s="3">
        <f t="shared" si="62"/>
        <v>-1.2000000000000011E-2</v>
      </c>
      <c r="AD71" s="3">
        <f>-170.852757*627.50956</f>
        <v>-107211.73836985692</v>
      </c>
      <c r="AE71" s="3">
        <f>-171.974115*627.50956</f>
        <v>-107915.4012350394</v>
      </c>
      <c r="AF71" s="3">
        <f t="shared" si="63"/>
        <v>-703.66286518248671</v>
      </c>
      <c r="AG71" s="3">
        <f>-170.884777*627.50956</f>
        <v>-107231.83122596813</v>
      </c>
      <c r="AH71" s="3">
        <f>-172.006697*627.50956</f>
        <v>-107935.84675152332</v>
      </c>
      <c r="AI71" s="3">
        <f t="shared" si="64"/>
        <v>-704.01552555519447</v>
      </c>
      <c r="AJ71" s="3">
        <v>-0.83599999999999997</v>
      </c>
      <c r="AK71" s="3">
        <v>-0.83299999999999996</v>
      </c>
      <c r="AL71" s="3">
        <f t="shared" si="65"/>
        <v>3.0000000000000027E-3</v>
      </c>
      <c r="AM71" s="3">
        <v>55.078499999999998</v>
      </c>
      <c r="AN71" s="3">
        <v>119.9958</v>
      </c>
      <c r="AO71" s="3">
        <v>106.98569999999999</v>
      </c>
      <c r="AP71" s="3">
        <f t="shared" si="66"/>
        <v>1.1012134508480229</v>
      </c>
      <c r="AQ71" s="3">
        <v>7.8440000000000003</v>
      </c>
      <c r="AR71" s="3">
        <v>1.502739</v>
      </c>
      <c r="AS71" s="3">
        <v>-76.454999999999998</v>
      </c>
      <c r="AT71" s="3">
        <v>-76.055000000000007</v>
      </c>
      <c r="AU71" s="3">
        <f t="shared" si="41"/>
        <v>-0.39999999999999147</v>
      </c>
      <c r="AV71" s="3">
        <v>-0.30399999999999999</v>
      </c>
      <c r="AW71" s="3">
        <v>-0.505</v>
      </c>
      <c r="AX71" s="3">
        <f t="shared" si="42"/>
        <v>0.20100000000000001</v>
      </c>
      <c r="AY71" s="3">
        <v>0.04</v>
      </c>
      <c r="AZ71" s="3">
        <v>0.16400000000000001</v>
      </c>
      <c r="BA71" s="3">
        <f t="shared" si="43"/>
        <v>-0.124</v>
      </c>
      <c r="BB71" s="3">
        <f t="shared" si="44"/>
        <v>0.13200000000000001</v>
      </c>
      <c r="BC71" s="3">
        <f t="shared" si="44"/>
        <v>0.17049999999999998</v>
      </c>
      <c r="BD71" s="3">
        <f t="shared" si="45"/>
        <v>-3.8499999999999979E-2</v>
      </c>
      <c r="BE71" s="3">
        <f t="shared" si="46"/>
        <v>0.34399999999999997</v>
      </c>
      <c r="BF71" s="3">
        <f t="shared" si="46"/>
        <v>0.66900000000000004</v>
      </c>
      <c r="BG71" s="3">
        <f t="shared" si="47"/>
        <v>-0.32500000000000007</v>
      </c>
      <c r="BH71" s="3">
        <f t="shared" si="48"/>
        <v>-0.13200000000000001</v>
      </c>
      <c r="BI71" s="3">
        <f t="shared" si="48"/>
        <v>-0.17049999999999998</v>
      </c>
      <c r="BJ71" s="3">
        <f t="shared" si="72"/>
        <v>3.8499999999999979E-2</v>
      </c>
      <c r="BK71" s="3">
        <f t="shared" si="69"/>
        <v>2.5325581395348844E-2</v>
      </c>
      <c r="BL71" s="3">
        <f t="shared" si="70"/>
        <v>2.1726644245141997E-2</v>
      </c>
      <c r="BM71" s="3">
        <f t="shared" si="49"/>
        <v>3.5989371502068469E-3</v>
      </c>
      <c r="BN71" s="3">
        <v>2.3010000000000002</v>
      </c>
      <c r="BO71" s="3">
        <v>2.3559999999999999</v>
      </c>
      <c r="BP71" s="3">
        <f t="shared" si="50"/>
        <v>-5.4999999999999716E-2</v>
      </c>
      <c r="BQ71" s="3">
        <v>-47960.305999999997</v>
      </c>
      <c r="BR71" s="3">
        <v>-47708.290999999997</v>
      </c>
      <c r="BS71" s="3">
        <f t="shared" si="51"/>
        <v>-252.01499999999942</v>
      </c>
      <c r="BT71" s="3">
        <v>-47973.754999999997</v>
      </c>
      <c r="BU71" s="3">
        <v>-47721.697</v>
      </c>
      <c r="BV71" s="3">
        <f t="shared" si="52"/>
        <v>-252.05799999999726</v>
      </c>
    </row>
    <row r="72" spans="1:74" x14ac:dyDescent="0.25">
      <c r="A72" t="s">
        <v>282</v>
      </c>
      <c r="B72" t="s">
        <v>514</v>
      </c>
      <c r="C72" t="s">
        <v>199</v>
      </c>
      <c r="D72" s="3">
        <v>12.29</v>
      </c>
      <c r="E72" s="3">
        <v>0.59</v>
      </c>
      <c r="F72" s="3">
        <v>-263.089</v>
      </c>
      <c r="G72" s="3">
        <v>-264.65300000000002</v>
      </c>
      <c r="H72" s="3">
        <f t="shared" si="53"/>
        <v>-1.5640000000000214</v>
      </c>
      <c r="I72" s="3">
        <v>-0.39800000000000002</v>
      </c>
      <c r="J72" s="6">
        <v>-0.245</v>
      </c>
      <c r="K72" s="3">
        <f t="shared" si="54"/>
        <v>0.15300000000000002</v>
      </c>
      <c r="L72" s="3">
        <v>0.158</v>
      </c>
      <c r="M72" s="6">
        <v>1.7000000000000001E-2</v>
      </c>
      <c r="N72" s="3">
        <f t="shared" si="55"/>
        <v>-0.14100000000000001</v>
      </c>
      <c r="O72" s="3">
        <f t="shared" si="56"/>
        <v>0.12000000000000001</v>
      </c>
      <c r="P72" s="3">
        <f t="shared" si="56"/>
        <v>0.11399999999999999</v>
      </c>
      <c r="Q72" s="3">
        <f t="shared" si="57"/>
        <v>-6.0000000000000192E-3</v>
      </c>
      <c r="R72" s="3">
        <f t="shared" si="58"/>
        <v>0.55600000000000005</v>
      </c>
      <c r="S72" s="3">
        <f t="shared" si="58"/>
        <v>0.26200000000000001</v>
      </c>
      <c r="T72" s="3">
        <f t="shared" si="59"/>
        <v>-0.29400000000000004</v>
      </c>
      <c r="U72" s="3">
        <f t="shared" si="60"/>
        <v>-0.12000000000000001</v>
      </c>
      <c r="V72" s="3">
        <f t="shared" si="60"/>
        <v>-0.11399999999999999</v>
      </c>
      <c r="W72" s="3">
        <f t="shared" si="71"/>
        <v>6.0000000000000192E-3</v>
      </c>
      <c r="X72" s="3">
        <f t="shared" si="67"/>
        <v>1.2949640287769786E-2</v>
      </c>
      <c r="Y72" s="3">
        <f t="shared" si="68"/>
        <v>2.4801526717557247E-2</v>
      </c>
      <c r="Z72" s="3">
        <f t="shared" si="61"/>
        <v>1.1851886429787462E-2</v>
      </c>
      <c r="AA72" s="3">
        <v>5.444</v>
      </c>
      <c r="AB72" s="3">
        <v>4.9960000000000004</v>
      </c>
      <c r="AC72" s="3">
        <f t="shared" si="62"/>
        <v>-0.44799999999999951</v>
      </c>
      <c r="AD72" s="3">
        <f>-262.983773*627.50956</f>
        <v>-165024.83168236987</v>
      </c>
      <c r="AE72" s="3">
        <f>-264.55454*627.50956</f>
        <v>-166010.50299140238</v>
      </c>
      <c r="AF72" s="3">
        <f t="shared" si="63"/>
        <v>-985.67130903250654</v>
      </c>
      <c r="AG72" s="3">
        <f>-263.019827*627.50956</f>
        <v>-165047.45591204613</v>
      </c>
      <c r="AH72" s="3">
        <f>-264.590726*627.50956</f>
        <v>-166033.21005234055</v>
      </c>
      <c r="AI72" s="3">
        <f t="shared" si="64"/>
        <v>-985.7541402944189</v>
      </c>
      <c r="AJ72" s="3">
        <v>-0.84499999999999997</v>
      </c>
      <c r="AK72" s="3">
        <v>-0.78700000000000003</v>
      </c>
      <c r="AL72" s="3">
        <f t="shared" si="65"/>
        <v>5.799999999999994E-2</v>
      </c>
      <c r="AM72" s="3">
        <v>74.08184</v>
      </c>
      <c r="AN72" s="3">
        <v>126.5286</v>
      </c>
      <c r="AO72" s="3">
        <v>118.01842000000001</v>
      </c>
      <c r="AP72" s="3">
        <f t="shared" si="66"/>
        <v>1.0876223471649504</v>
      </c>
      <c r="AQ72" s="3">
        <v>7.71</v>
      </c>
      <c r="AR72" s="3">
        <v>1.5405005000000001</v>
      </c>
      <c r="AS72" s="3">
        <v>-76.454999999999998</v>
      </c>
      <c r="AT72" s="3">
        <v>-76.055000000000007</v>
      </c>
      <c r="AU72" s="3">
        <f t="shared" si="41"/>
        <v>-0.39999999999999147</v>
      </c>
      <c r="AV72" s="3">
        <v>-0.30399999999999999</v>
      </c>
      <c r="AW72" s="3">
        <v>-0.505</v>
      </c>
      <c r="AX72" s="3">
        <f t="shared" si="42"/>
        <v>0.20100000000000001</v>
      </c>
      <c r="AY72" s="3">
        <v>0.04</v>
      </c>
      <c r="AZ72" s="3">
        <v>0.16400000000000001</v>
      </c>
      <c r="BA72" s="3">
        <f t="shared" si="43"/>
        <v>-0.124</v>
      </c>
      <c r="BB72" s="3">
        <f t="shared" si="44"/>
        <v>0.13200000000000001</v>
      </c>
      <c r="BC72" s="3">
        <f t="shared" si="44"/>
        <v>0.17049999999999998</v>
      </c>
      <c r="BD72" s="3">
        <f t="shared" si="45"/>
        <v>-3.8499999999999979E-2</v>
      </c>
      <c r="BE72" s="3">
        <f t="shared" si="46"/>
        <v>0.34399999999999997</v>
      </c>
      <c r="BF72" s="3">
        <f t="shared" si="46"/>
        <v>0.66900000000000004</v>
      </c>
      <c r="BG72" s="3">
        <f t="shared" si="47"/>
        <v>-0.32500000000000007</v>
      </c>
      <c r="BH72" s="3">
        <f t="shared" si="48"/>
        <v>-0.13200000000000001</v>
      </c>
      <c r="BI72" s="3">
        <f t="shared" si="48"/>
        <v>-0.17049999999999998</v>
      </c>
      <c r="BJ72" s="3">
        <f t="shared" si="72"/>
        <v>3.8499999999999979E-2</v>
      </c>
      <c r="BK72" s="3">
        <f t="shared" si="69"/>
        <v>2.5325581395348844E-2</v>
      </c>
      <c r="BL72" s="3">
        <f t="shared" si="70"/>
        <v>2.1726644245141997E-2</v>
      </c>
      <c r="BM72" s="3">
        <f t="shared" si="49"/>
        <v>3.5989371502068469E-3</v>
      </c>
      <c r="BN72" s="3">
        <v>2.3010000000000002</v>
      </c>
      <c r="BO72" s="3">
        <v>2.3559999999999999</v>
      </c>
      <c r="BP72" s="3">
        <f t="shared" si="50"/>
        <v>-5.4999999999999716E-2</v>
      </c>
      <c r="BQ72" s="3">
        <v>-47960.305999999997</v>
      </c>
      <c r="BR72" s="3">
        <v>-47708.290999999997</v>
      </c>
      <c r="BS72" s="3">
        <f t="shared" si="51"/>
        <v>-252.01499999999942</v>
      </c>
      <c r="BT72" s="3">
        <v>-47973.754999999997</v>
      </c>
      <c r="BU72" s="3">
        <v>-47721.697</v>
      </c>
      <c r="BV72" s="3">
        <f t="shared" si="52"/>
        <v>-252.05799999999726</v>
      </c>
    </row>
    <row r="73" spans="1:74" x14ac:dyDescent="0.25">
      <c r="A73" t="s">
        <v>284</v>
      </c>
      <c r="B73" t="s">
        <v>514</v>
      </c>
      <c r="C73" t="s">
        <v>103</v>
      </c>
      <c r="D73" s="3">
        <v>12.31</v>
      </c>
      <c r="E73" s="3">
        <v>0.77</v>
      </c>
      <c r="F73" s="3">
        <v>-455.64100000000002</v>
      </c>
      <c r="G73" s="3">
        <v>-458.59699999999998</v>
      </c>
      <c r="H73" s="3">
        <f t="shared" si="53"/>
        <v>-2.9559999999999604</v>
      </c>
      <c r="I73" s="3">
        <v>-0.32900000000000001</v>
      </c>
      <c r="J73" s="6">
        <v>-0.22600000000000001</v>
      </c>
      <c r="K73" s="3">
        <f t="shared" si="54"/>
        <v>0.10300000000000001</v>
      </c>
      <c r="L73" s="3">
        <v>9.9000000000000005E-2</v>
      </c>
      <c r="M73" s="6">
        <v>-4.2999999999999997E-2</v>
      </c>
      <c r="N73" s="3">
        <f t="shared" si="55"/>
        <v>-0.14200000000000002</v>
      </c>
      <c r="O73" s="3">
        <f t="shared" si="56"/>
        <v>0.115</v>
      </c>
      <c r="P73" s="3">
        <f t="shared" si="56"/>
        <v>0.13450000000000001</v>
      </c>
      <c r="Q73" s="3">
        <f t="shared" si="57"/>
        <v>1.9500000000000003E-2</v>
      </c>
      <c r="R73" s="3">
        <f t="shared" si="58"/>
        <v>0.42800000000000005</v>
      </c>
      <c r="S73" s="3">
        <f t="shared" si="58"/>
        <v>0.183</v>
      </c>
      <c r="T73" s="3">
        <f t="shared" si="59"/>
        <v>-0.24500000000000005</v>
      </c>
      <c r="U73" s="3">
        <f t="shared" si="60"/>
        <v>-0.115</v>
      </c>
      <c r="V73" s="3">
        <f t="shared" si="60"/>
        <v>-0.13450000000000001</v>
      </c>
      <c r="W73" s="3">
        <f t="shared" si="71"/>
        <v>-1.9500000000000003E-2</v>
      </c>
      <c r="X73" s="3">
        <f t="shared" si="67"/>
        <v>1.5449766355140187E-2</v>
      </c>
      <c r="Y73" s="3">
        <f t="shared" si="68"/>
        <v>4.9426912568306017E-2</v>
      </c>
      <c r="Z73" s="3">
        <f t="shared" si="61"/>
        <v>3.3977146213165832E-2</v>
      </c>
      <c r="AA73" s="3">
        <v>3.2810000000000001</v>
      </c>
      <c r="AB73" s="3">
        <v>3.2360000000000002</v>
      </c>
      <c r="AC73" s="3">
        <f t="shared" si="62"/>
        <v>-4.4999999999999929E-2</v>
      </c>
      <c r="AD73" s="3">
        <f>-455.444353*627.50956</f>
        <v>-285795.68555551465</v>
      </c>
      <c r="AE73" s="3">
        <f>-458.412212*627.50956</f>
        <v>-287658.04545074672</v>
      </c>
      <c r="AF73" s="3">
        <f t="shared" si="63"/>
        <v>-1862.3598952320754</v>
      </c>
      <c r="AG73" s="3">
        <f>-455.487475*627.50956</f>
        <v>-285822.745022761</v>
      </c>
      <c r="AH73" s="3">
        <f>-458.456339*627.50956</f>
        <v>-287685.73556510085</v>
      </c>
      <c r="AI73" s="3">
        <f t="shared" si="64"/>
        <v>-1862.9905423398595</v>
      </c>
      <c r="AJ73" s="3">
        <v>-0.71399999999999997</v>
      </c>
      <c r="AK73" s="3">
        <v>-0.65300000000000002</v>
      </c>
      <c r="AL73" s="3">
        <f t="shared" si="65"/>
        <v>6.0999999999999943E-2</v>
      </c>
      <c r="AM73" s="3">
        <v>146.1891</v>
      </c>
      <c r="AN73" s="3">
        <v>211.5752</v>
      </c>
      <c r="AO73" s="3">
        <v>228.26988</v>
      </c>
      <c r="AP73" s="3">
        <f t="shared" si="66"/>
        <v>1.1715341969516739</v>
      </c>
      <c r="AQ73" s="3">
        <v>10.704000000000001</v>
      </c>
      <c r="AR73" s="3">
        <v>2.47955433</v>
      </c>
      <c r="AS73" s="3">
        <v>-959.76900000000001</v>
      </c>
      <c r="AT73" s="3">
        <v>-958.05</v>
      </c>
      <c r="AU73" s="3">
        <f t="shared" si="41"/>
        <v>-1.7190000000000509</v>
      </c>
      <c r="AV73" s="3">
        <v>-0.317</v>
      </c>
      <c r="AW73" s="3">
        <v>-0.45</v>
      </c>
      <c r="AX73" s="3">
        <f t="shared" si="42"/>
        <v>0.13300000000000001</v>
      </c>
      <c r="AY73" s="3">
        <v>-2.4E-2</v>
      </c>
      <c r="AZ73" s="3">
        <v>0.13500000000000001</v>
      </c>
      <c r="BA73" s="3">
        <f t="shared" si="43"/>
        <v>-0.159</v>
      </c>
      <c r="BB73" s="3">
        <f t="shared" si="44"/>
        <v>0.17050000000000001</v>
      </c>
      <c r="BC73" s="3">
        <f t="shared" si="44"/>
        <v>0.1575</v>
      </c>
      <c r="BD73" s="3">
        <f t="shared" si="45"/>
        <v>1.3000000000000012E-2</v>
      </c>
      <c r="BE73" s="3">
        <f t="shared" si="46"/>
        <v>0.29299999999999998</v>
      </c>
      <c r="BF73" s="3">
        <f t="shared" si="46"/>
        <v>0.58499999999999996</v>
      </c>
      <c r="BG73" s="3">
        <f t="shared" si="47"/>
        <v>-0.29199999999999998</v>
      </c>
      <c r="BH73" s="3">
        <f t="shared" si="48"/>
        <v>-0.17050000000000001</v>
      </c>
      <c r="BI73" s="3">
        <f t="shared" si="48"/>
        <v>-0.1575</v>
      </c>
      <c r="BJ73" s="3">
        <f t="shared" si="72"/>
        <v>-1.3000000000000012E-2</v>
      </c>
      <c r="BK73" s="3">
        <f t="shared" si="69"/>
        <v>4.9607935153583631E-2</v>
      </c>
      <c r="BL73" s="3">
        <f t="shared" si="70"/>
        <v>2.120192307692308E-2</v>
      </c>
      <c r="BM73" s="3">
        <f t="shared" si="49"/>
        <v>2.8406012076660551E-2</v>
      </c>
      <c r="BN73" s="3">
        <v>2.2370000000000001</v>
      </c>
      <c r="BO73" s="3">
        <v>2.431</v>
      </c>
      <c r="BP73" s="3">
        <f t="shared" si="50"/>
        <v>-0.19399999999999995</v>
      </c>
      <c r="BQ73" s="3">
        <v>-602243.07700000005</v>
      </c>
      <c r="BR73" s="3">
        <v>-601163.24300000002</v>
      </c>
      <c r="BS73" s="3">
        <f t="shared" si="51"/>
        <v>-1079.8340000000317</v>
      </c>
      <c r="BT73" s="3">
        <v>-602262.36399999994</v>
      </c>
      <c r="BU73" s="3">
        <v>-601182.38500000001</v>
      </c>
      <c r="BV73" s="3">
        <f t="shared" si="52"/>
        <v>-1079.9789999999339</v>
      </c>
    </row>
    <row r="74" spans="1:74" x14ac:dyDescent="0.25">
      <c r="A74" t="s">
        <v>241</v>
      </c>
      <c r="B74" t="s">
        <v>514</v>
      </c>
      <c r="C74" t="s">
        <v>99</v>
      </c>
      <c r="D74" s="3">
        <v>12.35</v>
      </c>
      <c r="E74" s="3">
        <v>0.72</v>
      </c>
      <c r="F74" s="3">
        <v>-212.387</v>
      </c>
      <c r="G74" s="3">
        <v>-213.875</v>
      </c>
      <c r="H74" s="3">
        <f t="shared" si="53"/>
        <v>-1.4879999999999995</v>
      </c>
      <c r="I74" s="3">
        <v>-0.38800000000000001</v>
      </c>
      <c r="J74" s="6">
        <v>-0.24299999999999999</v>
      </c>
      <c r="K74" s="3">
        <f t="shared" si="54"/>
        <v>0.14500000000000002</v>
      </c>
      <c r="L74" s="3">
        <v>0.15</v>
      </c>
      <c r="M74" s="6">
        <v>3.4000000000000002E-2</v>
      </c>
      <c r="N74" s="3">
        <f t="shared" si="55"/>
        <v>-0.11599999999999999</v>
      </c>
      <c r="O74" s="3">
        <f t="shared" si="56"/>
        <v>0.11900000000000001</v>
      </c>
      <c r="P74" s="3">
        <f t="shared" si="56"/>
        <v>0.1045</v>
      </c>
      <c r="Q74" s="3">
        <f t="shared" si="57"/>
        <v>-1.4500000000000013E-2</v>
      </c>
      <c r="R74" s="3">
        <f t="shared" si="58"/>
        <v>0.53800000000000003</v>
      </c>
      <c r="S74" s="3">
        <f t="shared" si="58"/>
        <v>0.27700000000000002</v>
      </c>
      <c r="T74" s="3">
        <f t="shared" si="59"/>
        <v>-0.26100000000000001</v>
      </c>
      <c r="U74" s="3">
        <f t="shared" si="60"/>
        <v>-0.11900000000000001</v>
      </c>
      <c r="V74" s="3">
        <f t="shared" si="60"/>
        <v>-0.1045</v>
      </c>
      <c r="W74" s="3">
        <f t="shared" si="71"/>
        <v>1.4500000000000013E-2</v>
      </c>
      <c r="X74" s="3">
        <f t="shared" si="67"/>
        <v>1.3160780669144983E-2</v>
      </c>
      <c r="Y74" s="3">
        <f t="shared" si="68"/>
        <v>1.9711642599277976E-2</v>
      </c>
      <c r="Z74" s="3">
        <f t="shared" si="61"/>
        <v>6.550861930132993E-3</v>
      </c>
      <c r="AA74" s="3">
        <v>1.6639999999999999</v>
      </c>
      <c r="AB74" s="3">
        <v>1.621</v>
      </c>
      <c r="AC74" s="3">
        <f t="shared" si="62"/>
        <v>-4.2999999999999927E-2</v>
      </c>
      <c r="AD74" s="3">
        <f>-212.22233*627.50956</f>
        <v>-133171.5409204748</v>
      </c>
      <c r="AE74" s="3">
        <f>-213.71951*627.50956</f>
        <v>-134111.0356835156</v>
      </c>
      <c r="AF74" s="3">
        <f t="shared" si="63"/>
        <v>-939.49476304079872</v>
      </c>
      <c r="AG74" s="3">
        <f>-212.258371*627.50956</f>
        <v>-133194.15699252675</v>
      </c>
      <c r="AH74" s="3">
        <f>-213.756298*627.50956</f>
        <v>-134134.12050520888</v>
      </c>
      <c r="AI74" s="3">
        <f t="shared" si="64"/>
        <v>-939.96351268212311</v>
      </c>
      <c r="AJ74" s="3">
        <v>-0.877</v>
      </c>
      <c r="AK74" s="3">
        <v>-0.871</v>
      </c>
      <c r="AL74" s="3">
        <f t="shared" si="65"/>
        <v>6.0000000000000053E-3</v>
      </c>
      <c r="AM74" s="3">
        <v>73.136840000000007</v>
      </c>
      <c r="AN74" s="3">
        <v>149.09723</v>
      </c>
      <c r="AO74" s="3">
        <v>155.11946</v>
      </c>
      <c r="AP74" s="3">
        <f t="shared" si="66"/>
        <v>1.0681067736148022</v>
      </c>
      <c r="AQ74" s="3">
        <v>6.726</v>
      </c>
      <c r="AR74" s="3">
        <v>1.5138590000000001</v>
      </c>
      <c r="AS74" s="3">
        <v>-132.80099999999999</v>
      </c>
      <c r="AT74" s="3">
        <v>-131.97</v>
      </c>
      <c r="AU74" s="3">
        <f t="shared" si="41"/>
        <v>-0.83099999999998886</v>
      </c>
      <c r="AV74" s="3">
        <v>-0.34100000000000003</v>
      </c>
      <c r="AW74" s="3">
        <v>-0.47499999999999998</v>
      </c>
      <c r="AX74" s="3">
        <f t="shared" si="42"/>
        <v>0.13399999999999995</v>
      </c>
      <c r="AY74" s="3">
        <v>2.9000000000000001E-2</v>
      </c>
      <c r="AZ74" s="3">
        <v>0.156</v>
      </c>
      <c r="BA74" s="3">
        <f t="shared" si="43"/>
        <v>-0.127</v>
      </c>
      <c r="BB74" s="3">
        <f t="shared" si="44"/>
        <v>0.156</v>
      </c>
      <c r="BC74" s="3">
        <f t="shared" si="44"/>
        <v>0.15949999999999998</v>
      </c>
      <c r="BD74" s="3">
        <f t="shared" si="45"/>
        <v>-3.4999999999999754E-3</v>
      </c>
      <c r="BE74" s="3">
        <f t="shared" si="46"/>
        <v>0.37000000000000005</v>
      </c>
      <c r="BF74" s="3">
        <f t="shared" si="46"/>
        <v>0.63100000000000001</v>
      </c>
      <c r="BG74" s="3">
        <f t="shared" si="47"/>
        <v>-0.26099999999999995</v>
      </c>
      <c r="BH74" s="3">
        <f t="shared" si="48"/>
        <v>-0.156</v>
      </c>
      <c r="BI74" s="3">
        <f t="shared" si="48"/>
        <v>-0.15949999999999998</v>
      </c>
      <c r="BJ74" s="3">
        <f t="shared" si="72"/>
        <v>3.4999999999999754E-3</v>
      </c>
      <c r="BK74" s="3">
        <f t="shared" si="69"/>
        <v>3.2886486486486483E-2</v>
      </c>
      <c r="BL74" s="3">
        <f t="shared" si="70"/>
        <v>2.0158676703645E-2</v>
      </c>
      <c r="BM74" s="3">
        <f t="shared" si="49"/>
        <v>1.2727809782841482E-2</v>
      </c>
      <c r="BN74" s="3">
        <v>4.7279999999999998</v>
      </c>
      <c r="BO74" s="3">
        <v>4.9340000000000002</v>
      </c>
      <c r="BP74" s="3">
        <f t="shared" si="50"/>
        <v>-0.20600000000000041</v>
      </c>
      <c r="BQ74" s="3">
        <v>-83302.89</v>
      </c>
      <c r="BR74" s="3">
        <v>-82779.224000000002</v>
      </c>
      <c r="BS74" s="3">
        <f t="shared" si="51"/>
        <v>-523.66599999999744</v>
      </c>
      <c r="BT74" s="3">
        <v>-83320.774999999994</v>
      </c>
      <c r="BU74" s="3">
        <v>-82796.997000000003</v>
      </c>
      <c r="BV74" s="3">
        <f t="shared" si="52"/>
        <v>-523.77799999999115</v>
      </c>
    </row>
    <row r="75" spans="1:74" x14ac:dyDescent="0.25">
      <c r="A75" t="s">
        <v>285</v>
      </c>
      <c r="B75" t="s">
        <v>514</v>
      </c>
      <c r="C75" t="s">
        <v>199</v>
      </c>
      <c r="D75" s="3">
        <v>12.39</v>
      </c>
      <c r="E75" s="3">
        <v>0.66</v>
      </c>
      <c r="F75" s="3">
        <v>-456.80500000000001</v>
      </c>
      <c r="G75" s="3">
        <v>-459.80599999999998</v>
      </c>
      <c r="H75" s="3">
        <f t="shared" si="53"/>
        <v>-3.0009999999999764</v>
      </c>
      <c r="I75" s="3">
        <v>-0.30599999999999999</v>
      </c>
      <c r="J75" s="6">
        <v>-0.21199999999999999</v>
      </c>
      <c r="K75" s="3">
        <f t="shared" si="54"/>
        <v>9.4E-2</v>
      </c>
      <c r="L75" s="3">
        <v>0.13300000000000001</v>
      </c>
      <c r="M75" s="6">
        <v>-1.2999999999999999E-2</v>
      </c>
      <c r="N75" s="3">
        <f t="shared" si="55"/>
        <v>-0.14600000000000002</v>
      </c>
      <c r="O75" s="3">
        <f t="shared" si="56"/>
        <v>8.6499999999999994E-2</v>
      </c>
      <c r="P75" s="3">
        <f t="shared" si="56"/>
        <v>0.1125</v>
      </c>
      <c r="Q75" s="3">
        <f t="shared" si="57"/>
        <v>2.6000000000000009E-2</v>
      </c>
      <c r="R75" s="3">
        <f t="shared" si="58"/>
        <v>0.439</v>
      </c>
      <c r="S75" s="3">
        <f t="shared" si="58"/>
        <v>0.19899999999999998</v>
      </c>
      <c r="T75" s="3">
        <f t="shared" si="59"/>
        <v>-0.24000000000000002</v>
      </c>
      <c r="U75" s="3">
        <f t="shared" si="60"/>
        <v>-8.6499999999999994E-2</v>
      </c>
      <c r="V75" s="3">
        <f t="shared" si="60"/>
        <v>-0.1125</v>
      </c>
      <c r="W75" s="3">
        <f t="shared" si="71"/>
        <v>-2.6000000000000009E-2</v>
      </c>
      <c r="X75" s="3">
        <f t="shared" si="67"/>
        <v>8.5219248291571754E-3</v>
      </c>
      <c r="Y75" s="3">
        <f t="shared" si="68"/>
        <v>3.1799623115577894E-2</v>
      </c>
      <c r="Z75" s="3">
        <f t="shared" si="61"/>
        <v>2.327769828642072E-2</v>
      </c>
      <c r="AA75" s="3">
        <v>6.3470000000000004</v>
      </c>
      <c r="AB75" s="3">
        <v>6.8849999999999998</v>
      </c>
      <c r="AC75" s="3">
        <f t="shared" si="62"/>
        <v>0.53799999999999937</v>
      </c>
      <c r="AD75" s="3">
        <f>-456.583777*627.50956</f>
        <v>-286510.68500840809</v>
      </c>
      <c r="AE75" s="3">
        <f>-459.598259*627.50956</f>
        <v>-288402.30128185602</v>
      </c>
      <c r="AF75" s="3">
        <f t="shared" si="63"/>
        <v>-1891.6162734479294</v>
      </c>
      <c r="AG75" s="3">
        <f>-456.627697*627.50956</f>
        <v>-286538.24522828334</v>
      </c>
      <c r="AH75" s="3">
        <f>-459.642977*627.50956</f>
        <v>-288430.36225436011</v>
      </c>
      <c r="AI75" s="3">
        <f t="shared" si="64"/>
        <v>-1892.1170260767685</v>
      </c>
      <c r="AJ75" s="3">
        <v>-0.622</v>
      </c>
      <c r="AK75" s="3">
        <v>-0.54700000000000004</v>
      </c>
      <c r="AL75" s="3">
        <f t="shared" si="65"/>
        <v>7.4999999999999956E-2</v>
      </c>
      <c r="AM75" s="3">
        <v>148.20498000000001</v>
      </c>
      <c r="AN75" s="3">
        <v>213.73349999999999</v>
      </c>
      <c r="AO75" s="3">
        <v>238.12647000000001</v>
      </c>
      <c r="AP75" s="3">
        <f t="shared" si="66"/>
        <v>1.1505975157294464</v>
      </c>
      <c r="AQ75" s="3">
        <v>10.250999999999999</v>
      </c>
      <c r="AR75" s="3">
        <v>2.4813510000000001</v>
      </c>
      <c r="AS75" s="3">
        <v>-76.454999999999998</v>
      </c>
      <c r="AT75" s="3">
        <v>-76.055000000000007</v>
      </c>
      <c r="AU75" s="3">
        <f t="shared" si="41"/>
        <v>-0.39999999999999147</v>
      </c>
      <c r="AV75" s="3">
        <v>-0.30399999999999999</v>
      </c>
      <c r="AW75" s="3">
        <v>-0.505</v>
      </c>
      <c r="AX75" s="3">
        <f t="shared" si="42"/>
        <v>0.20100000000000001</v>
      </c>
      <c r="AY75" s="3">
        <v>0.04</v>
      </c>
      <c r="AZ75" s="3">
        <v>0.16400000000000001</v>
      </c>
      <c r="BA75" s="3">
        <f t="shared" si="43"/>
        <v>-0.124</v>
      </c>
      <c r="BB75" s="3">
        <f t="shared" si="44"/>
        <v>0.13200000000000001</v>
      </c>
      <c r="BC75" s="3">
        <f t="shared" si="44"/>
        <v>0.17049999999999998</v>
      </c>
      <c r="BD75" s="3">
        <f t="shared" si="45"/>
        <v>-3.8499999999999979E-2</v>
      </c>
      <c r="BE75" s="3">
        <f t="shared" si="46"/>
        <v>0.34399999999999997</v>
      </c>
      <c r="BF75" s="3">
        <f t="shared" si="46"/>
        <v>0.66900000000000004</v>
      </c>
      <c r="BG75" s="3">
        <f t="shared" si="47"/>
        <v>-0.32500000000000007</v>
      </c>
      <c r="BH75" s="3">
        <f t="shared" si="48"/>
        <v>-0.13200000000000001</v>
      </c>
      <c r="BI75" s="3">
        <f t="shared" si="48"/>
        <v>-0.17049999999999998</v>
      </c>
      <c r="BJ75" s="3">
        <f t="shared" si="72"/>
        <v>3.8499999999999979E-2</v>
      </c>
      <c r="BK75" s="3">
        <f t="shared" si="69"/>
        <v>2.5325581395348844E-2</v>
      </c>
      <c r="BL75" s="3">
        <f t="shared" si="70"/>
        <v>2.1726644245141997E-2</v>
      </c>
      <c r="BM75" s="3">
        <f t="shared" si="49"/>
        <v>3.5989371502068469E-3</v>
      </c>
      <c r="BN75" s="3">
        <v>2.3010000000000002</v>
      </c>
      <c r="BO75" s="3">
        <v>2.3559999999999999</v>
      </c>
      <c r="BP75" s="3">
        <f t="shared" si="50"/>
        <v>-5.4999999999999716E-2</v>
      </c>
      <c r="BQ75" s="3">
        <v>-47960.305999999997</v>
      </c>
      <c r="BR75" s="3">
        <v>-47708.290999999997</v>
      </c>
      <c r="BS75" s="3">
        <f t="shared" si="51"/>
        <v>-252.01499999999942</v>
      </c>
      <c r="BT75" s="3">
        <v>-47973.754999999997</v>
      </c>
      <c r="BU75" s="3">
        <v>-47721.697</v>
      </c>
      <c r="BV75" s="3">
        <f t="shared" si="52"/>
        <v>-252.05799999999726</v>
      </c>
    </row>
    <row r="76" spans="1:74" x14ac:dyDescent="0.25">
      <c r="A76" t="s">
        <v>287</v>
      </c>
      <c r="B76" t="s">
        <v>514</v>
      </c>
      <c r="C76" t="s">
        <v>99</v>
      </c>
      <c r="D76" s="3">
        <v>12.43</v>
      </c>
      <c r="E76" s="3">
        <v>0.75</v>
      </c>
      <c r="F76" s="3">
        <v>-228.33</v>
      </c>
      <c r="G76" s="3">
        <v>-229.864</v>
      </c>
      <c r="H76" s="3">
        <f t="shared" si="53"/>
        <v>-1.5339999999999918</v>
      </c>
      <c r="I76" s="3">
        <v>-0.36799999999999999</v>
      </c>
      <c r="J76" s="6">
        <v>-0.23</v>
      </c>
      <c r="K76" s="3">
        <f t="shared" si="54"/>
        <v>0.13799999999999998</v>
      </c>
      <c r="L76" s="3">
        <v>0.158</v>
      </c>
      <c r="M76" s="6">
        <v>4.2000000000000003E-2</v>
      </c>
      <c r="N76" s="3">
        <f t="shared" si="55"/>
        <v>-0.11599999999999999</v>
      </c>
      <c r="O76" s="3">
        <f t="shared" si="56"/>
        <v>0.105</v>
      </c>
      <c r="P76" s="3">
        <f t="shared" si="56"/>
        <v>9.4E-2</v>
      </c>
      <c r="Q76" s="3">
        <f t="shared" si="57"/>
        <v>-1.0999999999999996E-2</v>
      </c>
      <c r="R76" s="3">
        <f t="shared" si="58"/>
        <v>0.52600000000000002</v>
      </c>
      <c r="S76" s="3">
        <f t="shared" si="58"/>
        <v>0.27200000000000002</v>
      </c>
      <c r="T76" s="3">
        <f t="shared" si="59"/>
        <v>-0.254</v>
      </c>
      <c r="U76" s="3">
        <f t="shared" si="60"/>
        <v>-0.105</v>
      </c>
      <c r="V76" s="3">
        <f t="shared" si="60"/>
        <v>-9.4E-2</v>
      </c>
      <c r="W76" s="3">
        <f t="shared" si="71"/>
        <v>1.0999999999999996E-2</v>
      </c>
      <c r="X76" s="3">
        <f t="shared" si="67"/>
        <v>1.0480038022813686E-2</v>
      </c>
      <c r="Y76" s="3">
        <f t="shared" si="68"/>
        <v>1.6242647058823528E-2</v>
      </c>
      <c r="Z76" s="3">
        <f t="shared" si="61"/>
        <v>5.7626090360098428E-3</v>
      </c>
      <c r="AA76" s="3">
        <v>1.889</v>
      </c>
      <c r="AB76" s="3">
        <v>1.81</v>
      </c>
      <c r="AC76" s="3">
        <f t="shared" si="62"/>
        <v>-7.8999999999999959E-2</v>
      </c>
      <c r="AD76" s="3">
        <f>-228.176329*627.50956</f>
        <v>-143182.82781320525</v>
      </c>
      <c r="AE76" s="3">
        <f>-229.720075*627.50956</f>
        <v>-144151.543186417</v>
      </c>
      <c r="AF76" s="3">
        <f t="shared" si="63"/>
        <v>-968.71537321174401</v>
      </c>
      <c r="AG76" s="3">
        <f>-228.212778*627.50956</f>
        <v>-143205.69990915767</v>
      </c>
      <c r="AH76" s="3">
        <f>-229.757067*627.50956</f>
        <v>-144174.75602006051</v>
      </c>
      <c r="AI76" s="3">
        <f t="shared" si="64"/>
        <v>-969.05611090283492</v>
      </c>
      <c r="AJ76" s="3">
        <v>-0.51200000000000001</v>
      </c>
      <c r="AK76" s="3">
        <v>-0.502</v>
      </c>
      <c r="AL76" s="3">
        <f t="shared" si="65"/>
        <v>1.0000000000000009E-2</v>
      </c>
      <c r="AM76" s="3">
        <v>74.124899999999997</v>
      </c>
      <c r="AN76" s="3">
        <v>149.59270000000001</v>
      </c>
      <c r="AO76" s="3">
        <v>149.26009999999999</v>
      </c>
      <c r="AP76" s="3">
        <f t="shared" si="66"/>
        <v>1.0995218538465374</v>
      </c>
      <c r="AQ76" s="3">
        <v>7.7110000000000003</v>
      </c>
      <c r="AR76" s="3">
        <v>1.5866996</v>
      </c>
      <c r="AS76" s="3">
        <v>-132.80099999999999</v>
      </c>
      <c r="AT76" s="3">
        <v>-131.97</v>
      </c>
      <c r="AU76" s="3">
        <f t="shared" si="41"/>
        <v>-0.83099999999998886</v>
      </c>
      <c r="AV76" s="3">
        <v>-0.34100000000000003</v>
      </c>
      <c r="AW76" s="3">
        <v>-0.47499999999999998</v>
      </c>
      <c r="AX76" s="3">
        <f t="shared" si="42"/>
        <v>0.13399999999999995</v>
      </c>
      <c r="AY76" s="3">
        <v>2.9000000000000001E-2</v>
      </c>
      <c r="AZ76" s="3">
        <v>0.156</v>
      </c>
      <c r="BA76" s="3">
        <f t="shared" si="43"/>
        <v>-0.127</v>
      </c>
      <c r="BB76" s="3">
        <f t="shared" si="44"/>
        <v>0.156</v>
      </c>
      <c r="BC76" s="3">
        <f t="shared" si="44"/>
        <v>0.15949999999999998</v>
      </c>
      <c r="BD76" s="3">
        <f t="shared" si="45"/>
        <v>-3.4999999999999754E-3</v>
      </c>
      <c r="BE76" s="3">
        <f t="shared" si="46"/>
        <v>0.37000000000000005</v>
      </c>
      <c r="BF76" s="3">
        <f t="shared" si="46"/>
        <v>0.63100000000000001</v>
      </c>
      <c r="BG76" s="3">
        <f t="shared" si="47"/>
        <v>-0.26099999999999995</v>
      </c>
      <c r="BH76" s="3">
        <f t="shared" si="48"/>
        <v>-0.156</v>
      </c>
      <c r="BI76" s="3">
        <f t="shared" si="48"/>
        <v>-0.15949999999999998</v>
      </c>
      <c r="BJ76" s="3">
        <f t="shared" si="72"/>
        <v>3.4999999999999754E-3</v>
      </c>
      <c r="BK76" s="3">
        <f t="shared" si="69"/>
        <v>3.2886486486486483E-2</v>
      </c>
      <c r="BL76" s="3">
        <f t="shared" si="70"/>
        <v>2.0158676703645E-2</v>
      </c>
      <c r="BM76" s="3">
        <f t="shared" si="49"/>
        <v>1.2727809782841482E-2</v>
      </c>
      <c r="BN76" s="3">
        <v>4.7279999999999998</v>
      </c>
      <c r="BO76" s="3">
        <v>4.9340000000000002</v>
      </c>
      <c r="BP76" s="3">
        <f t="shared" si="50"/>
        <v>-0.20600000000000041</v>
      </c>
      <c r="BQ76" s="3">
        <v>-83302.89</v>
      </c>
      <c r="BR76" s="3">
        <v>-82779.224000000002</v>
      </c>
      <c r="BS76" s="3">
        <f t="shared" si="51"/>
        <v>-523.66599999999744</v>
      </c>
      <c r="BT76" s="3">
        <v>-83320.774999999994</v>
      </c>
      <c r="BU76" s="3">
        <v>-82796.997000000003</v>
      </c>
      <c r="BV76" s="3">
        <f t="shared" si="52"/>
        <v>-523.77799999999115</v>
      </c>
    </row>
    <row r="77" spans="1:74" x14ac:dyDescent="0.25">
      <c r="A77" t="s">
        <v>288</v>
      </c>
      <c r="B77" t="s">
        <v>514</v>
      </c>
      <c r="C77" t="s">
        <v>103</v>
      </c>
      <c r="D77" s="3">
        <v>12.46</v>
      </c>
      <c r="E77" s="3">
        <v>0.87</v>
      </c>
      <c r="F77" s="3">
        <v>-359.178</v>
      </c>
      <c r="G77" s="3">
        <v>-362.505</v>
      </c>
      <c r="H77" s="3">
        <f t="shared" si="53"/>
        <v>-3.3269999999999982</v>
      </c>
      <c r="I77" s="3">
        <v>-0.34300000000000003</v>
      </c>
      <c r="J77" s="6">
        <v>-0.22</v>
      </c>
      <c r="K77" s="3">
        <f t="shared" si="54"/>
        <v>0.12300000000000003</v>
      </c>
      <c r="L77" s="3">
        <v>0.156</v>
      </c>
      <c r="M77" s="6">
        <v>4.2000000000000003E-2</v>
      </c>
      <c r="N77" s="3">
        <f t="shared" si="55"/>
        <v>-0.11399999999999999</v>
      </c>
      <c r="O77" s="3">
        <f t="shared" si="56"/>
        <v>9.3500000000000014E-2</v>
      </c>
      <c r="P77" s="3">
        <f t="shared" si="56"/>
        <v>8.8999999999999996E-2</v>
      </c>
      <c r="Q77" s="3">
        <f t="shared" si="57"/>
        <v>-4.5000000000000179E-3</v>
      </c>
      <c r="R77" s="3">
        <f t="shared" si="58"/>
        <v>0.499</v>
      </c>
      <c r="S77" s="3">
        <f t="shared" si="58"/>
        <v>0.26200000000000001</v>
      </c>
      <c r="T77" s="3">
        <f t="shared" si="59"/>
        <v>-0.23699999999999999</v>
      </c>
      <c r="U77" s="3">
        <f t="shared" si="60"/>
        <v>-9.3500000000000014E-2</v>
      </c>
      <c r="V77" s="3">
        <f t="shared" si="60"/>
        <v>-8.8999999999999996E-2</v>
      </c>
      <c r="W77" s="3">
        <f t="shared" si="71"/>
        <v>4.5000000000000179E-3</v>
      </c>
      <c r="X77" s="3">
        <f t="shared" si="67"/>
        <v>8.7597695390781577E-3</v>
      </c>
      <c r="Y77" s="3">
        <f t="shared" si="68"/>
        <v>1.5116412213740455E-2</v>
      </c>
      <c r="Z77" s="3">
        <f t="shared" si="61"/>
        <v>6.3566426746622974E-3</v>
      </c>
      <c r="AA77" s="3">
        <v>4.6769999999999996</v>
      </c>
      <c r="AB77" s="3">
        <v>4.3710000000000004</v>
      </c>
      <c r="AC77" s="3">
        <f t="shared" si="62"/>
        <v>-0.30599999999999916</v>
      </c>
      <c r="AD77" s="3">
        <f>-358.990285*627.50956</f>
        <v>-225269.83578462456</v>
      </c>
      <c r="AE77" s="3">
        <f>-361.328782*627.50956</f>
        <v>-226737.2650081559</v>
      </c>
      <c r="AF77" s="3">
        <f t="shared" si="63"/>
        <v>-1467.4292235313333</v>
      </c>
      <c r="AG77" s="3">
        <f>-359.031557*627.50956</f>
        <v>-225295.73435918492</v>
      </c>
      <c r="AH77" s="3">
        <f>-361.371018*627.50956</f>
        <v>-226763.76850193206</v>
      </c>
      <c r="AI77" s="3">
        <f t="shared" si="64"/>
        <v>-1468.0341427471431</v>
      </c>
      <c r="AJ77" s="3">
        <v>-0.90700000000000003</v>
      </c>
      <c r="AK77" s="3">
        <v>-0.83099999999999996</v>
      </c>
      <c r="AL77" s="3">
        <f t="shared" si="65"/>
        <v>7.6000000000000068E-2</v>
      </c>
      <c r="AM77" s="3">
        <v>113.16094</v>
      </c>
      <c r="AN77" s="3">
        <v>180.51337000000001</v>
      </c>
      <c r="AO77" s="3">
        <v>191.56362999999999</v>
      </c>
      <c r="AP77" s="3">
        <f t="shared" si="66"/>
        <v>1.123457425739455</v>
      </c>
      <c r="AQ77" s="3">
        <v>8.7880000000000003</v>
      </c>
      <c r="AR77" s="3">
        <v>1.8756197999999999</v>
      </c>
      <c r="AS77" s="3">
        <v>-959.76900000000001</v>
      </c>
      <c r="AT77" s="3">
        <v>-958.05</v>
      </c>
      <c r="AU77" s="3">
        <f t="shared" si="41"/>
        <v>-1.7190000000000509</v>
      </c>
      <c r="AV77" s="3">
        <v>-0.317</v>
      </c>
      <c r="AW77" s="3">
        <v>-0.45</v>
      </c>
      <c r="AX77" s="3">
        <f t="shared" si="42"/>
        <v>0.13300000000000001</v>
      </c>
      <c r="AY77" s="3">
        <v>-2.4E-2</v>
      </c>
      <c r="AZ77" s="3">
        <v>0.13500000000000001</v>
      </c>
      <c r="BA77" s="3">
        <f t="shared" si="43"/>
        <v>-0.159</v>
      </c>
      <c r="BB77" s="3">
        <f t="shared" si="44"/>
        <v>0.17050000000000001</v>
      </c>
      <c r="BC77" s="3">
        <f t="shared" si="44"/>
        <v>0.1575</v>
      </c>
      <c r="BD77" s="3">
        <f t="shared" si="45"/>
        <v>1.3000000000000012E-2</v>
      </c>
      <c r="BE77" s="3">
        <f t="shared" si="46"/>
        <v>0.29299999999999998</v>
      </c>
      <c r="BF77" s="3">
        <f t="shared" si="46"/>
        <v>0.58499999999999996</v>
      </c>
      <c r="BG77" s="3">
        <f t="shared" si="47"/>
        <v>-0.29199999999999998</v>
      </c>
      <c r="BH77" s="3">
        <f t="shared" si="48"/>
        <v>-0.17050000000000001</v>
      </c>
      <c r="BI77" s="3">
        <f t="shared" si="48"/>
        <v>-0.1575</v>
      </c>
      <c r="BJ77" s="3">
        <f t="shared" si="72"/>
        <v>-1.3000000000000012E-2</v>
      </c>
      <c r="BK77" s="3">
        <f t="shared" si="69"/>
        <v>4.9607935153583631E-2</v>
      </c>
      <c r="BL77" s="3">
        <f t="shared" si="70"/>
        <v>2.120192307692308E-2</v>
      </c>
      <c r="BM77" s="3">
        <f t="shared" si="49"/>
        <v>2.8406012076660551E-2</v>
      </c>
      <c r="BN77" s="3">
        <v>2.2370000000000001</v>
      </c>
      <c r="BO77" s="3">
        <v>2.431</v>
      </c>
      <c r="BP77" s="3">
        <f t="shared" si="50"/>
        <v>-0.19399999999999995</v>
      </c>
      <c r="BQ77" s="3">
        <v>-602243.07700000005</v>
      </c>
      <c r="BR77" s="3">
        <v>-601163.24300000002</v>
      </c>
      <c r="BS77" s="3">
        <f t="shared" si="51"/>
        <v>-1079.8340000000317</v>
      </c>
      <c r="BT77" s="3">
        <v>-602262.36399999994</v>
      </c>
      <c r="BU77" s="3">
        <v>-601182.38500000001</v>
      </c>
      <c r="BV77" s="3">
        <f t="shared" si="52"/>
        <v>-1079.9789999999339</v>
      </c>
    </row>
    <row r="78" spans="1:74" x14ac:dyDescent="0.25">
      <c r="A78" t="s">
        <v>289</v>
      </c>
      <c r="B78" t="s">
        <v>514</v>
      </c>
      <c r="C78" t="s">
        <v>199</v>
      </c>
      <c r="D78" s="3">
        <v>12.47</v>
      </c>
      <c r="E78" s="3">
        <v>0.52</v>
      </c>
      <c r="F78" s="3">
        <v>-321.15699999999998</v>
      </c>
      <c r="G78" s="3">
        <v>-323.12299999999999</v>
      </c>
      <c r="H78" s="3">
        <f t="shared" si="53"/>
        <v>-1.9660000000000082</v>
      </c>
      <c r="I78" s="3">
        <v>-0.26</v>
      </c>
      <c r="J78" s="6">
        <v>-0.17299999999999999</v>
      </c>
      <c r="K78" s="3">
        <f t="shared" si="54"/>
        <v>8.7000000000000022E-2</v>
      </c>
      <c r="L78" s="3">
        <v>0.15</v>
      </c>
      <c r="M78" s="6">
        <v>5.0000000000000001E-3</v>
      </c>
      <c r="N78" s="3">
        <f t="shared" si="55"/>
        <v>-0.14499999999999999</v>
      </c>
      <c r="O78" s="3">
        <f t="shared" si="56"/>
        <v>5.5000000000000007E-2</v>
      </c>
      <c r="P78" s="3">
        <f t="shared" si="56"/>
        <v>8.3999999999999991E-2</v>
      </c>
      <c r="Q78" s="3">
        <f t="shared" si="57"/>
        <v>2.8999999999999984E-2</v>
      </c>
      <c r="R78" s="3">
        <f t="shared" si="58"/>
        <v>0.41000000000000003</v>
      </c>
      <c r="S78" s="3">
        <f t="shared" si="58"/>
        <v>0.17799999999999999</v>
      </c>
      <c r="T78" s="3">
        <f t="shared" si="59"/>
        <v>-0.23200000000000004</v>
      </c>
      <c r="U78" s="3">
        <f t="shared" si="60"/>
        <v>-5.5000000000000007E-2</v>
      </c>
      <c r="V78" s="3">
        <f t="shared" si="60"/>
        <v>-8.3999999999999991E-2</v>
      </c>
      <c r="W78" s="3">
        <f t="shared" si="71"/>
        <v>-2.8999999999999984E-2</v>
      </c>
      <c r="X78" s="3">
        <f t="shared" si="67"/>
        <v>3.6890243902439031E-3</v>
      </c>
      <c r="Y78" s="3">
        <f t="shared" si="68"/>
        <v>1.982022471910112E-2</v>
      </c>
      <c r="Z78" s="3">
        <f t="shared" si="61"/>
        <v>1.6131200328857218E-2</v>
      </c>
      <c r="AA78" s="3">
        <v>8.0960000000000001</v>
      </c>
      <c r="AB78" s="3">
        <v>7.2249999999999996</v>
      </c>
      <c r="AC78" s="3">
        <f t="shared" si="62"/>
        <v>-0.87100000000000044</v>
      </c>
      <c r="AD78" s="3">
        <f>-321.065607*627.50956</f>
        <v>-201471.7377797029</v>
      </c>
      <c r="AE78" s="3">
        <f>-323.037703*627.50956</f>
        <v>-202709.24687294068</v>
      </c>
      <c r="AF78" s="3">
        <f t="shared" si="63"/>
        <v>-1237.5090932377789</v>
      </c>
      <c r="AG78" s="3">
        <f>-321.099789*627.50956</f>
        <v>-201493.18731148282</v>
      </c>
      <c r="AH78" s="3">
        <f>-323.072488*627.50956</f>
        <v>-202731.07479298528</v>
      </c>
      <c r="AI78" s="3">
        <f t="shared" si="64"/>
        <v>-1237.887481502461</v>
      </c>
      <c r="AJ78" s="3">
        <v>-0.73399999999999999</v>
      </c>
      <c r="AK78" s="3">
        <v>-0.63100000000000001</v>
      </c>
      <c r="AL78" s="3">
        <f t="shared" si="65"/>
        <v>0.10299999999999998</v>
      </c>
      <c r="AM78" s="3">
        <v>94.091359999999995</v>
      </c>
      <c r="AN78" s="3">
        <v>137.82599999999999</v>
      </c>
      <c r="AO78" s="3">
        <v>133.88200000000001</v>
      </c>
      <c r="AP78" s="3">
        <f t="shared" si="66"/>
        <v>1.0891950064968769</v>
      </c>
      <c r="AQ78" s="3">
        <v>7.8890000000000002</v>
      </c>
      <c r="AR78" s="3">
        <v>1.677764</v>
      </c>
      <c r="AS78" s="3">
        <v>-76.454999999999998</v>
      </c>
      <c r="AT78" s="3">
        <v>-76.055000000000007</v>
      </c>
      <c r="AU78" s="3">
        <f t="shared" si="41"/>
        <v>-0.39999999999999147</v>
      </c>
      <c r="AV78" s="3">
        <v>-0.30399999999999999</v>
      </c>
      <c r="AW78" s="3">
        <v>-0.505</v>
      </c>
      <c r="AX78" s="3">
        <f t="shared" si="42"/>
        <v>0.20100000000000001</v>
      </c>
      <c r="AY78" s="3">
        <v>0.04</v>
      </c>
      <c r="AZ78" s="3">
        <v>0.16400000000000001</v>
      </c>
      <c r="BA78" s="3">
        <f t="shared" si="43"/>
        <v>-0.124</v>
      </c>
      <c r="BB78" s="3">
        <f t="shared" si="44"/>
        <v>0.13200000000000001</v>
      </c>
      <c r="BC78" s="3">
        <f t="shared" si="44"/>
        <v>0.17049999999999998</v>
      </c>
      <c r="BD78" s="3">
        <f t="shared" si="45"/>
        <v>-3.8499999999999979E-2</v>
      </c>
      <c r="BE78" s="3">
        <f t="shared" si="46"/>
        <v>0.34399999999999997</v>
      </c>
      <c r="BF78" s="3">
        <f t="shared" si="46"/>
        <v>0.66900000000000004</v>
      </c>
      <c r="BG78" s="3">
        <f t="shared" si="47"/>
        <v>-0.32500000000000007</v>
      </c>
      <c r="BH78" s="3">
        <f t="shared" si="48"/>
        <v>-0.13200000000000001</v>
      </c>
      <c r="BI78" s="3">
        <f t="shared" si="48"/>
        <v>-0.17049999999999998</v>
      </c>
      <c r="BJ78" s="3">
        <f t="shared" si="72"/>
        <v>3.8499999999999979E-2</v>
      </c>
      <c r="BK78" s="3">
        <f t="shared" si="69"/>
        <v>2.5325581395348844E-2</v>
      </c>
      <c r="BL78" s="3">
        <f t="shared" si="70"/>
        <v>2.1726644245141997E-2</v>
      </c>
      <c r="BM78" s="3">
        <f t="shared" si="49"/>
        <v>3.5989371502068469E-3</v>
      </c>
      <c r="BN78" s="3">
        <v>2.3010000000000002</v>
      </c>
      <c r="BO78" s="3">
        <v>2.3559999999999999</v>
      </c>
      <c r="BP78" s="3">
        <f t="shared" si="50"/>
        <v>-5.4999999999999716E-2</v>
      </c>
      <c r="BQ78" s="3">
        <v>-47960.305999999997</v>
      </c>
      <c r="BR78" s="3">
        <v>-47708.290999999997</v>
      </c>
      <c r="BS78" s="3">
        <f t="shared" si="51"/>
        <v>-252.01499999999942</v>
      </c>
      <c r="BT78" s="3">
        <v>-47973.754999999997</v>
      </c>
      <c r="BU78" s="3">
        <v>-47721.697</v>
      </c>
      <c r="BV78" s="3">
        <f t="shared" si="52"/>
        <v>-252.05799999999726</v>
      </c>
    </row>
    <row r="79" spans="1:74" x14ac:dyDescent="0.25">
      <c r="A79" t="s">
        <v>290</v>
      </c>
      <c r="B79" t="s">
        <v>514</v>
      </c>
      <c r="C79" t="s">
        <v>99</v>
      </c>
      <c r="D79" s="3">
        <v>12.49</v>
      </c>
      <c r="E79" s="3">
        <v>0.66</v>
      </c>
      <c r="F79" s="3">
        <v>-453.60500000000002</v>
      </c>
      <c r="G79" s="3">
        <v>-456.40499999999997</v>
      </c>
      <c r="H79" s="3">
        <f t="shared" si="53"/>
        <v>-2.7999999999999545</v>
      </c>
      <c r="I79" s="3">
        <v>-0.34899999999999998</v>
      </c>
      <c r="J79" s="6">
        <v>-0.26400000000000001</v>
      </c>
      <c r="K79" s="3">
        <f t="shared" si="54"/>
        <v>8.4999999999999964E-2</v>
      </c>
      <c r="L79" s="3">
        <v>9.6000000000000002E-2</v>
      </c>
      <c r="M79" s="6">
        <v>-4.8000000000000001E-2</v>
      </c>
      <c r="N79" s="3">
        <f t="shared" si="55"/>
        <v>-0.14400000000000002</v>
      </c>
      <c r="O79" s="3">
        <f t="shared" si="56"/>
        <v>0.1265</v>
      </c>
      <c r="P79" s="3">
        <f t="shared" si="56"/>
        <v>0.156</v>
      </c>
      <c r="Q79" s="3">
        <f t="shared" si="57"/>
        <v>2.9499999999999998E-2</v>
      </c>
      <c r="R79" s="3">
        <f t="shared" si="58"/>
        <v>0.44499999999999995</v>
      </c>
      <c r="S79" s="3">
        <f t="shared" si="58"/>
        <v>0.21600000000000003</v>
      </c>
      <c r="T79" s="3">
        <f t="shared" si="59"/>
        <v>-0.22899999999999993</v>
      </c>
      <c r="U79" s="3">
        <f t="shared" si="60"/>
        <v>-0.1265</v>
      </c>
      <c r="V79" s="3">
        <f t="shared" si="60"/>
        <v>-0.156</v>
      </c>
      <c r="W79" s="3">
        <f t="shared" si="71"/>
        <v>-2.9499999999999998E-2</v>
      </c>
      <c r="X79" s="3">
        <f t="shared" si="67"/>
        <v>1.7980056179775283E-2</v>
      </c>
      <c r="Y79" s="3">
        <f t="shared" si="68"/>
        <v>5.6333333333333326E-2</v>
      </c>
      <c r="Z79" s="3">
        <f t="shared" si="61"/>
        <v>3.8353277153558046E-2</v>
      </c>
      <c r="AA79" s="3">
        <v>3.6949999999999998</v>
      </c>
      <c r="AB79" s="3">
        <v>3.4289999999999998</v>
      </c>
      <c r="AC79" s="3">
        <f t="shared" si="62"/>
        <v>-0.26600000000000001</v>
      </c>
      <c r="AD79" s="3">
        <f>-453.440511*627.50956</f>
        <v>-284538.25554378517</v>
      </c>
      <c r="AE79" s="3">
        <f>-456.251077*627.50956</f>
        <v>-286301.91257779609</v>
      </c>
      <c r="AF79" s="3">
        <f t="shared" si="63"/>
        <v>-1763.6570340109174</v>
      </c>
      <c r="AG79" s="3">
        <f>-453.483846*627.50956</f>
        <v>-284565.44867056777</v>
      </c>
      <c r="AH79" s="3">
        <f>-456.295689*627.50956</f>
        <v>-286329.90703428682</v>
      </c>
      <c r="AI79" s="3">
        <f t="shared" si="64"/>
        <v>-1764.4583637190517</v>
      </c>
      <c r="AJ79" s="3">
        <v>-0.501</v>
      </c>
      <c r="AK79" s="3">
        <v>-0.44</v>
      </c>
      <c r="AL79" s="3">
        <f t="shared" si="65"/>
        <v>6.0999999999999999E-2</v>
      </c>
      <c r="AM79" s="3">
        <v>136.15122</v>
      </c>
      <c r="AN79" s="3">
        <v>191.7902</v>
      </c>
      <c r="AO79" s="3">
        <v>200.76150000000001</v>
      </c>
      <c r="AP79" s="3">
        <f t="shared" si="66"/>
        <v>1.1568988992072826</v>
      </c>
      <c r="AQ79" s="3">
        <v>10.332000000000001</v>
      </c>
      <c r="AR79" s="3">
        <v>2.3627150000000001</v>
      </c>
      <c r="AS79" s="3">
        <v>-132.80099999999999</v>
      </c>
      <c r="AT79" s="3">
        <v>-131.97</v>
      </c>
      <c r="AU79" s="3">
        <f t="shared" si="41"/>
        <v>-0.83099999999998886</v>
      </c>
      <c r="AV79" s="3">
        <v>-0.34100000000000003</v>
      </c>
      <c r="AW79" s="3">
        <v>-0.47499999999999998</v>
      </c>
      <c r="AX79" s="3">
        <f t="shared" si="42"/>
        <v>0.13399999999999995</v>
      </c>
      <c r="AY79" s="3">
        <v>2.9000000000000001E-2</v>
      </c>
      <c r="AZ79" s="3">
        <v>0.156</v>
      </c>
      <c r="BA79" s="3">
        <f t="shared" si="43"/>
        <v>-0.127</v>
      </c>
      <c r="BB79" s="3">
        <f t="shared" si="44"/>
        <v>0.156</v>
      </c>
      <c r="BC79" s="3">
        <f t="shared" si="44"/>
        <v>0.15949999999999998</v>
      </c>
      <c r="BD79" s="3">
        <f t="shared" si="45"/>
        <v>-3.4999999999999754E-3</v>
      </c>
      <c r="BE79" s="3">
        <f t="shared" si="46"/>
        <v>0.37000000000000005</v>
      </c>
      <c r="BF79" s="3">
        <f t="shared" si="46"/>
        <v>0.63100000000000001</v>
      </c>
      <c r="BG79" s="3">
        <f t="shared" si="47"/>
        <v>-0.26099999999999995</v>
      </c>
      <c r="BH79" s="3">
        <f t="shared" si="48"/>
        <v>-0.156</v>
      </c>
      <c r="BI79" s="3">
        <f t="shared" si="48"/>
        <v>-0.15949999999999998</v>
      </c>
      <c r="BJ79" s="3">
        <f t="shared" si="72"/>
        <v>3.4999999999999754E-3</v>
      </c>
      <c r="BK79" s="3">
        <f t="shared" si="69"/>
        <v>3.2886486486486483E-2</v>
      </c>
      <c r="BL79" s="3">
        <f t="shared" si="70"/>
        <v>2.0158676703645E-2</v>
      </c>
      <c r="BM79" s="3">
        <f t="shared" si="49"/>
        <v>1.2727809782841482E-2</v>
      </c>
      <c r="BN79" s="3">
        <v>4.7279999999999998</v>
      </c>
      <c r="BO79" s="3">
        <v>4.9340000000000002</v>
      </c>
      <c r="BP79" s="3">
        <f t="shared" si="50"/>
        <v>-0.20600000000000041</v>
      </c>
      <c r="BQ79" s="3">
        <v>-83302.89</v>
      </c>
      <c r="BR79" s="3">
        <v>-82779.224000000002</v>
      </c>
      <c r="BS79" s="3">
        <f t="shared" si="51"/>
        <v>-523.66599999999744</v>
      </c>
      <c r="BT79" s="3">
        <v>-83320.774999999994</v>
      </c>
      <c r="BU79" s="3">
        <v>-82796.997000000003</v>
      </c>
      <c r="BV79" s="3">
        <f t="shared" si="52"/>
        <v>-523.77799999999115</v>
      </c>
    </row>
    <row r="80" spans="1:74" x14ac:dyDescent="0.25">
      <c r="A80" t="s">
        <v>291</v>
      </c>
      <c r="B80" t="s">
        <v>514</v>
      </c>
      <c r="C80" t="s">
        <v>199</v>
      </c>
      <c r="D80" s="3">
        <v>12.61</v>
      </c>
      <c r="E80" s="3">
        <v>0.57999999999999996</v>
      </c>
      <c r="F80" s="3">
        <v>-209.172</v>
      </c>
      <c r="G80" s="3">
        <v>-210.45599999999999</v>
      </c>
      <c r="H80" s="3">
        <f t="shared" si="53"/>
        <v>-1.2839999999999918</v>
      </c>
      <c r="I80" s="3">
        <v>-0.39600000000000002</v>
      </c>
      <c r="J80" s="6">
        <v>-0.246</v>
      </c>
      <c r="K80" s="3">
        <f t="shared" si="54"/>
        <v>0.15000000000000002</v>
      </c>
      <c r="L80" s="3">
        <v>0.16300000000000001</v>
      </c>
      <c r="M80" s="6">
        <v>4.3999999999999997E-2</v>
      </c>
      <c r="N80" s="3">
        <f t="shared" si="55"/>
        <v>-0.11900000000000001</v>
      </c>
      <c r="O80" s="3">
        <f t="shared" si="56"/>
        <v>0.11650000000000001</v>
      </c>
      <c r="P80" s="3">
        <f t="shared" si="56"/>
        <v>0.10100000000000001</v>
      </c>
      <c r="Q80" s="3">
        <f t="shared" si="57"/>
        <v>-1.55E-2</v>
      </c>
      <c r="R80" s="3">
        <f t="shared" si="58"/>
        <v>0.55900000000000005</v>
      </c>
      <c r="S80" s="3">
        <f t="shared" si="58"/>
        <v>0.28999999999999998</v>
      </c>
      <c r="T80" s="3">
        <f t="shared" si="59"/>
        <v>-0.26900000000000007</v>
      </c>
      <c r="U80" s="3">
        <f t="shared" si="60"/>
        <v>-0.11650000000000001</v>
      </c>
      <c r="V80" s="3">
        <f t="shared" si="60"/>
        <v>-0.10100000000000001</v>
      </c>
      <c r="W80" s="3">
        <f t="shared" si="71"/>
        <v>1.55E-2</v>
      </c>
      <c r="X80" s="3">
        <f t="shared" si="67"/>
        <v>1.2139758497316636E-2</v>
      </c>
      <c r="Y80" s="3">
        <f t="shared" si="68"/>
        <v>1.7587931034482761E-2</v>
      </c>
      <c r="Z80" s="3">
        <f t="shared" si="61"/>
        <v>5.4481725371661252E-3</v>
      </c>
      <c r="AA80" s="3">
        <v>1.54</v>
      </c>
      <c r="AB80" s="3">
        <v>1.4870000000000001</v>
      </c>
      <c r="AC80" s="3">
        <f t="shared" si="62"/>
        <v>-5.2999999999999936E-2</v>
      </c>
      <c r="AD80" s="3">
        <f>-209.061624*627.50956</f>
        <v>-131188.16768912543</v>
      </c>
      <c r="AE80" s="3">
        <f>-210.351751*627.50956</f>
        <v>-131997.73471523955</v>
      </c>
      <c r="AF80" s="3">
        <f t="shared" si="63"/>
        <v>-809.56702611412038</v>
      </c>
      <c r="AG80" s="3">
        <f>-209.095328*627.50956</f>
        <v>-131209.31727133566</v>
      </c>
      <c r="AH80" s="3">
        <f>-210.38604*627.50956</f>
        <v>-132019.2513905424</v>
      </c>
      <c r="AI80" s="3">
        <f t="shared" si="64"/>
        <v>-809.9341192067368</v>
      </c>
      <c r="AJ80" s="3">
        <v>-0.86099999999999999</v>
      </c>
      <c r="AK80" s="3">
        <v>-0.85599999999999998</v>
      </c>
      <c r="AL80" s="3">
        <f t="shared" si="65"/>
        <v>5.0000000000000044E-3</v>
      </c>
      <c r="AM80" s="3">
        <v>61.083080000000002</v>
      </c>
      <c r="AN80" s="3">
        <v>122.32008</v>
      </c>
      <c r="AO80" s="3">
        <v>113.04770000000001</v>
      </c>
      <c r="AP80" s="3">
        <f t="shared" si="66"/>
        <v>1.0820464044425138</v>
      </c>
      <c r="AQ80" s="3">
        <v>7.6070000000000002</v>
      </c>
      <c r="AR80" s="3">
        <v>1.53517036</v>
      </c>
      <c r="AS80" s="3">
        <v>-76.454999999999998</v>
      </c>
      <c r="AT80" s="3">
        <v>-76.055000000000007</v>
      </c>
      <c r="AU80" s="3">
        <f t="shared" si="41"/>
        <v>-0.39999999999999147</v>
      </c>
      <c r="AV80" s="3">
        <v>-0.30399999999999999</v>
      </c>
      <c r="AW80" s="3">
        <v>-0.505</v>
      </c>
      <c r="AX80" s="3">
        <f t="shared" si="42"/>
        <v>0.20100000000000001</v>
      </c>
      <c r="AY80" s="3">
        <v>0.04</v>
      </c>
      <c r="AZ80" s="3">
        <v>0.16400000000000001</v>
      </c>
      <c r="BA80" s="3">
        <f t="shared" si="43"/>
        <v>-0.124</v>
      </c>
      <c r="BB80" s="3">
        <f t="shared" ref="BB80:BC95" si="73">-(AV80+AY80)/2</f>
        <v>0.13200000000000001</v>
      </c>
      <c r="BC80" s="3">
        <f t="shared" si="73"/>
        <v>0.17049999999999998</v>
      </c>
      <c r="BD80" s="3">
        <f t="shared" si="45"/>
        <v>-3.8499999999999979E-2</v>
      </c>
      <c r="BE80" s="3">
        <f t="shared" ref="BE80:BF95" si="74">AY80-AV80</f>
        <v>0.34399999999999997</v>
      </c>
      <c r="BF80" s="3">
        <f t="shared" si="74"/>
        <v>0.66900000000000004</v>
      </c>
      <c r="BG80" s="3">
        <f t="shared" si="47"/>
        <v>-0.32500000000000007</v>
      </c>
      <c r="BH80" s="3">
        <f t="shared" ref="BH80:BI95" si="75">(AV80+AY80)/2</f>
        <v>-0.13200000000000001</v>
      </c>
      <c r="BI80" s="3">
        <f t="shared" si="75"/>
        <v>-0.17049999999999998</v>
      </c>
      <c r="BJ80" s="3">
        <f t="shared" si="72"/>
        <v>3.8499999999999979E-2</v>
      </c>
      <c r="BK80" s="3">
        <f t="shared" si="69"/>
        <v>2.5325581395348844E-2</v>
      </c>
      <c r="BL80" s="3">
        <f t="shared" si="70"/>
        <v>2.1726644245141997E-2</v>
      </c>
      <c r="BM80" s="3">
        <f t="shared" si="49"/>
        <v>3.5989371502068469E-3</v>
      </c>
      <c r="BN80" s="3">
        <v>2.3010000000000002</v>
      </c>
      <c r="BO80" s="3">
        <v>2.3559999999999999</v>
      </c>
      <c r="BP80" s="3">
        <f t="shared" si="50"/>
        <v>-5.4999999999999716E-2</v>
      </c>
      <c r="BQ80" s="3">
        <v>-47960.305999999997</v>
      </c>
      <c r="BR80" s="3">
        <v>-47708.290999999997</v>
      </c>
      <c r="BS80" s="3">
        <f t="shared" si="51"/>
        <v>-252.01499999999942</v>
      </c>
      <c r="BT80" s="3">
        <v>-47973.754999999997</v>
      </c>
      <c r="BU80" s="3">
        <v>-47721.697</v>
      </c>
      <c r="BV80" s="3">
        <f t="shared" si="52"/>
        <v>-252.05799999999726</v>
      </c>
    </row>
    <row r="81" spans="1:74" x14ac:dyDescent="0.25">
      <c r="A81" t="s">
        <v>292</v>
      </c>
      <c r="B81" t="s">
        <v>514</v>
      </c>
      <c r="C81" t="s">
        <v>99</v>
      </c>
      <c r="D81" s="3">
        <v>12.64</v>
      </c>
      <c r="E81" s="3">
        <v>0.68</v>
      </c>
      <c r="F81" s="3">
        <v>-285.80099999999999</v>
      </c>
      <c r="G81" s="3">
        <v>-287.678</v>
      </c>
      <c r="H81" s="3">
        <f t="shared" si="53"/>
        <v>-1.8770000000000095</v>
      </c>
      <c r="I81" s="3">
        <v>-0.33400000000000002</v>
      </c>
      <c r="J81" s="6">
        <v>-0.254</v>
      </c>
      <c r="K81" s="3">
        <f t="shared" si="54"/>
        <v>8.0000000000000016E-2</v>
      </c>
      <c r="L81" s="3">
        <v>0.128</v>
      </c>
      <c r="M81" s="6">
        <v>-1.4999999999999999E-2</v>
      </c>
      <c r="N81" s="3">
        <f t="shared" si="55"/>
        <v>-0.14300000000000002</v>
      </c>
      <c r="O81" s="3">
        <f t="shared" si="56"/>
        <v>0.10300000000000001</v>
      </c>
      <c r="P81" s="3">
        <f t="shared" si="56"/>
        <v>0.13450000000000001</v>
      </c>
      <c r="Q81" s="3">
        <f t="shared" si="57"/>
        <v>3.15E-2</v>
      </c>
      <c r="R81" s="3">
        <f t="shared" si="58"/>
        <v>0.46200000000000002</v>
      </c>
      <c r="S81" s="3">
        <f t="shared" si="58"/>
        <v>0.23899999999999999</v>
      </c>
      <c r="T81" s="3">
        <f t="shared" si="59"/>
        <v>-0.22300000000000003</v>
      </c>
      <c r="U81" s="3">
        <f t="shared" si="60"/>
        <v>-0.10300000000000001</v>
      </c>
      <c r="V81" s="3">
        <f t="shared" si="60"/>
        <v>-0.13450000000000001</v>
      </c>
      <c r="W81" s="3">
        <f t="shared" si="71"/>
        <v>-3.15E-2</v>
      </c>
      <c r="X81" s="3">
        <f t="shared" si="67"/>
        <v>1.1481601731601733E-2</v>
      </c>
      <c r="Y81" s="3">
        <f t="shared" si="68"/>
        <v>3.7845711297071136E-2</v>
      </c>
      <c r="Z81" s="3">
        <f t="shared" si="61"/>
        <v>2.6364109565469404E-2</v>
      </c>
      <c r="AA81" s="3">
        <v>1.736</v>
      </c>
      <c r="AB81" s="3">
        <v>1.728</v>
      </c>
      <c r="AC81" s="3">
        <f t="shared" si="62"/>
        <v>-8.0000000000000071E-3</v>
      </c>
      <c r="AD81" s="3">
        <f>-285.671013*627.50956</f>
        <v>-179261.29167238428</v>
      </c>
      <c r="AE81" s="3">
        <f>-287.555928*627.50956</f>
        <v>-180444.09385467166</v>
      </c>
      <c r="AF81" s="3">
        <f t="shared" si="63"/>
        <v>-1182.8021822873852</v>
      </c>
      <c r="AG81" s="3">
        <f>-285.705509*627.50956</f>
        <v>-179282.93824216604</v>
      </c>
      <c r="AH81" s="3">
        <f>-287.590983*627.50956</f>
        <v>-180466.09120229748</v>
      </c>
      <c r="AI81" s="3">
        <f t="shared" si="64"/>
        <v>-1183.1529601314396</v>
      </c>
      <c r="AJ81" s="3">
        <v>-0.86599999999999999</v>
      </c>
      <c r="AK81" s="3">
        <v>-0.86599999999999999</v>
      </c>
      <c r="AL81" s="3">
        <f t="shared" si="65"/>
        <v>0</v>
      </c>
      <c r="AM81" s="3">
        <v>93.126480000000001</v>
      </c>
      <c r="AN81" s="3">
        <v>155.92535000000001</v>
      </c>
      <c r="AO81" s="3">
        <v>156.92624000000001</v>
      </c>
      <c r="AP81" s="3">
        <f t="shared" si="66"/>
        <v>1.1084317704383395</v>
      </c>
      <c r="AQ81" s="3">
        <v>8.17</v>
      </c>
      <c r="AR81" s="3">
        <v>1.7554479999999999</v>
      </c>
      <c r="AS81" s="3">
        <v>-132.80099999999999</v>
      </c>
      <c r="AT81" s="3">
        <v>-131.97</v>
      </c>
      <c r="AU81" s="3">
        <f t="shared" si="41"/>
        <v>-0.83099999999998886</v>
      </c>
      <c r="AV81" s="3">
        <v>-0.34100000000000003</v>
      </c>
      <c r="AW81" s="3">
        <v>-0.47499999999999998</v>
      </c>
      <c r="AX81" s="3">
        <f t="shared" si="42"/>
        <v>0.13399999999999995</v>
      </c>
      <c r="AY81" s="3">
        <v>2.9000000000000001E-2</v>
      </c>
      <c r="AZ81" s="3">
        <v>0.156</v>
      </c>
      <c r="BA81" s="3">
        <f t="shared" si="43"/>
        <v>-0.127</v>
      </c>
      <c r="BB81" s="3">
        <f t="shared" si="73"/>
        <v>0.156</v>
      </c>
      <c r="BC81" s="3">
        <f t="shared" si="73"/>
        <v>0.15949999999999998</v>
      </c>
      <c r="BD81" s="3">
        <f t="shared" si="45"/>
        <v>-3.4999999999999754E-3</v>
      </c>
      <c r="BE81" s="3">
        <f t="shared" si="74"/>
        <v>0.37000000000000005</v>
      </c>
      <c r="BF81" s="3">
        <f t="shared" si="74"/>
        <v>0.63100000000000001</v>
      </c>
      <c r="BG81" s="3">
        <f t="shared" si="47"/>
        <v>-0.26099999999999995</v>
      </c>
      <c r="BH81" s="3">
        <f t="shared" si="75"/>
        <v>-0.156</v>
      </c>
      <c r="BI81" s="3">
        <f t="shared" si="75"/>
        <v>-0.15949999999999998</v>
      </c>
      <c r="BJ81" s="3">
        <f t="shared" si="72"/>
        <v>3.4999999999999754E-3</v>
      </c>
      <c r="BK81" s="3">
        <f t="shared" si="69"/>
        <v>3.2886486486486483E-2</v>
      </c>
      <c r="BL81" s="3">
        <f t="shared" si="70"/>
        <v>2.0158676703645E-2</v>
      </c>
      <c r="BM81" s="3">
        <f t="shared" si="49"/>
        <v>1.2727809782841482E-2</v>
      </c>
      <c r="BN81" s="3">
        <v>4.7279999999999998</v>
      </c>
      <c r="BO81" s="3">
        <v>4.9340000000000002</v>
      </c>
      <c r="BP81" s="3">
        <f t="shared" si="50"/>
        <v>-0.20600000000000041</v>
      </c>
      <c r="BQ81" s="3">
        <v>-83302.89</v>
      </c>
      <c r="BR81" s="3">
        <v>-82779.224000000002</v>
      </c>
      <c r="BS81" s="3">
        <f t="shared" si="51"/>
        <v>-523.66599999999744</v>
      </c>
      <c r="BT81" s="3">
        <v>-83320.774999999994</v>
      </c>
      <c r="BU81" s="3">
        <v>-82796.997000000003</v>
      </c>
      <c r="BV81" s="3">
        <f t="shared" si="52"/>
        <v>-523.77799999999115</v>
      </c>
    </row>
    <row r="82" spans="1:74" x14ac:dyDescent="0.25">
      <c r="A82" t="s">
        <v>293</v>
      </c>
      <c r="B82" t="s">
        <v>514</v>
      </c>
      <c r="C82" t="s">
        <v>199</v>
      </c>
      <c r="D82" s="3">
        <v>12.69</v>
      </c>
      <c r="E82" s="3">
        <v>0.6</v>
      </c>
      <c r="F82" s="3">
        <v>-435.40800000000002</v>
      </c>
      <c r="G82" s="3">
        <v>-437.935</v>
      </c>
      <c r="H82" s="3">
        <f t="shared" si="53"/>
        <v>-2.5269999999999868</v>
      </c>
      <c r="I82" s="3">
        <v>-0.36099999999999999</v>
      </c>
      <c r="J82" s="6">
        <v>-0.20699999999999999</v>
      </c>
      <c r="K82" s="3">
        <f t="shared" si="54"/>
        <v>0.154</v>
      </c>
      <c r="L82" s="3">
        <v>0.16600000000000001</v>
      </c>
      <c r="M82" s="6">
        <v>4.8000000000000001E-2</v>
      </c>
      <c r="N82" s="3">
        <f t="shared" si="55"/>
        <v>-0.11800000000000001</v>
      </c>
      <c r="O82" s="3">
        <f t="shared" si="56"/>
        <v>9.7499999999999989E-2</v>
      </c>
      <c r="P82" s="3">
        <f t="shared" si="56"/>
        <v>7.9499999999999987E-2</v>
      </c>
      <c r="Q82" s="3">
        <f t="shared" si="57"/>
        <v>-1.8000000000000002E-2</v>
      </c>
      <c r="R82" s="3">
        <f t="shared" si="58"/>
        <v>0.52700000000000002</v>
      </c>
      <c r="S82" s="3">
        <f t="shared" si="58"/>
        <v>0.255</v>
      </c>
      <c r="T82" s="3">
        <f t="shared" si="59"/>
        <v>-0.27200000000000002</v>
      </c>
      <c r="U82" s="3">
        <f t="shared" si="60"/>
        <v>-9.7499999999999989E-2</v>
      </c>
      <c r="V82" s="3">
        <f t="shared" si="60"/>
        <v>-7.9499999999999987E-2</v>
      </c>
      <c r="W82" s="3">
        <f t="shared" si="71"/>
        <v>1.8000000000000002E-2</v>
      </c>
      <c r="X82" s="3">
        <f t="shared" si="67"/>
        <v>9.0192125237191622E-3</v>
      </c>
      <c r="Y82" s="3">
        <f t="shared" si="68"/>
        <v>1.2392647058823526E-2</v>
      </c>
      <c r="Z82" s="3">
        <f t="shared" si="61"/>
        <v>3.3734345351043634E-3</v>
      </c>
      <c r="AA82" s="3">
        <v>11.458</v>
      </c>
      <c r="AB82" s="3">
        <v>9.9949999999999992</v>
      </c>
      <c r="AC82" s="3">
        <f t="shared" si="62"/>
        <v>-1.463000000000001</v>
      </c>
      <c r="AD82" s="3">
        <f>-435.261019*627.50956</f>
        <v>-273130.45051784161</v>
      </c>
      <c r="AE82" s="3">
        <f>-437.797992*627.50956</f>
        <v>-274722.42532880354</v>
      </c>
      <c r="AF82" s="3">
        <f t="shared" si="63"/>
        <v>-1591.974810961925</v>
      </c>
      <c r="AG82" s="3">
        <f>-435.304291*627.50956</f>
        <v>-273157.60411152191</v>
      </c>
      <c r="AH82" s="3">
        <f>-437.842082*627.50956</f>
        <v>-274750.09222530393</v>
      </c>
      <c r="AI82" s="3">
        <f t="shared" si="64"/>
        <v>-1592.4881137820194</v>
      </c>
      <c r="AJ82" s="3">
        <v>-0.86699999999999999</v>
      </c>
      <c r="AK82" s="3">
        <v>-0.878</v>
      </c>
      <c r="AL82" s="3">
        <f t="shared" si="65"/>
        <v>-1.100000000000001E-2</v>
      </c>
      <c r="AM82" s="3">
        <v>118.11122</v>
      </c>
      <c r="AN82" s="3">
        <v>163.11750000000001</v>
      </c>
      <c r="AO82" s="3">
        <v>168.68010000000001</v>
      </c>
      <c r="AP82" s="3">
        <f t="shared" si="66"/>
        <v>1.1050466368854199</v>
      </c>
      <c r="AQ82" s="3">
        <v>8.5229999999999997</v>
      </c>
      <c r="AR82" s="3">
        <v>1.9749614</v>
      </c>
      <c r="AS82" s="3">
        <v>-76.454999999999998</v>
      </c>
      <c r="AT82" s="3">
        <v>-76.055000000000007</v>
      </c>
      <c r="AU82" s="3">
        <f t="shared" si="41"/>
        <v>-0.39999999999999147</v>
      </c>
      <c r="AV82" s="3">
        <v>-0.30399999999999999</v>
      </c>
      <c r="AW82" s="3">
        <v>-0.505</v>
      </c>
      <c r="AX82" s="3">
        <f t="shared" si="42"/>
        <v>0.20100000000000001</v>
      </c>
      <c r="AY82" s="3">
        <v>0.04</v>
      </c>
      <c r="AZ82" s="3">
        <v>0.16400000000000001</v>
      </c>
      <c r="BA82" s="3">
        <f t="shared" si="43"/>
        <v>-0.124</v>
      </c>
      <c r="BB82" s="3">
        <f t="shared" si="73"/>
        <v>0.13200000000000001</v>
      </c>
      <c r="BC82" s="3">
        <f t="shared" si="73"/>
        <v>0.17049999999999998</v>
      </c>
      <c r="BD82" s="3">
        <f t="shared" si="45"/>
        <v>-3.8499999999999979E-2</v>
      </c>
      <c r="BE82" s="3">
        <f t="shared" si="74"/>
        <v>0.34399999999999997</v>
      </c>
      <c r="BF82" s="3">
        <f t="shared" si="74"/>
        <v>0.66900000000000004</v>
      </c>
      <c r="BG82" s="3">
        <f t="shared" si="47"/>
        <v>-0.32500000000000007</v>
      </c>
      <c r="BH82" s="3">
        <f t="shared" si="75"/>
        <v>-0.13200000000000001</v>
      </c>
      <c r="BI82" s="3">
        <f t="shared" si="75"/>
        <v>-0.17049999999999998</v>
      </c>
      <c r="BJ82" s="3">
        <f t="shared" si="72"/>
        <v>3.8499999999999979E-2</v>
      </c>
      <c r="BK82" s="3">
        <f t="shared" si="69"/>
        <v>2.5325581395348844E-2</v>
      </c>
      <c r="BL82" s="3">
        <f t="shared" si="70"/>
        <v>2.1726644245141997E-2</v>
      </c>
      <c r="BM82" s="3">
        <f t="shared" si="49"/>
        <v>3.5989371502068469E-3</v>
      </c>
      <c r="BN82" s="3">
        <v>2.3010000000000002</v>
      </c>
      <c r="BO82" s="3">
        <v>2.3559999999999999</v>
      </c>
      <c r="BP82" s="3">
        <f t="shared" si="50"/>
        <v>-5.4999999999999716E-2</v>
      </c>
      <c r="BQ82" s="3">
        <v>-47960.305999999997</v>
      </c>
      <c r="BR82" s="3">
        <v>-47708.290999999997</v>
      </c>
      <c r="BS82" s="3">
        <f t="shared" si="51"/>
        <v>-252.01499999999942</v>
      </c>
      <c r="BT82" s="3">
        <v>-47973.754999999997</v>
      </c>
      <c r="BU82" s="3">
        <v>-47721.697</v>
      </c>
      <c r="BV82" s="3">
        <f t="shared" si="52"/>
        <v>-252.05799999999726</v>
      </c>
    </row>
    <row r="83" spans="1:74" x14ac:dyDescent="0.25">
      <c r="A83" t="s">
        <v>294</v>
      </c>
      <c r="B83" t="s">
        <v>514</v>
      </c>
      <c r="C83" t="s">
        <v>99</v>
      </c>
      <c r="D83" s="3">
        <v>12.8</v>
      </c>
      <c r="E83" s="3">
        <v>0.63</v>
      </c>
      <c r="F83" s="3">
        <v>-131.03399999999999</v>
      </c>
      <c r="G83" s="3">
        <v>-131.76300000000001</v>
      </c>
      <c r="H83" s="3">
        <f t="shared" si="53"/>
        <v>-0.72900000000001342</v>
      </c>
      <c r="I83" s="3">
        <v>-0.42199999999999999</v>
      </c>
      <c r="J83" s="6">
        <v>-0.26400000000000001</v>
      </c>
      <c r="K83" s="3">
        <f t="shared" si="54"/>
        <v>0.15799999999999997</v>
      </c>
      <c r="L83" s="3">
        <v>0.17100000000000001</v>
      </c>
      <c r="M83" s="6">
        <v>4.8000000000000001E-2</v>
      </c>
      <c r="N83" s="3">
        <f t="shared" si="55"/>
        <v>-0.12300000000000001</v>
      </c>
      <c r="O83" s="3">
        <f t="shared" si="56"/>
        <v>0.1255</v>
      </c>
      <c r="P83" s="3">
        <f t="shared" si="56"/>
        <v>0.10800000000000001</v>
      </c>
      <c r="Q83" s="3">
        <f t="shared" si="57"/>
        <v>-1.7499999999999988E-2</v>
      </c>
      <c r="R83" s="3">
        <f t="shared" si="58"/>
        <v>0.59299999999999997</v>
      </c>
      <c r="S83" s="3">
        <f t="shared" si="58"/>
        <v>0.312</v>
      </c>
      <c r="T83" s="3">
        <f t="shared" si="59"/>
        <v>-0.28099999999999997</v>
      </c>
      <c r="U83" s="3">
        <f t="shared" si="60"/>
        <v>-0.1255</v>
      </c>
      <c r="V83" s="3">
        <f t="shared" si="60"/>
        <v>-0.10800000000000001</v>
      </c>
      <c r="W83" s="3">
        <f t="shared" si="71"/>
        <v>1.7499999999999988E-2</v>
      </c>
      <c r="X83" s="3">
        <f t="shared" si="67"/>
        <v>1.328014333895447E-2</v>
      </c>
      <c r="Y83" s="3">
        <f t="shared" si="68"/>
        <v>1.8692307692307696E-2</v>
      </c>
      <c r="Z83" s="3">
        <f t="shared" si="61"/>
        <v>5.4121643533532257E-3</v>
      </c>
      <c r="AA83" s="3">
        <v>0.80700000000000005</v>
      </c>
      <c r="AB83" s="3">
        <v>0.745</v>
      </c>
      <c r="AC83" s="3">
        <f t="shared" si="62"/>
        <v>-6.2000000000000055E-2</v>
      </c>
      <c r="AD83" s="3">
        <f>-130.986447*627.50956</f>
        <v>-82195.247722933316</v>
      </c>
      <c r="AE83" s="3">
        <f>-131.718643*627.50956</f>
        <v>-82654.70771272706</v>
      </c>
      <c r="AF83" s="3">
        <f t="shared" si="63"/>
        <v>-459.45998979374417</v>
      </c>
      <c r="AG83" s="3">
        <f>-131.013031*627.50956</f>
        <v>-82211.929437076367</v>
      </c>
      <c r="AH83" s="3">
        <f>-131.74541*627.50956</f>
        <v>-82671.504261119597</v>
      </c>
      <c r="AI83" s="3">
        <f t="shared" si="64"/>
        <v>-459.57482404322946</v>
      </c>
      <c r="AJ83" s="3">
        <v>-0.48899999999999999</v>
      </c>
      <c r="AK83" s="3">
        <v>-0.52500000000000002</v>
      </c>
      <c r="AL83" s="3">
        <f t="shared" si="65"/>
        <v>-3.6000000000000032E-2</v>
      </c>
      <c r="AM83" s="3">
        <v>33.029919999999997</v>
      </c>
      <c r="AN83" s="3">
        <v>73.868799999999993</v>
      </c>
      <c r="AO83" s="3">
        <v>56.236800000000002</v>
      </c>
      <c r="AP83" s="3">
        <f t="shared" si="66"/>
        <v>1.0408063361251285</v>
      </c>
      <c r="AQ83" s="3">
        <v>4.9589999999999996</v>
      </c>
      <c r="AR83" s="3">
        <v>0.80434570000000005</v>
      </c>
      <c r="AS83" s="3">
        <v>-132.80099999999999</v>
      </c>
      <c r="AT83" s="3">
        <v>-131.97</v>
      </c>
      <c r="AU83" s="3">
        <f t="shared" si="41"/>
        <v>-0.83099999999998886</v>
      </c>
      <c r="AV83" s="3">
        <v>-0.34100000000000003</v>
      </c>
      <c r="AW83" s="3">
        <v>-0.47499999999999998</v>
      </c>
      <c r="AX83" s="3">
        <f t="shared" si="42"/>
        <v>0.13399999999999995</v>
      </c>
      <c r="AY83" s="3">
        <v>2.9000000000000001E-2</v>
      </c>
      <c r="AZ83" s="3">
        <v>0.156</v>
      </c>
      <c r="BA83" s="3">
        <f t="shared" si="43"/>
        <v>-0.127</v>
      </c>
      <c r="BB83" s="3">
        <f t="shared" si="73"/>
        <v>0.156</v>
      </c>
      <c r="BC83" s="3">
        <f t="shared" si="73"/>
        <v>0.15949999999999998</v>
      </c>
      <c r="BD83" s="3">
        <f t="shared" si="45"/>
        <v>-3.4999999999999754E-3</v>
      </c>
      <c r="BE83" s="3">
        <f t="shared" si="74"/>
        <v>0.37000000000000005</v>
      </c>
      <c r="BF83" s="3">
        <f t="shared" si="74"/>
        <v>0.63100000000000001</v>
      </c>
      <c r="BG83" s="3">
        <f t="shared" si="47"/>
        <v>-0.26099999999999995</v>
      </c>
      <c r="BH83" s="3">
        <f t="shared" si="75"/>
        <v>-0.156</v>
      </c>
      <c r="BI83" s="3">
        <f t="shared" si="75"/>
        <v>-0.15949999999999998</v>
      </c>
      <c r="BJ83" s="3">
        <f t="shared" si="72"/>
        <v>3.4999999999999754E-3</v>
      </c>
      <c r="BK83" s="3">
        <f t="shared" si="69"/>
        <v>3.2886486486486483E-2</v>
      </c>
      <c r="BL83" s="3">
        <f t="shared" si="70"/>
        <v>2.0158676703645E-2</v>
      </c>
      <c r="BM83" s="3">
        <f t="shared" si="49"/>
        <v>1.2727809782841482E-2</v>
      </c>
      <c r="BN83" s="3">
        <v>4.7279999999999998</v>
      </c>
      <c r="BO83" s="3">
        <v>4.9340000000000002</v>
      </c>
      <c r="BP83" s="3">
        <f t="shared" si="50"/>
        <v>-0.20600000000000041</v>
      </c>
      <c r="BQ83" s="3">
        <v>-83302.89</v>
      </c>
      <c r="BR83" s="3">
        <v>-82779.224000000002</v>
      </c>
      <c r="BS83" s="3">
        <f t="shared" si="51"/>
        <v>-523.66599999999744</v>
      </c>
      <c r="BT83" s="3">
        <v>-83320.774999999994</v>
      </c>
      <c r="BU83" s="3">
        <v>-82796.997000000003</v>
      </c>
      <c r="BV83" s="3">
        <f t="shared" si="52"/>
        <v>-523.77799999999115</v>
      </c>
    </row>
    <row r="84" spans="1:74" x14ac:dyDescent="0.25">
      <c r="A84" t="s">
        <v>295</v>
      </c>
      <c r="B84" t="s">
        <v>514</v>
      </c>
      <c r="C84" t="s">
        <v>199</v>
      </c>
      <c r="D84" s="3">
        <v>12.87</v>
      </c>
      <c r="E84" s="3">
        <v>0.57999999999999996</v>
      </c>
      <c r="F84" s="3">
        <v>-134.29400000000001</v>
      </c>
      <c r="G84" s="3">
        <v>-135.22</v>
      </c>
      <c r="H84" s="3">
        <f t="shared" si="53"/>
        <v>-0.92599999999998772</v>
      </c>
      <c r="I84" s="3">
        <v>-0.39100000000000001</v>
      </c>
      <c r="J84" s="6">
        <v>-0.24199999999999999</v>
      </c>
      <c r="K84" s="3">
        <f t="shared" si="54"/>
        <v>0.14900000000000002</v>
      </c>
      <c r="L84" s="3">
        <v>0.16</v>
      </c>
      <c r="M84" s="6">
        <v>4.3999999999999997E-2</v>
      </c>
      <c r="N84" s="3">
        <f t="shared" si="55"/>
        <v>-0.11600000000000001</v>
      </c>
      <c r="O84" s="3">
        <f t="shared" si="56"/>
        <v>0.11550000000000001</v>
      </c>
      <c r="P84" s="3">
        <f t="shared" si="56"/>
        <v>9.9000000000000005E-2</v>
      </c>
      <c r="Q84" s="3">
        <f t="shared" si="57"/>
        <v>-1.6500000000000001E-2</v>
      </c>
      <c r="R84" s="3">
        <f t="shared" si="58"/>
        <v>0.55100000000000005</v>
      </c>
      <c r="S84" s="3">
        <f t="shared" si="58"/>
        <v>0.28599999999999998</v>
      </c>
      <c r="T84" s="3">
        <f t="shared" si="59"/>
        <v>-0.26500000000000007</v>
      </c>
      <c r="U84" s="3">
        <f t="shared" si="60"/>
        <v>-0.11550000000000001</v>
      </c>
      <c r="V84" s="3">
        <f t="shared" si="60"/>
        <v>-9.9000000000000005E-2</v>
      </c>
      <c r="W84" s="3">
        <f t="shared" si="71"/>
        <v>1.6500000000000001E-2</v>
      </c>
      <c r="X84" s="3">
        <f t="shared" si="67"/>
        <v>1.2105490018148821E-2</v>
      </c>
      <c r="Y84" s="3">
        <f t="shared" si="68"/>
        <v>1.7134615384615387E-2</v>
      </c>
      <c r="Z84" s="3">
        <f t="shared" si="61"/>
        <v>5.029125366466566E-3</v>
      </c>
      <c r="AA84" s="3">
        <v>1.7470000000000001</v>
      </c>
      <c r="AB84" s="3">
        <v>1.7150000000000001</v>
      </c>
      <c r="AC84" s="3">
        <f t="shared" si="62"/>
        <v>-3.2000000000000028E-2</v>
      </c>
      <c r="AD84" s="3">
        <f>-134.190673*627.50956</f>
        <v>-84205.930170333872</v>
      </c>
      <c r="AE84" s="3">
        <f>-135.122817*627.50956</f>
        <v>-84790.859441630513</v>
      </c>
      <c r="AF84" s="3">
        <f t="shared" si="63"/>
        <v>-584.92927129664167</v>
      </c>
      <c r="AG84" s="3">
        <f>-134.22124*627.50956</f>
        <v>-84225.111255054391</v>
      </c>
      <c r="AH84" s="3">
        <f>-135.15368*627.50956</f>
        <v>-84810.226269180799</v>
      </c>
      <c r="AI84" s="3">
        <f t="shared" si="64"/>
        <v>-585.11501412640791</v>
      </c>
      <c r="AJ84" s="3">
        <v>-0.86099999999999999</v>
      </c>
      <c r="AK84" s="3">
        <v>-0.85699999999999998</v>
      </c>
      <c r="AL84" s="3">
        <f t="shared" si="65"/>
        <v>4.0000000000000036E-3</v>
      </c>
      <c r="AM84" s="3">
        <v>45.083680000000001</v>
      </c>
      <c r="AN84" s="3">
        <v>112.3197</v>
      </c>
      <c r="AO84" s="3">
        <v>102.08799999999999</v>
      </c>
      <c r="AP84" s="3">
        <f t="shared" si="66"/>
        <v>1.0634785989748947</v>
      </c>
      <c r="AQ84" s="3">
        <v>6.5919999999999996</v>
      </c>
      <c r="AR84" s="3">
        <v>1.2351061800000001</v>
      </c>
      <c r="AS84" s="3">
        <v>-76.454999999999998</v>
      </c>
      <c r="AT84" s="3">
        <v>-76.055000000000007</v>
      </c>
      <c r="AU84" s="3">
        <f t="shared" si="41"/>
        <v>-0.39999999999999147</v>
      </c>
      <c r="AV84" s="3">
        <v>-0.30399999999999999</v>
      </c>
      <c r="AW84" s="3">
        <v>-0.505</v>
      </c>
      <c r="AX84" s="3">
        <f t="shared" si="42"/>
        <v>0.20100000000000001</v>
      </c>
      <c r="AY84" s="3">
        <v>0.04</v>
      </c>
      <c r="AZ84" s="3">
        <v>0.16400000000000001</v>
      </c>
      <c r="BA84" s="3">
        <f t="shared" si="43"/>
        <v>-0.124</v>
      </c>
      <c r="BB84" s="3">
        <f t="shared" si="73"/>
        <v>0.13200000000000001</v>
      </c>
      <c r="BC84" s="3">
        <f t="shared" si="73"/>
        <v>0.17049999999999998</v>
      </c>
      <c r="BD84" s="3">
        <f t="shared" si="45"/>
        <v>-3.8499999999999979E-2</v>
      </c>
      <c r="BE84" s="3">
        <f t="shared" si="74"/>
        <v>0.34399999999999997</v>
      </c>
      <c r="BF84" s="3">
        <f t="shared" si="74"/>
        <v>0.66900000000000004</v>
      </c>
      <c r="BG84" s="3">
        <f t="shared" si="47"/>
        <v>-0.32500000000000007</v>
      </c>
      <c r="BH84" s="3">
        <f t="shared" si="75"/>
        <v>-0.13200000000000001</v>
      </c>
      <c r="BI84" s="3">
        <f t="shared" si="75"/>
        <v>-0.17049999999999998</v>
      </c>
      <c r="BJ84" s="3">
        <f t="shared" si="72"/>
        <v>3.8499999999999979E-2</v>
      </c>
      <c r="BK84" s="3">
        <f t="shared" si="69"/>
        <v>2.5325581395348844E-2</v>
      </c>
      <c r="BL84" s="3">
        <f t="shared" si="70"/>
        <v>2.1726644245141997E-2</v>
      </c>
      <c r="BM84" s="3">
        <f t="shared" si="49"/>
        <v>3.5989371502068469E-3</v>
      </c>
      <c r="BN84" s="3">
        <v>2.3010000000000002</v>
      </c>
      <c r="BO84" s="3">
        <v>2.3559999999999999</v>
      </c>
      <c r="BP84" s="3">
        <f t="shared" si="50"/>
        <v>-5.4999999999999716E-2</v>
      </c>
      <c r="BQ84" s="3">
        <v>-47960.305999999997</v>
      </c>
      <c r="BR84" s="3">
        <v>-47708.290999999997</v>
      </c>
      <c r="BS84" s="3">
        <f t="shared" si="51"/>
        <v>-252.01499999999942</v>
      </c>
      <c r="BT84" s="3">
        <v>-47973.754999999997</v>
      </c>
      <c r="BU84" s="3">
        <v>-47721.697</v>
      </c>
      <c r="BV84" s="3">
        <f t="shared" si="52"/>
        <v>-252.05799999999726</v>
      </c>
    </row>
    <row r="85" spans="1:74" x14ac:dyDescent="0.25">
      <c r="A85" t="s">
        <v>255</v>
      </c>
      <c r="B85" t="s">
        <v>514</v>
      </c>
      <c r="C85" t="s">
        <v>103</v>
      </c>
      <c r="D85" s="3">
        <v>12.9</v>
      </c>
      <c r="E85" s="3">
        <v>0.67</v>
      </c>
      <c r="F85" s="3">
        <v>-246.755</v>
      </c>
      <c r="G85" s="3">
        <v>-248.351</v>
      </c>
      <c r="H85" s="3">
        <f t="shared" si="53"/>
        <v>-1.5960000000000036</v>
      </c>
      <c r="I85" s="3">
        <v>-0.35</v>
      </c>
      <c r="J85" s="6">
        <v>-0.26700000000000002</v>
      </c>
      <c r="K85" s="3">
        <f t="shared" si="54"/>
        <v>8.2999999999999963E-2</v>
      </c>
      <c r="L85" s="3">
        <v>0.113</v>
      </c>
      <c r="M85" s="6">
        <v>-3.5999999999999997E-2</v>
      </c>
      <c r="N85" s="3">
        <f t="shared" si="55"/>
        <v>-0.14899999999999999</v>
      </c>
      <c r="O85" s="3">
        <f t="shared" si="56"/>
        <v>0.11849999999999999</v>
      </c>
      <c r="P85" s="3">
        <f t="shared" si="56"/>
        <v>0.1515</v>
      </c>
      <c r="Q85" s="3">
        <f t="shared" si="57"/>
        <v>3.3000000000000002E-2</v>
      </c>
      <c r="R85" s="3">
        <f t="shared" si="58"/>
        <v>0.46299999999999997</v>
      </c>
      <c r="S85" s="3">
        <f t="shared" si="58"/>
        <v>0.23100000000000001</v>
      </c>
      <c r="T85" s="3">
        <f t="shared" si="59"/>
        <v>-0.23199999999999996</v>
      </c>
      <c r="U85" s="3">
        <f t="shared" si="60"/>
        <v>-0.11849999999999999</v>
      </c>
      <c r="V85" s="3">
        <f t="shared" si="60"/>
        <v>-0.1515</v>
      </c>
      <c r="W85" s="3">
        <f t="shared" si="71"/>
        <v>-3.3000000000000002E-2</v>
      </c>
      <c r="X85" s="3">
        <f t="shared" si="67"/>
        <v>1.5164416846652267E-2</v>
      </c>
      <c r="Y85" s="3">
        <f t="shared" si="68"/>
        <v>4.9680194805194804E-2</v>
      </c>
      <c r="Z85" s="3">
        <f t="shared" si="61"/>
        <v>3.4515777958542534E-2</v>
      </c>
      <c r="AA85" s="3">
        <v>2.84</v>
      </c>
      <c r="AB85" s="3">
        <v>2.7749999999999999</v>
      </c>
      <c r="AC85" s="3">
        <f t="shared" si="62"/>
        <v>-6.4999999999999947E-2</v>
      </c>
      <c r="AD85" s="3">
        <f>-246.65516*627.50956</f>
        <v>-154778.47092332959</v>
      </c>
      <c r="AE85" s="3">
        <f>-248.257404*627.50956</f>
        <v>-155783.89435078224</v>
      </c>
      <c r="AF85" s="3">
        <f t="shared" si="63"/>
        <v>-1005.4234274526534</v>
      </c>
      <c r="AG85" s="3">
        <f>-246.687374*627.50956</f>
        <v>-154798.68551629543</v>
      </c>
      <c r="AH85" s="3">
        <f>-248.29002*627.50956</f>
        <v>-155804.36120259119</v>
      </c>
      <c r="AI85" s="3">
        <f t="shared" si="64"/>
        <v>-1005.6756862957554</v>
      </c>
      <c r="AJ85" s="3">
        <v>-0.53800000000000003</v>
      </c>
      <c r="AK85" s="3">
        <v>-0.48299999999999998</v>
      </c>
      <c r="AL85" s="3">
        <f t="shared" si="65"/>
        <v>5.5000000000000049E-2</v>
      </c>
      <c r="AM85" s="3">
        <v>79.099900000000005</v>
      </c>
      <c r="AN85" s="3">
        <v>133.2056</v>
      </c>
      <c r="AO85" s="3">
        <v>129.02933999999999</v>
      </c>
      <c r="AP85" s="3">
        <f t="shared" si="66"/>
        <v>1.0789122304688274</v>
      </c>
      <c r="AQ85" s="3">
        <v>7.2910000000000004</v>
      </c>
      <c r="AR85" s="3">
        <v>1.4679621</v>
      </c>
      <c r="AS85" s="3">
        <v>-959.76900000000001</v>
      </c>
      <c r="AT85" s="3">
        <v>-958.05</v>
      </c>
      <c r="AU85" s="3">
        <f t="shared" si="41"/>
        <v>-1.7190000000000509</v>
      </c>
      <c r="AV85" s="3">
        <v>-0.317</v>
      </c>
      <c r="AW85" s="3">
        <v>-0.45</v>
      </c>
      <c r="AX85" s="3">
        <f t="shared" si="42"/>
        <v>0.13300000000000001</v>
      </c>
      <c r="AY85" s="3">
        <v>-2.4E-2</v>
      </c>
      <c r="AZ85" s="3">
        <v>0.13500000000000001</v>
      </c>
      <c r="BA85" s="3">
        <f t="shared" si="43"/>
        <v>-0.159</v>
      </c>
      <c r="BB85" s="3">
        <f t="shared" si="73"/>
        <v>0.17050000000000001</v>
      </c>
      <c r="BC85" s="3">
        <f t="shared" si="73"/>
        <v>0.1575</v>
      </c>
      <c r="BD85" s="3">
        <f t="shared" si="45"/>
        <v>1.3000000000000012E-2</v>
      </c>
      <c r="BE85" s="3">
        <f t="shared" si="74"/>
        <v>0.29299999999999998</v>
      </c>
      <c r="BF85" s="3">
        <f t="shared" si="74"/>
        <v>0.58499999999999996</v>
      </c>
      <c r="BG85" s="3">
        <f t="shared" si="47"/>
        <v>-0.29199999999999998</v>
      </c>
      <c r="BH85" s="3">
        <f t="shared" si="75"/>
        <v>-0.17050000000000001</v>
      </c>
      <c r="BI85" s="3">
        <f t="shared" si="75"/>
        <v>-0.1575</v>
      </c>
      <c r="BJ85" s="3">
        <f t="shared" si="72"/>
        <v>-1.3000000000000012E-2</v>
      </c>
      <c r="BK85" s="3">
        <f t="shared" si="69"/>
        <v>4.9607935153583631E-2</v>
      </c>
      <c r="BL85" s="3">
        <f t="shared" si="70"/>
        <v>2.120192307692308E-2</v>
      </c>
      <c r="BM85" s="3">
        <f t="shared" si="49"/>
        <v>2.8406012076660551E-2</v>
      </c>
      <c r="BN85" s="3">
        <v>2.2370000000000001</v>
      </c>
      <c r="BO85" s="3">
        <v>2.431</v>
      </c>
      <c r="BP85" s="3">
        <f t="shared" si="50"/>
        <v>-0.19399999999999995</v>
      </c>
      <c r="BQ85" s="3">
        <v>-602243.07700000005</v>
      </c>
      <c r="BR85" s="3">
        <v>-601163.24300000002</v>
      </c>
      <c r="BS85" s="3">
        <f t="shared" si="51"/>
        <v>-1079.8340000000317</v>
      </c>
      <c r="BT85" s="3">
        <v>-602262.36399999994</v>
      </c>
      <c r="BU85" s="3">
        <v>-601182.38500000001</v>
      </c>
      <c r="BV85" s="3">
        <f t="shared" si="52"/>
        <v>-1079.9789999999339</v>
      </c>
    </row>
    <row r="86" spans="1:74" x14ac:dyDescent="0.25">
      <c r="A86" t="s">
        <v>296</v>
      </c>
      <c r="B86" t="s">
        <v>514</v>
      </c>
      <c r="C86" t="s">
        <v>199</v>
      </c>
      <c r="D86" s="3">
        <v>12.91</v>
      </c>
      <c r="E86" s="3">
        <v>0.59</v>
      </c>
      <c r="F86" s="3">
        <v>-489.31799999999998</v>
      </c>
      <c r="G86" s="3">
        <v>-492.12900000000002</v>
      </c>
      <c r="H86" s="3">
        <f t="shared" si="53"/>
        <v>-2.8110000000000355</v>
      </c>
      <c r="I86" s="3">
        <v>-0.35399999999999998</v>
      </c>
      <c r="J86" s="6">
        <v>-0.217</v>
      </c>
      <c r="K86" s="3">
        <f t="shared" si="54"/>
        <v>0.13699999999999998</v>
      </c>
      <c r="L86" s="3">
        <v>0.16300000000000001</v>
      </c>
      <c r="M86" s="6">
        <v>2.5000000000000001E-2</v>
      </c>
      <c r="N86" s="3">
        <f t="shared" si="55"/>
        <v>-0.13800000000000001</v>
      </c>
      <c r="O86" s="3">
        <f t="shared" si="56"/>
        <v>9.5499999999999988E-2</v>
      </c>
      <c r="P86" s="3">
        <f t="shared" si="56"/>
        <v>9.6000000000000002E-2</v>
      </c>
      <c r="Q86" s="3">
        <f t="shared" si="57"/>
        <v>5.0000000000001432E-4</v>
      </c>
      <c r="R86" s="3">
        <f t="shared" si="58"/>
        <v>0.51700000000000002</v>
      </c>
      <c r="S86" s="3">
        <f t="shared" si="58"/>
        <v>0.24199999999999999</v>
      </c>
      <c r="T86" s="3">
        <f t="shared" si="59"/>
        <v>-0.27500000000000002</v>
      </c>
      <c r="U86" s="3">
        <f t="shared" si="60"/>
        <v>-9.5499999999999988E-2</v>
      </c>
      <c r="V86" s="3">
        <f t="shared" si="60"/>
        <v>-9.6000000000000002E-2</v>
      </c>
      <c r="W86" s="3">
        <f t="shared" si="71"/>
        <v>-5.0000000000001432E-4</v>
      </c>
      <c r="X86" s="3">
        <f t="shared" si="67"/>
        <v>8.8203578336557044E-3</v>
      </c>
      <c r="Y86" s="3">
        <f t="shared" si="68"/>
        <v>1.9041322314049588E-2</v>
      </c>
      <c r="Z86" s="3">
        <f t="shared" si="61"/>
        <v>1.0220964480393883E-2</v>
      </c>
      <c r="AA86" s="3">
        <v>14.618</v>
      </c>
      <c r="AB86" s="3">
        <v>11.234999999999999</v>
      </c>
      <c r="AC86" s="3">
        <f t="shared" si="62"/>
        <v>-3.3830000000000009</v>
      </c>
      <c r="AD86" s="3">
        <f>-489.17559*627.50956</f>
        <v>-306962.35924364039</v>
      </c>
      <c r="AE86" s="3">
        <f>-491.996817*627.50956</f>
        <v>-308732.70615707053</v>
      </c>
      <c r="AF86" s="3">
        <f t="shared" si="63"/>
        <v>-1770.3469134301413</v>
      </c>
      <c r="AG86" s="3">
        <f>-489.222015*627.50956</f>
        <v>-306991.49137496337</v>
      </c>
      <c r="AH86" s="3">
        <f>-492.04376*627.50956</f>
        <v>-308762.16333834559</v>
      </c>
      <c r="AI86" s="3">
        <f t="shared" si="64"/>
        <v>-1770.6719633822213</v>
      </c>
      <c r="AJ86" s="3">
        <v>-0.68799999999999994</v>
      </c>
      <c r="AK86" s="3">
        <v>-0.61799999999999999</v>
      </c>
      <c r="AL86" s="3">
        <f t="shared" si="65"/>
        <v>6.9999999999999951E-2</v>
      </c>
      <c r="AM86" s="3">
        <v>131.10998000000001</v>
      </c>
      <c r="AN86" s="3">
        <v>177.20599999999999</v>
      </c>
      <c r="AO86" s="3">
        <v>177.47970000000001</v>
      </c>
      <c r="AP86" s="3">
        <f t="shared" si="66"/>
        <v>1.1604735571480249</v>
      </c>
      <c r="AQ86" s="3">
        <v>10.292</v>
      </c>
      <c r="AR86" s="3">
        <v>2.3359097000000002</v>
      </c>
      <c r="AS86" s="3">
        <v>-76.454999999999998</v>
      </c>
      <c r="AT86" s="3">
        <v>-76.055000000000007</v>
      </c>
      <c r="AU86" s="3">
        <f t="shared" si="41"/>
        <v>-0.39999999999999147</v>
      </c>
      <c r="AV86" s="3">
        <v>-0.30399999999999999</v>
      </c>
      <c r="AW86" s="3">
        <v>-0.505</v>
      </c>
      <c r="AX86" s="3">
        <f t="shared" si="42"/>
        <v>0.20100000000000001</v>
      </c>
      <c r="AY86" s="3">
        <v>0.04</v>
      </c>
      <c r="AZ86" s="3">
        <v>0.16400000000000001</v>
      </c>
      <c r="BA86" s="3">
        <f t="shared" si="43"/>
        <v>-0.124</v>
      </c>
      <c r="BB86" s="3">
        <f t="shared" si="73"/>
        <v>0.13200000000000001</v>
      </c>
      <c r="BC86" s="3">
        <f t="shared" si="73"/>
        <v>0.17049999999999998</v>
      </c>
      <c r="BD86" s="3">
        <f t="shared" si="45"/>
        <v>-3.8499999999999979E-2</v>
      </c>
      <c r="BE86" s="3">
        <f t="shared" si="74"/>
        <v>0.34399999999999997</v>
      </c>
      <c r="BF86" s="3">
        <f t="shared" si="74"/>
        <v>0.66900000000000004</v>
      </c>
      <c r="BG86" s="3">
        <f t="shared" si="47"/>
        <v>-0.32500000000000007</v>
      </c>
      <c r="BH86" s="3">
        <f t="shared" si="75"/>
        <v>-0.13200000000000001</v>
      </c>
      <c r="BI86" s="3">
        <f t="shared" si="75"/>
        <v>-0.17049999999999998</v>
      </c>
      <c r="BJ86" s="3">
        <f t="shared" si="72"/>
        <v>3.8499999999999979E-2</v>
      </c>
      <c r="BK86" s="3">
        <f t="shared" si="69"/>
        <v>2.5325581395348844E-2</v>
      </c>
      <c r="BL86" s="3">
        <f t="shared" si="70"/>
        <v>2.1726644245141997E-2</v>
      </c>
      <c r="BM86" s="3">
        <f t="shared" si="49"/>
        <v>3.5989371502068469E-3</v>
      </c>
      <c r="BN86" s="3">
        <v>2.3010000000000002</v>
      </c>
      <c r="BO86" s="3">
        <v>2.3559999999999999</v>
      </c>
      <c r="BP86" s="3">
        <f t="shared" si="50"/>
        <v>-5.4999999999999716E-2</v>
      </c>
      <c r="BQ86" s="3">
        <v>-47960.305999999997</v>
      </c>
      <c r="BR86" s="3">
        <v>-47708.290999999997</v>
      </c>
      <c r="BS86" s="3">
        <f t="shared" si="51"/>
        <v>-252.01499999999942</v>
      </c>
      <c r="BT86" s="3">
        <v>-47973.754999999997</v>
      </c>
      <c r="BU86" s="3">
        <v>-47721.697</v>
      </c>
      <c r="BV86" s="3">
        <f t="shared" si="52"/>
        <v>-252.05799999999726</v>
      </c>
    </row>
    <row r="87" spans="1:74" x14ac:dyDescent="0.25">
      <c r="A87" t="s">
        <v>297</v>
      </c>
      <c r="B87" t="s">
        <v>514</v>
      </c>
      <c r="C87" t="s">
        <v>99</v>
      </c>
      <c r="D87" s="3">
        <v>12.92</v>
      </c>
      <c r="E87" s="3">
        <v>0.6</v>
      </c>
      <c r="F87" s="3">
        <v>-744.72400000000005</v>
      </c>
      <c r="G87" s="3">
        <v>-747.30100000000004</v>
      </c>
      <c r="H87" s="3">
        <f t="shared" si="53"/>
        <v>-2.5769999999999982</v>
      </c>
      <c r="I87" s="3">
        <v>-0.33600000000000002</v>
      </c>
      <c r="J87" s="6">
        <v>-0.253</v>
      </c>
      <c r="K87" s="3">
        <f t="shared" si="54"/>
        <v>8.3000000000000018E-2</v>
      </c>
      <c r="L87" s="3">
        <v>0.11700000000000001</v>
      </c>
      <c r="M87" s="6">
        <v>-2.7E-2</v>
      </c>
      <c r="N87" s="3">
        <f t="shared" si="55"/>
        <v>-0.14400000000000002</v>
      </c>
      <c r="O87" s="3">
        <f t="shared" si="56"/>
        <v>0.10950000000000001</v>
      </c>
      <c r="P87" s="3">
        <f t="shared" si="56"/>
        <v>0.14000000000000001</v>
      </c>
      <c r="Q87" s="3">
        <f t="shared" si="57"/>
        <v>3.0499999999999999E-2</v>
      </c>
      <c r="R87" s="3">
        <f t="shared" si="58"/>
        <v>0.45300000000000001</v>
      </c>
      <c r="S87" s="3">
        <f t="shared" si="58"/>
        <v>0.22600000000000001</v>
      </c>
      <c r="T87" s="3">
        <f t="shared" si="59"/>
        <v>-0.22700000000000001</v>
      </c>
      <c r="U87" s="3">
        <f t="shared" si="60"/>
        <v>-0.10950000000000001</v>
      </c>
      <c r="V87" s="3">
        <f t="shared" si="60"/>
        <v>-0.14000000000000001</v>
      </c>
      <c r="W87" s="3">
        <f t="shared" si="71"/>
        <v>-3.0499999999999999E-2</v>
      </c>
      <c r="X87" s="3">
        <f t="shared" si="67"/>
        <v>1.323427152317881E-2</v>
      </c>
      <c r="Y87" s="3">
        <f t="shared" si="68"/>
        <v>4.3362831858407086E-2</v>
      </c>
      <c r="Z87" s="3">
        <f t="shared" si="61"/>
        <v>3.0128560335228274E-2</v>
      </c>
      <c r="AA87" s="3">
        <v>3.258</v>
      </c>
      <c r="AB87" s="3">
        <v>3.1349999999999998</v>
      </c>
      <c r="AC87" s="3">
        <f t="shared" si="62"/>
        <v>-0.12300000000000022</v>
      </c>
      <c r="AD87" s="3">
        <f>-744.602395*627.50956</f>
        <v>-467245.12126139615</v>
      </c>
      <c r="AE87" s="3">
        <f>-747.186604*627.50956</f>
        <v>-468866.73711393418</v>
      </c>
      <c r="AF87" s="3">
        <f t="shared" si="63"/>
        <v>-1621.6158525380306</v>
      </c>
      <c r="AG87" s="3">
        <f>-744.640174*627.50956</f>
        <v>-467268.82794506341</v>
      </c>
      <c r="AH87" s="3">
        <f>-747.225122*627.50956</f>
        <v>-468890.9075271663</v>
      </c>
      <c r="AI87" s="3">
        <f t="shared" si="64"/>
        <v>-1622.0795821028878</v>
      </c>
      <c r="AJ87" s="3">
        <v>-0.86399999999999999</v>
      </c>
      <c r="AK87" s="3">
        <v>-0.86299999999999999</v>
      </c>
      <c r="AL87" s="3">
        <f t="shared" si="65"/>
        <v>1.0000000000000009E-3</v>
      </c>
      <c r="AM87" s="3">
        <v>127.57154</v>
      </c>
      <c r="AN87" s="3">
        <v>171.6026</v>
      </c>
      <c r="AO87" s="3">
        <v>175.4966</v>
      </c>
      <c r="AP87" s="3">
        <f t="shared" si="66"/>
        <v>1.1322283091759857</v>
      </c>
      <c r="AQ87" s="3">
        <v>9.3759999999999994</v>
      </c>
      <c r="AR87" s="3">
        <v>2.2026302000000002</v>
      </c>
      <c r="AS87" s="3">
        <v>-132.80099999999999</v>
      </c>
      <c r="AT87" s="3">
        <v>-131.97</v>
      </c>
      <c r="AU87" s="3">
        <f t="shared" si="41"/>
        <v>-0.83099999999998886</v>
      </c>
      <c r="AV87" s="3">
        <v>-0.34100000000000003</v>
      </c>
      <c r="AW87" s="3">
        <v>-0.47499999999999998</v>
      </c>
      <c r="AX87" s="3">
        <f t="shared" si="42"/>
        <v>0.13399999999999995</v>
      </c>
      <c r="AY87" s="3">
        <v>2.9000000000000001E-2</v>
      </c>
      <c r="AZ87" s="3">
        <v>0.156</v>
      </c>
      <c r="BA87" s="3">
        <f t="shared" si="43"/>
        <v>-0.127</v>
      </c>
      <c r="BB87" s="3">
        <f t="shared" si="73"/>
        <v>0.156</v>
      </c>
      <c r="BC87" s="3">
        <f t="shared" si="73"/>
        <v>0.15949999999999998</v>
      </c>
      <c r="BD87" s="3">
        <f t="shared" si="45"/>
        <v>-3.4999999999999754E-3</v>
      </c>
      <c r="BE87" s="3">
        <f t="shared" si="74"/>
        <v>0.37000000000000005</v>
      </c>
      <c r="BF87" s="3">
        <f t="shared" si="74"/>
        <v>0.63100000000000001</v>
      </c>
      <c r="BG87" s="3">
        <f t="shared" si="47"/>
        <v>-0.26099999999999995</v>
      </c>
      <c r="BH87" s="3">
        <f t="shared" si="75"/>
        <v>-0.156</v>
      </c>
      <c r="BI87" s="3">
        <f t="shared" si="75"/>
        <v>-0.15949999999999998</v>
      </c>
      <c r="BJ87" s="3">
        <f t="shared" si="72"/>
        <v>3.4999999999999754E-3</v>
      </c>
      <c r="BK87" s="3">
        <f t="shared" si="69"/>
        <v>3.2886486486486483E-2</v>
      </c>
      <c r="BL87" s="3">
        <f t="shared" si="70"/>
        <v>2.0158676703645E-2</v>
      </c>
      <c r="BM87" s="3">
        <f t="shared" si="49"/>
        <v>1.2727809782841482E-2</v>
      </c>
      <c r="BN87" s="3">
        <v>4.7279999999999998</v>
      </c>
      <c r="BO87" s="3">
        <v>4.9340000000000002</v>
      </c>
      <c r="BP87" s="3">
        <f t="shared" si="50"/>
        <v>-0.20600000000000041</v>
      </c>
      <c r="BQ87" s="3">
        <v>-83302.89</v>
      </c>
      <c r="BR87" s="3">
        <v>-82779.224000000002</v>
      </c>
      <c r="BS87" s="3">
        <f t="shared" si="51"/>
        <v>-523.66599999999744</v>
      </c>
      <c r="BT87" s="3">
        <v>-83320.774999999994</v>
      </c>
      <c r="BU87" s="3">
        <v>-82796.997000000003</v>
      </c>
      <c r="BV87" s="3">
        <f t="shared" si="52"/>
        <v>-523.77799999999115</v>
      </c>
    </row>
    <row r="88" spans="1:74" x14ac:dyDescent="0.25">
      <c r="A88" t="s">
        <v>298</v>
      </c>
      <c r="B88" t="s">
        <v>514</v>
      </c>
      <c r="C88" t="s">
        <v>103</v>
      </c>
      <c r="D88" s="3">
        <v>12.92</v>
      </c>
      <c r="E88" s="3">
        <v>0.77</v>
      </c>
      <c r="F88" s="3">
        <v>-265.09100000000001</v>
      </c>
      <c r="G88" s="3">
        <v>-266.815</v>
      </c>
      <c r="H88" s="3">
        <f t="shared" si="53"/>
        <v>-1.7239999999999895</v>
      </c>
      <c r="I88" s="3">
        <v>-0.34499999999999997</v>
      </c>
      <c r="J88" s="6">
        <v>-0.223</v>
      </c>
      <c r="K88" s="3">
        <f t="shared" si="54"/>
        <v>0.12199999999999997</v>
      </c>
      <c r="L88" s="3">
        <v>0.154</v>
      </c>
      <c r="M88" s="6">
        <v>2.5000000000000001E-2</v>
      </c>
      <c r="N88" s="3">
        <f t="shared" si="55"/>
        <v>-0.129</v>
      </c>
      <c r="O88" s="3">
        <f t="shared" si="56"/>
        <v>9.5499999999999988E-2</v>
      </c>
      <c r="P88" s="3">
        <f t="shared" si="56"/>
        <v>9.9000000000000005E-2</v>
      </c>
      <c r="Q88" s="3">
        <f t="shared" si="57"/>
        <v>3.500000000000017E-3</v>
      </c>
      <c r="R88" s="3">
        <f t="shared" si="58"/>
        <v>0.499</v>
      </c>
      <c r="S88" s="3">
        <f t="shared" si="58"/>
        <v>0.248</v>
      </c>
      <c r="T88" s="3">
        <f t="shared" si="59"/>
        <v>-0.251</v>
      </c>
      <c r="U88" s="3">
        <f t="shared" si="60"/>
        <v>-9.5499999999999988E-2</v>
      </c>
      <c r="V88" s="3">
        <f t="shared" si="60"/>
        <v>-9.9000000000000005E-2</v>
      </c>
      <c r="W88" s="3">
        <f t="shared" si="71"/>
        <v>-3.500000000000017E-3</v>
      </c>
      <c r="X88" s="3">
        <f t="shared" si="67"/>
        <v>9.1385270541082149E-3</v>
      </c>
      <c r="Y88" s="3">
        <f t="shared" si="68"/>
        <v>1.9760080645161292E-2</v>
      </c>
      <c r="Z88" s="3">
        <f t="shared" si="61"/>
        <v>1.0621553591053077E-2</v>
      </c>
      <c r="AA88" s="3">
        <v>3.5419999999999998</v>
      </c>
      <c r="AB88" s="3">
        <v>3.516</v>
      </c>
      <c r="AC88" s="3">
        <f t="shared" si="62"/>
        <v>-2.5999999999999801E-2</v>
      </c>
      <c r="AD88" s="3">
        <f>-264.95458*627.50956</f>
        <v>-166261.53191578481</v>
      </c>
      <c r="AE88" s="3">
        <f>-266.686143*627.50956</f>
        <v>-167348.10425202709</v>
      </c>
      <c r="AF88" s="3">
        <f t="shared" si="63"/>
        <v>-1086.5723362422723</v>
      </c>
      <c r="AG88" s="3">
        <f>-264.990143*627.50956</f>
        <v>-166283.84803826705</v>
      </c>
      <c r="AH88" s="3">
        <f>-266.7223*627.50956</f>
        <v>-167370.79311518799</v>
      </c>
      <c r="AI88" s="3">
        <f t="shared" si="64"/>
        <v>-1086.9450769209361</v>
      </c>
      <c r="AJ88" s="3">
        <v>-0.72299999999999998</v>
      </c>
      <c r="AK88" s="3">
        <v>-0.66200000000000003</v>
      </c>
      <c r="AL88" s="3">
        <f t="shared" si="65"/>
        <v>6.0999999999999943E-2</v>
      </c>
      <c r="AM88" s="3">
        <v>84.119720000000001</v>
      </c>
      <c r="AN88" s="3">
        <v>148.51361</v>
      </c>
      <c r="AO88" s="3">
        <v>146.76235</v>
      </c>
      <c r="AP88" s="3">
        <f t="shared" si="66"/>
        <v>1.1039407557574712</v>
      </c>
      <c r="AQ88" s="3">
        <v>7.6950000000000003</v>
      </c>
      <c r="AR88" s="3">
        <v>1.59240618</v>
      </c>
      <c r="AS88" s="3">
        <v>-959.76900000000001</v>
      </c>
      <c r="AT88" s="3">
        <v>-958.05</v>
      </c>
      <c r="AU88" s="3">
        <f t="shared" si="41"/>
        <v>-1.7190000000000509</v>
      </c>
      <c r="AV88" s="3">
        <v>-0.317</v>
      </c>
      <c r="AW88" s="3">
        <v>-0.45</v>
      </c>
      <c r="AX88" s="3">
        <f t="shared" si="42"/>
        <v>0.13300000000000001</v>
      </c>
      <c r="AY88" s="3">
        <v>-2.4E-2</v>
      </c>
      <c r="AZ88" s="3">
        <v>0.13500000000000001</v>
      </c>
      <c r="BA88" s="3">
        <f t="shared" si="43"/>
        <v>-0.159</v>
      </c>
      <c r="BB88" s="3">
        <f t="shared" si="73"/>
        <v>0.17050000000000001</v>
      </c>
      <c r="BC88" s="3">
        <f t="shared" si="73"/>
        <v>0.1575</v>
      </c>
      <c r="BD88" s="3">
        <f t="shared" si="45"/>
        <v>1.3000000000000012E-2</v>
      </c>
      <c r="BE88" s="3">
        <f t="shared" si="74"/>
        <v>0.29299999999999998</v>
      </c>
      <c r="BF88" s="3">
        <f t="shared" si="74"/>
        <v>0.58499999999999996</v>
      </c>
      <c r="BG88" s="3">
        <f t="shared" si="47"/>
        <v>-0.29199999999999998</v>
      </c>
      <c r="BH88" s="3">
        <f t="shared" si="75"/>
        <v>-0.17050000000000001</v>
      </c>
      <c r="BI88" s="3">
        <f t="shared" si="75"/>
        <v>-0.1575</v>
      </c>
      <c r="BJ88" s="3">
        <f t="shared" si="72"/>
        <v>-1.3000000000000012E-2</v>
      </c>
      <c r="BK88" s="3">
        <f t="shared" si="69"/>
        <v>4.9607935153583631E-2</v>
      </c>
      <c r="BL88" s="3">
        <f t="shared" si="70"/>
        <v>2.120192307692308E-2</v>
      </c>
      <c r="BM88" s="3">
        <f t="shared" si="49"/>
        <v>2.8406012076660551E-2</v>
      </c>
      <c r="BN88" s="3">
        <v>2.2370000000000001</v>
      </c>
      <c r="BO88" s="3">
        <v>2.431</v>
      </c>
      <c r="BP88" s="3">
        <f t="shared" si="50"/>
        <v>-0.19399999999999995</v>
      </c>
      <c r="BQ88" s="3">
        <v>-602243.07700000005</v>
      </c>
      <c r="BR88" s="3">
        <v>-601163.24300000002</v>
      </c>
      <c r="BS88" s="3">
        <f t="shared" si="51"/>
        <v>-1079.8340000000317</v>
      </c>
      <c r="BT88" s="3">
        <v>-602262.36399999994</v>
      </c>
      <c r="BU88" s="3">
        <v>-601182.38500000001</v>
      </c>
      <c r="BV88" s="3">
        <f t="shared" si="52"/>
        <v>-1079.9789999999339</v>
      </c>
    </row>
    <row r="89" spans="1:74" x14ac:dyDescent="0.25">
      <c r="A89" t="s">
        <v>299</v>
      </c>
      <c r="B89" t="s">
        <v>514</v>
      </c>
      <c r="C89" t="s">
        <v>103</v>
      </c>
      <c r="D89" s="3">
        <v>12.95</v>
      </c>
      <c r="E89" s="3">
        <v>0.57999999999999996</v>
      </c>
      <c r="F89" s="3">
        <v>-930.09799999999996</v>
      </c>
      <c r="G89" s="3">
        <v>-934.26199999999994</v>
      </c>
      <c r="H89" s="3">
        <f t="shared" si="53"/>
        <v>-4.1639999999999873</v>
      </c>
      <c r="I89" s="3">
        <v>-0.28699999999999998</v>
      </c>
      <c r="J89" s="6">
        <v>-0.20499999999999999</v>
      </c>
      <c r="K89" s="3">
        <f t="shared" si="54"/>
        <v>8.199999999999999E-2</v>
      </c>
      <c r="L89" s="3">
        <v>0.11799999999999999</v>
      </c>
      <c r="M89" s="6">
        <v>-2.1000000000000001E-2</v>
      </c>
      <c r="N89" s="3">
        <f t="shared" si="55"/>
        <v>-0.13899999999999998</v>
      </c>
      <c r="O89" s="3">
        <f t="shared" si="56"/>
        <v>8.4499999999999992E-2</v>
      </c>
      <c r="P89" s="3">
        <f t="shared" si="56"/>
        <v>0.11299999999999999</v>
      </c>
      <c r="Q89" s="3">
        <f t="shared" si="57"/>
        <v>2.8499999999999998E-2</v>
      </c>
      <c r="R89" s="3">
        <f t="shared" si="58"/>
        <v>0.40499999999999997</v>
      </c>
      <c r="S89" s="3">
        <f t="shared" si="58"/>
        <v>0.184</v>
      </c>
      <c r="T89" s="3">
        <f t="shared" si="59"/>
        <v>-0.22099999999999997</v>
      </c>
      <c r="U89" s="3">
        <f t="shared" si="60"/>
        <v>-8.4499999999999992E-2</v>
      </c>
      <c r="V89" s="3">
        <f t="shared" si="60"/>
        <v>-0.11299999999999999</v>
      </c>
      <c r="W89" s="3">
        <f t="shared" si="71"/>
        <v>-2.8499999999999998E-2</v>
      </c>
      <c r="X89" s="3">
        <f t="shared" si="67"/>
        <v>8.8151234567901224E-3</v>
      </c>
      <c r="Y89" s="3">
        <f t="shared" si="68"/>
        <v>3.4698369565217387E-2</v>
      </c>
      <c r="Z89" s="3">
        <f t="shared" si="61"/>
        <v>2.5883246108427266E-2</v>
      </c>
      <c r="AA89" s="3">
        <v>5.0780000000000003</v>
      </c>
      <c r="AB89" s="3">
        <v>4.6429999999999998</v>
      </c>
      <c r="AC89" s="3">
        <f t="shared" si="62"/>
        <v>-0.4350000000000005</v>
      </c>
      <c r="AD89" s="3">
        <f>-929.860706*627.50956</f>
        <v>-583496.48248334939</v>
      </c>
      <c r="AE89" s="3">
        <f>-934.038174*627.50956</f>
        <v>-586117.88358994341</v>
      </c>
      <c r="AF89" s="3">
        <f t="shared" si="63"/>
        <v>-2621.401106594014</v>
      </c>
      <c r="AG89" s="3">
        <f>-929.909361*627.50956</f>
        <v>-583527.01396099117</v>
      </c>
      <c r="AH89" s="3">
        <f>-934.088141*627.50956</f>
        <v>-586149.2383601279</v>
      </c>
      <c r="AI89" s="3">
        <f t="shared" si="64"/>
        <v>-2622.2243991367286</v>
      </c>
      <c r="AJ89" s="3">
        <v>-0.68600000000000005</v>
      </c>
      <c r="AK89" s="3">
        <v>-0.59699999999999998</v>
      </c>
      <c r="AL89" s="3">
        <f t="shared" si="65"/>
        <v>8.9000000000000079E-2</v>
      </c>
      <c r="AM89" s="3">
        <v>204.29138</v>
      </c>
      <c r="AN89" s="3">
        <v>252.27699999999999</v>
      </c>
      <c r="AO89" s="3">
        <v>289.74896000000001</v>
      </c>
      <c r="AP89" s="3">
        <f t="shared" si="66"/>
        <v>1.1915685107000344</v>
      </c>
      <c r="AQ89" s="3">
        <v>12.513999999999999</v>
      </c>
      <c r="AR89" s="3">
        <v>2.7303522999999998</v>
      </c>
      <c r="AS89" s="3">
        <v>-959.76900000000001</v>
      </c>
      <c r="AT89" s="3">
        <v>-958.05</v>
      </c>
      <c r="AU89" s="3">
        <f t="shared" si="41"/>
        <v>-1.7190000000000509</v>
      </c>
      <c r="AV89" s="3">
        <v>-0.317</v>
      </c>
      <c r="AW89" s="3">
        <v>-0.45</v>
      </c>
      <c r="AX89" s="3">
        <f t="shared" si="42"/>
        <v>0.13300000000000001</v>
      </c>
      <c r="AY89" s="3">
        <v>-2.4E-2</v>
      </c>
      <c r="AZ89" s="3">
        <v>0.13500000000000001</v>
      </c>
      <c r="BA89" s="3">
        <f t="shared" si="43"/>
        <v>-0.159</v>
      </c>
      <c r="BB89" s="3">
        <f t="shared" si="73"/>
        <v>0.17050000000000001</v>
      </c>
      <c r="BC89" s="3">
        <f t="shared" si="73"/>
        <v>0.1575</v>
      </c>
      <c r="BD89" s="3">
        <f t="shared" si="45"/>
        <v>1.3000000000000012E-2</v>
      </c>
      <c r="BE89" s="3">
        <f t="shared" si="74"/>
        <v>0.29299999999999998</v>
      </c>
      <c r="BF89" s="3">
        <f t="shared" si="74"/>
        <v>0.58499999999999996</v>
      </c>
      <c r="BG89" s="3">
        <f t="shared" si="47"/>
        <v>-0.29199999999999998</v>
      </c>
      <c r="BH89" s="3">
        <f t="shared" si="75"/>
        <v>-0.17050000000000001</v>
      </c>
      <c r="BI89" s="3">
        <f t="shared" si="75"/>
        <v>-0.1575</v>
      </c>
      <c r="BJ89" s="3">
        <f t="shared" si="72"/>
        <v>-1.3000000000000012E-2</v>
      </c>
      <c r="BK89" s="3">
        <f t="shared" si="69"/>
        <v>4.9607935153583631E-2</v>
      </c>
      <c r="BL89" s="3">
        <f t="shared" si="70"/>
        <v>2.120192307692308E-2</v>
      </c>
      <c r="BM89" s="3">
        <f t="shared" si="49"/>
        <v>2.8406012076660551E-2</v>
      </c>
      <c r="BN89" s="3">
        <v>2.2370000000000001</v>
      </c>
      <c r="BO89" s="3">
        <v>2.431</v>
      </c>
      <c r="BP89" s="3">
        <f t="shared" si="50"/>
        <v>-0.19399999999999995</v>
      </c>
      <c r="BQ89" s="3">
        <v>-602243.07700000005</v>
      </c>
      <c r="BR89" s="3">
        <v>-601163.24300000002</v>
      </c>
      <c r="BS89" s="3">
        <f t="shared" si="51"/>
        <v>-1079.8340000000317</v>
      </c>
      <c r="BT89" s="3">
        <v>-602262.36399999994</v>
      </c>
      <c r="BU89" s="3">
        <v>-601182.38500000001</v>
      </c>
      <c r="BV89" s="3">
        <f t="shared" si="52"/>
        <v>-1079.9789999999339</v>
      </c>
    </row>
    <row r="90" spans="1:74" x14ac:dyDescent="0.25">
      <c r="A90" t="s">
        <v>300</v>
      </c>
      <c r="B90" t="s">
        <v>514</v>
      </c>
      <c r="C90" t="s">
        <v>199</v>
      </c>
      <c r="D90" s="3">
        <v>12.96</v>
      </c>
      <c r="E90" s="3">
        <v>0.56999999999999995</v>
      </c>
      <c r="F90" s="3">
        <v>-603.08399999999995</v>
      </c>
      <c r="G90" s="3">
        <v>-606.73199999999997</v>
      </c>
      <c r="H90" s="3">
        <f t="shared" si="53"/>
        <v>-3.6480000000000246</v>
      </c>
      <c r="I90" s="3">
        <v>-0.36</v>
      </c>
      <c r="J90" s="6">
        <v>-0.21</v>
      </c>
      <c r="K90" s="3">
        <f t="shared" si="54"/>
        <v>0.15</v>
      </c>
      <c r="L90" s="3">
        <v>0.14000000000000001</v>
      </c>
      <c r="M90" s="6">
        <v>3.0000000000000001E-3</v>
      </c>
      <c r="N90" s="3">
        <f t="shared" si="55"/>
        <v>-0.13700000000000001</v>
      </c>
      <c r="O90" s="3">
        <f t="shared" si="56"/>
        <v>0.10999999999999999</v>
      </c>
      <c r="P90" s="3">
        <f t="shared" si="56"/>
        <v>0.10349999999999999</v>
      </c>
      <c r="Q90" s="3">
        <f t="shared" si="57"/>
        <v>-6.4999999999999919E-3</v>
      </c>
      <c r="R90" s="3">
        <f t="shared" si="58"/>
        <v>0.5</v>
      </c>
      <c r="S90" s="3">
        <f t="shared" si="58"/>
        <v>0.21299999999999999</v>
      </c>
      <c r="T90" s="3">
        <f t="shared" si="59"/>
        <v>-0.28700000000000003</v>
      </c>
      <c r="U90" s="3">
        <f t="shared" si="60"/>
        <v>-0.10999999999999999</v>
      </c>
      <c r="V90" s="3">
        <f t="shared" si="60"/>
        <v>-0.10349999999999999</v>
      </c>
      <c r="W90" s="3">
        <f t="shared" si="71"/>
        <v>6.4999999999999919E-3</v>
      </c>
      <c r="X90" s="3">
        <f t="shared" si="67"/>
        <v>1.2099999999999998E-2</v>
      </c>
      <c r="Y90" s="3">
        <f t="shared" si="68"/>
        <v>2.5146126760563381E-2</v>
      </c>
      <c r="Z90" s="3">
        <f t="shared" si="61"/>
        <v>1.3046126760563383E-2</v>
      </c>
      <c r="AA90" s="3">
        <v>33.362000000000002</v>
      </c>
      <c r="AB90" s="3">
        <v>32.253</v>
      </c>
      <c r="AC90" s="3">
        <f t="shared" si="62"/>
        <v>-1.1090000000000018</v>
      </c>
      <c r="AD90" s="3">
        <f>-602.832822*627.50956</f>
        <v>-378283.3588867783</v>
      </c>
      <c r="AE90" s="3">
        <f>-606.496381*627.50956</f>
        <v>-380582.27718290238</v>
      </c>
      <c r="AF90" s="3">
        <f t="shared" si="63"/>
        <v>-2298.9182961240876</v>
      </c>
      <c r="AG90" s="3">
        <f>-602.889887*627.50956</f>
        <v>-378319.1677198197</v>
      </c>
      <c r="AH90" s="3">
        <f>-606.55556*627.50956</f>
        <v>-380619.4125711536</v>
      </c>
      <c r="AI90" s="3">
        <f t="shared" si="64"/>
        <v>-2300.2448513339041</v>
      </c>
      <c r="AJ90" s="3">
        <v>-0.64900000000000002</v>
      </c>
      <c r="AK90" s="3">
        <v>-0.57499999999999996</v>
      </c>
      <c r="AL90" s="3">
        <f t="shared" si="65"/>
        <v>7.4000000000000066E-2</v>
      </c>
      <c r="AM90" s="3">
        <v>174.20096000000001</v>
      </c>
      <c r="AN90" s="3">
        <v>240.67523</v>
      </c>
      <c r="AO90" s="3">
        <v>262.17809999999997</v>
      </c>
      <c r="AP90" s="3">
        <f t="shared" si="66"/>
        <v>1.2151309182589636</v>
      </c>
      <c r="AQ90" s="3">
        <v>12.627000000000001</v>
      </c>
      <c r="AR90" s="3">
        <v>3.3180081000000001</v>
      </c>
      <c r="AS90" s="3">
        <v>-76.454999999999998</v>
      </c>
      <c r="AT90" s="3">
        <v>-76.055000000000007</v>
      </c>
      <c r="AU90" s="3">
        <f t="shared" si="41"/>
        <v>-0.39999999999999147</v>
      </c>
      <c r="AV90" s="3">
        <v>-0.30399999999999999</v>
      </c>
      <c r="AW90" s="3">
        <v>-0.505</v>
      </c>
      <c r="AX90" s="3">
        <f t="shared" si="42"/>
        <v>0.20100000000000001</v>
      </c>
      <c r="AY90" s="3">
        <v>0.04</v>
      </c>
      <c r="AZ90" s="3">
        <v>0.16400000000000001</v>
      </c>
      <c r="BA90" s="3">
        <f t="shared" si="43"/>
        <v>-0.124</v>
      </c>
      <c r="BB90" s="3">
        <f t="shared" si="73"/>
        <v>0.13200000000000001</v>
      </c>
      <c r="BC90" s="3">
        <f t="shared" si="73"/>
        <v>0.17049999999999998</v>
      </c>
      <c r="BD90" s="3">
        <f t="shared" si="45"/>
        <v>-3.8499999999999979E-2</v>
      </c>
      <c r="BE90" s="3">
        <f t="shared" si="74"/>
        <v>0.34399999999999997</v>
      </c>
      <c r="BF90" s="3">
        <f t="shared" si="74"/>
        <v>0.66900000000000004</v>
      </c>
      <c r="BG90" s="3">
        <f t="shared" si="47"/>
        <v>-0.32500000000000007</v>
      </c>
      <c r="BH90" s="3">
        <f t="shared" si="75"/>
        <v>-0.13200000000000001</v>
      </c>
      <c r="BI90" s="3">
        <f t="shared" si="75"/>
        <v>-0.17049999999999998</v>
      </c>
      <c r="BJ90" s="3">
        <f t="shared" si="72"/>
        <v>3.8499999999999979E-2</v>
      </c>
      <c r="BK90" s="3">
        <f t="shared" si="69"/>
        <v>2.5325581395348844E-2</v>
      </c>
      <c r="BL90" s="3">
        <f t="shared" si="70"/>
        <v>2.1726644245141997E-2</v>
      </c>
      <c r="BM90" s="3">
        <f t="shared" si="49"/>
        <v>3.5989371502068469E-3</v>
      </c>
      <c r="BN90" s="3">
        <v>2.3010000000000002</v>
      </c>
      <c r="BO90" s="3">
        <v>2.3559999999999999</v>
      </c>
      <c r="BP90" s="3">
        <f t="shared" si="50"/>
        <v>-5.4999999999999716E-2</v>
      </c>
      <c r="BQ90" s="3">
        <v>-47960.305999999997</v>
      </c>
      <c r="BR90" s="3">
        <v>-47708.290999999997</v>
      </c>
      <c r="BS90" s="3">
        <f t="shared" si="51"/>
        <v>-252.01499999999942</v>
      </c>
      <c r="BT90" s="3">
        <v>-47973.754999999997</v>
      </c>
      <c r="BU90" s="3">
        <v>-47721.697</v>
      </c>
      <c r="BV90" s="3">
        <f t="shared" si="52"/>
        <v>-252.05799999999726</v>
      </c>
    </row>
    <row r="91" spans="1:74" x14ac:dyDescent="0.25">
      <c r="A91" t="s">
        <v>302</v>
      </c>
      <c r="B91" t="s">
        <v>514</v>
      </c>
      <c r="C91" t="s">
        <v>99</v>
      </c>
      <c r="D91" s="3">
        <v>12.96</v>
      </c>
      <c r="E91" s="3">
        <v>0.67</v>
      </c>
      <c r="F91" s="3">
        <v>-2951.6480000000001</v>
      </c>
      <c r="G91" s="3">
        <v>-2955.8879999999999</v>
      </c>
      <c r="H91" s="3">
        <f t="shared" si="53"/>
        <v>-4.2399999999997817</v>
      </c>
      <c r="I91" s="3">
        <v>-0.34100000000000003</v>
      </c>
      <c r="J91" s="6">
        <v>-0.23400000000000001</v>
      </c>
      <c r="K91" s="3">
        <f t="shared" si="54"/>
        <v>0.10700000000000001</v>
      </c>
      <c r="L91" s="3">
        <v>0.108</v>
      </c>
      <c r="M91" s="6">
        <v>-4.5999999999999999E-2</v>
      </c>
      <c r="N91" s="3">
        <f t="shared" si="55"/>
        <v>-0.154</v>
      </c>
      <c r="O91" s="3">
        <f t="shared" si="56"/>
        <v>0.11650000000000002</v>
      </c>
      <c r="P91" s="3">
        <f t="shared" si="56"/>
        <v>0.14000000000000001</v>
      </c>
      <c r="Q91" s="3">
        <f t="shared" si="57"/>
        <v>2.3499999999999993E-2</v>
      </c>
      <c r="R91" s="3">
        <f t="shared" si="58"/>
        <v>0.44900000000000001</v>
      </c>
      <c r="S91" s="3">
        <f t="shared" si="58"/>
        <v>0.188</v>
      </c>
      <c r="T91" s="3">
        <f t="shared" si="59"/>
        <v>-0.26100000000000001</v>
      </c>
      <c r="U91" s="3">
        <f t="shared" si="60"/>
        <v>-0.11650000000000002</v>
      </c>
      <c r="V91" s="3">
        <f t="shared" si="60"/>
        <v>-0.14000000000000001</v>
      </c>
      <c r="W91" s="3">
        <f t="shared" si="71"/>
        <v>-2.3499999999999993E-2</v>
      </c>
      <c r="X91" s="3">
        <f t="shared" si="67"/>
        <v>1.511386414253898E-2</v>
      </c>
      <c r="Y91" s="3">
        <f t="shared" si="68"/>
        <v>5.2127659574468091E-2</v>
      </c>
      <c r="Z91" s="3">
        <f t="shared" si="61"/>
        <v>3.7013795431929113E-2</v>
      </c>
      <c r="AA91" s="3">
        <v>4.359</v>
      </c>
      <c r="AB91" s="3">
        <v>3.8849999999999998</v>
      </c>
      <c r="AC91" s="3">
        <f t="shared" si="62"/>
        <v>-0.4740000000000002</v>
      </c>
      <c r="AD91" s="3">
        <f>-2951.476683*627.50956</f>
        <v>-1852079.8346995893</v>
      </c>
      <c r="AE91" s="3">
        <f>-2955.727588*627.50956</f>
        <v>-1854747.3182257414</v>
      </c>
      <c r="AF91" s="3">
        <f t="shared" si="63"/>
        <v>-2667.483526152093</v>
      </c>
      <c r="AG91" s="3">
        <f>-2951.522261*627.50956</f>
        <v>-1852108.435330315</v>
      </c>
      <c r="AH91" s="3">
        <f>-2955.772678*627.50956</f>
        <v>-1854775.6126318015</v>
      </c>
      <c r="AI91" s="3">
        <f t="shared" si="64"/>
        <v>-2667.1773014864884</v>
      </c>
      <c r="AJ91" s="3">
        <v>-0.54800000000000004</v>
      </c>
      <c r="AK91" s="3">
        <v>-0.46700000000000003</v>
      </c>
      <c r="AL91" s="3">
        <f t="shared" si="65"/>
        <v>8.1000000000000016E-2</v>
      </c>
      <c r="AM91" s="3">
        <v>201.06376</v>
      </c>
      <c r="AN91" s="3">
        <v>209.75129999999999</v>
      </c>
      <c r="AO91" s="3">
        <v>229.33678</v>
      </c>
      <c r="AP91" s="3">
        <f t="shared" si="66"/>
        <v>1.1578300170253901</v>
      </c>
      <c r="AQ91" s="3">
        <v>8.798</v>
      </c>
      <c r="AR91" s="3">
        <v>2.22300904</v>
      </c>
      <c r="AS91" s="3">
        <v>-132.80099999999999</v>
      </c>
      <c r="AT91" s="3">
        <v>-131.97</v>
      </c>
      <c r="AU91" s="3">
        <f t="shared" si="41"/>
        <v>-0.83099999999998886</v>
      </c>
      <c r="AV91" s="3">
        <v>-0.34100000000000003</v>
      </c>
      <c r="AW91" s="3">
        <v>-0.47499999999999998</v>
      </c>
      <c r="AX91" s="3">
        <f t="shared" si="42"/>
        <v>0.13399999999999995</v>
      </c>
      <c r="AY91" s="3">
        <v>2.9000000000000001E-2</v>
      </c>
      <c r="AZ91" s="3">
        <v>0.156</v>
      </c>
      <c r="BA91" s="3">
        <f t="shared" si="43"/>
        <v>-0.127</v>
      </c>
      <c r="BB91" s="3">
        <f t="shared" si="73"/>
        <v>0.156</v>
      </c>
      <c r="BC91" s="3">
        <f t="shared" si="73"/>
        <v>0.15949999999999998</v>
      </c>
      <c r="BD91" s="3">
        <f t="shared" si="45"/>
        <v>-3.4999999999999754E-3</v>
      </c>
      <c r="BE91" s="3">
        <f t="shared" si="74"/>
        <v>0.37000000000000005</v>
      </c>
      <c r="BF91" s="3">
        <f t="shared" si="74"/>
        <v>0.63100000000000001</v>
      </c>
      <c r="BG91" s="3">
        <f t="shared" si="47"/>
        <v>-0.26099999999999995</v>
      </c>
      <c r="BH91" s="3">
        <f t="shared" si="75"/>
        <v>-0.156</v>
      </c>
      <c r="BI91" s="3">
        <f t="shared" si="75"/>
        <v>-0.15949999999999998</v>
      </c>
      <c r="BJ91" s="3">
        <f t="shared" si="72"/>
        <v>3.4999999999999754E-3</v>
      </c>
      <c r="BK91" s="3">
        <f t="shared" si="69"/>
        <v>3.2886486486486483E-2</v>
      </c>
      <c r="BL91" s="3">
        <f t="shared" si="70"/>
        <v>2.0158676703645E-2</v>
      </c>
      <c r="BM91" s="3">
        <f t="shared" si="49"/>
        <v>1.2727809782841482E-2</v>
      </c>
      <c r="BN91" s="3">
        <v>4.7279999999999998</v>
      </c>
      <c r="BO91" s="3">
        <v>4.9340000000000002</v>
      </c>
      <c r="BP91" s="3">
        <f t="shared" si="50"/>
        <v>-0.20600000000000041</v>
      </c>
      <c r="BQ91" s="3">
        <v>-83302.89</v>
      </c>
      <c r="BR91" s="3">
        <v>-82779.224000000002</v>
      </c>
      <c r="BS91" s="3">
        <f t="shared" si="51"/>
        <v>-523.66599999999744</v>
      </c>
      <c r="BT91" s="3">
        <v>-83320.774999999994</v>
      </c>
      <c r="BU91" s="3">
        <v>-82796.997000000003</v>
      </c>
      <c r="BV91" s="3">
        <f t="shared" si="52"/>
        <v>-523.77799999999115</v>
      </c>
    </row>
    <row r="92" spans="1:74" x14ac:dyDescent="0.25">
      <c r="A92" t="s">
        <v>301</v>
      </c>
      <c r="B92" t="s">
        <v>514</v>
      </c>
      <c r="C92" t="s">
        <v>103</v>
      </c>
      <c r="D92" s="3">
        <v>12.98</v>
      </c>
      <c r="E92" s="3">
        <v>0.81</v>
      </c>
      <c r="F92" s="3">
        <v>-700.49</v>
      </c>
      <c r="G92" s="3">
        <v>-703.13199999999995</v>
      </c>
      <c r="H92" s="3">
        <f t="shared" si="53"/>
        <v>-2.6419999999999391</v>
      </c>
      <c r="I92" s="3">
        <v>-0.33900000000000002</v>
      </c>
      <c r="J92" s="6">
        <v>-0.22600000000000001</v>
      </c>
      <c r="K92" s="3">
        <f t="shared" si="54"/>
        <v>0.11300000000000002</v>
      </c>
      <c r="L92" s="3">
        <v>0.14199999999999999</v>
      </c>
      <c r="M92" s="6">
        <v>2E-3</v>
      </c>
      <c r="N92" s="3">
        <f t="shared" si="55"/>
        <v>-0.13999999999999999</v>
      </c>
      <c r="O92" s="3">
        <f t="shared" si="56"/>
        <v>9.8500000000000018E-2</v>
      </c>
      <c r="P92" s="3">
        <f t="shared" si="56"/>
        <v>0.112</v>
      </c>
      <c r="Q92" s="3">
        <f t="shared" si="57"/>
        <v>1.3499999999999984E-2</v>
      </c>
      <c r="R92" s="3">
        <f t="shared" si="58"/>
        <v>0.48099999999999998</v>
      </c>
      <c r="S92" s="3">
        <f t="shared" si="58"/>
        <v>0.22800000000000001</v>
      </c>
      <c r="T92" s="3">
        <f t="shared" si="59"/>
        <v>-0.253</v>
      </c>
      <c r="U92" s="3">
        <f t="shared" si="60"/>
        <v>-9.8500000000000018E-2</v>
      </c>
      <c r="V92" s="3">
        <f t="shared" si="60"/>
        <v>-0.112</v>
      </c>
      <c r="W92" s="3">
        <f t="shared" si="71"/>
        <v>-1.3499999999999984E-2</v>
      </c>
      <c r="X92" s="3">
        <f t="shared" si="67"/>
        <v>1.0085498960498965E-2</v>
      </c>
      <c r="Y92" s="3">
        <f t="shared" si="68"/>
        <v>2.7508771929824562E-2</v>
      </c>
      <c r="Z92" s="3">
        <f t="shared" si="61"/>
        <v>1.7423272969325596E-2</v>
      </c>
      <c r="AA92" s="3">
        <v>5.6840000000000002</v>
      </c>
      <c r="AB92" s="3">
        <v>5.4379999999999997</v>
      </c>
      <c r="AC92" s="3">
        <f t="shared" si="62"/>
        <v>-0.24600000000000044</v>
      </c>
      <c r="AD92" s="3">
        <f>-700.341862*627.50956</f>
        <v>-439471.21367320069</v>
      </c>
      <c r="AE92" s="3">
        <f>-702.993547*627.50956</f>
        <v>-441135.1713608093</v>
      </c>
      <c r="AF92" s="3">
        <f t="shared" si="63"/>
        <v>-1663.9576876086066</v>
      </c>
      <c r="AG92" s="3">
        <f>-700.38012*627.50956</f>
        <v>-439495.22093394719</v>
      </c>
      <c r="AH92" s="3">
        <f>-703.032545*627.50956</f>
        <v>-441159.6429786302</v>
      </c>
      <c r="AI92" s="3">
        <f t="shared" si="64"/>
        <v>-1664.422044683015</v>
      </c>
      <c r="AJ92" s="3">
        <v>-0.65500000000000003</v>
      </c>
      <c r="AK92" s="3">
        <v>-0.57799999999999996</v>
      </c>
      <c r="AL92" s="3">
        <f t="shared" si="65"/>
        <v>7.7000000000000068E-2</v>
      </c>
      <c r="AM92" s="3">
        <v>128.19542000000001</v>
      </c>
      <c r="AN92" s="3">
        <v>172.35399000000001</v>
      </c>
      <c r="AO92" s="3">
        <v>182.88200000000001</v>
      </c>
      <c r="AP92" s="3">
        <f t="shared" si="66"/>
        <v>1.106360470900642</v>
      </c>
      <c r="AQ92" s="3">
        <v>8.6170000000000009</v>
      </c>
      <c r="AR92" s="3">
        <v>1.8642006</v>
      </c>
      <c r="AS92" s="3">
        <v>-959.76900000000001</v>
      </c>
      <c r="AT92" s="3">
        <v>-958.05</v>
      </c>
      <c r="AU92" s="3">
        <f t="shared" si="41"/>
        <v>-1.7190000000000509</v>
      </c>
      <c r="AV92" s="3">
        <v>-0.317</v>
      </c>
      <c r="AW92" s="3">
        <v>-0.45</v>
      </c>
      <c r="AX92" s="3">
        <f t="shared" si="42"/>
        <v>0.13300000000000001</v>
      </c>
      <c r="AY92" s="3">
        <v>-2.4E-2</v>
      </c>
      <c r="AZ92" s="3">
        <v>0.13500000000000001</v>
      </c>
      <c r="BA92" s="3">
        <f t="shared" si="43"/>
        <v>-0.159</v>
      </c>
      <c r="BB92" s="3">
        <f t="shared" si="73"/>
        <v>0.17050000000000001</v>
      </c>
      <c r="BC92" s="3">
        <f t="shared" si="73"/>
        <v>0.1575</v>
      </c>
      <c r="BD92" s="3">
        <f t="shared" si="45"/>
        <v>1.3000000000000012E-2</v>
      </c>
      <c r="BE92" s="3">
        <f t="shared" si="74"/>
        <v>0.29299999999999998</v>
      </c>
      <c r="BF92" s="3">
        <f t="shared" si="74"/>
        <v>0.58499999999999996</v>
      </c>
      <c r="BG92" s="3">
        <f t="shared" si="47"/>
        <v>-0.29199999999999998</v>
      </c>
      <c r="BH92" s="3">
        <f t="shared" si="75"/>
        <v>-0.17050000000000001</v>
      </c>
      <c r="BI92" s="3">
        <f t="shared" si="75"/>
        <v>-0.1575</v>
      </c>
      <c r="BJ92" s="3">
        <f t="shared" si="72"/>
        <v>-1.3000000000000012E-2</v>
      </c>
      <c r="BK92" s="3">
        <f t="shared" si="69"/>
        <v>4.9607935153583631E-2</v>
      </c>
      <c r="BL92" s="3">
        <f t="shared" si="70"/>
        <v>2.120192307692308E-2</v>
      </c>
      <c r="BM92" s="3">
        <f t="shared" si="49"/>
        <v>2.8406012076660551E-2</v>
      </c>
      <c r="BN92" s="3">
        <v>2.2370000000000001</v>
      </c>
      <c r="BO92" s="3">
        <v>2.431</v>
      </c>
      <c r="BP92" s="3">
        <f t="shared" si="50"/>
        <v>-0.19399999999999995</v>
      </c>
      <c r="BQ92" s="3">
        <v>-602243.07700000005</v>
      </c>
      <c r="BR92" s="3">
        <v>-601163.24300000002</v>
      </c>
      <c r="BS92" s="3">
        <f t="shared" si="51"/>
        <v>-1079.8340000000317</v>
      </c>
      <c r="BT92" s="3">
        <v>-602262.36399999994</v>
      </c>
      <c r="BU92" s="3">
        <v>-601182.38500000001</v>
      </c>
      <c r="BV92" s="3">
        <f t="shared" si="52"/>
        <v>-1079.9789999999339</v>
      </c>
    </row>
    <row r="93" spans="1:74" x14ac:dyDescent="0.25">
      <c r="A93" t="s">
        <v>292</v>
      </c>
      <c r="B93" t="s">
        <v>514</v>
      </c>
      <c r="C93" t="s">
        <v>199</v>
      </c>
      <c r="D93" s="3">
        <v>12.99</v>
      </c>
      <c r="E93" s="3">
        <v>0.73</v>
      </c>
      <c r="F93" s="3">
        <v>-285.80799999999999</v>
      </c>
      <c r="G93" s="3">
        <v>-287.68900000000002</v>
      </c>
      <c r="H93" s="3">
        <f t="shared" si="53"/>
        <v>-1.8810000000000286</v>
      </c>
      <c r="I93" s="3">
        <v>-0.3</v>
      </c>
      <c r="J93" s="6">
        <v>-0.21199999999999999</v>
      </c>
      <c r="K93" s="3">
        <f t="shared" si="54"/>
        <v>8.7999999999999995E-2</v>
      </c>
      <c r="L93" s="3">
        <v>0.13</v>
      </c>
      <c r="M93" s="6">
        <v>-1.0999999999999999E-2</v>
      </c>
      <c r="N93" s="3">
        <f t="shared" si="55"/>
        <v>-0.14100000000000001</v>
      </c>
      <c r="O93" s="3">
        <f t="shared" si="56"/>
        <v>8.4999999999999992E-2</v>
      </c>
      <c r="P93" s="3">
        <f t="shared" si="56"/>
        <v>0.1115</v>
      </c>
      <c r="Q93" s="3">
        <f t="shared" si="57"/>
        <v>2.650000000000001E-2</v>
      </c>
      <c r="R93" s="3">
        <f t="shared" si="58"/>
        <v>0.43</v>
      </c>
      <c r="S93" s="3">
        <f t="shared" si="58"/>
        <v>0.20099999999999998</v>
      </c>
      <c r="T93" s="3">
        <f t="shared" si="59"/>
        <v>-0.22900000000000001</v>
      </c>
      <c r="U93" s="3">
        <f t="shared" si="60"/>
        <v>-8.4999999999999992E-2</v>
      </c>
      <c r="V93" s="3">
        <f t="shared" si="60"/>
        <v>-0.1115</v>
      </c>
      <c r="W93" s="3">
        <f t="shared" si="71"/>
        <v>-2.650000000000001E-2</v>
      </c>
      <c r="X93" s="3">
        <f t="shared" si="67"/>
        <v>8.4011627906976725E-3</v>
      </c>
      <c r="Y93" s="3">
        <f t="shared" si="68"/>
        <v>3.0925995024875627E-2</v>
      </c>
      <c r="Z93" s="3">
        <f t="shared" si="61"/>
        <v>2.2524832234177956E-2</v>
      </c>
      <c r="AA93" s="3">
        <v>1.8460000000000001</v>
      </c>
      <c r="AB93" s="3">
        <v>2.2080000000000002</v>
      </c>
      <c r="AC93" s="3">
        <f t="shared" si="62"/>
        <v>0.3620000000000001</v>
      </c>
      <c r="AD93" s="3">
        <f>-285.677438*627.50956</f>
        <v>-179265.32342130726</v>
      </c>
      <c r="AE93" s="3">
        <f>-287.565131*627.50956</f>
        <v>-180449.86882515234</v>
      </c>
      <c r="AF93" s="3">
        <f t="shared" si="63"/>
        <v>-1184.5454038450844</v>
      </c>
      <c r="AG93" s="3">
        <f>-285.712734*627.50956</f>
        <v>-179287.47199873705</v>
      </c>
      <c r="AH93" s="3">
        <f>-287.600973*627.50956</f>
        <v>-180472.36002280188</v>
      </c>
      <c r="AI93" s="3">
        <f t="shared" si="64"/>
        <v>-1184.8880240648286</v>
      </c>
      <c r="AJ93" s="3">
        <v>-0.82799999999999996</v>
      </c>
      <c r="AK93" s="3">
        <v>-0.79</v>
      </c>
      <c r="AL93" s="3">
        <f t="shared" si="65"/>
        <v>3.7999999999999923E-2</v>
      </c>
      <c r="AM93" s="3">
        <v>93.126480000000001</v>
      </c>
      <c r="AN93" s="3">
        <v>154.7216</v>
      </c>
      <c r="AO93" s="3">
        <v>156.2654</v>
      </c>
      <c r="AP93" s="3">
        <f t="shared" si="66"/>
        <v>1.1029733342051791</v>
      </c>
      <c r="AQ93" s="3">
        <v>8.2110000000000003</v>
      </c>
      <c r="AR93" s="3">
        <v>1.7489821999999999</v>
      </c>
      <c r="AS93" s="3">
        <v>-76.454999999999998</v>
      </c>
      <c r="AT93" s="3">
        <v>-76.055000000000007</v>
      </c>
      <c r="AU93" s="3">
        <f t="shared" si="41"/>
        <v>-0.39999999999999147</v>
      </c>
      <c r="AV93" s="3">
        <v>-0.30399999999999999</v>
      </c>
      <c r="AW93" s="3">
        <v>-0.505</v>
      </c>
      <c r="AX93" s="3">
        <f t="shared" si="42"/>
        <v>0.20100000000000001</v>
      </c>
      <c r="AY93" s="3">
        <v>0.04</v>
      </c>
      <c r="AZ93" s="3">
        <v>0.16400000000000001</v>
      </c>
      <c r="BA93" s="3">
        <f t="shared" si="43"/>
        <v>-0.124</v>
      </c>
      <c r="BB93" s="3">
        <f t="shared" si="73"/>
        <v>0.13200000000000001</v>
      </c>
      <c r="BC93" s="3">
        <f t="shared" si="73"/>
        <v>0.17049999999999998</v>
      </c>
      <c r="BD93" s="3">
        <f t="shared" si="45"/>
        <v>-3.8499999999999979E-2</v>
      </c>
      <c r="BE93" s="3">
        <f t="shared" si="74"/>
        <v>0.34399999999999997</v>
      </c>
      <c r="BF93" s="3">
        <f t="shared" si="74"/>
        <v>0.66900000000000004</v>
      </c>
      <c r="BG93" s="3">
        <f t="shared" si="47"/>
        <v>-0.32500000000000007</v>
      </c>
      <c r="BH93" s="3">
        <f t="shared" si="75"/>
        <v>-0.13200000000000001</v>
      </c>
      <c r="BI93" s="3">
        <f t="shared" si="75"/>
        <v>-0.17049999999999998</v>
      </c>
      <c r="BJ93" s="3">
        <f t="shared" si="72"/>
        <v>3.8499999999999979E-2</v>
      </c>
      <c r="BK93" s="3">
        <f t="shared" si="69"/>
        <v>2.5325581395348844E-2</v>
      </c>
      <c r="BL93" s="3">
        <f t="shared" si="70"/>
        <v>2.1726644245141997E-2</v>
      </c>
      <c r="BM93" s="3">
        <f t="shared" si="49"/>
        <v>3.5989371502068469E-3</v>
      </c>
      <c r="BN93" s="3">
        <v>2.3010000000000002</v>
      </c>
      <c r="BO93" s="3">
        <v>2.3559999999999999</v>
      </c>
      <c r="BP93" s="3">
        <f t="shared" si="50"/>
        <v>-5.4999999999999716E-2</v>
      </c>
      <c r="BQ93" s="3">
        <v>-47960.305999999997</v>
      </c>
      <c r="BR93" s="3">
        <v>-47708.290999999997</v>
      </c>
      <c r="BS93" s="3">
        <f t="shared" si="51"/>
        <v>-252.01499999999942</v>
      </c>
      <c r="BT93" s="3">
        <v>-47973.754999999997</v>
      </c>
      <c r="BU93" s="3">
        <v>-47721.697</v>
      </c>
      <c r="BV93" s="3">
        <f t="shared" si="52"/>
        <v>-252.05799999999726</v>
      </c>
    </row>
    <row r="94" spans="1:74" x14ac:dyDescent="0.25">
      <c r="A94" t="s">
        <v>304</v>
      </c>
      <c r="B94" t="s">
        <v>514</v>
      </c>
      <c r="C94" t="s">
        <v>199</v>
      </c>
      <c r="D94" s="3">
        <v>13</v>
      </c>
      <c r="E94" s="3">
        <v>0.61</v>
      </c>
      <c r="F94" s="3">
        <v>-362.12700000000001</v>
      </c>
      <c r="G94" s="3">
        <v>-364.33</v>
      </c>
      <c r="H94" s="3">
        <f t="shared" si="53"/>
        <v>-2.2029999999999745</v>
      </c>
      <c r="I94" s="3">
        <v>-0.373</v>
      </c>
      <c r="J94" s="6">
        <v>-0.23400000000000001</v>
      </c>
      <c r="K94" s="3">
        <f t="shared" si="54"/>
        <v>0.13899999999999998</v>
      </c>
      <c r="L94" s="3">
        <v>0.16200000000000001</v>
      </c>
      <c r="M94" s="6">
        <v>0.04</v>
      </c>
      <c r="N94" s="3">
        <f t="shared" si="55"/>
        <v>-0.122</v>
      </c>
      <c r="O94" s="3">
        <f t="shared" si="56"/>
        <v>0.1055</v>
      </c>
      <c r="P94" s="3">
        <f t="shared" si="56"/>
        <v>9.7000000000000003E-2</v>
      </c>
      <c r="Q94" s="3">
        <f t="shared" si="57"/>
        <v>-8.4999999999999937E-3</v>
      </c>
      <c r="R94" s="3">
        <f t="shared" si="58"/>
        <v>0.53500000000000003</v>
      </c>
      <c r="S94" s="3">
        <f t="shared" si="58"/>
        <v>0.27400000000000002</v>
      </c>
      <c r="T94" s="3">
        <f t="shared" si="59"/>
        <v>-0.26100000000000001</v>
      </c>
      <c r="U94" s="3">
        <f t="shared" si="60"/>
        <v>-0.1055</v>
      </c>
      <c r="V94" s="3">
        <f t="shared" si="60"/>
        <v>-9.7000000000000003E-2</v>
      </c>
      <c r="W94" s="3">
        <f t="shared" si="71"/>
        <v>8.4999999999999937E-3</v>
      </c>
      <c r="X94" s="3">
        <f t="shared" si="67"/>
        <v>1.0402102803738317E-2</v>
      </c>
      <c r="Y94" s="3">
        <f t="shared" si="68"/>
        <v>1.7169708029197081E-2</v>
      </c>
      <c r="Z94" s="3">
        <f t="shared" si="61"/>
        <v>6.767605225458764E-3</v>
      </c>
      <c r="AA94" s="3">
        <v>2.2610000000000001</v>
      </c>
      <c r="AB94" s="3">
        <v>2.1619999999999999</v>
      </c>
      <c r="AC94" s="3">
        <f t="shared" si="62"/>
        <v>-9.9000000000000199E-2</v>
      </c>
      <c r="AD94" s="3">
        <f>-361.94751*627.50956</f>
        <v>-227125.52274319562</v>
      </c>
      <c r="AE94" s="3">
        <f>-364.162183*627.50956</f>
        <v>-228515.2512229695</v>
      </c>
      <c r="AF94" s="3">
        <f t="shared" si="63"/>
        <v>-1389.728479773883</v>
      </c>
      <c r="AG94" s="3">
        <f>-361.989289*627.50956</f>
        <v>-227151.73946510282</v>
      </c>
      <c r="AH94" s="3">
        <f>-364.204831*627.50956</f>
        <v>-228542.01325068437</v>
      </c>
      <c r="AI94" s="3">
        <f t="shared" si="64"/>
        <v>-1390.2737855815503</v>
      </c>
      <c r="AJ94" s="3">
        <v>-0.72699999999999998</v>
      </c>
      <c r="AK94" s="3">
        <v>-0.69299999999999995</v>
      </c>
      <c r="AL94" s="3">
        <f t="shared" si="65"/>
        <v>3.400000000000003E-2</v>
      </c>
      <c r="AM94" s="3">
        <v>105.13564</v>
      </c>
      <c r="AN94" s="3">
        <v>174.54920000000001</v>
      </c>
      <c r="AO94" s="3">
        <v>179.56389999999999</v>
      </c>
      <c r="AP94" s="3">
        <f t="shared" si="66"/>
        <v>1.1342125805917869</v>
      </c>
      <c r="AQ94" s="3">
        <v>9.1950000000000003</v>
      </c>
      <c r="AR94" s="3">
        <v>2.2925334999999998</v>
      </c>
      <c r="AS94" s="3">
        <v>-76.454999999999998</v>
      </c>
      <c r="AT94" s="3">
        <v>-76.055000000000007</v>
      </c>
      <c r="AU94" s="3">
        <f t="shared" si="41"/>
        <v>-0.39999999999999147</v>
      </c>
      <c r="AV94" s="3">
        <v>-0.30399999999999999</v>
      </c>
      <c r="AW94" s="3">
        <v>-0.505</v>
      </c>
      <c r="AX94" s="3">
        <f t="shared" si="42"/>
        <v>0.20100000000000001</v>
      </c>
      <c r="AY94" s="3">
        <v>0.04</v>
      </c>
      <c r="AZ94" s="3">
        <v>0.16400000000000001</v>
      </c>
      <c r="BA94" s="3">
        <f t="shared" si="43"/>
        <v>-0.124</v>
      </c>
      <c r="BB94" s="3">
        <f t="shared" si="73"/>
        <v>0.13200000000000001</v>
      </c>
      <c r="BC94" s="3">
        <f t="shared" si="73"/>
        <v>0.17049999999999998</v>
      </c>
      <c r="BD94" s="3">
        <f t="shared" si="45"/>
        <v>-3.8499999999999979E-2</v>
      </c>
      <c r="BE94" s="3">
        <f t="shared" si="74"/>
        <v>0.34399999999999997</v>
      </c>
      <c r="BF94" s="3">
        <f t="shared" si="74"/>
        <v>0.66900000000000004</v>
      </c>
      <c r="BG94" s="3">
        <f t="shared" si="47"/>
        <v>-0.32500000000000007</v>
      </c>
      <c r="BH94" s="3">
        <f t="shared" si="75"/>
        <v>-0.13200000000000001</v>
      </c>
      <c r="BI94" s="3">
        <f t="shared" si="75"/>
        <v>-0.17049999999999998</v>
      </c>
      <c r="BJ94" s="3">
        <f t="shared" si="72"/>
        <v>3.8499999999999979E-2</v>
      </c>
      <c r="BK94" s="3">
        <f t="shared" si="69"/>
        <v>2.5325581395348844E-2</v>
      </c>
      <c r="BL94" s="3">
        <f t="shared" si="70"/>
        <v>2.1726644245141997E-2</v>
      </c>
      <c r="BM94" s="3">
        <f t="shared" si="49"/>
        <v>3.5989371502068469E-3</v>
      </c>
      <c r="BN94" s="3">
        <v>2.3010000000000002</v>
      </c>
      <c r="BO94" s="3">
        <v>2.3559999999999999</v>
      </c>
      <c r="BP94" s="3">
        <f t="shared" si="50"/>
        <v>-5.4999999999999716E-2</v>
      </c>
      <c r="BQ94" s="3">
        <v>-47960.305999999997</v>
      </c>
      <c r="BR94" s="3">
        <v>-47708.290999999997</v>
      </c>
      <c r="BS94" s="3">
        <f t="shared" si="51"/>
        <v>-252.01499999999942</v>
      </c>
      <c r="BT94" s="3">
        <v>-47973.754999999997</v>
      </c>
      <c r="BU94" s="3">
        <v>-47721.697</v>
      </c>
      <c r="BV94" s="3">
        <f t="shared" si="52"/>
        <v>-252.05799999999726</v>
      </c>
    </row>
    <row r="95" spans="1:74" x14ac:dyDescent="0.25">
      <c r="A95" t="s">
        <v>303</v>
      </c>
      <c r="B95" t="s">
        <v>514</v>
      </c>
      <c r="C95" t="s">
        <v>199</v>
      </c>
      <c r="D95" s="3">
        <v>13</v>
      </c>
      <c r="E95" s="3">
        <v>0.79</v>
      </c>
      <c r="F95" s="3">
        <v>-324.85300000000001</v>
      </c>
      <c r="G95" s="3">
        <v>-327.01499999999999</v>
      </c>
      <c r="H95" s="3">
        <f t="shared" si="53"/>
        <v>-2.1619999999999777</v>
      </c>
      <c r="I95" s="3">
        <v>-0.29199999999999998</v>
      </c>
      <c r="J95" s="6">
        <v>-0.20599999999999999</v>
      </c>
      <c r="K95" s="3">
        <f t="shared" si="54"/>
        <v>8.5999999999999993E-2</v>
      </c>
      <c r="L95" s="3">
        <v>0.129</v>
      </c>
      <c r="M95" s="6">
        <v>-0.01</v>
      </c>
      <c r="N95" s="3">
        <f t="shared" si="55"/>
        <v>-0.13900000000000001</v>
      </c>
      <c r="O95" s="3">
        <f t="shared" si="56"/>
        <v>8.1499999999999989E-2</v>
      </c>
      <c r="P95" s="3">
        <f t="shared" si="56"/>
        <v>0.108</v>
      </c>
      <c r="Q95" s="3">
        <f t="shared" si="57"/>
        <v>2.650000000000001E-2</v>
      </c>
      <c r="R95" s="3">
        <f t="shared" si="58"/>
        <v>0.42099999999999999</v>
      </c>
      <c r="S95" s="3">
        <f t="shared" si="58"/>
        <v>0.19599999999999998</v>
      </c>
      <c r="T95" s="3">
        <f t="shared" si="59"/>
        <v>-0.22500000000000001</v>
      </c>
      <c r="U95" s="3">
        <f t="shared" si="60"/>
        <v>-8.1499999999999989E-2</v>
      </c>
      <c r="V95" s="3">
        <f t="shared" si="60"/>
        <v>-0.108</v>
      </c>
      <c r="W95" s="3">
        <f t="shared" si="71"/>
        <v>-2.650000000000001E-2</v>
      </c>
      <c r="X95" s="3">
        <f t="shared" si="67"/>
        <v>7.8886579572446536E-3</v>
      </c>
      <c r="Y95" s="3">
        <f t="shared" si="68"/>
        <v>2.9755102040816328E-2</v>
      </c>
      <c r="Z95" s="3">
        <f t="shared" si="61"/>
        <v>2.1866444083571676E-2</v>
      </c>
      <c r="AA95" s="3">
        <v>1.5860000000000001</v>
      </c>
      <c r="AB95" s="3">
        <v>1.8140000000000001</v>
      </c>
      <c r="AC95" s="3">
        <f t="shared" si="62"/>
        <v>0.22799999999999998</v>
      </c>
      <c r="AD95" s="3">
        <f>-324.691434*627.50956</f>
        <v>-203746.97888510904</v>
      </c>
      <c r="AE95" s="3">
        <f>-326.862557*627.50956</f>
        <v>-205109.37932354488</v>
      </c>
      <c r="AF95" s="3">
        <f t="shared" si="63"/>
        <v>-1362.4004384358414</v>
      </c>
      <c r="AG95" s="3">
        <f>-324.732097*627.50956</f>
        <v>-203772.49530634732</v>
      </c>
      <c r="AH95" s="3">
        <f>-326.903699*627.50956</f>
        <v>-205135.19632186243</v>
      </c>
      <c r="AI95" s="3">
        <f t="shared" si="64"/>
        <v>-1362.7010155151074</v>
      </c>
      <c r="AJ95" s="3">
        <v>-0.83</v>
      </c>
      <c r="AK95" s="3">
        <v>-0.79400000000000004</v>
      </c>
      <c r="AL95" s="3">
        <f t="shared" si="65"/>
        <v>3.5999999999999921E-2</v>
      </c>
      <c r="AM95" s="3">
        <v>107.15306</v>
      </c>
      <c r="AN95" s="3">
        <v>177.1515</v>
      </c>
      <c r="AO95" s="3">
        <v>184.3262</v>
      </c>
      <c r="AP95" s="3">
        <f t="shared" si="66"/>
        <v>1.1312087031025992</v>
      </c>
      <c r="AQ95" s="3">
        <v>9.2230000000000008</v>
      </c>
      <c r="AR95" s="3">
        <v>2.0263689999999999</v>
      </c>
      <c r="AS95" s="3">
        <v>-76.454999999999998</v>
      </c>
      <c r="AT95" s="3">
        <v>-76.055000000000007</v>
      </c>
      <c r="AU95" s="3">
        <f t="shared" si="41"/>
        <v>-0.39999999999999147</v>
      </c>
      <c r="AV95" s="3">
        <v>-0.30399999999999999</v>
      </c>
      <c r="AW95" s="3">
        <v>-0.505</v>
      </c>
      <c r="AX95" s="3">
        <f t="shared" si="42"/>
        <v>0.20100000000000001</v>
      </c>
      <c r="AY95" s="3">
        <v>0.04</v>
      </c>
      <c r="AZ95" s="3">
        <v>0.16400000000000001</v>
      </c>
      <c r="BA95" s="3">
        <f t="shared" si="43"/>
        <v>-0.124</v>
      </c>
      <c r="BB95" s="3">
        <f t="shared" si="73"/>
        <v>0.13200000000000001</v>
      </c>
      <c r="BC95" s="3">
        <f t="shared" si="73"/>
        <v>0.17049999999999998</v>
      </c>
      <c r="BD95" s="3">
        <f t="shared" si="45"/>
        <v>-3.8499999999999979E-2</v>
      </c>
      <c r="BE95" s="3">
        <f t="shared" si="74"/>
        <v>0.34399999999999997</v>
      </c>
      <c r="BF95" s="3">
        <f t="shared" si="74"/>
        <v>0.66900000000000004</v>
      </c>
      <c r="BG95" s="3">
        <f t="shared" si="47"/>
        <v>-0.32500000000000007</v>
      </c>
      <c r="BH95" s="3">
        <f t="shared" si="75"/>
        <v>-0.13200000000000001</v>
      </c>
      <c r="BI95" s="3">
        <f t="shared" si="75"/>
        <v>-0.17049999999999998</v>
      </c>
      <c r="BJ95" s="3">
        <f t="shared" si="72"/>
        <v>3.8499999999999979E-2</v>
      </c>
      <c r="BK95" s="3">
        <f t="shared" si="69"/>
        <v>2.5325581395348844E-2</v>
      </c>
      <c r="BL95" s="3">
        <f t="shared" si="70"/>
        <v>2.1726644245141997E-2</v>
      </c>
      <c r="BM95" s="3">
        <f t="shared" si="49"/>
        <v>3.5989371502068469E-3</v>
      </c>
      <c r="BN95" s="3">
        <v>2.3010000000000002</v>
      </c>
      <c r="BO95" s="3">
        <v>2.3559999999999999</v>
      </c>
      <c r="BP95" s="3">
        <f t="shared" si="50"/>
        <v>-5.4999999999999716E-2</v>
      </c>
      <c r="BQ95" s="3">
        <v>-47960.305999999997</v>
      </c>
      <c r="BR95" s="3">
        <v>-47708.290999999997</v>
      </c>
      <c r="BS95" s="3">
        <f t="shared" si="51"/>
        <v>-252.01499999999942</v>
      </c>
      <c r="BT95" s="3">
        <v>-47973.754999999997</v>
      </c>
      <c r="BU95" s="3">
        <v>-47721.697</v>
      </c>
      <c r="BV95" s="3">
        <f t="shared" si="52"/>
        <v>-252.05799999999726</v>
      </c>
    </row>
    <row r="96" spans="1:74" x14ac:dyDescent="0.25">
      <c r="A96" t="s">
        <v>305</v>
      </c>
      <c r="B96" t="s">
        <v>514</v>
      </c>
      <c r="C96" t="s">
        <v>103</v>
      </c>
      <c r="D96" s="3">
        <v>13</v>
      </c>
      <c r="E96" s="3">
        <v>0.83</v>
      </c>
      <c r="F96" s="3">
        <v>-739.53499999999997</v>
      </c>
      <c r="G96" s="3">
        <v>-742.45899999999995</v>
      </c>
      <c r="H96" s="3">
        <f t="shared" si="53"/>
        <v>-2.9239999999999782</v>
      </c>
      <c r="I96" s="3">
        <v>-0.33200000000000002</v>
      </c>
      <c r="J96" s="6">
        <v>-0.219</v>
      </c>
      <c r="K96" s="3">
        <f t="shared" si="54"/>
        <v>0.11300000000000002</v>
      </c>
      <c r="L96" s="3">
        <v>0.14299999999999999</v>
      </c>
      <c r="M96" s="6">
        <v>4.0000000000000001E-3</v>
      </c>
      <c r="N96" s="3">
        <f t="shared" si="55"/>
        <v>-0.13899999999999998</v>
      </c>
      <c r="O96" s="3">
        <f t="shared" si="56"/>
        <v>9.4500000000000015E-2</v>
      </c>
      <c r="P96" s="3">
        <f t="shared" si="56"/>
        <v>0.1075</v>
      </c>
      <c r="Q96" s="3">
        <f t="shared" si="57"/>
        <v>1.2999999999999984E-2</v>
      </c>
      <c r="R96" s="3">
        <f t="shared" si="58"/>
        <v>0.47499999999999998</v>
      </c>
      <c r="S96" s="3">
        <f t="shared" si="58"/>
        <v>0.223</v>
      </c>
      <c r="T96" s="3">
        <f t="shared" si="59"/>
        <v>-0.252</v>
      </c>
      <c r="U96" s="3">
        <f t="shared" si="60"/>
        <v>-9.4500000000000015E-2</v>
      </c>
      <c r="V96" s="3">
        <f t="shared" si="60"/>
        <v>-0.1075</v>
      </c>
      <c r="W96" s="3">
        <f t="shared" si="71"/>
        <v>-1.2999999999999984E-2</v>
      </c>
      <c r="X96" s="3">
        <f t="shared" si="67"/>
        <v>9.4002631578947397E-3</v>
      </c>
      <c r="Y96" s="3">
        <f t="shared" si="68"/>
        <v>2.591087443946188E-2</v>
      </c>
      <c r="Z96" s="3">
        <f t="shared" si="61"/>
        <v>1.6510611281567139E-2</v>
      </c>
      <c r="AA96" s="3">
        <v>6.1189999999999998</v>
      </c>
      <c r="AB96" s="3">
        <v>5.9169999999999998</v>
      </c>
      <c r="AC96" s="3">
        <f t="shared" si="62"/>
        <v>-0.20199999999999996</v>
      </c>
      <c r="AD96" s="3">
        <f>-739.355585*627.50956</f>
        <v>-463952.6978268926</v>
      </c>
      <c r="AE96" s="3">
        <f>-742.290443*627.50956</f>
        <v>-465794.34927913506</v>
      </c>
      <c r="AF96" s="3">
        <f t="shared" si="63"/>
        <v>-1841.651452242455</v>
      </c>
      <c r="AG96" s="3">
        <f>-739.396534*627.50956</f>
        <v>-463978.39371586498</v>
      </c>
      <c r="AH96" s="3">
        <f>-742.33222*627.50956</f>
        <v>-465820.56474602316</v>
      </c>
      <c r="AI96" s="3">
        <f t="shared" si="64"/>
        <v>-1842.171030158177</v>
      </c>
      <c r="AJ96" s="3">
        <v>-0.65500000000000003</v>
      </c>
      <c r="AK96" s="3">
        <v>-0.57999999999999996</v>
      </c>
      <c r="AL96" s="3">
        <f t="shared" si="65"/>
        <v>7.5000000000000067E-2</v>
      </c>
      <c r="AM96" s="3">
        <v>142.22200000000001</v>
      </c>
      <c r="AN96" s="3">
        <v>189.63759999999999</v>
      </c>
      <c r="AO96" s="3">
        <v>208.7064</v>
      </c>
      <c r="AP96" s="3">
        <f t="shared" si="66"/>
        <v>1.1146962911353493</v>
      </c>
      <c r="AQ96" s="3">
        <v>9.1010000000000009</v>
      </c>
      <c r="AR96" s="3">
        <v>2.01833281</v>
      </c>
      <c r="AS96" s="3">
        <v>-959.76900000000001</v>
      </c>
      <c r="AT96" s="3">
        <v>-958.05</v>
      </c>
      <c r="AU96" s="3">
        <f t="shared" si="41"/>
        <v>-1.7190000000000509</v>
      </c>
      <c r="AV96" s="3">
        <v>-0.317</v>
      </c>
      <c r="AW96" s="3">
        <v>-0.45</v>
      </c>
      <c r="AX96" s="3">
        <f t="shared" si="42"/>
        <v>0.13300000000000001</v>
      </c>
      <c r="AY96" s="3">
        <v>-2.4E-2</v>
      </c>
      <c r="AZ96" s="3">
        <v>0.13500000000000001</v>
      </c>
      <c r="BA96" s="3">
        <f t="shared" si="43"/>
        <v>-0.159</v>
      </c>
      <c r="BB96" s="3">
        <f t="shared" ref="BB96:BC111" si="76">-(AV96+AY96)/2</f>
        <v>0.17050000000000001</v>
      </c>
      <c r="BC96" s="3">
        <f t="shared" si="76"/>
        <v>0.1575</v>
      </c>
      <c r="BD96" s="3">
        <f t="shared" si="45"/>
        <v>1.3000000000000012E-2</v>
      </c>
      <c r="BE96" s="3">
        <f t="shared" ref="BE96:BF111" si="77">AY96-AV96</f>
        <v>0.29299999999999998</v>
      </c>
      <c r="BF96" s="3">
        <f t="shared" si="77"/>
        <v>0.58499999999999996</v>
      </c>
      <c r="BG96" s="3">
        <f t="shared" si="47"/>
        <v>-0.29199999999999998</v>
      </c>
      <c r="BH96" s="3">
        <f t="shared" ref="BH96:BI111" si="78">(AV96+AY96)/2</f>
        <v>-0.17050000000000001</v>
      </c>
      <c r="BI96" s="3">
        <f t="shared" si="78"/>
        <v>-0.1575</v>
      </c>
      <c r="BJ96" s="3">
        <f t="shared" si="72"/>
        <v>-1.3000000000000012E-2</v>
      </c>
      <c r="BK96" s="3">
        <f t="shared" si="69"/>
        <v>4.9607935153583631E-2</v>
      </c>
      <c r="BL96" s="3">
        <f t="shared" si="70"/>
        <v>2.120192307692308E-2</v>
      </c>
      <c r="BM96" s="3">
        <f t="shared" si="49"/>
        <v>2.8406012076660551E-2</v>
      </c>
      <c r="BN96" s="3">
        <v>2.2370000000000001</v>
      </c>
      <c r="BO96" s="3">
        <v>2.431</v>
      </c>
      <c r="BP96" s="3">
        <f t="shared" si="50"/>
        <v>-0.19399999999999995</v>
      </c>
      <c r="BQ96" s="3">
        <v>-602243.07700000005</v>
      </c>
      <c r="BR96" s="3">
        <v>-601163.24300000002</v>
      </c>
      <c r="BS96" s="3">
        <f t="shared" si="51"/>
        <v>-1079.8340000000317</v>
      </c>
      <c r="BT96" s="3">
        <v>-602262.36399999994</v>
      </c>
      <c r="BU96" s="3">
        <v>-601182.38500000001</v>
      </c>
      <c r="BV96" s="3">
        <f t="shared" si="52"/>
        <v>-1079.9789999999339</v>
      </c>
    </row>
    <row r="97" spans="1:74" x14ac:dyDescent="0.25">
      <c r="A97" t="s">
        <v>306</v>
      </c>
      <c r="B97" t="s">
        <v>514</v>
      </c>
      <c r="C97" t="s">
        <v>199</v>
      </c>
      <c r="D97" s="3">
        <v>13.01</v>
      </c>
      <c r="E97" s="3">
        <v>0.57999999999999996</v>
      </c>
      <c r="F97" s="3">
        <v>-321.48500000000001</v>
      </c>
      <c r="G97" s="3">
        <v>-323.37400000000002</v>
      </c>
      <c r="H97" s="3">
        <f t="shared" si="53"/>
        <v>-1.88900000000001</v>
      </c>
      <c r="I97" s="3">
        <v>-0.36099999999999999</v>
      </c>
      <c r="J97" s="6">
        <v>-0.20499999999999999</v>
      </c>
      <c r="K97" s="3">
        <f t="shared" si="54"/>
        <v>0.156</v>
      </c>
      <c r="L97" s="3">
        <v>0.16900000000000001</v>
      </c>
      <c r="M97" s="6">
        <v>0.05</v>
      </c>
      <c r="N97" s="3">
        <f t="shared" si="55"/>
        <v>-0.11900000000000001</v>
      </c>
      <c r="O97" s="3">
        <f t="shared" si="56"/>
        <v>9.5999999999999988E-2</v>
      </c>
      <c r="P97" s="3">
        <f t="shared" si="56"/>
        <v>7.7499999999999986E-2</v>
      </c>
      <c r="Q97" s="3">
        <f t="shared" si="57"/>
        <v>-1.8500000000000003E-2</v>
      </c>
      <c r="R97" s="3">
        <f t="shared" si="58"/>
        <v>0.53</v>
      </c>
      <c r="S97" s="3">
        <f t="shared" si="58"/>
        <v>0.255</v>
      </c>
      <c r="T97" s="3">
        <f t="shared" si="59"/>
        <v>-0.27500000000000002</v>
      </c>
      <c r="U97" s="3">
        <f t="shared" si="60"/>
        <v>-9.5999999999999988E-2</v>
      </c>
      <c r="V97" s="3">
        <f t="shared" si="60"/>
        <v>-7.7499999999999986E-2</v>
      </c>
      <c r="W97" s="3">
        <f t="shared" si="71"/>
        <v>1.8500000000000003E-2</v>
      </c>
      <c r="X97" s="3">
        <f t="shared" si="67"/>
        <v>8.6943396226415084E-3</v>
      </c>
      <c r="Y97" s="3">
        <f t="shared" si="68"/>
        <v>1.1776960784313721E-2</v>
      </c>
      <c r="Z97" s="3">
        <f t="shared" si="61"/>
        <v>3.0826211616722127E-3</v>
      </c>
      <c r="AA97" s="3">
        <v>7.8090000000000002</v>
      </c>
      <c r="AB97" s="3">
        <v>6.6870000000000003</v>
      </c>
      <c r="AC97" s="3">
        <f t="shared" si="62"/>
        <v>-1.1219999999999999</v>
      </c>
      <c r="AD97" s="3">
        <f>-321.3768*627.50956</f>
        <v>-201667.01436220799</v>
      </c>
      <c r="AE97" s="3">
        <f>-323.271995*627.50956</f>
        <v>-202856.26734277219</v>
      </c>
      <c r="AF97" s="3">
        <f t="shared" si="63"/>
        <v>-1189.2529805641971</v>
      </c>
      <c r="AG97" s="3">
        <f>-321.414271*627.50956</f>
        <v>-201690.52777293074</v>
      </c>
      <c r="AH97" s="3">
        <f>-323.309692*627.50956</f>
        <v>-202879.9225706555</v>
      </c>
      <c r="AI97" s="3">
        <f t="shared" si="64"/>
        <v>-1189.394797724759</v>
      </c>
      <c r="AJ97" s="3">
        <v>-0.879</v>
      </c>
      <c r="AK97" s="3">
        <v>-0.88600000000000001</v>
      </c>
      <c r="AL97" s="3">
        <f t="shared" si="65"/>
        <v>-7.0000000000000062E-3</v>
      </c>
      <c r="AM97" s="3">
        <v>88.085239999999999</v>
      </c>
      <c r="AN97" s="3">
        <v>135.50296</v>
      </c>
      <c r="AO97" s="3">
        <v>131.31548000000001</v>
      </c>
      <c r="AP97" s="3">
        <f t="shared" si="66"/>
        <v>1.0847444805267661</v>
      </c>
      <c r="AQ97" s="3">
        <v>7.2229999999999999</v>
      </c>
      <c r="AR97" s="3">
        <v>1.6461570000000001</v>
      </c>
      <c r="AS97" s="3">
        <v>-76.454999999999998</v>
      </c>
      <c r="AT97" s="3">
        <v>-76.055000000000007</v>
      </c>
      <c r="AU97" s="3">
        <f t="shared" si="41"/>
        <v>-0.39999999999999147</v>
      </c>
      <c r="AV97" s="3">
        <v>-0.30399999999999999</v>
      </c>
      <c r="AW97" s="3">
        <v>-0.505</v>
      </c>
      <c r="AX97" s="3">
        <f t="shared" si="42"/>
        <v>0.20100000000000001</v>
      </c>
      <c r="AY97" s="3">
        <v>0.04</v>
      </c>
      <c r="AZ97" s="3">
        <v>0.16400000000000001</v>
      </c>
      <c r="BA97" s="3">
        <f t="shared" si="43"/>
        <v>-0.124</v>
      </c>
      <c r="BB97" s="3">
        <f t="shared" si="76"/>
        <v>0.13200000000000001</v>
      </c>
      <c r="BC97" s="3">
        <f t="shared" si="76"/>
        <v>0.17049999999999998</v>
      </c>
      <c r="BD97" s="3">
        <f t="shared" si="45"/>
        <v>-3.8499999999999979E-2</v>
      </c>
      <c r="BE97" s="3">
        <f t="shared" si="77"/>
        <v>0.34399999999999997</v>
      </c>
      <c r="BF97" s="3">
        <f t="shared" si="77"/>
        <v>0.66900000000000004</v>
      </c>
      <c r="BG97" s="3">
        <f t="shared" si="47"/>
        <v>-0.32500000000000007</v>
      </c>
      <c r="BH97" s="3">
        <f t="shared" si="78"/>
        <v>-0.13200000000000001</v>
      </c>
      <c r="BI97" s="3">
        <f t="shared" si="78"/>
        <v>-0.17049999999999998</v>
      </c>
      <c r="BJ97" s="3">
        <f t="shared" si="72"/>
        <v>3.8499999999999979E-2</v>
      </c>
      <c r="BK97" s="3">
        <f t="shared" si="69"/>
        <v>2.5325581395348844E-2</v>
      </c>
      <c r="BL97" s="3">
        <f t="shared" si="70"/>
        <v>2.1726644245141997E-2</v>
      </c>
      <c r="BM97" s="3">
        <f t="shared" si="49"/>
        <v>3.5989371502068469E-3</v>
      </c>
      <c r="BN97" s="3">
        <v>2.3010000000000002</v>
      </c>
      <c r="BO97" s="3">
        <v>2.3559999999999999</v>
      </c>
      <c r="BP97" s="3">
        <f t="shared" si="50"/>
        <v>-5.4999999999999716E-2</v>
      </c>
      <c r="BQ97" s="3">
        <v>-47960.305999999997</v>
      </c>
      <c r="BR97" s="3">
        <v>-47708.290999999997</v>
      </c>
      <c r="BS97" s="3">
        <f t="shared" si="51"/>
        <v>-252.01499999999942</v>
      </c>
      <c r="BT97" s="3">
        <v>-47973.754999999997</v>
      </c>
      <c r="BU97" s="3">
        <v>-47721.697</v>
      </c>
      <c r="BV97" s="3">
        <f t="shared" si="52"/>
        <v>-252.05799999999726</v>
      </c>
    </row>
    <row r="98" spans="1:74" x14ac:dyDescent="0.25">
      <c r="A98" t="s">
        <v>307</v>
      </c>
      <c r="B98" t="s">
        <v>514</v>
      </c>
      <c r="C98" t="s">
        <v>199</v>
      </c>
      <c r="D98" s="3">
        <v>13.03</v>
      </c>
      <c r="E98" s="3">
        <v>0.53</v>
      </c>
      <c r="F98" s="3">
        <v>-489.32799999999997</v>
      </c>
      <c r="G98" s="3">
        <v>-492.13400000000001</v>
      </c>
      <c r="H98" s="3">
        <f t="shared" si="53"/>
        <v>-2.80600000000004</v>
      </c>
      <c r="I98" s="3">
        <v>-0.36499999999999999</v>
      </c>
      <c r="J98" s="6">
        <v>-0.21</v>
      </c>
      <c r="K98" s="3">
        <f t="shared" si="54"/>
        <v>0.155</v>
      </c>
      <c r="L98" s="3">
        <v>0.16900000000000001</v>
      </c>
      <c r="M98" s="6">
        <v>0.03</v>
      </c>
      <c r="N98" s="3">
        <f t="shared" si="55"/>
        <v>-0.13900000000000001</v>
      </c>
      <c r="O98" s="3">
        <f t="shared" si="56"/>
        <v>9.799999999999999E-2</v>
      </c>
      <c r="P98" s="3">
        <f t="shared" si="56"/>
        <v>0.09</v>
      </c>
      <c r="Q98" s="3">
        <f t="shared" si="57"/>
        <v>-7.9999999999999932E-3</v>
      </c>
      <c r="R98" s="3">
        <f t="shared" si="58"/>
        <v>0.53400000000000003</v>
      </c>
      <c r="S98" s="3">
        <f t="shared" si="58"/>
        <v>0.24</v>
      </c>
      <c r="T98" s="3">
        <f t="shared" si="59"/>
        <v>-0.29400000000000004</v>
      </c>
      <c r="U98" s="3">
        <f t="shared" si="60"/>
        <v>-9.799999999999999E-2</v>
      </c>
      <c r="V98" s="3">
        <f t="shared" si="60"/>
        <v>-0.09</v>
      </c>
      <c r="W98" s="3">
        <f t="shared" si="71"/>
        <v>7.9999999999999932E-3</v>
      </c>
      <c r="X98" s="3">
        <f t="shared" si="67"/>
        <v>8.992509363295877E-3</v>
      </c>
      <c r="Y98" s="3">
        <f t="shared" si="68"/>
        <v>1.6875000000000001E-2</v>
      </c>
      <c r="Z98" s="3">
        <f t="shared" si="61"/>
        <v>7.8824906367041241E-3</v>
      </c>
      <c r="AA98" s="3">
        <v>8.8420000000000005</v>
      </c>
      <c r="AB98" s="3">
        <v>7.7430000000000003</v>
      </c>
      <c r="AC98" s="3">
        <f t="shared" si="62"/>
        <v>-1.0990000000000002</v>
      </c>
      <c r="AD98" s="3">
        <f>-489.186411*627.50956</f>
        <v>-306969.14952458913</v>
      </c>
      <c r="AE98" s="3">
        <f>-492.001686*627.50956</f>
        <v>-308735.76150111813</v>
      </c>
      <c r="AF98" s="3">
        <f t="shared" si="63"/>
        <v>-1766.6119765290059</v>
      </c>
      <c r="AG98" s="3">
        <f>-489.232071*627.50956</f>
        <v>-306997.80161109875</v>
      </c>
      <c r="AH98" s="3">
        <f>-492.047555*627.50956</f>
        <v>-308764.54473712575</v>
      </c>
      <c r="AI98" s="3">
        <f t="shared" si="64"/>
        <v>-1766.743126026995</v>
      </c>
      <c r="AJ98" s="3">
        <v>-0.84899999999999998</v>
      </c>
      <c r="AK98" s="3">
        <v>-0.79600000000000004</v>
      </c>
      <c r="AL98" s="3">
        <f t="shared" si="65"/>
        <v>5.2999999999999936E-2</v>
      </c>
      <c r="AM98" s="3">
        <v>131.10998000000001</v>
      </c>
      <c r="AN98" s="3">
        <v>170.11197999999999</v>
      </c>
      <c r="AO98" s="3">
        <v>175.05551</v>
      </c>
      <c r="AP98" s="3">
        <f t="shared" si="66"/>
        <v>1.1242778639853575</v>
      </c>
      <c r="AQ98" s="3">
        <v>8.766</v>
      </c>
      <c r="AR98" s="3">
        <v>2.1183559999999999</v>
      </c>
      <c r="AS98" s="3">
        <v>-76.454999999999998</v>
      </c>
      <c r="AT98" s="3">
        <v>-76.055000000000007</v>
      </c>
      <c r="AU98" s="3">
        <f t="shared" si="41"/>
        <v>-0.39999999999999147</v>
      </c>
      <c r="AV98" s="3">
        <v>-0.30399999999999999</v>
      </c>
      <c r="AW98" s="3">
        <v>-0.505</v>
      </c>
      <c r="AX98" s="3">
        <f t="shared" si="42"/>
        <v>0.20100000000000001</v>
      </c>
      <c r="AY98" s="3">
        <v>0.04</v>
      </c>
      <c r="AZ98" s="3">
        <v>0.16400000000000001</v>
      </c>
      <c r="BA98" s="3">
        <f t="shared" si="43"/>
        <v>-0.124</v>
      </c>
      <c r="BB98" s="3">
        <f t="shared" si="76"/>
        <v>0.13200000000000001</v>
      </c>
      <c r="BC98" s="3">
        <f t="shared" si="76"/>
        <v>0.17049999999999998</v>
      </c>
      <c r="BD98" s="3">
        <f t="shared" si="45"/>
        <v>-3.8499999999999979E-2</v>
      </c>
      <c r="BE98" s="3">
        <f t="shared" si="77"/>
        <v>0.34399999999999997</v>
      </c>
      <c r="BF98" s="3">
        <f t="shared" si="77"/>
        <v>0.66900000000000004</v>
      </c>
      <c r="BG98" s="3">
        <f t="shared" si="47"/>
        <v>-0.32500000000000007</v>
      </c>
      <c r="BH98" s="3">
        <f t="shared" si="78"/>
        <v>-0.13200000000000001</v>
      </c>
      <c r="BI98" s="3">
        <f t="shared" si="78"/>
        <v>-0.17049999999999998</v>
      </c>
      <c r="BJ98" s="3">
        <f t="shared" si="72"/>
        <v>3.8499999999999979E-2</v>
      </c>
      <c r="BK98" s="3">
        <f t="shared" si="69"/>
        <v>2.5325581395348844E-2</v>
      </c>
      <c r="BL98" s="3">
        <f t="shared" si="70"/>
        <v>2.1726644245141997E-2</v>
      </c>
      <c r="BM98" s="3">
        <f t="shared" si="49"/>
        <v>3.5989371502068469E-3</v>
      </c>
      <c r="BN98" s="3">
        <v>2.3010000000000002</v>
      </c>
      <c r="BO98" s="3">
        <v>2.3559999999999999</v>
      </c>
      <c r="BP98" s="3">
        <f t="shared" si="50"/>
        <v>-5.4999999999999716E-2</v>
      </c>
      <c r="BQ98" s="3">
        <v>-47960.305999999997</v>
      </c>
      <c r="BR98" s="3">
        <v>-47708.290999999997</v>
      </c>
      <c r="BS98" s="3">
        <f t="shared" si="51"/>
        <v>-252.01499999999942</v>
      </c>
      <c r="BT98" s="3">
        <v>-47973.754999999997</v>
      </c>
      <c r="BU98" s="3">
        <v>-47721.697</v>
      </c>
      <c r="BV98" s="3">
        <f t="shared" si="52"/>
        <v>-252.05799999999726</v>
      </c>
    </row>
    <row r="99" spans="1:74" x14ac:dyDescent="0.25">
      <c r="A99" t="s">
        <v>308</v>
      </c>
      <c r="B99" t="s">
        <v>514</v>
      </c>
      <c r="C99" t="s">
        <v>103</v>
      </c>
      <c r="D99" s="3">
        <v>13.11</v>
      </c>
      <c r="E99" s="3">
        <v>0.83</v>
      </c>
      <c r="F99" s="3">
        <v>-724.26700000000005</v>
      </c>
      <c r="G99" s="3">
        <v>-729.01700000000005</v>
      </c>
      <c r="H99" s="3">
        <f t="shared" si="53"/>
        <v>-4.75</v>
      </c>
      <c r="I99" s="3">
        <v>-0.33</v>
      </c>
      <c r="J99" s="6">
        <v>-0.22</v>
      </c>
      <c r="K99" s="3">
        <f t="shared" si="54"/>
        <v>0.11000000000000001</v>
      </c>
      <c r="L99" s="3">
        <v>0.108</v>
      </c>
      <c r="M99" s="6">
        <v>-3.6999999999999998E-2</v>
      </c>
      <c r="N99" s="3">
        <f t="shared" si="55"/>
        <v>-0.14499999999999999</v>
      </c>
      <c r="O99" s="3">
        <f t="shared" si="56"/>
        <v>0.11100000000000002</v>
      </c>
      <c r="P99" s="3">
        <f t="shared" si="56"/>
        <v>0.1285</v>
      </c>
      <c r="Q99" s="3">
        <f t="shared" si="57"/>
        <v>1.7499999999999988E-2</v>
      </c>
      <c r="R99" s="3">
        <f t="shared" si="58"/>
        <v>0.438</v>
      </c>
      <c r="S99" s="3">
        <f t="shared" si="58"/>
        <v>0.183</v>
      </c>
      <c r="T99" s="3">
        <f t="shared" si="59"/>
        <v>-0.255</v>
      </c>
      <c r="U99" s="3">
        <f t="shared" si="60"/>
        <v>-0.11100000000000002</v>
      </c>
      <c r="V99" s="3">
        <f t="shared" si="60"/>
        <v>-0.1285</v>
      </c>
      <c r="W99" s="3">
        <f t="shared" si="71"/>
        <v>-1.7499999999999988E-2</v>
      </c>
      <c r="X99" s="3">
        <f t="shared" si="67"/>
        <v>1.4065068493150689E-2</v>
      </c>
      <c r="Y99" s="3">
        <f t="shared" si="68"/>
        <v>4.5115437158469947E-2</v>
      </c>
      <c r="Z99" s="3">
        <f t="shared" si="61"/>
        <v>3.105036866531926E-2</v>
      </c>
      <c r="AA99" s="3">
        <v>3.081</v>
      </c>
      <c r="AB99" s="3">
        <v>2.9790000000000001</v>
      </c>
      <c r="AC99" s="3">
        <f t="shared" si="62"/>
        <v>-0.10199999999999987</v>
      </c>
      <c r="AD99" s="3">
        <f>-723.948703*627.50956</f>
        <v>-454284.73208210064</v>
      </c>
      <c r="AE99" s="3">
        <f>-728.717414*627.50956</f>
        <v>-457277.14382347779</v>
      </c>
      <c r="AF99" s="3">
        <f t="shared" si="63"/>
        <v>-2992.4117413771455</v>
      </c>
      <c r="AG99" s="3">
        <f>-724.007147*627.50956</f>
        <v>-454321.40625082533</v>
      </c>
      <c r="AH99" s="3">
        <f>-728.777223*627.50956</f>
        <v>-457314.67454275186</v>
      </c>
      <c r="AI99" s="3">
        <f t="shared" si="64"/>
        <v>-2993.2682919265353</v>
      </c>
      <c r="AJ99" s="3">
        <v>-0.61799999999999999</v>
      </c>
      <c r="AK99" s="3">
        <v>-0.54500000000000004</v>
      </c>
      <c r="AL99" s="3">
        <f t="shared" si="65"/>
        <v>7.2999999999999954E-2</v>
      </c>
      <c r="AM99" s="3">
        <v>236.31164000000001</v>
      </c>
      <c r="AN99" s="3">
        <v>312.14170000000001</v>
      </c>
      <c r="AO99" s="3">
        <v>365.33920000000001</v>
      </c>
      <c r="AP99" s="3">
        <f t="shared" si="66"/>
        <v>1.2632138909211745</v>
      </c>
      <c r="AQ99" s="3">
        <v>13.388</v>
      </c>
      <c r="AR99" s="3">
        <v>3.2935880000000002</v>
      </c>
      <c r="AS99" s="3">
        <v>-959.76900000000001</v>
      </c>
      <c r="AT99" s="3">
        <v>-958.05</v>
      </c>
      <c r="AU99" s="3">
        <f t="shared" si="41"/>
        <v>-1.7190000000000509</v>
      </c>
      <c r="AV99" s="3">
        <v>-0.317</v>
      </c>
      <c r="AW99" s="3">
        <v>-0.45</v>
      </c>
      <c r="AX99" s="3">
        <f t="shared" si="42"/>
        <v>0.13300000000000001</v>
      </c>
      <c r="AY99" s="3">
        <v>-2.4E-2</v>
      </c>
      <c r="AZ99" s="3">
        <v>0.13500000000000001</v>
      </c>
      <c r="BA99" s="3">
        <f t="shared" si="43"/>
        <v>-0.159</v>
      </c>
      <c r="BB99" s="3">
        <f t="shared" si="76"/>
        <v>0.17050000000000001</v>
      </c>
      <c r="BC99" s="3">
        <f t="shared" si="76"/>
        <v>0.1575</v>
      </c>
      <c r="BD99" s="3">
        <f t="shared" si="45"/>
        <v>1.3000000000000012E-2</v>
      </c>
      <c r="BE99" s="3">
        <f t="shared" si="77"/>
        <v>0.29299999999999998</v>
      </c>
      <c r="BF99" s="3">
        <f t="shared" si="77"/>
        <v>0.58499999999999996</v>
      </c>
      <c r="BG99" s="3">
        <f t="shared" si="47"/>
        <v>-0.29199999999999998</v>
      </c>
      <c r="BH99" s="3">
        <f t="shared" si="78"/>
        <v>-0.17050000000000001</v>
      </c>
      <c r="BI99" s="3">
        <f t="shared" si="78"/>
        <v>-0.1575</v>
      </c>
      <c r="BJ99" s="3">
        <f t="shared" si="72"/>
        <v>-1.3000000000000012E-2</v>
      </c>
      <c r="BK99" s="3">
        <f t="shared" si="69"/>
        <v>4.9607935153583631E-2</v>
      </c>
      <c r="BL99" s="3">
        <f t="shared" si="70"/>
        <v>2.120192307692308E-2</v>
      </c>
      <c r="BM99" s="3">
        <f t="shared" si="49"/>
        <v>2.8406012076660551E-2</v>
      </c>
      <c r="BN99" s="3">
        <v>2.2370000000000001</v>
      </c>
      <c r="BO99" s="3">
        <v>2.431</v>
      </c>
      <c r="BP99" s="3">
        <f t="shared" si="50"/>
        <v>-0.19399999999999995</v>
      </c>
      <c r="BQ99" s="3">
        <v>-602243.07700000005</v>
      </c>
      <c r="BR99" s="3">
        <v>-601163.24300000002</v>
      </c>
      <c r="BS99" s="3">
        <f t="shared" si="51"/>
        <v>-1079.8340000000317</v>
      </c>
      <c r="BT99" s="3">
        <v>-602262.36399999994</v>
      </c>
      <c r="BU99" s="3">
        <v>-601182.38500000001</v>
      </c>
      <c r="BV99" s="3">
        <f t="shared" si="52"/>
        <v>-1079.9789999999339</v>
      </c>
    </row>
    <row r="100" spans="1:74" x14ac:dyDescent="0.25">
      <c r="A100" t="s">
        <v>309</v>
      </c>
      <c r="B100" t="s">
        <v>514</v>
      </c>
      <c r="C100" t="s">
        <v>103</v>
      </c>
      <c r="D100" s="3">
        <v>13.12</v>
      </c>
      <c r="E100" s="3">
        <v>0.69</v>
      </c>
      <c r="F100" s="3">
        <v>-249.08600000000001</v>
      </c>
      <c r="G100" s="3">
        <v>-250.76599999999999</v>
      </c>
      <c r="H100" s="3">
        <f t="shared" si="53"/>
        <v>-1.6799999999999784</v>
      </c>
      <c r="I100" s="3">
        <v>-0.38900000000000001</v>
      </c>
      <c r="J100" s="6">
        <v>-0.26</v>
      </c>
      <c r="K100" s="3">
        <f t="shared" si="54"/>
        <v>0.129</v>
      </c>
      <c r="L100" s="3">
        <v>0.153</v>
      </c>
      <c r="M100" s="6">
        <v>5.0000000000000001E-3</v>
      </c>
      <c r="N100" s="3">
        <f t="shared" si="55"/>
        <v>-0.14799999999999999</v>
      </c>
      <c r="O100" s="3">
        <f t="shared" si="56"/>
        <v>0.11800000000000001</v>
      </c>
      <c r="P100" s="3">
        <f t="shared" si="56"/>
        <v>0.1275</v>
      </c>
      <c r="Q100" s="3">
        <f t="shared" si="57"/>
        <v>9.4999999999999946E-3</v>
      </c>
      <c r="R100" s="3">
        <f t="shared" si="58"/>
        <v>0.54200000000000004</v>
      </c>
      <c r="S100" s="3">
        <f t="shared" si="58"/>
        <v>0.26500000000000001</v>
      </c>
      <c r="T100" s="3">
        <f t="shared" si="59"/>
        <v>-0.27700000000000002</v>
      </c>
      <c r="U100" s="3">
        <f t="shared" si="60"/>
        <v>-0.11800000000000001</v>
      </c>
      <c r="V100" s="3">
        <f t="shared" si="60"/>
        <v>-0.1275</v>
      </c>
      <c r="W100" s="3">
        <f t="shared" si="71"/>
        <v>-9.4999999999999946E-3</v>
      </c>
      <c r="X100" s="3">
        <f t="shared" si="67"/>
        <v>1.2845018450184504E-2</v>
      </c>
      <c r="Y100" s="3">
        <f t="shared" si="68"/>
        <v>3.0672169811320753E-2</v>
      </c>
      <c r="Z100" s="3">
        <f t="shared" si="61"/>
        <v>1.7827151361136249E-2</v>
      </c>
      <c r="AA100" s="3">
        <v>2.82</v>
      </c>
      <c r="AB100" s="3">
        <v>2.609</v>
      </c>
      <c r="AC100" s="3">
        <f t="shared" si="62"/>
        <v>-0.21099999999999985</v>
      </c>
      <c r="AD100" s="3">
        <f>-248.937877*627.50956</f>
        <v>-156210.89766360409</v>
      </c>
      <c r="AE100" s="3">
        <f>-250.626375*627.50956</f>
        <v>-157270.44630064498</v>
      </c>
      <c r="AF100" s="3">
        <f t="shared" si="63"/>
        <v>-1059.5486370408908</v>
      </c>
      <c r="AG100" s="3">
        <f>-248.973778*627.50956</f>
        <v>-156233.42588431766</v>
      </c>
      <c r="AH100" s="3">
        <f>-250.662905*627.50956</f>
        <v>-157293.3692248718</v>
      </c>
      <c r="AI100" s="3">
        <f t="shared" si="64"/>
        <v>-1059.9433405541349</v>
      </c>
      <c r="AJ100" s="3">
        <v>-0.56799999999999995</v>
      </c>
      <c r="AK100" s="3">
        <v>-0.5</v>
      </c>
      <c r="AL100" s="3">
        <f t="shared" si="65"/>
        <v>6.7999999999999949E-2</v>
      </c>
      <c r="AM100" s="3">
        <v>83.131659999999997</v>
      </c>
      <c r="AN100" s="3">
        <v>154.07499999999999</v>
      </c>
      <c r="AO100" s="3">
        <v>155.6284</v>
      </c>
      <c r="AP100" s="3">
        <f t="shared" si="66"/>
        <v>1.1013589662314027</v>
      </c>
      <c r="AQ100" s="3">
        <v>7.8019999999999996</v>
      </c>
      <c r="AR100" s="3">
        <v>1.6393323</v>
      </c>
      <c r="AS100" s="3">
        <v>-959.76900000000001</v>
      </c>
      <c r="AT100" s="3">
        <v>-958.05</v>
      </c>
      <c r="AU100" s="3">
        <f t="shared" si="41"/>
        <v>-1.7190000000000509</v>
      </c>
      <c r="AV100" s="3">
        <v>-0.317</v>
      </c>
      <c r="AW100" s="3">
        <v>-0.45</v>
      </c>
      <c r="AX100" s="3">
        <f t="shared" si="42"/>
        <v>0.13300000000000001</v>
      </c>
      <c r="AY100" s="3">
        <v>-2.4E-2</v>
      </c>
      <c r="AZ100" s="3">
        <v>0.13500000000000001</v>
      </c>
      <c r="BA100" s="3">
        <f t="shared" si="43"/>
        <v>-0.159</v>
      </c>
      <c r="BB100" s="3">
        <f t="shared" si="76"/>
        <v>0.17050000000000001</v>
      </c>
      <c r="BC100" s="3">
        <f t="shared" si="76"/>
        <v>0.1575</v>
      </c>
      <c r="BD100" s="3">
        <f t="shared" si="45"/>
        <v>1.3000000000000012E-2</v>
      </c>
      <c r="BE100" s="3">
        <f t="shared" si="77"/>
        <v>0.29299999999999998</v>
      </c>
      <c r="BF100" s="3">
        <f t="shared" si="77"/>
        <v>0.58499999999999996</v>
      </c>
      <c r="BG100" s="3">
        <f t="shared" si="47"/>
        <v>-0.29199999999999998</v>
      </c>
      <c r="BH100" s="3">
        <f t="shared" si="78"/>
        <v>-0.17050000000000001</v>
      </c>
      <c r="BI100" s="3">
        <f t="shared" si="78"/>
        <v>-0.1575</v>
      </c>
      <c r="BJ100" s="3">
        <f t="shared" si="72"/>
        <v>-1.3000000000000012E-2</v>
      </c>
      <c r="BK100" s="3">
        <f t="shared" si="69"/>
        <v>4.9607935153583631E-2</v>
      </c>
      <c r="BL100" s="3">
        <f t="shared" si="70"/>
        <v>2.120192307692308E-2</v>
      </c>
      <c r="BM100" s="3">
        <f t="shared" si="49"/>
        <v>2.8406012076660551E-2</v>
      </c>
      <c r="BN100" s="3">
        <v>2.2370000000000001</v>
      </c>
      <c r="BO100" s="3">
        <v>2.431</v>
      </c>
      <c r="BP100" s="3">
        <f t="shared" si="50"/>
        <v>-0.19399999999999995</v>
      </c>
      <c r="BQ100" s="3">
        <v>-602243.07700000005</v>
      </c>
      <c r="BR100" s="3">
        <v>-601163.24300000002</v>
      </c>
      <c r="BS100" s="3">
        <f t="shared" si="51"/>
        <v>-1079.8340000000317</v>
      </c>
      <c r="BT100" s="3">
        <v>-602262.36399999994</v>
      </c>
      <c r="BU100" s="3">
        <v>-601182.38500000001</v>
      </c>
      <c r="BV100" s="3">
        <f t="shared" si="52"/>
        <v>-1079.9789999999339</v>
      </c>
    </row>
    <row r="101" spans="1:74" x14ac:dyDescent="0.25">
      <c r="A101" t="s">
        <v>310</v>
      </c>
      <c r="B101" t="s">
        <v>514</v>
      </c>
      <c r="C101" t="s">
        <v>199</v>
      </c>
      <c r="D101" s="3">
        <v>13.16</v>
      </c>
      <c r="E101" s="3">
        <v>0.55000000000000004</v>
      </c>
      <c r="F101" s="3">
        <v>-396.36500000000001</v>
      </c>
      <c r="G101" s="3">
        <v>-398.61200000000002</v>
      </c>
      <c r="H101" s="3">
        <f t="shared" si="53"/>
        <v>-2.2470000000000141</v>
      </c>
      <c r="I101" s="3">
        <v>-0.36599999999999999</v>
      </c>
      <c r="J101" s="6">
        <v>-0.21</v>
      </c>
      <c r="K101" s="3">
        <f t="shared" si="54"/>
        <v>0.156</v>
      </c>
      <c r="L101" s="3">
        <v>0.16800000000000001</v>
      </c>
      <c r="M101" s="6">
        <v>4.7E-2</v>
      </c>
      <c r="N101" s="3">
        <f t="shared" si="55"/>
        <v>-0.12100000000000001</v>
      </c>
      <c r="O101" s="3">
        <f t="shared" si="56"/>
        <v>9.8999999999999991E-2</v>
      </c>
      <c r="P101" s="3">
        <f t="shared" si="56"/>
        <v>8.1499999999999989E-2</v>
      </c>
      <c r="Q101" s="3">
        <f t="shared" si="57"/>
        <v>-1.7500000000000002E-2</v>
      </c>
      <c r="R101" s="3">
        <f t="shared" si="58"/>
        <v>0.53400000000000003</v>
      </c>
      <c r="S101" s="3">
        <f t="shared" si="58"/>
        <v>0.25700000000000001</v>
      </c>
      <c r="T101" s="3">
        <f t="shared" si="59"/>
        <v>-0.27700000000000002</v>
      </c>
      <c r="U101" s="3">
        <f t="shared" si="60"/>
        <v>-9.8999999999999991E-2</v>
      </c>
      <c r="V101" s="3">
        <f t="shared" si="60"/>
        <v>-8.1499999999999989E-2</v>
      </c>
      <c r="W101" s="3">
        <f t="shared" si="71"/>
        <v>1.7500000000000002E-2</v>
      </c>
      <c r="X101" s="3">
        <f t="shared" si="67"/>
        <v>9.1769662921348302E-3</v>
      </c>
      <c r="Y101" s="3">
        <f t="shared" si="68"/>
        <v>1.2922665369649802E-2</v>
      </c>
      <c r="Z101" s="3">
        <f t="shared" si="61"/>
        <v>3.7456990775149718E-3</v>
      </c>
      <c r="AA101" s="3">
        <v>9.875</v>
      </c>
      <c r="AB101" s="3">
        <v>8.9830000000000005</v>
      </c>
      <c r="AC101" s="3">
        <f t="shared" si="62"/>
        <v>-0.89199999999999946</v>
      </c>
      <c r="AD101" s="3">
        <f>-396.249301*627.50956</f>
        <v>-248650.22452081754</v>
      </c>
      <c r="AE101" s="3">
        <f>-398.504059*627.50956</f>
        <v>-250065.10672130401</v>
      </c>
      <c r="AF101" s="3">
        <f t="shared" si="63"/>
        <v>-1414.8822004864633</v>
      </c>
      <c r="AG101" s="3">
        <f>-396.289823*627.50956</f>
        <v>-248675.65246320787</v>
      </c>
      <c r="AH101" s="3">
        <f>-398.544786*627.50956</f>
        <v>-250090.66330315414</v>
      </c>
      <c r="AI101" s="3">
        <f t="shared" si="64"/>
        <v>-1415.010839946277</v>
      </c>
      <c r="AJ101" s="3">
        <v>-0.876</v>
      </c>
      <c r="AK101" s="3">
        <v>-0.879</v>
      </c>
      <c r="AL101" s="3">
        <f t="shared" si="65"/>
        <v>-3.0000000000000027E-3</v>
      </c>
      <c r="AM101" s="3">
        <v>104.08459999999999</v>
      </c>
      <c r="AN101" s="3">
        <v>143.5128</v>
      </c>
      <c r="AO101" s="3">
        <v>141.55889999999999</v>
      </c>
      <c r="AP101" s="3">
        <f t="shared" si="66"/>
        <v>1.0927524831107334</v>
      </c>
      <c r="AQ101" s="3">
        <v>7.8849999999999998</v>
      </c>
      <c r="AR101" s="3">
        <v>1.8689403</v>
      </c>
      <c r="AS101" s="3">
        <v>-76.454999999999998</v>
      </c>
      <c r="AT101" s="3">
        <v>-76.055000000000007</v>
      </c>
      <c r="AU101" s="3">
        <f t="shared" si="41"/>
        <v>-0.39999999999999147</v>
      </c>
      <c r="AV101" s="3">
        <v>-0.30399999999999999</v>
      </c>
      <c r="AW101" s="3">
        <v>-0.505</v>
      </c>
      <c r="AX101" s="3">
        <f t="shared" si="42"/>
        <v>0.20100000000000001</v>
      </c>
      <c r="AY101" s="3">
        <v>0.04</v>
      </c>
      <c r="AZ101" s="3">
        <v>0.16400000000000001</v>
      </c>
      <c r="BA101" s="3">
        <f t="shared" si="43"/>
        <v>-0.124</v>
      </c>
      <c r="BB101" s="3">
        <f t="shared" si="76"/>
        <v>0.13200000000000001</v>
      </c>
      <c r="BC101" s="3">
        <f t="shared" si="76"/>
        <v>0.17049999999999998</v>
      </c>
      <c r="BD101" s="3">
        <f t="shared" si="45"/>
        <v>-3.8499999999999979E-2</v>
      </c>
      <c r="BE101" s="3">
        <f t="shared" si="77"/>
        <v>0.34399999999999997</v>
      </c>
      <c r="BF101" s="3">
        <f t="shared" si="77"/>
        <v>0.66900000000000004</v>
      </c>
      <c r="BG101" s="3">
        <f t="shared" si="47"/>
        <v>-0.32500000000000007</v>
      </c>
      <c r="BH101" s="3">
        <f t="shared" si="78"/>
        <v>-0.13200000000000001</v>
      </c>
      <c r="BI101" s="3">
        <f t="shared" si="78"/>
        <v>-0.17049999999999998</v>
      </c>
      <c r="BJ101" s="3">
        <f t="shared" si="72"/>
        <v>3.8499999999999979E-2</v>
      </c>
      <c r="BK101" s="3">
        <f t="shared" si="69"/>
        <v>2.5325581395348844E-2</v>
      </c>
      <c r="BL101" s="3">
        <f t="shared" si="70"/>
        <v>2.1726644245141997E-2</v>
      </c>
      <c r="BM101" s="3">
        <f t="shared" si="49"/>
        <v>3.5989371502068469E-3</v>
      </c>
      <c r="BN101" s="3">
        <v>2.3010000000000002</v>
      </c>
      <c r="BO101" s="3">
        <v>2.3559999999999999</v>
      </c>
      <c r="BP101" s="3">
        <f t="shared" si="50"/>
        <v>-5.4999999999999716E-2</v>
      </c>
      <c r="BQ101" s="3">
        <v>-47960.305999999997</v>
      </c>
      <c r="BR101" s="3">
        <v>-47708.290999999997</v>
      </c>
      <c r="BS101" s="3">
        <f t="shared" si="51"/>
        <v>-252.01499999999942</v>
      </c>
      <c r="BT101" s="3">
        <v>-47973.754999999997</v>
      </c>
      <c r="BU101" s="3">
        <v>-47721.697</v>
      </c>
      <c r="BV101" s="3">
        <f t="shared" si="52"/>
        <v>-252.05799999999726</v>
      </c>
    </row>
    <row r="102" spans="1:74" x14ac:dyDescent="0.25">
      <c r="A102" t="s">
        <v>311</v>
      </c>
      <c r="B102" t="s">
        <v>514</v>
      </c>
      <c r="C102" t="s">
        <v>199</v>
      </c>
      <c r="D102" s="3">
        <v>13.16</v>
      </c>
      <c r="E102" s="3">
        <v>0.57999999999999996</v>
      </c>
      <c r="F102" s="3">
        <v>-797.10799999999995</v>
      </c>
      <c r="G102" s="3">
        <v>-800.23699999999997</v>
      </c>
      <c r="H102" s="3">
        <f t="shared" si="53"/>
        <v>-3.1290000000000191</v>
      </c>
      <c r="I102" s="3">
        <v>-0.33700000000000002</v>
      </c>
      <c r="J102" s="6">
        <v>-0.19700000000000001</v>
      </c>
      <c r="K102" s="3">
        <f t="shared" si="54"/>
        <v>0.14000000000000001</v>
      </c>
      <c r="L102" s="3">
        <v>0.154</v>
      </c>
      <c r="M102" s="6">
        <v>2.4E-2</v>
      </c>
      <c r="N102" s="3">
        <f t="shared" si="55"/>
        <v>-0.13</v>
      </c>
      <c r="O102" s="3">
        <f t="shared" si="56"/>
        <v>9.1500000000000012E-2</v>
      </c>
      <c r="P102" s="3">
        <f t="shared" si="56"/>
        <v>8.6500000000000007E-2</v>
      </c>
      <c r="Q102" s="3">
        <f t="shared" si="57"/>
        <v>-5.0000000000000044E-3</v>
      </c>
      <c r="R102" s="3">
        <f t="shared" si="58"/>
        <v>0.49099999999999999</v>
      </c>
      <c r="S102" s="3">
        <f t="shared" si="58"/>
        <v>0.221</v>
      </c>
      <c r="T102" s="3">
        <f t="shared" si="59"/>
        <v>-0.27</v>
      </c>
      <c r="U102" s="3">
        <f t="shared" si="60"/>
        <v>-9.1500000000000012E-2</v>
      </c>
      <c r="V102" s="3">
        <f t="shared" si="60"/>
        <v>-8.6500000000000007E-2</v>
      </c>
      <c r="W102" s="3">
        <f t="shared" si="71"/>
        <v>5.0000000000000044E-3</v>
      </c>
      <c r="X102" s="3">
        <f t="shared" si="67"/>
        <v>8.5257128309572331E-3</v>
      </c>
      <c r="Y102" s="3">
        <f t="shared" si="68"/>
        <v>1.6928167420814481E-2</v>
      </c>
      <c r="Z102" s="3">
        <f t="shared" si="61"/>
        <v>8.4024545898572483E-3</v>
      </c>
      <c r="AA102" s="3">
        <v>14.456</v>
      </c>
      <c r="AB102" s="3">
        <v>13.983000000000001</v>
      </c>
      <c r="AC102" s="3">
        <f t="shared" si="62"/>
        <v>-0.47299999999999898</v>
      </c>
      <c r="AD102" s="3">
        <f>-796.932995*627.50956</f>
        <v>-500083.07304193219</v>
      </c>
      <c r="AE102" s="3">
        <f>-800.072822*627.50956</f>
        <v>-502053.3445011783</v>
      </c>
      <c r="AF102" s="3">
        <f t="shared" si="63"/>
        <v>-1970.2714592461125</v>
      </c>
      <c r="AG102" s="3">
        <f>-796.983077*627.50956</f>
        <v>-500114.49997571605</v>
      </c>
      <c r="AH102" s="3">
        <f>-800.123423*627.50956</f>
        <v>-502085.09711242386</v>
      </c>
      <c r="AI102" s="3">
        <f t="shared" si="64"/>
        <v>-1970.5971367078018</v>
      </c>
      <c r="AJ102" s="3">
        <v>-0.874</v>
      </c>
      <c r="AK102" s="3">
        <v>-0.876</v>
      </c>
      <c r="AL102" s="3">
        <f t="shared" si="65"/>
        <v>-2.0000000000000018E-3</v>
      </c>
      <c r="AM102" s="3">
        <v>148.20339999999999</v>
      </c>
      <c r="AN102" s="3">
        <v>202.37029999999999</v>
      </c>
      <c r="AO102" s="3">
        <v>215.65600000000001</v>
      </c>
      <c r="AP102" s="3">
        <f t="shared" si="66"/>
        <v>1.1638446881840407</v>
      </c>
      <c r="AQ102" s="3">
        <v>11.337999999999999</v>
      </c>
      <c r="AR102" s="3">
        <v>2.731182</v>
      </c>
      <c r="AS102" s="3">
        <v>-76.454999999999998</v>
      </c>
      <c r="AT102" s="3">
        <v>-76.055000000000007</v>
      </c>
      <c r="AU102" s="3">
        <f t="shared" si="41"/>
        <v>-0.39999999999999147</v>
      </c>
      <c r="AV102" s="3">
        <v>-0.30399999999999999</v>
      </c>
      <c r="AW102" s="3">
        <v>-0.505</v>
      </c>
      <c r="AX102" s="3">
        <f t="shared" si="42"/>
        <v>0.20100000000000001</v>
      </c>
      <c r="AY102" s="3">
        <v>0.04</v>
      </c>
      <c r="AZ102" s="3">
        <v>0.16400000000000001</v>
      </c>
      <c r="BA102" s="3">
        <f t="shared" si="43"/>
        <v>-0.124</v>
      </c>
      <c r="BB102" s="3">
        <f t="shared" si="76"/>
        <v>0.13200000000000001</v>
      </c>
      <c r="BC102" s="3">
        <f t="shared" si="76"/>
        <v>0.17049999999999998</v>
      </c>
      <c r="BD102" s="3">
        <f t="shared" si="45"/>
        <v>-3.8499999999999979E-2</v>
      </c>
      <c r="BE102" s="3">
        <f t="shared" si="77"/>
        <v>0.34399999999999997</v>
      </c>
      <c r="BF102" s="3">
        <f t="shared" si="77"/>
        <v>0.66900000000000004</v>
      </c>
      <c r="BG102" s="3">
        <f t="shared" si="47"/>
        <v>-0.32500000000000007</v>
      </c>
      <c r="BH102" s="3">
        <f t="shared" si="78"/>
        <v>-0.13200000000000001</v>
      </c>
      <c r="BI102" s="3">
        <f t="shared" si="78"/>
        <v>-0.17049999999999998</v>
      </c>
      <c r="BJ102" s="3">
        <f t="shared" si="72"/>
        <v>3.8499999999999979E-2</v>
      </c>
      <c r="BK102" s="3">
        <f t="shared" si="69"/>
        <v>2.5325581395348844E-2</v>
      </c>
      <c r="BL102" s="3">
        <f t="shared" si="70"/>
        <v>2.1726644245141997E-2</v>
      </c>
      <c r="BM102" s="3">
        <f t="shared" si="49"/>
        <v>3.5989371502068469E-3</v>
      </c>
      <c r="BN102" s="3">
        <v>2.3010000000000002</v>
      </c>
      <c r="BO102" s="3">
        <v>2.3559999999999999</v>
      </c>
      <c r="BP102" s="3">
        <f t="shared" si="50"/>
        <v>-5.4999999999999716E-2</v>
      </c>
      <c r="BQ102" s="3">
        <v>-47960.305999999997</v>
      </c>
      <c r="BR102" s="3">
        <v>-47708.290999999997</v>
      </c>
      <c r="BS102" s="3">
        <f t="shared" si="51"/>
        <v>-252.01499999999942</v>
      </c>
      <c r="BT102" s="3">
        <v>-47973.754999999997</v>
      </c>
      <c r="BU102" s="3">
        <v>-47721.697</v>
      </c>
      <c r="BV102" s="3">
        <f t="shared" si="52"/>
        <v>-252.05799999999726</v>
      </c>
    </row>
    <row r="103" spans="1:74" x14ac:dyDescent="0.25">
      <c r="A103" t="s">
        <v>312</v>
      </c>
      <c r="B103" t="s">
        <v>514</v>
      </c>
      <c r="C103" t="s">
        <v>199</v>
      </c>
      <c r="D103" s="3">
        <v>13.19</v>
      </c>
      <c r="E103" s="3">
        <v>0.56000000000000005</v>
      </c>
      <c r="F103" s="3">
        <v>-379.875</v>
      </c>
      <c r="G103" s="3">
        <v>-382.363</v>
      </c>
      <c r="H103" s="3">
        <f t="shared" si="53"/>
        <v>-2.4879999999999995</v>
      </c>
      <c r="I103" s="3">
        <v>-0.311</v>
      </c>
      <c r="J103" s="6">
        <v>-0.215</v>
      </c>
      <c r="K103" s="3">
        <f t="shared" si="54"/>
        <v>9.6000000000000002E-2</v>
      </c>
      <c r="L103" s="3">
        <v>0.13200000000000001</v>
      </c>
      <c r="M103" s="6">
        <v>-1.4E-2</v>
      </c>
      <c r="N103" s="3">
        <f t="shared" si="55"/>
        <v>-0.14600000000000002</v>
      </c>
      <c r="O103" s="3">
        <f t="shared" si="56"/>
        <v>8.9499999999999996E-2</v>
      </c>
      <c r="P103" s="3">
        <f t="shared" si="56"/>
        <v>0.1145</v>
      </c>
      <c r="Q103" s="3">
        <f t="shared" si="57"/>
        <v>2.5000000000000008E-2</v>
      </c>
      <c r="R103" s="3">
        <f t="shared" si="58"/>
        <v>0.443</v>
      </c>
      <c r="S103" s="3">
        <f t="shared" si="58"/>
        <v>0.20099999999999998</v>
      </c>
      <c r="T103" s="3">
        <f t="shared" si="59"/>
        <v>-0.24200000000000002</v>
      </c>
      <c r="U103" s="3">
        <f t="shared" si="60"/>
        <v>-8.9499999999999996E-2</v>
      </c>
      <c r="V103" s="3">
        <f t="shared" si="60"/>
        <v>-0.1145</v>
      </c>
      <c r="W103" s="3">
        <f t="shared" si="71"/>
        <v>-2.5000000000000008E-2</v>
      </c>
      <c r="X103" s="3">
        <f t="shared" si="67"/>
        <v>9.0409142212189621E-3</v>
      </c>
      <c r="Y103" s="3">
        <f t="shared" si="68"/>
        <v>3.2612562189054728E-2</v>
      </c>
      <c r="Z103" s="3">
        <f t="shared" si="61"/>
        <v>2.3571647967835764E-2</v>
      </c>
      <c r="AA103" s="3">
        <v>5.75</v>
      </c>
      <c r="AB103" s="3">
        <v>6.36</v>
      </c>
      <c r="AC103" s="3">
        <f t="shared" si="62"/>
        <v>0.61000000000000032</v>
      </c>
      <c r="AD103" s="3">
        <f>-379.693959*627.50956</f>
        <v>-238261.58914674804</v>
      </c>
      <c r="AE103" s="3">
        <f>-382.191636*627.50956</f>
        <v>-239828.90534204015</v>
      </c>
      <c r="AF103" s="3">
        <f t="shared" si="63"/>
        <v>-1567.3161952921073</v>
      </c>
      <c r="AG103" s="3">
        <f>-379.736479*627.50956</f>
        <v>-238288.2708532392</v>
      </c>
      <c r="AH103" s="3">
        <f>-382.235437*627.50956</f>
        <v>-239856.3908882777</v>
      </c>
      <c r="AI103" s="3">
        <f t="shared" si="64"/>
        <v>-1568.1200350385043</v>
      </c>
      <c r="AJ103" s="3">
        <v>-0.61399999999999999</v>
      </c>
      <c r="AK103" s="3">
        <v>-0.54400000000000004</v>
      </c>
      <c r="AL103" s="3">
        <f t="shared" si="65"/>
        <v>6.9999999999999951E-2</v>
      </c>
      <c r="AM103" s="3">
        <v>122.1677</v>
      </c>
      <c r="AN103" s="3">
        <v>187.53370000000001</v>
      </c>
      <c r="AO103" s="3">
        <v>201.00890000000001</v>
      </c>
      <c r="AP103" s="3">
        <f t="shared" si="66"/>
        <v>1.1302948478743766</v>
      </c>
      <c r="AQ103" s="3">
        <v>9.0459999999999994</v>
      </c>
      <c r="AR103" s="3">
        <v>2.1250518999999999</v>
      </c>
      <c r="AS103" s="3">
        <v>-76.454999999999998</v>
      </c>
      <c r="AT103" s="3">
        <v>-76.055000000000007</v>
      </c>
      <c r="AU103" s="3">
        <f t="shared" si="41"/>
        <v>-0.39999999999999147</v>
      </c>
      <c r="AV103" s="3">
        <v>-0.30399999999999999</v>
      </c>
      <c r="AW103" s="3">
        <v>-0.505</v>
      </c>
      <c r="AX103" s="3">
        <f t="shared" si="42"/>
        <v>0.20100000000000001</v>
      </c>
      <c r="AY103" s="3">
        <v>0.04</v>
      </c>
      <c r="AZ103" s="3">
        <v>0.16400000000000001</v>
      </c>
      <c r="BA103" s="3">
        <f t="shared" si="43"/>
        <v>-0.124</v>
      </c>
      <c r="BB103" s="3">
        <f t="shared" si="76"/>
        <v>0.13200000000000001</v>
      </c>
      <c r="BC103" s="3">
        <f t="shared" si="76"/>
        <v>0.17049999999999998</v>
      </c>
      <c r="BD103" s="3">
        <f t="shared" si="45"/>
        <v>-3.8499999999999979E-2</v>
      </c>
      <c r="BE103" s="3">
        <f t="shared" si="77"/>
        <v>0.34399999999999997</v>
      </c>
      <c r="BF103" s="3">
        <f t="shared" si="77"/>
        <v>0.66900000000000004</v>
      </c>
      <c r="BG103" s="3">
        <f t="shared" si="47"/>
        <v>-0.32500000000000007</v>
      </c>
      <c r="BH103" s="3">
        <f t="shared" si="78"/>
        <v>-0.13200000000000001</v>
      </c>
      <c r="BI103" s="3">
        <f t="shared" si="78"/>
        <v>-0.17049999999999998</v>
      </c>
      <c r="BJ103" s="3">
        <f t="shared" si="72"/>
        <v>3.8499999999999979E-2</v>
      </c>
      <c r="BK103" s="3">
        <f t="shared" si="69"/>
        <v>2.5325581395348844E-2</v>
      </c>
      <c r="BL103" s="3">
        <f t="shared" si="70"/>
        <v>2.1726644245141997E-2</v>
      </c>
      <c r="BM103" s="3">
        <f t="shared" si="49"/>
        <v>3.5989371502068469E-3</v>
      </c>
      <c r="BN103" s="3">
        <v>2.3010000000000002</v>
      </c>
      <c r="BO103" s="3">
        <v>2.3559999999999999</v>
      </c>
      <c r="BP103" s="3">
        <f t="shared" si="50"/>
        <v>-5.4999999999999716E-2</v>
      </c>
      <c r="BQ103" s="3">
        <v>-47960.305999999997</v>
      </c>
      <c r="BR103" s="3">
        <v>-47708.290999999997</v>
      </c>
      <c r="BS103" s="3">
        <f t="shared" si="51"/>
        <v>-252.01499999999942</v>
      </c>
      <c r="BT103" s="3">
        <v>-47973.754999999997</v>
      </c>
      <c r="BU103" s="3">
        <v>-47721.697</v>
      </c>
      <c r="BV103" s="3">
        <f t="shared" si="52"/>
        <v>-252.05799999999726</v>
      </c>
    </row>
    <row r="104" spans="1:74" x14ac:dyDescent="0.25">
      <c r="A104" t="s">
        <v>303</v>
      </c>
      <c r="B104" t="s">
        <v>514</v>
      </c>
      <c r="C104" t="s">
        <v>99</v>
      </c>
      <c r="D104" s="3">
        <v>13.19</v>
      </c>
      <c r="E104" s="3">
        <v>0.69</v>
      </c>
      <c r="F104" s="3">
        <v>-324.85300000000001</v>
      </c>
      <c r="G104" s="3">
        <v>-327.01499999999999</v>
      </c>
      <c r="H104" s="3">
        <f t="shared" si="53"/>
        <v>-2.1619999999999777</v>
      </c>
      <c r="I104" s="3">
        <v>-0.29199999999999998</v>
      </c>
      <c r="J104" s="6">
        <v>-0.20499999999999999</v>
      </c>
      <c r="K104" s="3">
        <f t="shared" si="54"/>
        <v>8.6999999999999994E-2</v>
      </c>
      <c r="L104" s="3">
        <v>0.129</v>
      </c>
      <c r="M104" s="6">
        <v>-0.01</v>
      </c>
      <c r="N104" s="3">
        <f t="shared" si="55"/>
        <v>-0.13900000000000001</v>
      </c>
      <c r="O104" s="3">
        <f t="shared" si="56"/>
        <v>8.1499999999999989E-2</v>
      </c>
      <c r="P104" s="3">
        <f t="shared" si="56"/>
        <v>0.1075</v>
      </c>
      <c r="Q104" s="3">
        <f t="shared" si="57"/>
        <v>2.6000000000000009E-2</v>
      </c>
      <c r="R104" s="3">
        <f t="shared" si="58"/>
        <v>0.42099999999999999</v>
      </c>
      <c r="S104" s="3">
        <f t="shared" si="58"/>
        <v>0.19499999999999998</v>
      </c>
      <c r="T104" s="3">
        <f t="shared" si="59"/>
        <v>-0.22600000000000001</v>
      </c>
      <c r="U104" s="3">
        <f t="shared" si="60"/>
        <v>-8.1499999999999989E-2</v>
      </c>
      <c r="V104" s="3">
        <f t="shared" si="60"/>
        <v>-0.1075</v>
      </c>
      <c r="W104" s="3">
        <f t="shared" si="71"/>
        <v>-2.6000000000000009E-2</v>
      </c>
      <c r="X104" s="3">
        <f t="shared" si="67"/>
        <v>7.8886579572446536E-3</v>
      </c>
      <c r="Y104" s="3">
        <f t="shared" si="68"/>
        <v>2.9631410256410258E-2</v>
      </c>
      <c r="Z104" s="3">
        <f t="shared" si="61"/>
        <v>2.1742752299165606E-2</v>
      </c>
      <c r="AA104" s="3">
        <v>1.577</v>
      </c>
      <c r="AB104" s="3">
        <v>1.806</v>
      </c>
      <c r="AC104" s="3">
        <f t="shared" si="62"/>
        <v>0.22900000000000009</v>
      </c>
      <c r="AD104" s="3">
        <f>-324.692161*627.50956</f>
        <v>-203747.43508455914</v>
      </c>
      <c r="AE104" s="3">
        <f>-326.86236*627.50956</f>
        <v>-205109.25570416159</v>
      </c>
      <c r="AF104" s="3">
        <f t="shared" si="63"/>
        <v>-1361.8206196024548</v>
      </c>
      <c r="AG104" s="3">
        <f>-324.729841*627.50956</f>
        <v>-203771.07964477997</v>
      </c>
      <c r="AH104" s="3">
        <f>-326.903858*627.50956</f>
        <v>-205135.29609588248</v>
      </c>
      <c r="AI104" s="3">
        <f t="shared" si="64"/>
        <v>-1364.2164511025185</v>
      </c>
      <c r="AJ104" s="3">
        <v>-0.82899999999999996</v>
      </c>
      <c r="AK104" s="3">
        <v>-0.79400000000000004</v>
      </c>
      <c r="AL104" s="3">
        <f t="shared" si="65"/>
        <v>3.499999999999992E-2</v>
      </c>
      <c r="AM104" s="3">
        <v>107.15306</v>
      </c>
      <c r="AN104" s="3">
        <v>177.15270000000001</v>
      </c>
      <c r="AO104" s="3">
        <v>184.32570000000001</v>
      </c>
      <c r="AP104" s="3">
        <f t="shared" si="66"/>
        <v>1.1312184114384372</v>
      </c>
      <c r="AQ104" s="3">
        <v>9.2279999999999998</v>
      </c>
      <c r="AR104" s="3">
        <v>2.0263433000000002</v>
      </c>
      <c r="AS104" s="3">
        <v>-132.80099999999999</v>
      </c>
      <c r="AT104" s="3">
        <v>-131.97</v>
      </c>
      <c r="AU104" s="3">
        <f t="shared" si="41"/>
        <v>-0.83099999999998886</v>
      </c>
      <c r="AV104" s="3">
        <v>-0.34100000000000003</v>
      </c>
      <c r="AW104" s="3">
        <v>-0.47499999999999998</v>
      </c>
      <c r="AX104" s="3">
        <f t="shared" si="42"/>
        <v>0.13399999999999995</v>
      </c>
      <c r="AY104" s="3">
        <v>2.9000000000000001E-2</v>
      </c>
      <c r="AZ104" s="3">
        <v>0.156</v>
      </c>
      <c r="BA104" s="3">
        <f t="shared" si="43"/>
        <v>-0.127</v>
      </c>
      <c r="BB104" s="3">
        <f t="shared" si="76"/>
        <v>0.156</v>
      </c>
      <c r="BC104" s="3">
        <f t="shared" si="76"/>
        <v>0.15949999999999998</v>
      </c>
      <c r="BD104" s="3">
        <f t="shared" si="45"/>
        <v>-3.4999999999999754E-3</v>
      </c>
      <c r="BE104" s="3">
        <f t="shared" si="77"/>
        <v>0.37000000000000005</v>
      </c>
      <c r="BF104" s="3">
        <f t="shared" si="77"/>
        <v>0.63100000000000001</v>
      </c>
      <c r="BG104" s="3">
        <f t="shared" si="47"/>
        <v>-0.26099999999999995</v>
      </c>
      <c r="BH104" s="3">
        <f t="shared" si="78"/>
        <v>-0.156</v>
      </c>
      <c r="BI104" s="3">
        <f t="shared" si="78"/>
        <v>-0.15949999999999998</v>
      </c>
      <c r="BJ104" s="3">
        <f t="shared" si="72"/>
        <v>3.4999999999999754E-3</v>
      </c>
      <c r="BK104" s="3">
        <f t="shared" si="69"/>
        <v>3.2886486486486483E-2</v>
      </c>
      <c r="BL104" s="3">
        <f t="shared" si="70"/>
        <v>2.0158676703645E-2</v>
      </c>
      <c r="BM104" s="3">
        <f t="shared" si="49"/>
        <v>1.2727809782841482E-2</v>
      </c>
      <c r="BN104" s="3">
        <v>4.7279999999999998</v>
      </c>
      <c r="BO104" s="3">
        <v>4.9340000000000002</v>
      </c>
      <c r="BP104" s="3">
        <f t="shared" si="50"/>
        <v>-0.20600000000000041</v>
      </c>
      <c r="BQ104" s="3">
        <v>-83302.89</v>
      </c>
      <c r="BR104" s="3">
        <v>-82779.224000000002</v>
      </c>
      <c r="BS104" s="3">
        <f t="shared" si="51"/>
        <v>-523.66599999999744</v>
      </c>
      <c r="BT104" s="3">
        <v>-83320.774999999994</v>
      </c>
      <c r="BU104" s="3">
        <v>-82796.997000000003</v>
      </c>
      <c r="BV104" s="3">
        <f t="shared" si="52"/>
        <v>-523.77799999999115</v>
      </c>
    </row>
    <row r="105" spans="1:74" x14ac:dyDescent="0.25">
      <c r="A105" t="s">
        <v>313</v>
      </c>
      <c r="B105" t="s">
        <v>514</v>
      </c>
      <c r="C105" t="s">
        <v>199</v>
      </c>
      <c r="D105" s="3">
        <v>13.21</v>
      </c>
      <c r="E105" s="3">
        <v>0.54</v>
      </c>
      <c r="F105" s="3">
        <v>-172.14400000000001</v>
      </c>
      <c r="G105" s="3">
        <v>-173.30600000000001</v>
      </c>
      <c r="H105" s="3">
        <f t="shared" si="53"/>
        <v>-1.1620000000000061</v>
      </c>
      <c r="I105" s="3">
        <v>-0.36899999999999999</v>
      </c>
      <c r="J105" s="6">
        <v>-0.245</v>
      </c>
      <c r="K105" s="3">
        <f t="shared" si="54"/>
        <v>0.124</v>
      </c>
      <c r="L105" s="3">
        <v>0.154</v>
      </c>
      <c r="M105" s="6">
        <v>4.0000000000000001E-3</v>
      </c>
      <c r="N105" s="3">
        <f t="shared" si="55"/>
        <v>-0.15</v>
      </c>
      <c r="O105" s="3">
        <f t="shared" si="56"/>
        <v>0.1075</v>
      </c>
      <c r="P105" s="3">
        <f t="shared" si="56"/>
        <v>0.1205</v>
      </c>
      <c r="Q105" s="3">
        <f t="shared" si="57"/>
        <v>1.2999999999999998E-2</v>
      </c>
      <c r="R105" s="3">
        <f t="shared" si="58"/>
        <v>0.52300000000000002</v>
      </c>
      <c r="S105" s="3">
        <f t="shared" si="58"/>
        <v>0.249</v>
      </c>
      <c r="T105" s="3">
        <f t="shared" si="59"/>
        <v>-0.27400000000000002</v>
      </c>
      <c r="U105" s="3">
        <f t="shared" si="60"/>
        <v>-0.1075</v>
      </c>
      <c r="V105" s="3">
        <f t="shared" si="60"/>
        <v>-0.1205</v>
      </c>
      <c r="W105" s="3">
        <f t="shared" si="71"/>
        <v>-1.2999999999999998E-2</v>
      </c>
      <c r="X105" s="3">
        <f t="shared" si="67"/>
        <v>1.104804015296367E-2</v>
      </c>
      <c r="Y105" s="3">
        <f t="shared" si="68"/>
        <v>2.9157128514056222E-2</v>
      </c>
      <c r="Z105" s="3">
        <f t="shared" si="61"/>
        <v>1.8109088361092554E-2</v>
      </c>
      <c r="AA105" s="3">
        <v>1.9419999999999999</v>
      </c>
      <c r="AB105" s="3">
        <v>1.901</v>
      </c>
      <c r="AC105" s="3">
        <f t="shared" si="62"/>
        <v>-4.0999999999999925E-2</v>
      </c>
      <c r="AD105" s="3">
        <f>-172.034477*627.50956</f>
        <v>-107953.27896710012</v>
      </c>
      <c r="AE105" s="3">
        <f>-173.202832*627.50956</f>
        <v>-108686.43289907392</v>
      </c>
      <c r="AF105" s="3">
        <f t="shared" si="63"/>
        <v>-733.15393197379308</v>
      </c>
      <c r="AG105" s="3">
        <f>-172.067635*627.50956</f>
        <v>-107974.08592909059</v>
      </c>
      <c r="AH105" s="3">
        <f>-173.236386*627.50956</f>
        <v>-108707.48835485017</v>
      </c>
      <c r="AI105" s="3">
        <f t="shared" si="64"/>
        <v>-733.40242575957382</v>
      </c>
      <c r="AJ105" s="3">
        <v>-0.85199999999999998</v>
      </c>
      <c r="AK105" s="3">
        <v>-0.84799999999999998</v>
      </c>
      <c r="AL105" s="3">
        <f t="shared" si="65"/>
        <v>4.0000000000000036E-3</v>
      </c>
      <c r="AM105" s="3">
        <v>57.094380000000001</v>
      </c>
      <c r="AN105" s="3">
        <v>127.28261999999999</v>
      </c>
      <c r="AO105" s="3">
        <v>118.51674</v>
      </c>
      <c r="AP105" s="3">
        <f t="shared" si="66"/>
        <v>1.0910347719228377</v>
      </c>
      <c r="AQ105" s="3">
        <v>7.7279999999999998</v>
      </c>
      <c r="AR105" s="3">
        <v>1.52443</v>
      </c>
      <c r="AS105" s="3">
        <v>-76.454999999999998</v>
      </c>
      <c r="AT105" s="3">
        <v>-76.055000000000007</v>
      </c>
      <c r="AU105" s="3">
        <f t="shared" si="41"/>
        <v>-0.39999999999999147</v>
      </c>
      <c r="AV105" s="3">
        <v>-0.30399999999999999</v>
      </c>
      <c r="AW105" s="3">
        <v>-0.505</v>
      </c>
      <c r="AX105" s="3">
        <f t="shared" si="42"/>
        <v>0.20100000000000001</v>
      </c>
      <c r="AY105" s="3">
        <v>0.04</v>
      </c>
      <c r="AZ105" s="3">
        <v>0.16400000000000001</v>
      </c>
      <c r="BA105" s="3">
        <f t="shared" si="43"/>
        <v>-0.124</v>
      </c>
      <c r="BB105" s="3">
        <f t="shared" si="76"/>
        <v>0.13200000000000001</v>
      </c>
      <c r="BC105" s="3">
        <f t="shared" si="76"/>
        <v>0.17049999999999998</v>
      </c>
      <c r="BD105" s="3">
        <f t="shared" si="45"/>
        <v>-3.8499999999999979E-2</v>
      </c>
      <c r="BE105" s="3">
        <f t="shared" si="77"/>
        <v>0.34399999999999997</v>
      </c>
      <c r="BF105" s="3">
        <f t="shared" si="77"/>
        <v>0.66900000000000004</v>
      </c>
      <c r="BG105" s="3">
        <f t="shared" si="47"/>
        <v>-0.32500000000000007</v>
      </c>
      <c r="BH105" s="3">
        <f t="shared" si="78"/>
        <v>-0.13200000000000001</v>
      </c>
      <c r="BI105" s="3">
        <f t="shared" si="78"/>
        <v>-0.17049999999999998</v>
      </c>
      <c r="BJ105" s="3">
        <f t="shared" si="72"/>
        <v>3.8499999999999979E-2</v>
      </c>
      <c r="BK105" s="3">
        <f t="shared" si="69"/>
        <v>2.5325581395348844E-2</v>
      </c>
      <c r="BL105" s="3">
        <f t="shared" si="70"/>
        <v>2.1726644245141997E-2</v>
      </c>
      <c r="BM105" s="3">
        <f t="shared" si="49"/>
        <v>3.5989371502068469E-3</v>
      </c>
      <c r="BN105" s="3">
        <v>2.3010000000000002</v>
      </c>
      <c r="BO105" s="3">
        <v>2.3559999999999999</v>
      </c>
      <c r="BP105" s="3">
        <f t="shared" si="50"/>
        <v>-5.4999999999999716E-2</v>
      </c>
      <c r="BQ105" s="3">
        <v>-47960.305999999997</v>
      </c>
      <c r="BR105" s="3">
        <v>-47708.290999999997</v>
      </c>
      <c r="BS105" s="3">
        <f t="shared" si="51"/>
        <v>-252.01499999999942</v>
      </c>
      <c r="BT105" s="3">
        <v>-47973.754999999997</v>
      </c>
      <c r="BU105" s="3">
        <v>-47721.697</v>
      </c>
      <c r="BV105" s="3">
        <f t="shared" si="52"/>
        <v>-252.05799999999726</v>
      </c>
    </row>
    <row r="106" spans="1:74" x14ac:dyDescent="0.25">
      <c r="A106" t="s">
        <v>315</v>
      </c>
      <c r="B106" t="s">
        <v>514</v>
      </c>
      <c r="C106" t="s">
        <v>99</v>
      </c>
      <c r="D106" s="3">
        <v>13.24</v>
      </c>
      <c r="E106" s="3">
        <v>0.67</v>
      </c>
      <c r="F106" s="3">
        <v>-453.63</v>
      </c>
      <c r="G106" s="3">
        <v>-456.43</v>
      </c>
      <c r="H106" s="3">
        <f t="shared" si="53"/>
        <v>-2.8000000000000114</v>
      </c>
      <c r="I106" s="3">
        <v>-0.35499999999999998</v>
      </c>
      <c r="J106" s="6">
        <v>-0.254</v>
      </c>
      <c r="K106" s="3">
        <f t="shared" si="54"/>
        <v>0.10099999999999998</v>
      </c>
      <c r="L106" s="3">
        <v>0.107</v>
      </c>
      <c r="M106" s="6">
        <v>-4.2999999999999997E-2</v>
      </c>
      <c r="N106" s="3">
        <f t="shared" si="55"/>
        <v>-0.15</v>
      </c>
      <c r="O106" s="3">
        <f t="shared" si="56"/>
        <v>0.124</v>
      </c>
      <c r="P106" s="3">
        <f t="shared" si="56"/>
        <v>0.14849999999999999</v>
      </c>
      <c r="Q106" s="3">
        <f t="shared" si="57"/>
        <v>2.4499999999999994E-2</v>
      </c>
      <c r="R106" s="3">
        <f t="shared" si="58"/>
        <v>0.46199999999999997</v>
      </c>
      <c r="S106" s="3">
        <f t="shared" si="58"/>
        <v>0.21100000000000002</v>
      </c>
      <c r="T106" s="3">
        <f t="shared" si="59"/>
        <v>-0.25099999999999995</v>
      </c>
      <c r="U106" s="3">
        <f t="shared" si="60"/>
        <v>-0.124</v>
      </c>
      <c r="V106" s="3">
        <f t="shared" si="60"/>
        <v>-0.14849999999999999</v>
      </c>
      <c r="W106" s="3">
        <f t="shared" si="71"/>
        <v>-2.4499999999999994E-2</v>
      </c>
      <c r="X106" s="3">
        <f t="shared" si="67"/>
        <v>1.664069264069264E-2</v>
      </c>
      <c r="Y106" s="3">
        <f t="shared" si="68"/>
        <v>5.2256516587677715E-2</v>
      </c>
      <c r="Z106" s="3">
        <f t="shared" si="61"/>
        <v>3.5615823946985078E-2</v>
      </c>
      <c r="AA106" s="3">
        <v>1.2809999999999999</v>
      </c>
      <c r="AB106" s="3">
        <v>0.71199999999999997</v>
      </c>
      <c r="AC106" s="3">
        <f t="shared" si="62"/>
        <v>-0.56899999999999995</v>
      </c>
      <c r="AD106" s="3">
        <f>-453.467209*627.50956</f>
        <v>-284555.00879401807</v>
      </c>
      <c r="AE106" s="3">
        <f>-456.27669*627.50956</f>
        <v>-286317.98498015635</v>
      </c>
      <c r="AF106" s="3">
        <f t="shared" si="63"/>
        <v>-1762.9761861382867</v>
      </c>
      <c r="AG106" s="3">
        <f>-453.510645*627.50956</f>
        <v>-284582.2652992662</v>
      </c>
      <c r="AH106" s="3">
        <f>-456.320701*627.50956</f>
        <v>-286345.60230340151</v>
      </c>
      <c r="AI106" s="3">
        <f t="shared" si="64"/>
        <v>-1763.3370041353046</v>
      </c>
      <c r="AJ106" s="3">
        <v>-0.70299999999999996</v>
      </c>
      <c r="AK106" s="3">
        <v>-0.61099999999999999</v>
      </c>
      <c r="AL106" s="3">
        <f t="shared" si="65"/>
        <v>9.1999999999999971E-2</v>
      </c>
      <c r="AM106" s="3">
        <v>136.15122</v>
      </c>
      <c r="AN106" s="3">
        <v>189.06720000000001</v>
      </c>
      <c r="AO106" s="3">
        <v>199.87379999999999</v>
      </c>
      <c r="AP106" s="3">
        <f t="shared" si="66"/>
        <v>1.1438477705158114</v>
      </c>
      <c r="AQ106" s="3">
        <v>9.7769999999999992</v>
      </c>
      <c r="AR106" s="3">
        <v>2.3911603000000001</v>
      </c>
      <c r="AS106" s="3">
        <v>-132.80099999999999</v>
      </c>
      <c r="AT106" s="3">
        <v>-131.97</v>
      </c>
      <c r="AU106" s="3">
        <f t="shared" si="41"/>
        <v>-0.83099999999998886</v>
      </c>
      <c r="AV106" s="3">
        <v>-0.34100000000000003</v>
      </c>
      <c r="AW106" s="3">
        <v>-0.47499999999999998</v>
      </c>
      <c r="AX106" s="3">
        <f t="shared" si="42"/>
        <v>0.13399999999999995</v>
      </c>
      <c r="AY106" s="3">
        <v>2.9000000000000001E-2</v>
      </c>
      <c r="AZ106" s="3">
        <v>0.156</v>
      </c>
      <c r="BA106" s="3">
        <f t="shared" si="43"/>
        <v>-0.127</v>
      </c>
      <c r="BB106" s="3">
        <f t="shared" si="76"/>
        <v>0.156</v>
      </c>
      <c r="BC106" s="3">
        <f t="shared" si="76"/>
        <v>0.15949999999999998</v>
      </c>
      <c r="BD106" s="3">
        <f t="shared" si="45"/>
        <v>-3.4999999999999754E-3</v>
      </c>
      <c r="BE106" s="3">
        <f t="shared" si="77"/>
        <v>0.37000000000000005</v>
      </c>
      <c r="BF106" s="3">
        <f t="shared" si="77"/>
        <v>0.63100000000000001</v>
      </c>
      <c r="BG106" s="3">
        <f t="shared" si="47"/>
        <v>-0.26099999999999995</v>
      </c>
      <c r="BH106" s="3">
        <f t="shared" si="78"/>
        <v>-0.156</v>
      </c>
      <c r="BI106" s="3">
        <f t="shared" si="78"/>
        <v>-0.15949999999999998</v>
      </c>
      <c r="BJ106" s="3">
        <f t="shared" si="72"/>
        <v>3.4999999999999754E-3</v>
      </c>
      <c r="BK106" s="3">
        <f t="shared" si="69"/>
        <v>3.2886486486486483E-2</v>
      </c>
      <c r="BL106" s="3">
        <f t="shared" si="70"/>
        <v>2.0158676703645E-2</v>
      </c>
      <c r="BM106" s="3">
        <f t="shared" si="49"/>
        <v>1.2727809782841482E-2</v>
      </c>
      <c r="BN106" s="3">
        <v>4.7279999999999998</v>
      </c>
      <c r="BO106" s="3">
        <v>4.9340000000000002</v>
      </c>
      <c r="BP106" s="3">
        <f t="shared" si="50"/>
        <v>-0.20600000000000041</v>
      </c>
      <c r="BQ106" s="3">
        <v>-83302.89</v>
      </c>
      <c r="BR106" s="3">
        <v>-82779.224000000002</v>
      </c>
      <c r="BS106" s="3">
        <f t="shared" si="51"/>
        <v>-523.66599999999744</v>
      </c>
      <c r="BT106" s="3">
        <v>-83320.774999999994</v>
      </c>
      <c r="BU106" s="3">
        <v>-82796.997000000003</v>
      </c>
      <c r="BV106" s="3">
        <f t="shared" si="52"/>
        <v>-523.77799999999115</v>
      </c>
    </row>
    <row r="107" spans="1:74" x14ac:dyDescent="0.25">
      <c r="A107" t="s">
        <v>314</v>
      </c>
      <c r="B107" t="s">
        <v>514</v>
      </c>
      <c r="C107" t="s">
        <v>99</v>
      </c>
      <c r="D107" s="3">
        <v>13.24</v>
      </c>
      <c r="E107" s="3">
        <v>0.93</v>
      </c>
      <c r="F107" s="3">
        <v>-440.18700000000001</v>
      </c>
      <c r="G107" s="3">
        <v>-442.95299999999997</v>
      </c>
      <c r="H107" s="3">
        <f t="shared" si="53"/>
        <v>-2.7659999999999627</v>
      </c>
      <c r="I107" s="3">
        <v>-0.373</v>
      </c>
      <c r="J107" s="6">
        <v>-0.23400000000000001</v>
      </c>
      <c r="K107" s="3">
        <f t="shared" si="54"/>
        <v>0.13899999999999998</v>
      </c>
      <c r="L107" s="3">
        <v>0.159</v>
      </c>
      <c r="M107" s="6">
        <v>4.2999999999999997E-2</v>
      </c>
      <c r="N107" s="3">
        <f t="shared" si="55"/>
        <v>-0.11600000000000001</v>
      </c>
      <c r="O107" s="3">
        <f t="shared" si="56"/>
        <v>0.107</v>
      </c>
      <c r="P107" s="3">
        <f t="shared" si="56"/>
        <v>9.5500000000000002E-2</v>
      </c>
      <c r="Q107" s="3">
        <f t="shared" si="57"/>
        <v>-1.1499999999999996E-2</v>
      </c>
      <c r="R107" s="3">
        <f t="shared" si="58"/>
        <v>0.53200000000000003</v>
      </c>
      <c r="S107" s="3">
        <f t="shared" si="58"/>
        <v>0.27700000000000002</v>
      </c>
      <c r="T107" s="3">
        <f t="shared" si="59"/>
        <v>-0.255</v>
      </c>
      <c r="U107" s="3">
        <f t="shared" si="60"/>
        <v>-0.107</v>
      </c>
      <c r="V107" s="3">
        <f t="shared" si="60"/>
        <v>-9.5500000000000002E-2</v>
      </c>
      <c r="W107" s="3">
        <f t="shared" si="71"/>
        <v>1.1499999999999996E-2</v>
      </c>
      <c r="X107" s="3">
        <f t="shared" si="67"/>
        <v>1.0760338345864661E-2</v>
      </c>
      <c r="Y107" s="3">
        <f t="shared" si="68"/>
        <v>1.6462545126353791E-2</v>
      </c>
      <c r="Z107" s="3">
        <f t="shared" si="61"/>
        <v>5.7022067804891295E-3</v>
      </c>
      <c r="AA107" s="3">
        <v>1.657</v>
      </c>
      <c r="AB107" s="3">
        <v>1.4259999999999999</v>
      </c>
      <c r="AC107" s="3">
        <f t="shared" si="62"/>
        <v>-0.23100000000000009</v>
      </c>
      <c r="AD107" s="3">
        <f>-439.945753*627.50956</f>
        <v>-276070.16588889866</v>
      </c>
      <c r="AE107" s="3">
        <f>-442.726881*627.50956</f>
        <v>-277815.35029648233</v>
      </c>
      <c r="AF107" s="3">
        <f t="shared" si="63"/>
        <v>-1745.1844075836707</v>
      </c>
      <c r="AG107" s="3">
        <f>-439.994714*627.50956</f>
        <v>-276100.88938446582</v>
      </c>
      <c r="AH107" s="3">
        <f>-442.776628*627.50956</f>
        <v>-277846.56701456365</v>
      </c>
      <c r="AI107" s="3">
        <f t="shared" si="64"/>
        <v>-1745.6776300978381</v>
      </c>
      <c r="AJ107" s="3">
        <v>-0.72699999999999998</v>
      </c>
      <c r="AK107" s="3">
        <v>-0.69299999999999995</v>
      </c>
      <c r="AL107" s="3">
        <f t="shared" si="65"/>
        <v>3.400000000000003E-2</v>
      </c>
      <c r="AM107" s="3">
        <v>133.18879999999999</v>
      </c>
      <c r="AN107" s="3">
        <v>225.0515</v>
      </c>
      <c r="AO107" s="3">
        <v>238.24535</v>
      </c>
      <c r="AP107" s="3">
        <f t="shared" si="66"/>
        <v>1.2111229681785043</v>
      </c>
      <c r="AQ107" s="3">
        <v>11.583</v>
      </c>
      <c r="AR107" s="3">
        <v>2.7921985999999999</v>
      </c>
      <c r="AS107" s="3">
        <v>-132.80099999999999</v>
      </c>
      <c r="AT107" s="3">
        <v>-131.97</v>
      </c>
      <c r="AU107" s="3">
        <f t="shared" si="41"/>
        <v>-0.83099999999998886</v>
      </c>
      <c r="AV107" s="3">
        <v>-0.34100000000000003</v>
      </c>
      <c r="AW107" s="3">
        <v>-0.47499999999999998</v>
      </c>
      <c r="AX107" s="3">
        <f t="shared" si="42"/>
        <v>0.13399999999999995</v>
      </c>
      <c r="AY107" s="3">
        <v>2.9000000000000001E-2</v>
      </c>
      <c r="AZ107" s="3">
        <v>0.156</v>
      </c>
      <c r="BA107" s="3">
        <f t="shared" si="43"/>
        <v>-0.127</v>
      </c>
      <c r="BB107" s="3">
        <f t="shared" si="76"/>
        <v>0.156</v>
      </c>
      <c r="BC107" s="3">
        <f t="shared" si="76"/>
        <v>0.15949999999999998</v>
      </c>
      <c r="BD107" s="3">
        <f t="shared" si="45"/>
        <v>-3.4999999999999754E-3</v>
      </c>
      <c r="BE107" s="3">
        <f t="shared" si="77"/>
        <v>0.37000000000000005</v>
      </c>
      <c r="BF107" s="3">
        <f t="shared" si="77"/>
        <v>0.63100000000000001</v>
      </c>
      <c r="BG107" s="3">
        <f t="shared" si="47"/>
        <v>-0.26099999999999995</v>
      </c>
      <c r="BH107" s="3">
        <f t="shared" si="78"/>
        <v>-0.156</v>
      </c>
      <c r="BI107" s="3">
        <f t="shared" si="78"/>
        <v>-0.15949999999999998</v>
      </c>
      <c r="BJ107" s="3">
        <f t="shared" si="72"/>
        <v>3.4999999999999754E-3</v>
      </c>
      <c r="BK107" s="3">
        <f t="shared" si="69"/>
        <v>3.2886486486486483E-2</v>
      </c>
      <c r="BL107" s="3">
        <f t="shared" si="70"/>
        <v>2.0158676703645E-2</v>
      </c>
      <c r="BM107" s="3">
        <f t="shared" si="49"/>
        <v>1.2727809782841482E-2</v>
      </c>
      <c r="BN107" s="3">
        <v>4.7279999999999998</v>
      </c>
      <c r="BO107" s="3">
        <v>4.9340000000000002</v>
      </c>
      <c r="BP107" s="3">
        <f t="shared" si="50"/>
        <v>-0.20600000000000041</v>
      </c>
      <c r="BQ107" s="3">
        <v>-83302.89</v>
      </c>
      <c r="BR107" s="3">
        <v>-82779.224000000002</v>
      </c>
      <c r="BS107" s="3">
        <f t="shared" si="51"/>
        <v>-523.66599999999744</v>
      </c>
      <c r="BT107" s="3">
        <v>-83320.774999999994</v>
      </c>
      <c r="BU107" s="3">
        <v>-82796.997000000003</v>
      </c>
      <c r="BV107" s="3">
        <f t="shared" si="52"/>
        <v>-523.77799999999115</v>
      </c>
    </row>
    <row r="108" spans="1:74" x14ac:dyDescent="0.25">
      <c r="A108" t="s">
        <v>316</v>
      </c>
      <c r="B108" t="s">
        <v>514</v>
      </c>
      <c r="C108" t="s">
        <v>199</v>
      </c>
      <c r="D108" s="3">
        <v>13.26</v>
      </c>
      <c r="E108" s="3">
        <v>0.57999999999999996</v>
      </c>
      <c r="F108" s="3">
        <v>-321.483</v>
      </c>
      <c r="G108" s="3">
        <v>-323.36900000000003</v>
      </c>
      <c r="H108" s="3">
        <f t="shared" si="53"/>
        <v>-1.8860000000000241</v>
      </c>
      <c r="I108" s="3">
        <v>-0.36399999999999999</v>
      </c>
      <c r="J108" s="6">
        <v>-0.2</v>
      </c>
      <c r="K108" s="3">
        <f t="shared" si="54"/>
        <v>0.16399999999999998</v>
      </c>
      <c r="L108" s="3">
        <v>0.16900000000000001</v>
      </c>
      <c r="M108" s="6">
        <v>5.1999999999999998E-2</v>
      </c>
      <c r="N108" s="3">
        <f t="shared" si="55"/>
        <v>-0.11700000000000002</v>
      </c>
      <c r="O108" s="3">
        <f t="shared" si="56"/>
        <v>9.7499999999999989E-2</v>
      </c>
      <c r="P108" s="3">
        <f t="shared" si="56"/>
        <v>7.400000000000001E-2</v>
      </c>
      <c r="Q108" s="3">
        <f t="shared" si="57"/>
        <v>-2.3499999999999979E-2</v>
      </c>
      <c r="R108" s="3">
        <f t="shared" si="58"/>
        <v>0.53300000000000003</v>
      </c>
      <c r="S108" s="3">
        <f t="shared" si="58"/>
        <v>0.252</v>
      </c>
      <c r="T108" s="3">
        <f t="shared" si="59"/>
        <v>-0.28100000000000003</v>
      </c>
      <c r="U108" s="3">
        <f t="shared" si="60"/>
        <v>-9.7499999999999989E-2</v>
      </c>
      <c r="V108" s="3">
        <f t="shared" si="60"/>
        <v>-7.400000000000001E-2</v>
      </c>
      <c r="W108" s="3">
        <f t="shared" si="71"/>
        <v>2.3499999999999979E-2</v>
      </c>
      <c r="X108" s="3">
        <f t="shared" si="67"/>
        <v>8.9176829268292658E-3</v>
      </c>
      <c r="Y108" s="3">
        <f t="shared" si="68"/>
        <v>1.0865079365079369E-2</v>
      </c>
      <c r="Z108" s="3">
        <f t="shared" si="61"/>
        <v>1.9473964382501034E-3</v>
      </c>
      <c r="AA108" s="3">
        <v>9.7029999999999994</v>
      </c>
      <c r="AB108" s="3">
        <v>9.1340000000000003</v>
      </c>
      <c r="AC108" s="3">
        <f t="shared" si="62"/>
        <v>-0.56899999999999906</v>
      </c>
      <c r="AD108" s="3">
        <f>-321.37385*627.50956</f>
        <v>-201665.16320900599</v>
      </c>
      <c r="AE108" s="3">
        <f>-323.26662*627.50956</f>
        <v>-202852.89447888717</v>
      </c>
      <c r="AF108" s="3">
        <f t="shared" si="63"/>
        <v>-1187.7312698811875</v>
      </c>
      <c r="AG108" s="3">
        <f>-321.411929*627.50956</f>
        <v>-201689.05814554123</v>
      </c>
      <c r="AH108" s="3">
        <f>-323.305773*627.50956</f>
        <v>-202877.46336068987</v>
      </c>
      <c r="AI108" s="3">
        <f t="shared" si="64"/>
        <v>-1188.4052151486394</v>
      </c>
      <c r="AJ108" s="3">
        <v>-0.86099999999999999</v>
      </c>
      <c r="AK108" s="3">
        <v>-0.85899999999999999</v>
      </c>
      <c r="AL108" s="3">
        <f t="shared" si="65"/>
        <v>2.0000000000000018E-3</v>
      </c>
      <c r="AM108" s="3">
        <v>88.085239999999999</v>
      </c>
      <c r="AN108" s="3">
        <v>138.42275000000001</v>
      </c>
      <c r="AO108" s="3">
        <v>132.75344999999999</v>
      </c>
      <c r="AP108" s="3">
        <f t="shared" si="66"/>
        <v>1.1001018097492112</v>
      </c>
      <c r="AQ108" s="3">
        <v>8.4120000000000008</v>
      </c>
      <c r="AR108" s="3">
        <v>1.9011816100000001</v>
      </c>
      <c r="AS108" s="3">
        <v>-76.454999999999998</v>
      </c>
      <c r="AT108" s="3">
        <v>-76.055000000000007</v>
      </c>
      <c r="AU108" s="3">
        <f t="shared" si="41"/>
        <v>-0.39999999999999147</v>
      </c>
      <c r="AV108" s="3">
        <v>-0.30399999999999999</v>
      </c>
      <c r="AW108" s="3">
        <v>-0.505</v>
      </c>
      <c r="AX108" s="3">
        <f t="shared" si="42"/>
        <v>0.20100000000000001</v>
      </c>
      <c r="AY108" s="3">
        <v>0.04</v>
      </c>
      <c r="AZ108" s="3">
        <v>0.16400000000000001</v>
      </c>
      <c r="BA108" s="3">
        <f t="shared" si="43"/>
        <v>-0.124</v>
      </c>
      <c r="BB108" s="3">
        <f t="shared" si="76"/>
        <v>0.13200000000000001</v>
      </c>
      <c r="BC108" s="3">
        <f t="shared" si="76"/>
        <v>0.17049999999999998</v>
      </c>
      <c r="BD108" s="3">
        <f t="shared" si="45"/>
        <v>-3.8499999999999979E-2</v>
      </c>
      <c r="BE108" s="3">
        <f t="shared" si="77"/>
        <v>0.34399999999999997</v>
      </c>
      <c r="BF108" s="3">
        <f t="shared" si="77"/>
        <v>0.66900000000000004</v>
      </c>
      <c r="BG108" s="3">
        <f t="shared" si="47"/>
        <v>-0.32500000000000007</v>
      </c>
      <c r="BH108" s="3">
        <f t="shared" si="78"/>
        <v>-0.13200000000000001</v>
      </c>
      <c r="BI108" s="3">
        <f t="shared" si="78"/>
        <v>-0.17049999999999998</v>
      </c>
      <c r="BJ108" s="3">
        <f t="shared" si="72"/>
        <v>3.8499999999999979E-2</v>
      </c>
      <c r="BK108" s="3">
        <f t="shared" si="69"/>
        <v>2.5325581395348844E-2</v>
      </c>
      <c r="BL108" s="3">
        <f t="shared" si="70"/>
        <v>2.1726644245141997E-2</v>
      </c>
      <c r="BM108" s="3">
        <f t="shared" si="49"/>
        <v>3.5989371502068469E-3</v>
      </c>
      <c r="BN108" s="3">
        <v>2.3010000000000002</v>
      </c>
      <c r="BO108" s="3">
        <v>2.3559999999999999</v>
      </c>
      <c r="BP108" s="3">
        <f t="shared" si="50"/>
        <v>-5.4999999999999716E-2</v>
      </c>
      <c r="BQ108" s="3">
        <v>-47960.305999999997</v>
      </c>
      <c r="BR108" s="3">
        <v>-47708.290999999997</v>
      </c>
      <c r="BS108" s="3">
        <f t="shared" si="51"/>
        <v>-252.01499999999942</v>
      </c>
      <c r="BT108" s="3">
        <v>-47973.754999999997</v>
      </c>
      <c r="BU108" s="3">
        <v>-47721.697</v>
      </c>
      <c r="BV108" s="3">
        <f t="shared" si="52"/>
        <v>-252.05799999999726</v>
      </c>
    </row>
    <row r="109" spans="1:74" x14ac:dyDescent="0.25">
      <c r="A109" t="s">
        <v>317</v>
      </c>
      <c r="B109" t="s">
        <v>514</v>
      </c>
      <c r="C109" t="s">
        <v>199</v>
      </c>
      <c r="D109" s="3">
        <v>13.28</v>
      </c>
      <c r="E109" s="3">
        <v>0.57999999999999996</v>
      </c>
      <c r="F109" s="3">
        <v>-189.33600000000001</v>
      </c>
      <c r="G109" s="3">
        <v>-190.584</v>
      </c>
      <c r="H109" s="3">
        <f t="shared" si="53"/>
        <v>-1.2479999999999905</v>
      </c>
      <c r="I109" s="3">
        <v>-0.38900000000000001</v>
      </c>
      <c r="J109" s="6">
        <v>-0.24</v>
      </c>
      <c r="K109" s="3">
        <f t="shared" si="54"/>
        <v>0.14900000000000002</v>
      </c>
      <c r="L109" s="3">
        <v>0.16300000000000001</v>
      </c>
      <c r="M109" s="6">
        <v>4.4999999999999998E-2</v>
      </c>
      <c r="N109" s="3">
        <f t="shared" si="55"/>
        <v>-0.11800000000000001</v>
      </c>
      <c r="O109" s="3">
        <f t="shared" si="56"/>
        <v>0.113</v>
      </c>
      <c r="P109" s="3">
        <f t="shared" si="56"/>
        <v>9.7500000000000003E-2</v>
      </c>
      <c r="Q109" s="3">
        <f t="shared" si="57"/>
        <v>-1.55E-2</v>
      </c>
      <c r="R109" s="3">
        <f t="shared" si="58"/>
        <v>0.55200000000000005</v>
      </c>
      <c r="S109" s="3">
        <f t="shared" si="58"/>
        <v>0.28499999999999998</v>
      </c>
      <c r="T109" s="3">
        <f t="shared" si="59"/>
        <v>-0.26700000000000007</v>
      </c>
      <c r="U109" s="3">
        <f t="shared" si="60"/>
        <v>-0.113</v>
      </c>
      <c r="V109" s="3">
        <f t="shared" si="60"/>
        <v>-9.7500000000000003E-2</v>
      </c>
      <c r="W109" s="3">
        <f t="shared" si="71"/>
        <v>1.55E-2</v>
      </c>
      <c r="X109" s="3">
        <f t="shared" si="67"/>
        <v>1.1566123188405797E-2</v>
      </c>
      <c r="Y109" s="3">
        <f t="shared" si="68"/>
        <v>1.6677631578947371E-2</v>
      </c>
      <c r="Z109" s="3">
        <f t="shared" si="61"/>
        <v>5.1115083905415738E-3</v>
      </c>
      <c r="AA109" s="3">
        <v>2.585</v>
      </c>
      <c r="AB109" s="3">
        <v>2.548</v>
      </c>
      <c r="AC109" s="3">
        <f t="shared" si="62"/>
        <v>-3.6999999999999922E-2</v>
      </c>
      <c r="AD109" s="3">
        <f>-189.211716*627.50956</f>
        <v>-118732.16065400495</v>
      </c>
      <c r="AE109" s="3">
        <f>-190.467057*627.50956</f>
        <v>-119519.89913256493</v>
      </c>
      <c r="AF109" s="3">
        <f t="shared" si="63"/>
        <v>-787.73847855997155</v>
      </c>
      <c r="AG109" s="3">
        <f>-189.244838*627.50956</f>
        <v>-118752.94502565126</v>
      </c>
      <c r="AH109" s="3">
        <f>-190.500734*627.50956</f>
        <v>-119541.03177201703</v>
      </c>
      <c r="AI109" s="3">
        <f t="shared" si="64"/>
        <v>-788.08674636576325</v>
      </c>
      <c r="AJ109" s="3">
        <v>-0.86</v>
      </c>
      <c r="AK109" s="3">
        <v>-0.85599999999999998</v>
      </c>
      <c r="AL109" s="3">
        <f t="shared" si="65"/>
        <v>4.0000000000000036E-3</v>
      </c>
      <c r="AM109" s="3">
        <v>60.098320000000001</v>
      </c>
      <c r="AN109" s="3">
        <v>128.05439000000001</v>
      </c>
      <c r="AO109" s="3">
        <v>120.8112</v>
      </c>
      <c r="AP109" s="3">
        <f t="shared" si="66"/>
        <v>1.0837080264669661</v>
      </c>
      <c r="AQ109" s="3">
        <v>7.7249999999999996</v>
      </c>
      <c r="AR109" s="3">
        <v>1.5658209999999999</v>
      </c>
      <c r="AS109" s="3">
        <v>-76.454999999999998</v>
      </c>
      <c r="AT109" s="3">
        <v>-76.055000000000007</v>
      </c>
      <c r="AU109" s="3">
        <f t="shared" si="41"/>
        <v>-0.39999999999999147</v>
      </c>
      <c r="AV109" s="3">
        <v>-0.30399999999999999</v>
      </c>
      <c r="AW109" s="3">
        <v>-0.505</v>
      </c>
      <c r="AX109" s="3">
        <f t="shared" si="42"/>
        <v>0.20100000000000001</v>
      </c>
      <c r="AY109" s="3">
        <v>0.04</v>
      </c>
      <c r="AZ109" s="3">
        <v>0.16400000000000001</v>
      </c>
      <c r="BA109" s="3">
        <f t="shared" si="43"/>
        <v>-0.124</v>
      </c>
      <c r="BB109" s="3">
        <f t="shared" si="76"/>
        <v>0.13200000000000001</v>
      </c>
      <c r="BC109" s="3">
        <f t="shared" si="76"/>
        <v>0.17049999999999998</v>
      </c>
      <c r="BD109" s="3">
        <f t="shared" si="45"/>
        <v>-3.8499999999999979E-2</v>
      </c>
      <c r="BE109" s="3">
        <f t="shared" si="77"/>
        <v>0.34399999999999997</v>
      </c>
      <c r="BF109" s="3">
        <f t="shared" si="77"/>
        <v>0.66900000000000004</v>
      </c>
      <c r="BG109" s="3">
        <f t="shared" si="47"/>
        <v>-0.32500000000000007</v>
      </c>
      <c r="BH109" s="3">
        <f t="shared" si="78"/>
        <v>-0.13200000000000001</v>
      </c>
      <c r="BI109" s="3">
        <f t="shared" si="78"/>
        <v>-0.17049999999999998</v>
      </c>
      <c r="BJ109" s="3">
        <f t="shared" si="72"/>
        <v>3.8499999999999979E-2</v>
      </c>
      <c r="BK109" s="3">
        <f t="shared" si="69"/>
        <v>2.5325581395348844E-2</v>
      </c>
      <c r="BL109" s="3">
        <f t="shared" si="70"/>
        <v>2.1726644245141997E-2</v>
      </c>
      <c r="BM109" s="3">
        <f t="shared" si="49"/>
        <v>3.5989371502068469E-3</v>
      </c>
      <c r="BN109" s="3">
        <v>2.3010000000000002</v>
      </c>
      <c r="BO109" s="3">
        <v>2.3559999999999999</v>
      </c>
      <c r="BP109" s="3">
        <f t="shared" si="50"/>
        <v>-5.4999999999999716E-2</v>
      </c>
      <c r="BQ109" s="3">
        <v>-47960.305999999997</v>
      </c>
      <c r="BR109" s="3">
        <v>-47708.290999999997</v>
      </c>
      <c r="BS109" s="3">
        <f t="shared" si="51"/>
        <v>-252.01499999999942</v>
      </c>
      <c r="BT109" s="3">
        <v>-47973.754999999997</v>
      </c>
      <c r="BU109" s="3">
        <v>-47721.697</v>
      </c>
      <c r="BV109" s="3">
        <f t="shared" si="52"/>
        <v>-252.05799999999726</v>
      </c>
    </row>
    <row r="110" spans="1:74" x14ac:dyDescent="0.25">
      <c r="A110" t="s">
        <v>318</v>
      </c>
      <c r="B110" t="s">
        <v>514</v>
      </c>
      <c r="C110" t="s">
        <v>199</v>
      </c>
      <c r="D110" s="3">
        <v>13.33</v>
      </c>
      <c r="E110" s="3">
        <v>0.56000000000000005</v>
      </c>
      <c r="F110" s="3">
        <v>-173.33799999999999</v>
      </c>
      <c r="G110" s="3">
        <v>-174.54499999999999</v>
      </c>
      <c r="H110" s="3">
        <f t="shared" si="53"/>
        <v>-1.2069999999999936</v>
      </c>
      <c r="I110" s="3">
        <v>-0.39100000000000001</v>
      </c>
      <c r="J110" s="6">
        <v>-0.24199999999999999</v>
      </c>
      <c r="K110" s="3">
        <f t="shared" si="54"/>
        <v>0.14900000000000002</v>
      </c>
      <c r="L110" s="3">
        <v>0.16200000000000001</v>
      </c>
      <c r="M110" s="6">
        <v>4.5999999999999999E-2</v>
      </c>
      <c r="N110" s="3">
        <f t="shared" si="55"/>
        <v>-0.11600000000000001</v>
      </c>
      <c r="O110" s="3">
        <f t="shared" si="56"/>
        <v>0.1145</v>
      </c>
      <c r="P110" s="3">
        <f t="shared" si="56"/>
        <v>9.8000000000000004E-2</v>
      </c>
      <c r="Q110" s="3">
        <f t="shared" si="57"/>
        <v>-1.6500000000000001E-2</v>
      </c>
      <c r="R110" s="3">
        <f t="shared" si="58"/>
        <v>0.55300000000000005</v>
      </c>
      <c r="S110" s="3">
        <f t="shared" si="58"/>
        <v>0.28799999999999998</v>
      </c>
      <c r="T110" s="3">
        <f t="shared" si="59"/>
        <v>-0.26500000000000007</v>
      </c>
      <c r="U110" s="3">
        <f t="shared" si="60"/>
        <v>-0.1145</v>
      </c>
      <c r="V110" s="3">
        <f t="shared" si="60"/>
        <v>-9.8000000000000004E-2</v>
      </c>
      <c r="W110" s="3">
        <f t="shared" si="71"/>
        <v>1.6500000000000001E-2</v>
      </c>
      <c r="X110" s="3">
        <f t="shared" si="67"/>
        <v>1.1853752260397829E-2</v>
      </c>
      <c r="Y110" s="3">
        <f t="shared" si="68"/>
        <v>1.6673611111111115E-2</v>
      </c>
      <c r="Z110" s="3">
        <f t="shared" si="61"/>
        <v>4.8198588507132861E-3</v>
      </c>
      <c r="AA110" s="3">
        <v>1.694</v>
      </c>
      <c r="AB110" s="3">
        <v>1.659</v>
      </c>
      <c r="AC110" s="3">
        <f t="shared" si="62"/>
        <v>-3.499999999999992E-2</v>
      </c>
      <c r="AD110" s="3">
        <f>-173.203336*627.50956</f>
        <v>-108686.74916389216</v>
      </c>
      <c r="AE110" s="3">
        <f>-174.417409*627.50956</f>
        <v>-109448.59157793003</v>
      </c>
      <c r="AF110" s="3">
        <f t="shared" si="63"/>
        <v>-761.84241403786291</v>
      </c>
      <c r="AG110" s="3">
        <f>-173.237408*627.50956</f>
        <v>-108708.12966962047</v>
      </c>
      <c r="AH110" s="3">
        <f>-174.451912*627.50956</f>
        <v>-109470.2425402787</v>
      </c>
      <c r="AI110" s="3">
        <f t="shared" si="64"/>
        <v>-762.11287065823853</v>
      </c>
      <c r="AJ110" s="3">
        <v>-0.85799999999999998</v>
      </c>
      <c r="AK110" s="3">
        <v>-0.85499999999999998</v>
      </c>
      <c r="AL110" s="3">
        <f t="shared" si="65"/>
        <v>3.0000000000000027E-3</v>
      </c>
      <c r="AM110" s="3">
        <v>59.110259999999997</v>
      </c>
      <c r="AN110" s="3">
        <v>134.69579999999999</v>
      </c>
      <c r="AO110" s="3">
        <v>130.02252999999999</v>
      </c>
      <c r="AP110" s="3">
        <f t="shared" si="66"/>
        <v>1.0854194414994509</v>
      </c>
      <c r="AQ110" s="3">
        <v>7.8849999999999998</v>
      </c>
      <c r="AR110" s="3">
        <v>1.6009928099999999</v>
      </c>
      <c r="AS110" s="3">
        <v>-76.454999999999998</v>
      </c>
      <c r="AT110" s="3">
        <v>-76.055000000000007</v>
      </c>
      <c r="AU110" s="3">
        <f t="shared" si="41"/>
        <v>-0.39999999999999147</v>
      </c>
      <c r="AV110" s="3">
        <v>-0.30399999999999999</v>
      </c>
      <c r="AW110" s="3">
        <v>-0.505</v>
      </c>
      <c r="AX110" s="3">
        <f t="shared" si="42"/>
        <v>0.20100000000000001</v>
      </c>
      <c r="AY110" s="3">
        <v>0.04</v>
      </c>
      <c r="AZ110" s="3">
        <v>0.16400000000000001</v>
      </c>
      <c r="BA110" s="3">
        <f t="shared" si="43"/>
        <v>-0.124</v>
      </c>
      <c r="BB110" s="3">
        <f t="shared" si="76"/>
        <v>0.13200000000000001</v>
      </c>
      <c r="BC110" s="3">
        <f t="shared" si="76"/>
        <v>0.17049999999999998</v>
      </c>
      <c r="BD110" s="3">
        <f t="shared" si="45"/>
        <v>-3.8499999999999979E-2</v>
      </c>
      <c r="BE110" s="3">
        <f t="shared" si="77"/>
        <v>0.34399999999999997</v>
      </c>
      <c r="BF110" s="3">
        <f t="shared" si="77"/>
        <v>0.66900000000000004</v>
      </c>
      <c r="BG110" s="3">
        <f t="shared" si="47"/>
        <v>-0.32500000000000007</v>
      </c>
      <c r="BH110" s="3">
        <f t="shared" si="78"/>
        <v>-0.13200000000000001</v>
      </c>
      <c r="BI110" s="3">
        <f t="shared" si="78"/>
        <v>-0.17049999999999998</v>
      </c>
      <c r="BJ110" s="3">
        <f t="shared" si="72"/>
        <v>3.8499999999999979E-2</v>
      </c>
      <c r="BK110" s="3">
        <f t="shared" si="69"/>
        <v>2.5325581395348844E-2</v>
      </c>
      <c r="BL110" s="3">
        <f t="shared" si="70"/>
        <v>2.1726644245141997E-2</v>
      </c>
      <c r="BM110" s="3">
        <f t="shared" si="49"/>
        <v>3.5989371502068469E-3</v>
      </c>
      <c r="BN110" s="3">
        <v>2.3010000000000002</v>
      </c>
      <c r="BO110" s="3">
        <v>2.3559999999999999</v>
      </c>
      <c r="BP110" s="3">
        <f t="shared" si="50"/>
        <v>-5.4999999999999716E-2</v>
      </c>
      <c r="BQ110" s="3">
        <v>-47960.305999999997</v>
      </c>
      <c r="BR110" s="3">
        <v>-47708.290999999997</v>
      </c>
      <c r="BS110" s="3">
        <f t="shared" si="51"/>
        <v>-252.01499999999942</v>
      </c>
      <c r="BT110" s="3">
        <v>-47973.754999999997</v>
      </c>
      <c r="BU110" s="3">
        <v>-47721.697</v>
      </c>
      <c r="BV110" s="3">
        <f t="shared" si="52"/>
        <v>-252.05799999999726</v>
      </c>
    </row>
    <row r="111" spans="1:74" x14ac:dyDescent="0.25">
      <c r="A111" t="s">
        <v>319</v>
      </c>
      <c r="B111" t="s">
        <v>514</v>
      </c>
      <c r="C111" t="s">
        <v>199</v>
      </c>
      <c r="D111" s="3">
        <v>13.4</v>
      </c>
      <c r="E111" s="3">
        <v>0.56999999999999995</v>
      </c>
      <c r="F111" s="3">
        <v>-363.89</v>
      </c>
      <c r="G111" s="3">
        <v>-366.327</v>
      </c>
      <c r="H111" s="3">
        <f t="shared" si="53"/>
        <v>-2.4370000000000118</v>
      </c>
      <c r="I111" s="3">
        <v>-0.33</v>
      </c>
      <c r="J111" s="6">
        <v>-0.24399999999999999</v>
      </c>
      <c r="K111" s="3">
        <f t="shared" si="54"/>
        <v>8.6000000000000021E-2</v>
      </c>
      <c r="L111" s="3">
        <v>0.13</v>
      </c>
      <c r="M111" s="6">
        <v>-1.2999999999999999E-2</v>
      </c>
      <c r="N111" s="3">
        <f t="shared" si="55"/>
        <v>-0.14300000000000002</v>
      </c>
      <c r="O111" s="3">
        <f t="shared" si="56"/>
        <v>0.1</v>
      </c>
      <c r="P111" s="3">
        <f t="shared" si="56"/>
        <v>0.1285</v>
      </c>
      <c r="Q111" s="3">
        <f t="shared" si="57"/>
        <v>2.8499999999999998E-2</v>
      </c>
      <c r="R111" s="3">
        <f t="shared" si="58"/>
        <v>0.46</v>
      </c>
      <c r="S111" s="3">
        <f t="shared" si="58"/>
        <v>0.23099999999999998</v>
      </c>
      <c r="T111" s="3">
        <f t="shared" si="59"/>
        <v>-0.22900000000000004</v>
      </c>
      <c r="U111" s="3">
        <f t="shared" si="60"/>
        <v>-0.1</v>
      </c>
      <c r="V111" s="3">
        <f t="shared" si="60"/>
        <v>-0.1285</v>
      </c>
      <c r="W111" s="3">
        <f t="shared" si="71"/>
        <v>-2.8499999999999998E-2</v>
      </c>
      <c r="X111" s="3">
        <f t="shared" si="67"/>
        <v>1.0869565217391306E-2</v>
      </c>
      <c r="Y111" s="3">
        <f t="shared" si="68"/>
        <v>3.5740800865800865E-2</v>
      </c>
      <c r="Z111" s="3">
        <f t="shared" si="61"/>
        <v>2.4871235648409561E-2</v>
      </c>
      <c r="AA111" s="3">
        <v>1.6970000000000001</v>
      </c>
      <c r="AB111" s="3">
        <v>1.6910000000000001</v>
      </c>
      <c r="AC111" s="3">
        <f t="shared" si="62"/>
        <v>-6.0000000000000053E-3</v>
      </c>
      <c r="AD111" s="3">
        <f>-363.695223*627.50956</f>
        <v>-228222.22935883186</v>
      </c>
      <c r="AE111" s="3">
        <f>-366.143672*627.50956</f>
        <v>-229758.6545135043</v>
      </c>
      <c r="AF111" s="3">
        <f t="shared" si="63"/>
        <v>-1536.4251546724408</v>
      </c>
      <c r="AG111" s="3">
        <f>-363.737895*627.50956</f>
        <v>-228249.00644677618</v>
      </c>
      <c r="AH111" s="3">
        <f>-366.187102*627.50956</f>
        <v>-229785.9072536951</v>
      </c>
      <c r="AI111" s="3">
        <f t="shared" si="64"/>
        <v>-1536.9008069189149</v>
      </c>
      <c r="AJ111" s="3">
        <v>-0.85799999999999998</v>
      </c>
      <c r="AK111" s="3">
        <v>-0.85399999999999998</v>
      </c>
      <c r="AL111" s="3">
        <f t="shared" si="65"/>
        <v>4.0000000000000036E-3</v>
      </c>
      <c r="AM111" s="3">
        <v>121.17959999999999</v>
      </c>
      <c r="AN111" s="3">
        <v>199.23099999999999</v>
      </c>
      <c r="AO111" s="3">
        <v>212.70959999999999</v>
      </c>
      <c r="AP111" s="3">
        <f t="shared" si="66"/>
        <v>1.1563468933115391</v>
      </c>
      <c r="AQ111" s="3">
        <v>10.554</v>
      </c>
      <c r="AR111" s="3">
        <v>2.3838180000000002</v>
      </c>
      <c r="AS111" s="3">
        <v>-76.454999999999998</v>
      </c>
      <c r="AT111" s="3">
        <v>-76.055000000000007</v>
      </c>
      <c r="AU111" s="3">
        <f t="shared" si="41"/>
        <v>-0.39999999999999147</v>
      </c>
      <c r="AV111" s="3">
        <v>-0.30399999999999999</v>
      </c>
      <c r="AW111" s="3">
        <v>-0.505</v>
      </c>
      <c r="AX111" s="3">
        <f t="shared" si="42"/>
        <v>0.20100000000000001</v>
      </c>
      <c r="AY111" s="3">
        <v>0.04</v>
      </c>
      <c r="AZ111" s="3">
        <v>0.16400000000000001</v>
      </c>
      <c r="BA111" s="3">
        <f t="shared" si="43"/>
        <v>-0.124</v>
      </c>
      <c r="BB111" s="3">
        <f t="shared" si="76"/>
        <v>0.13200000000000001</v>
      </c>
      <c r="BC111" s="3">
        <f t="shared" si="76"/>
        <v>0.17049999999999998</v>
      </c>
      <c r="BD111" s="3">
        <f t="shared" si="45"/>
        <v>-3.8499999999999979E-2</v>
      </c>
      <c r="BE111" s="3">
        <f t="shared" si="77"/>
        <v>0.34399999999999997</v>
      </c>
      <c r="BF111" s="3">
        <f t="shared" si="77"/>
        <v>0.66900000000000004</v>
      </c>
      <c r="BG111" s="3">
        <f t="shared" si="47"/>
        <v>-0.32500000000000007</v>
      </c>
      <c r="BH111" s="3">
        <f t="shared" si="78"/>
        <v>-0.13200000000000001</v>
      </c>
      <c r="BI111" s="3">
        <f t="shared" si="78"/>
        <v>-0.17049999999999998</v>
      </c>
      <c r="BJ111" s="3">
        <f t="shared" si="72"/>
        <v>3.8499999999999979E-2</v>
      </c>
      <c r="BK111" s="3">
        <f t="shared" si="69"/>
        <v>2.5325581395348844E-2</v>
      </c>
      <c r="BL111" s="3">
        <f t="shared" si="70"/>
        <v>2.1726644245141997E-2</v>
      </c>
      <c r="BM111" s="3">
        <f t="shared" si="49"/>
        <v>3.5989371502068469E-3</v>
      </c>
      <c r="BN111" s="3">
        <v>2.3010000000000002</v>
      </c>
      <c r="BO111" s="3">
        <v>2.3559999999999999</v>
      </c>
      <c r="BP111" s="3">
        <f t="shared" si="50"/>
        <v>-5.4999999999999716E-2</v>
      </c>
      <c r="BQ111" s="3">
        <v>-47960.305999999997</v>
      </c>
      <c r="BR111" s="3">
        <v>-47708.290999999997</v>
      </c>
      <c r="BS111" s="3">
        <f t="shared" si="51"/>
        <v>-252.01499999999942</v>
      </c>
      <c r="BT111" s="3">
        <v>-47973.754999999997</v>
      </c>
      <c r="BU111" s="3">
        <v>-47721.697</v>
      </c>
      <c r="BV111" s="3">
        <f t="shared" si="52"/>
        <v>-252.05799999999726</v>
      </c>
    </row>
    <row r="112" spans="1:74" x14ac:dyDescent="0.25">
      <c r="A112" t="s">
        <v>320</v>
      </c>
      <c r="B112" t="s">
        <v>514</v>
      </c>
      <c r="C112" t="s">
        <v>99</v>
      </c>
      <c r="D112" s="3">
        <v>13.42</v>
      </c>
      <c r="E112" s="3">
        <v>0.73</v>
      </c>
      <c r="F112" s="3">
        <v>-399.71499999999997</v>
      </c>
      <c r="G112" s="3">
        <v>-402.23700000000002</v>
      </c>
      <c r="H112" s="3">
        <f t="shared" si="53"/>
        <v>-2.5220000000000482</v>
      </c>
      <c r="I112" s="3">
        <v>-0.29499999999999998</v>
      </c>
      <c r="J112" s="6">
        <v>-0.20699999999999999</v>
      </c>
      <c r="K112" s="3">
        <f t="shared" si="54"/>
        <v>8.7999999999999995E-2</v>
      </c>
      <c r="L112" s="3">
        <v>0.125</v>
      </c>
      <c r="M112" s="6">
        <v>-1.4999999999999999E-2</v>
      </c>
      <c r="N112" s="3">
        <f t="shared" si="55"/>
        <v>-0.14000000000000001</v>
      </c>
      <c r="O112" s="3">
        <f t="shared" si="56"/>
        <v>8.4999999999999992E-2</v>
      </c>
      <c r="P112" s="3">
        <f t="shared" si="56"/>
        <v>0.11099999999999999</v>
      </c>
      <c r="Q112" s="3">
        <f t="shared" si="57"/>
        <v>2.5999999999999995E-2</v>
      </c>
      <c r="R112" s="3">
        <f t="shared" si="58"/>
        <v>0.42</v>
      </c>
      <c r="S112" s="3">
        <f t="shared" si="58"/>
        <v>0.192</v>
      </c>
      <c r="T112" s="3">
        <f t="shared" si="59"/>
        <v>-0.22799999999999998</v>
      </c>
      <c r="U112" s="3">
        <f t="shared" si="60"/>
        <v>-8.4999999999999992E-2</v>
      </c>
      <c r="V112" s="3">
        <f t="shared" si="60"/>
        <v>-0.11099999999999999</v>
      </c>
      <c r="W112" s="3">
        <f t="shared" si="71"/>
        <v>-2.5999999999999995E-2</v>
      </c>
      <c r="X112" s="3">
        <f t="shared" si="67"/>
        <v>8.6011904761904758E-3</v>
      </c>
      <c r="Y112" s="3">
        <f t="shared" si="68"/>
        <v>3.2085937499999995E-2</v>
      </c>
      <c r="Z112" s="3">
        <f t="shared" si="61"/>
        <v>2.3484747023809517E-2</v>
      </c>
      <c r="AA112" s="3">
        <v>1.5329999999999999</v>
      </c>
      <c r="AB112" s="3">
        <v>2.177</v>
      </c>
      <c r="AC112" s="3">
        <f t="shared" si="62"/>
        <v>0.64400000000000013</v>
      </c>
      <c r="AD112" s="3">
        <f>-399.547313*627.50956</f>
        <v>-250719.75857981225</v>
      </c>
      <c r="AE112" s="3">
        <f>-402.079319*627.50956</f>
        <v>-252308.61655078962</v>
      </c>
      <c r="AF112" s="3">
        <f t="shared" si="63"/>
        <v>-1588.8579709773767</v>
      </c>
      <c r="AG112" s="3">
        <f>-399.589642*627.50956</f>
        <v>-250746.32043197751</v>
      </c>
      <c r="AH112" s="3">
        <f>-402.123485*627.50956</f>
        <v>-252336.3311380166</v>
      </c>
      <c r="AI112" s="3">
        <f t="shared" si="64"/>
        <v>-1590.0107060390874</v>
      </c>
      <c r="AJ112" s="3">
        <v>-0.82899999999999996</v>
      </c>
      <c r="AK112" s="3">
        <v>-0.79300000000000004</v>
      </c>
      <c r="AL112" s="3">
        <f t="shared" si="65"/>
        <v>3.5999999999999921E-2</v>
      </c>
      <c r="AM112" s="3">
        <v>123.15246</v>
      </c>
      <c r="AN112" s="3">
        <v>188.66567000000001</v>
      </c>
      <c r="AO112" s="3">
        <v>196.809</v>
      </c>
      <c r="AP112" s="3">
        <f t="shared" si="66"/>
        <v>1.1532377837657037</v>
      </c>
      <c r="AQ112" s="3">
        <v>10.311999999999999</v>
      </c>
      <c r="AR112" s="3">
        <v>2.2228729999999999</v>
      </c>
      <c r="AS112" s="3">
        <v>-132.80099999999999</v>
      </c>
      <c r="AT112" s="3">
        <v>-131.97</v>
      </c>
      <c r="AU112" s="3">
        <f t="shared" si="41"/>
        <v>-0.83099999999998886</v>
      </c>
      <c r="AV112" s="3">
        <v>-0.34100000000000003</v>
      </c>
      <c r="AW112" s="3">
        <v>-0.47499999999999998</v>
      </c>
      <c r="AX112" s="3">
        <f t="shared" si="42"/>
        <v>0.13399999999999995</v>
      </c>
      <c r="AY112" s="3">
        <v>2.9000000000000001E-2</v>
      </c>
      <c r="AZ112" s="3">
        <v>0.156</v>
      </c>
      <c r="BA112" s="3">
        <f t="shared" si="43"/>
        <v>-0.127</v>
      </c>
      <c r="BB112" s="3">
        <f t="shared" ref="BB112:BC127" si="79">-(AV112+AY112)/2</f>
        <v>0.156</v>
      </c>
      <c r="BC112" s="3">
        <f t="shared" si="79"/>
        <v>0.15949999999999998</v>
      </c>
      <c r="BD112" s="3">
        <f t="shared" si="45"/>
        <v>-3.4999999999999754E-3</v>
      </c>
      <c r="BE112" s="3">
        <f t="shared" ref="BE112:BF127" si="80">AY112-AV112</f>
        <v>0.37000000000000005</v>
      </c>
      <c r="BF112" s="3">
        <f t="shared" si="80"/>
        <v>0.63100000000000001</v>
      </c>
      <c r="BG112" s="3">
        <f t="shared" si="47"/>
        <v>-0.26099999999999995</v>
      </c>
      <c r="BH112" s="3">
        <f t="shared" ref="BH112:BI127" si="81">(AV112+AY112)/2</f>
        <v>-0.156</v>
      </c>
      <c r="BI112" s="3">
        <f t="shared" si="81"/>
        <v>-0.15949999999999998</v>
      </c>
      <c r="BJ112" s="3">
        <f t="shared" si="72"/>
        <v>3.4999999999999754E-3</v>
      </c>
      <c r="BK112" s="3">
        <f t="shared" si="69"/>
        <v>3.2886486486486483E-2</v>
      </c>
      <c r="BL112" s="3">
        <f t="shared" si="70"/>
        <v>2.0158676703645E-2</v>
      </c>
      <c r="BM112" s="3">
        <f t="shared" si="49"/>
        <v>1.2727809782841482E-2</v>
      </c>
      <c r="BN112" s="3">
        <v>4.7279999999999998</v>
      </c>
      <c r="BO112" s="3">
        <v>4.9340000000000002</v>
      </c>
      <c r="BP112" s="3">
        <f t="shared" si="50"/>
        <v>-0.20600000000000041</v>
      </c>
      <c r="BQ112" s="3">
        <v>-83302.89</v>
      </c>
      <c r="BR112" s="3">
        <v>-82779.224000000002</v>
      </c>
      <c r="BS112" s="3">
        <f t="shared" si="51"/>
        <v>-523.66599999999744</v>
      </c>
      <c r="BT112" s="3">
        <v>-83320.774999999994</v>
      </c>
      <c r="BU112" s="3">
        <v>-82796.997000000003</v>
      </c>
      <c r="BV112" s="3">
        <f t="shared" si="52"/>
        <v>-523.77799999999115</v>
      </c>
    </row>
    <row r="113" spans="1:74" x14ac:dyDescent="0.25">
      <c r="A113" t="s">
        <v>321</v>
      </c>
      <c r="B113" t="s">
        <v>514</v>
      </c>
      <c r="C113" t="s">
        <v>103</v>
      </c>
      <c r="D113" s="3">
        <v>13.42</v>
      </c>
      <c r="E113" s="3">
        <v>0.73</v>
      </c>
      <c r="F113" s="3">
        <v>-851.99699999999996</v>
      </c>
      <c r="G113" s="3">
        <v>-855.59900000000005</v>
      </c>
      <c r="H113" s="3">
        <f t="shared" si="53"/>
        <v>-3.6020000000000891</v>
      </c>
      <c r="I113" s="3">
        <v>-0.28999999999999998</v>
      </c>
      <c r="J113" s="6">
        <v>-0.20399999999999999</v>
      </c>
      <c r="K113" s="3">
        <f t="shared" si="54"/>
        <v>8.5999999999999993E-2</v>
      </c>
      <c r="L113" s="3">
        <v>0.11600000000000001</v>
      </c>
      <c r="M113" s="6">
        <v>-2.1999999999999999E-2</v>
      </c>
      <c r="N113" s="3">
        <f t="shared" si="55"/>
        <v>-0.13800000000000001</v>
      </c>
      <c r="O113" s="3">
        <f t="shared" si="56"/>
        <v>8.6999999999999994E-2</v>
      </c>
      <c r="P113" s="3">
        <f t="shared" si="56"/>
        <v>0.11299999999999999</v>
      </c>
      <c r="Q113" s="3">
        <f t="shared" si="57"/>
        <v>2.5999999999999995E-2</v>
      </c>
      <c r="R113" s="3">
        <f t="shared" si="58"/>
        <v>0.40599999999999997</v>
      </c>
      <c r="S113" s="3">
        <f t="shared" si="58"/>
        <v>0.182</v>
      </c>
      <c r="T113" s="3">
        <f t="shared" si="59"/>
        <v>-0.22399999999999998</v>
      </c>
      <c r="U113" s="3">
        <f t="shared" si="60"/>
        <v>-8.6999999999999994E-2</v>
      </c>
      <c r="V113" s="3">
        <f t="shared" si="60"/>
        <v>-0.11299999999999999</v>
      </c>
      <c r="W113" s="3">
        <f t="shared" si="71"/>
        <v>-2.5999999999999995E-2</v>
      </c>
      <c r="X113" s="3">
        <f t="shared" si="67"/>
        <v>9.3214285714285708E-3</v>
      </c>
      <c r="Y113" s="3">
        <f t="shared" si="68"/>
        <v>3.5079670329670326E-2</v>
      </c>
      <c r="Z113" s="3">
        <f t="shared" si="61"/>
        <v>2.5758241758241755E-2</v>
      </c>
      <c r="AA113" s="3">
        <v>4.7279999999999998</v>
      </c>
      <c r="AB113" s="3">
        <v>4.2169999999999996</v>
      </c>
      <c r="AC113" s="3">
        <f t="shared" si="62"/>
        <v>-0.51100000000000012</v>
      </c>
      <c r="AD113" s="3">
        <f>-851.822724*627.50956</f>
        <v>-534526.90273524146</v>
      </c>
      <c r="AE113" s="3">
        <f>-855.43453*627.50956</f>
        <v>-536793.34552910679</v>
      </c>
      <c r="AF113" s="3">
        <f t="shared" si="63"/>
        <v>-2266.4427938653389</v>
      </c>
      <c r="AG113" s="3">
        <f>-851.866425*627.50956</f>
        <v>-534554.32553052297</v>
      </c>
      <c r="AH113" s="3">
        <f>-855.479805*627.50956</f>
        <v>-536821.75602443586</v>
      </c>
      <c r="AI113" s="3">
        <f t="shared" si="64"/>
        <v>-2267.4304939128924</v>
      </c>
      <c r="AJ113" s="3">
        <v>-0.65100000000000002</v>
      </c>
      <c r="AK113" s="3">
        <v>-0.56999999999999995</v>
      </c>
      <c r="AL113" s="3">
        <f t="shared" si="65"/>
        <v>8.1000000000000072E-2</v>
      </c>
      <c r="AM113" s="3">
        <v>176.23822000000001</v>
      </c>
      <c r="AN113" s="3">
        <v>214.88550000000001</v>
      </c>
      <c r="AO113" s="3">
        <v>237.6729</v>
      </c>
      <c r="AP113" s="3">
        <f t="shared" si="66"/>
        <v>1.1582703826163052</v>
      </c>
      <c r="AQ113" s="3">
        <v>10.702</v>
      </c>
      <c r="AR113" s="3">
        <v>2.382368</v>
      </c>
      <c r="AS113" s="3">
        <v>-959.76900000000001</v>
      </c>
      <c r="AT113" s="3">
        <v>-958.05</v>
      </c>
      <c r="AU113" s="3">
        <f t="shared" si="41"/>
        <v>-1.7190000000000509</v>
      </c>
      <c r="AV113" s="3">
        <v>-0.317</v>
      </c>
      <c r="AW113" s="3">
        <v>-0.45</v>
      </c>
      <c r="AX113" s="3">
        <f t="shared" si="42"/>
        <v>0.13300000000000001</v>
      </c>
      <c r="AY113" s="3">
        <v>-2.4E-2</v>
      </c>
      <c r="AZ113" s="3">
        <v>0.13500000000000001</v>
      </c>
      <c r="BA113" s="3">
        <f t="shared" si="43"/>
        <v>-0.159</v>
      </c>
      <c r="BB113" s="3">
        <f t="shared" si="79"/>
        <v>0.17050000000000001</v>
      </c>
      <c r="BC113" s="3">
        <f t="shared" si="79"/>
        <v>0.1575</v>
      </c>
      <c r="BD113" s="3">
        <f t="shared" si="45"/>
        <v>1.3000000000000012E-2</v>
      </c>
      <c r="BE113" s="3">
        <f t="shared" si="80"/>
        <v>0.29299999999999998</v>
      </c>
      <c r="BF113" s="3">
        <f t="shared" si="80"/>
        <v>0.58499999999999996</v>
      </c>
      <c r="BG113" s="3">
        <f t="shared" si="47"/>
        <v>-0.29199999999999998</v>
      </c>
      <c r="BH113" s="3">
        <f t="shared" si="81"/>
        <v>-0.17050000000000001</v>
      </c>
      <c r="BI113" s="3">
        <f t="shared" si="81"/>
        <v>-0.1575</v>
      </c>
      <c r="BJ113" s="3">
        <f t="shared" si="72"/>
        <v>-1.3000000000000012E-2</v>
      </c>
      <c r="BK113" s="3">
        <f t="shared" si="69"/>
        <v>4.9607935153583631E-2</v>
      </c>
      <c r="BL113" s="3">
        <f t="shared" si="70"/>
        <v>2.120192307692308E-2</v>
      </c>
      <c r="BM113" s="3">
        <f t="shared" si="49"/>
        <v>2.8406012076660551E-2</v>
      </c>
      <c r="BN113" s="3">
        <v>2.2370000000000001</v>
      </c>
      <c r="BO113" s="3">
        <v>2.431</v>
      </c>
      <c r="BP113" s="3">
        <f t="shared" si="50"/>
        <v>-0.19399999999999995</v>
      </c>
      <c r="BQ113" s="3">
        <v>-602243.07700000005</v>
      </c>
      <c r="BR113" s="3">
        <v>-601163.24300000002</v>
      </c>
      <c r="BS113" s="3">
        <f t="shared" si="51"/>
        <v>-1079.8340000000317</v>
      </c>
      <c r="BT113" s="3">
        <v>-602262.36399999994</v>
      </c>
      <c r="BU113" s="3">
        <v>-601182.38500000001</v>
      </c>
      <c r="BV113" s="3">
        <f t="shared" si="52"/>
        <v>-1079.9789999999339</v>
      </c>
    </row>
    <row r="114" spans="1:74" x14ac:dyDescent="0.25">
      <c r="A114" t="s">
        <v>322</v>
      </c>
      <c r="B114" t="s">
        <v>514</v>
      </c>
      <c r="C114" t="s">
        <v>199</v>
      </c>
      <c r="D114" s="3">
        <v>13.44</v>
      </c>
      <c r="E114" s="3">
        <v>0.55000000000000004</v>
      </c>
      <c r="F114" s="3">
        <v>-324.84399999999999</v>
      </c>
      <c r="G114" s="3">
        <v>-327.00200000000001</v>
      </c>
      <c r="H114" s="3">
        <f t="shared" si="53"/>
        <v>-2.1580000000000155</v>
      </c>
      <c r="I114" s="3">
        <v>-0.33100000000000002</v>
      </c>
      <c r="J114" s="6">
        <v>-0.24199999999999999</v>
      </c>
      <c r="K114" s="3">
        <f t="shared" si="54"/>
        <v>8.9000000000000024E-2</v>
      </c>
      <c r="L114" s="3">
        <v>0.127</v>
      </c>
      <c r="M114" s="6">
        <v>-1.2E-2</v>
      </c>
      <c r="N114" s="3">
        <f t="shared" si="55"/>
        <v>-0.13900000000000001</v>
      </c>
      <c r="O114" s="3">
        <f t="shared" si="56"/>
        <v>0.10200000000000001</v>
      </c>
      <c r="P114" s="3">
        <f t="shared" si="56"/>
        <v>0.127</v>
      </c>
      <c r="Q114" s="3">
        <f t="shared" si="57"/>
        <v>2.4999999999999994E-2</v>
      </c>
      <c r="R114" s="3">
        <f t="shared" si="58"/>
        <v>0.45800000000000002</v>
      </c>
      <c r="S114" s="3">
        <f t="shared" si="58"/>
        <v>0.22999999999999998</v>
      </c>
      <c r="T114" s="3">
        <f t="shared" si="59"/>
        <v>-0.22800000000000004</v>
      </c>
      <c r="U114" s="3">
        <f t="shared" si="60"/>
        <v>-0.10200000000000001</v>
      </c>
      <c r="V114" s="3">
        <f t="shared" si="60"/>
        <v>-0.127</v>
      </c>
      <c r="W114" s="3">
        <f t="shared" si="71"/>
        <v>-2.4999999999999994E-2</v>
      </c>
      <c r="X114" s="3">
        <f t="shared" si="67"/>
        <v>1.1358078602620088E-2</v>
      </c>
      <c r="Y114" s="3">
        <f t="shared" si="68"/>
        <v>3.5063043478260877E-2</v>
      </c>
      <c r="Z114" s="3">
        <f t="shared" si="61"/>
        <v>2.3704964875640791E-2</v>
      </c>
      <c r="AA114" s="3">
        <v>1.8520000000000001</v>
      </c>
      <c r="AB114" s="3">
        <v>1.9890000000000001</v>
      </c>
      <c r="AC114" s="3">
        <f t="shared" si="62"/>
        <v>0.13700000000000001</v>
      </c>
      <c r="AD114" s="3">
        <f>-324.681186*627.50956</f>
        <v>-203740.54816713816</v>
      </c>
      <c r="AE114" s="3">
        <f>-326.848191*627.50956</f>
        <v>-205100.36452120595</v>
      </c>
      <c r="AF114" s="3">
        <f t="shared" si="63"/>
        <v>-1359.8163540677924</v>
      </c>
      <c r="AG114" s="3">
        <f>-324.72101*627.50956</f>
        <v>-203765.53810785557</v>
      </c>
      <c r="AH114" s="3">
        <f>-326.888416*627.50956</f>
        <v>-205125.60609325697</v>
      </c>
      <c r="AI114" s="3">
        <f t="shared" si="64"/>
        <v>-1360.0679854014015</v>
      </c>
      <c r="AJ114" s="3">
        <v>-0.85</v>
      </c>
      <c r="AK114" s="3">
        <v>-0.85099999999999998</v>
      </c>
      <c r="AL114" s="3">
        <f t="shared" si="65"/>
        <v>-1.0000000000000009E-3</v>
      </c>
      <c r="AM114" s="3">
        <v>107.15306</v>
      </c>
      <c r="AN114" s="3">
        <v>177.01949999999999</v>
      </c>
      <c r="AO114" s="3">
        <v>184.40219999999999</v>
      </c>
      <c r="AP114" s="3">
        <f t="shared" si="66"/>
        <v>1.1300552086920557</v>
      </c>
      <c r="AQ114" s="3">
        <v>9.5220000000000002</v>
      </c>
      <c r="AR114" s="3">
        <v>2.0332085000000002</v>
      </c>
      <c r="AS114" s="3">
        <v>-76.454999999999998</v>
      </c>
      <c r="AT114" s="3">
        <v>-76.055000000000007</v>
      </c>
      <c r="AU114" s="3">
        <f t="shared" si="41"/>
        <v>-0.39999999999999147</v>
      </c>
      <c r="AV114" s="3">
        <v>-0.30399999999999999</v>
      </c>
      <c r="AW114" s="3">
        <v>-0.505</v>
      </c>
      <c r="AX114" s="3">
        <f t="shared" si="42"/>
        <v>0.20100000000000001</v>
      </c>
      <c r="AY114" s="3">
        <v>0.04</v>
      </c>
      <c r="AZ114" s="3">
        <v>0.16400000000000001</v>
      </c>
      <c r="BA114" s="3">
        <f t="shared" si="43"/>
        <v>-0.124</v>
      </c>
      <c r="BB114" s="3">
        <f t="shared" si="79"/>
        <v>0.13200000000000001</v>
      </c>
      <c r="BC114" s="3">
        <f t="shared" si="79"/>
        <v>0.17049999999999998</v>
      </c>
      <c r="BD114" s="3">
        <f t="shared" si="45"/>
        <v>-3.8499999999999979E-2</v>
      </c>
      <c r="BE114" s="3">
        <f t="shared" si="80"/>
        <v>0.34399999999999997</v>
      </c>
      <c r="BF114" s="3">
        <f t="shared" si="80"/>
        <v>0.66900000000000004</v>
      </c>
      <c r="BG114" s="3">
        <f t="shared" si="47"/>
        <v>-0.32500000000000007</v>
      </c>
      <c r="BH114" s="3">
        <f t="shared" si="81"/>
        <v>-0.13200000000000001</v>
      </c>
      <c r="BI114" s="3">
        <f t="shared" si="81"/>
        <v>-0.17049999999999998</v>
      </c>
      <c r="BJ114" s="3">
        <f t="shared" si="72"/>
        <v>3.8499999999999979E-2</v>
      </c>
      <c r="BK114" s="3">
        <f t="shared" si="69"/>
        <v>2.5325581395348844E-2</v>
      </c>
      <c r="BL114" s="3">
        <f t="shared" si="70"/>
        <v>2.1726644245141997E-2</v>
      </c>
      <c r="BM114" s="3">
        <f t="shared" si="49"/>
        <v>3.5989371502068469E-3</v>
      </c>
      <c r="BN114" s="3">
        <v>2.3010000000000002</v>
      </c>
      <c r="BO114" s="3">
        <v>2.3559999999999999</v>
      </c>
      <c r="BP114" s="3">
        <f t="shared" si="50"/>
        <v>-5.4999999999999716E-2</v>
      </c>
      <c r="BQ114" s="3">
        <v>-47960.305999999997</v>
      </c>
      <c r="BR114" s="3">
        <v>-47708.290999999997</v>
      </c>
      <c r="BS114" s="3">
        <f t="shared" si="51"/>
        <v>-252.01499999999942</v>
      </c>
      <c r="BT114" s="3">
        <v>-47973.754999999997</v>
      </c>
      <c r="BU114" s="3">
        <v>-47721.697</v>
      </c>
      <c r="BV114" s="3">
        <f t="shared" si="52"/>
        <v>-252.05799999999726</v>
      </c>
    </row>
    <row r="115" spans="1:74" x14ac:dyDescent="0.25">
      <c r="A115" t="s">
        <v>323</v>
      </c>
      <c r="B115" t="s">
        <v>514</v>
      </c>
      <c r="C115" t="s">
        <v>199</v>
      </c>
      <c r="D115" s="3">
        <v>13.45</v>
      </c>
      <c r="E115" s="3">
        <v>0.54</v>
      </c>
      <c r="F115" s="3">
        <v>-528.37099999999998</v>
      </c>
      <c r="G115" s="3">
        <v>-531.45799999999997</v>
      </c>
      <c r="H115" s="3">
        <f t="shared" si="53"/>
        <v>-3.0869999999999891</v>
      </c>
      <c r="I115" s="3">
        <v>-0.34399999999999997</v>
      </c>
      <c r="J115" s="6">
        <v>-0.19600000000000001</v>
      </c>
      <c r="K115" s="3">
        <f t="shared" si="54"/>
        <v>0.14799999999999996</v>
      </c>
      <c r="L115" s="3">
        <v>0.16400000000000001</v>
      </c>
      <c r="M115" s="6">
        <v>2.3E-2</v>
      </c>
      <c r="N115" s="3">
        <f t="shared" si="55"/>
        <v>-0.14100000000000001</v>
      </c>
      <c r="O115" s="3">
        <f t="shared" si="56"/>
        <v>8.9999999999999983E-2</v>
      </c>
      <c r="P115" s="3">
        <f t="shared" si="56"/>
        <v>8.6500000000000007E-2</v>
      </c>
      <c r="Q115" s="3">
        <f t="shared" si="57"/>
        <v>-3.4999999999999754E-3</v>
      </c>
      <c r="R115" s="3">
        <f t="shared" si="58"/>
        <v>0.50800000000000001</v>
      </c>
      <c r="S115" s="3">
        <f t="shared" si="58"/>
        <v>0.219</v>
      </c>
      <c r="T115" s="3">
        <f t="shared" si="59"/>
        <v>-0.28900000000000003</v>
      </c>
      <c r="U115" s="3">
        <f t="shared" si="60"/>
        <v>-8.9999999999999983E-2</v>
      </c>
      <c r="V115" s="3">
        <f t="shared" si="60"/>
        <v>-8.6500000000000007E-2</v>
      </c>
      <c r="W115" s="3">
        <f t="shared" si="71"/>
        <v>3.4999999999999754E-3</v>
      </c>
      <c r="X115" s="3">
        <f t="shared" si="67"/>
        <v>7.9724409448818853E-3</v>
      </c>
      <c r="Y115" s="3">
        <f t="shared" si="68"/>
        <v>1.7082762557077628E-2</v>
      </c>
      <c r="Z115" s="3">
        <f t="shared" si="61"/>
        <v>9.1103216121957431E-3</v>
      </c>
      <c r="AA115" s="3">
        <v>15.913</v>
      </c>
      <c r="AB115" s="3">
        <v>15.47</v>
      </c>
      <c r="AC115" s="3">
        <f t="shared" si="62"/>
        <v>-0.44299999999999962</v>
      </c>
      <c r="AD115" s="3">
        <f>-528.197953*627.50956</f>
        <v>-331449.26507993066</v>
      </c>
      <c r="AE115" s="3">
        <f>-531.295232*627.50956</f>
        <v>-333392.83726241795</v>
      </c>
      <c r="AF115" s="3">
        <f t="shared" si="63"/>
        <v>-1943.572182487289</v>
      </c>
      <c r="AG115" s="3">
        <f>-528.248119*627.50956</f>
        <v>-331480.74472451763</v>
      </c>
      <c r="AH115" s="3">
        <f>-531.345572*627.50956</f>
        <v>-333424.42609366827</v>
      </c>
      <c r="AI115" s="3">
        <f t="shared" si="64"/>
        <v>-1943.6813691506395</v>
      </c>
      <c r="AJ115" s="3">
        <v>-0.84899999999999998</v>
      </c>
      <c r="AK115" s="3">
        <v>-0.878</v>
      </c>
      <c r="AL115" s="3">
        <f t="shared" si="65"/>
        <v>-2.9000000000000026E-2</v>
      </c>
      <c r="AM115" s="3">
        <v>145.13656</v>
      </c>
      <c r="AN115" s="3">
        <v>193.20625000000001</v>
      </c>
      <c r="AO115" s="3">
        <v>202.91307</v>
      </c>
      <c r="AP115" s="3">
        <f t="shared" si="66"/>
        <v>1.1571876069434488</v>
      </c>
      <c r="AQ115" s="3">
        <v>10.756</v>
      </c>
      <c r="AR115" s="3">
        <v>2.6593837300000001</v>
      </c>
      <c r="AS115" s="3">
        <v>-76.454999999999998</v>
      </c>
      <c r="AT115" s="3">
        <v>-76.055000000000007</v>
      </c>
      <c r="AU115" s="3">
        <f t="shared" si="41"/>
        <v>-0.39999999999999147</v>
      </c>
      <c r="AV115" s="3">
        <v>-0.30399999999999999</v>
      </c>
      <c r="AW115" s="3">
        <v>-0.505</v>
      </c>
      <c r="AX115" s="3">
        <f t="shared" si="42"/>
        <v>0.20100000000000001</v>
      </c>
      <c r="AY115" s="3">
        <v>0.04</v>
      </c>
      <c r="AZ115" s="3">
        <v>0.16400000000000001</v>
      </c>
      <c r="BA115" s="3">
        <f t="shared" si="43"/>
        <v>-0.124</v>
      </c>
      <c r="BB115" s="3">
        <f t="shared" si="79"/>
        <v>0.13200000000000001</v>
      </c>
      <c r="BC115" s="3">
        <f t="shared" si="79"/>
        <v>0.17049999999999998</v>
      </c>
      <c r="BD115" s="3">
        <f t="shared" si="45"/>
        <v>-3.8499999999999979E-2</v>
      </c>
      <c r="BE115" s="3">
        <f t="shared" si="80"/>
        <v>0.34399999999999997</v>
      </c>
      <c r="BF115" s="3">
        <f t="shared" si="80"/>
        <v>0.66900000000000004</v>
      </c>
      <c r="BG115" s="3">
        <f t="shared" si="47"/>
        <v>-0.32500000000000007</v>
      </c>
      <c r="BH115" s="3">
        <f t="shared" si="81"/>
        <v>-0.13200000000000001</v>
      </c>
      <c r="BI115" s="3">
        <f t="shared" si="81"/>
        <v>-0.17049999999999998</v>
      </c>
      <c r="BJ115" s="3">
        <f t="shared" si="72"/>
        <v>3.8499999999999979E-2</v>
      </c>
      <c r="BK115" s="3">
        <f t="shared" si="69"/>
        <v>2.5325581395348844E-2</v>
      </c>
      <c r="BL115" s="3">
        <f t="shared" si="70"/>
        <v>2.1726644245141997E-2</v>
      </c>
      <c r="BM115" s="3">
        <f t="shared" si="49"/>
        <v>3.5989371502068469E-3</v>
      </c>
      <c r="BN115" s="3">
        <v>2.3010000000000002</v>
      </c>
      <c r="BO115" s="3">
        <v>2.3559999999999999</v>
      </c>
      <c r="BP115" s="3">
        <f t="shared" si="50"/>
        <v>-5.4999999999999716E-2</v>
      </c>
      <c r="BQ115" s="3">
        <v>-47960.305999999997</v>
      </c>
      <c r="BR115" s="3">
        <v>-47708.290999999997</v>
      </c>
      <c r="BS115" s="3">
        <f t="shared" si="51"/>
        <v>-252.01499999999942</v>
      </c>
      <c r="BT115" s="3">
        <v>-47973.754999999997</v>
      </c>
      <c r="BU115" s="3">
        <v>-47721.697</v>
      </c>
      <c r="BV115" s="3">
        <f t="shared" si="52"/>
        <v>-252.05799999999726</v>
      </c>
    </row>
    <row r="116" spans="1:74" x14ac:dyDescent="0.25">
      <c r="A116" t="s">
        <v>324</v>
      </c>
      <c r="B116" t="s">
        <v>514</v>
      </c>
      <c r="C116" t="s">
        <v>103</v>
      </c>
      <c r="D116" s="3">
        <v>13.45</v>
      </c>
      <c r="E116" s="3">
        <v>0.72</v>
      </c>
      <c r="F116" s="3">
        <v>-1081.5930000000001</v>
      </c>
      <c r="G116" s="3">
        <v>-1086.7070000000001</v>
      </c>
      <c r="H116" s="3">
        <f t="shared" si="53"/>
        <v>-5.1140000000000327</v>
      </c>
      <c r="I116" s="3">
        <v>-0.29299999999999998</v>
      </c>
      <c r="J116" s="6">
        <v>-0.20799999999999999</v>
      </c>
      <c r="K116" s="3">
        <f t="shared" si="54"/>
        <v>8.4999999999999992E-2</v>
      </c>
      <c r="L116" s="3">
        <v>0.115</v>
      </c>
      <c r="M116" s="6">
        <v>-2.4E-2</v>
      </c>
      <c r="N116" s="3">
        <f t="shared" si="55"/>
        <v>-0.13900000000000001</v>
      </c>
      <c r="O116" s="3">
        <f t="shared" si="56"/>
        <v>8.8999999999999996E-2</v>
      </c>
      <c r="P116" s="3">
        <f t="shared" si="56"/>
        <v>0.11599999999999999</v>
      </c>
      <c r="Q116" s="3">
        <f t="shared" si="57"/>
        <v>2.6999999999999996E-2</v>
      </c>
      <c r="R116" s="3">
        <f t="shared" si="58"/>
        <v>0.40799999999999997</v>
      </c>
      <c r="S116" s="3">
        <f t="shared" si="58"/>
        <v>0.184</v>
      </c>
      <c r="T116" s="3">
        <f t="shared" si="59"/>
        <v>-0.22399999999999998</v>
      </c>
      <c r="U116" s="3">
        <f t="shared" si="60"/>
        <v>-8.8999999999999996E-2</v>
      </c>
      <c r="V116" s="3">
        <f t="shared" si="60"/>
        <v>-0.11599999999999999</v>
      </c>
      <c r="W116" s="3">
        <f t="shared" si="71"/>
        <v>-2.6999999999999996E-2</v>
      </c>
      <c r="X116" s="3">
        <f t="shared" si="67"/>
        <v>9.707107843137254E-3</v>
      </c>
      <c r="Y116" s="3">
        <f t="shared" si="68"/>
        <v>3.656521739130434E-2</v>
      </c>
      <c r="Z116" s="3">
        <f t="shared" si="61"/>
        <v>2.6858109548167086E-2</v>
      </c>
      <c r="AA116" s="3">
        <v>4.71</v>
      </c>
      <c r="AB116" s="3">
        <v>4.173</v>
      </c>
      <c r="AC116" s="3">
        <f t="shared" si="62"/>
        <v>-0.53699999999999992</v>
      </c>
      <c r="AD116" s="3">
        <f>-1081.328499*627.50956</f>
        <v>-678543.97062295035</v>
      </c>
      <c r="AE116" s="3">
        <f>-1086.457354*627.50956</f>
        <v>-681762.37616730412</v>
      </c>
      <c r="AF116" s="3">
        <f t="shared" si="63"/>
        <v>-3218.4055443537654</v>
      </c>
      <c r="AG116" s="3">
        <f>-1081.383672*627.50956</f>
        <v>-678578.59220790421</v>
      </c>
      <c r="AH116" s="3">
        <f>-1086.514503*627.50956</f>
        <v>-681798.23771114869</v>
      </c>
      <c r="AI116" s="3">
        <f t="shared" si="64"/>
        <v>-3219.6455032444792</v>
      </c>
      <c r="AJ116" s="3">
        <v>-0.65900000000000003</v>
      </c>
      <c r="AK116" s="3">
        <v>-0.57999999999999996</v>
      </c>
      <c r="AL116" s="3">
        <f t="shared" si="65"/>
        <v>7.900000000000007E-2</v>
      </c>
      <c r="AM116" s="3">
        <v>252.33418</v>
      </c>
      <c r="AN116" s="3">
        <v>300.19815999999997</v>
      </c>
      <c r="AO116" s="3">
        <v>347.75974000000002</v>
      </c>
      <c r="AP116" s="3">
        <f t="shared" si="66"/>
        <v>1.2554837851133933</v>
      </c>
      <c r="AQ116" s="3">
        <v>14.414999999999999</v>
      </c>
      <c r="AR116" s="3">
        <v>3.4333779999999998</v>
      </c>
      <c r="AS116" s="3">
        <v>-959.76900000000001</v>
      </c>
      <c r="AT116" s="3">
        <v>-958.05</v>
      </c>
      <c r="AU116" s="3">
        <f t="shared" si="41"/>
        <v>-1.7190000000000509</v>
      </c>
      <c r="AV116" s="3">
        <v>-0.317</v>
      </c>
      <c r="AW116" s="3">
        <v>-0.45</v>
      </c>
      <c r="AX116" s="3">
        <f t="shared" si="42"/>
        <v>0.13300000000000001</v>
      </c>
      <c r="AY116" s="3">
        <v>-2.4E-2</v>
      </c>
      <c r="AZ116" s="3">
        <v>0.13500000000000001</v>
      </c>
      <c r="BA116" s="3">
        <f t="shared" si="43"/>
        <v>-0.159</v>
      </c>
      <c r="BB116" s="3">
        <f t="shared" si="79"/>
        <v>0.17050000000000001</v>
      </c>
      <c r="BC116" s="3">
        <f t="shared" si="79"/>
        <v>0.1575</v>
      </c>
      <c r="BD116" s="3">
        <f t="shared" si="45"/>
        <v>1.3000000000000012E-2</v>
      </c>
      <c r="BE116" s="3">
        <f t="shared" si="80"/>
        <v>0.29299999999999998</v>
      </c>
      <c r="BF116" s="3">
        <f t="shared" si="80"/>
        <v>0.58499999999999996</v>
      </c>
      <c r="BG116" s="3">
        <f t="shared" si="47"/>
        <v>-0.29199999999999998</v>
      </c>
      <c r="BH116" s="3">
        <f t="shared" si="81"/>
        <v>-0.17050000000000001</v>
      </c>
      <c r="BI116" s="3">
        <f t="shared" si="81"/>
        <v>-0.1575</v>
      </c>
      <c r="BJ116" s="3">
        <f t="shared" si="72"/>
        <v>-1.3000000000000012E-2</v>
      </c>
      <c r="BK116" s="3">
        <f t="shared" si="69"/>
        <v>4.9607935153583631E-2</v>
      </c>
      <c r="BL116" s="3">
        <f t="shared" si="70"/>
        <v>2.120192307692308E-2</v>
      </c>
      <c r="BM116" s="3">
        <f t="shared" si="49"/>
        <v>2.8406012076660551E-2</v>
      </c>
      <c r="BN116" s="3">
        <v>2.2370000000000001</v>
      </c>
      <c r="BO116" s="3">
        <v>2.431</v>
      </c>
      <c r="BP116" s="3">
        <f t="shared" si="50"/>
        <v>-0.19399999999999995</v>
      </c>
      <c r="BQ116" s="3">
        <v>-602243.07700000005</v>
      </c>
      <c r="BR116" s="3">
        <v>-601163.24300000002</v>
      </c>
      <c r="BS116" s="3">
        <f t="shared" si="51"/>
        <v>-1079.8340000000317</v>
      </c>
      <c r="BT116" s="3">
        <v>-602262.36399999994</v>
      </c>
      <c r="BU116" s="3">
        <v>-601182.38500000001</v>
      </c>
      <c r="BV116" s="3">
        <f t="shared" si="52"/>
        <v>-1079.9789999999339</v>
      </c>
    </row>
    <row r="117" spans="1:74" x14ac:dyDescent="0.25">
      <c r="A117" t="s">
        <v>325</v>
      </c>
      <c r="B117" t="s">
        <v>514</v>
      </c>
      <c r="C117" t="s">
        <v>199</v>
      </c>
      <c r="D117" s="3">
        <v>13.46</v>
      </c>
      <c r="E117" s="3">
        <v>0.56999999999999995</v>
      </c>
      <c r="F117" s="3">
        <v>-111.214</v>
      </c>
      <c r="G117" s="3">
        <v>-111.905</v>
      </c>
      <c r="H117" s="3">
        <f t="shared" si="53"/>
        <v>-0.6910000000000025</v>
      </c>
      <c r="I117" s="3">
        <v>-0.35699999999999998</v>
      </c>
      <c r="J117" s="6">
        <v>-0.21099999999999999</v>
      </c>
      <c r="K117" s="3">
        <f t="shared" si="54"/>
        <v>0.14599999999999999</v>
      </c>
      <c r="L117" s="3">
        <v>0.16700000000000001</v>
      </c>
      <c r="M117" s="6">
        <v>4.4999999999999998E-2</v>
      </c>
      <c r="N117" s="3">
        <f t="shared" si="55"/>
        <v>-0.12200000000000001</v>
      </c>
      <c r="O117" s="3">
        <f t="shared" si="56"/>
        <v>9.4999999999999987E-2</v>
      </c>
      <c r="P117" s="3">
        <f t="shared" si="56"/>
        <v>8.299999999999999E-2</v>
      </c>
      <c r="Q117" s="3">
        <f t="shared" si="57"/>
        <v>-1.1999999999999997E-2</v>
      </c>
      <c r="R117" s="3">
        <f t="shared" si="58"/>
        <v>0.52400000000000002</v>
      </c>
      <c r="S117" s="3">
        <f t="shared" si="58"/>
        <v>0.25600000000000001</v>
      </c>
      <c r="T117" s="3">
        <f t="shared" si="59"/>
        <v>-0.26800000000000002</v>
      </c>
      <c r="U117" s="3">
        <f t="shared" si="60"/>
        <v>-9.4999999999999987E-2</v>
      </c>
      <c r="V117" s="3">
        <f t="shared" si="60"/>
        <v>-8.299999999999999E-2</v>
      </c>
      <c r="W117" s="3">
        <f t="shared" si="71"/>
        <v>1.1999999999999997E-2</v>
      </c>
      <c r="X117" s="3">
        <f t="shared" si="67"/>
        <v>8.6116412213740438E-3</v>
      </c>
      <c r="Y117" s="3">
        <f t="shared" si="68"/>
        <v>1.3455078124999997E-2</v>
      </c>
      <c r="Z117" s="3">
        <f t="shared" si="61"/>
        <v>4.8434369036259532E-3</v>
      </c>
      <c r="AA117" s="3">
        <v>0</v>
      </c>
      <c r="AB117" s="3">
        <v>0</v>
      </c>
      <c r="AC117" s="3">
        <f t="shared" si="62"/>
        <v>0</v>
      </c>
      <c r="AD117" s="3">
        <f>-111.153506*627.50956</f>
        <v>-69749.887642517351</v>
      </c>
      <c r="AE117" s="3">
        <f>-111.84765*627.50956</f>
        <v>-70185.469638533992</v>
      </c>
      <c r="AF117" s="3">
        <f t="shared" si="63"/>
        <v>-435.58199601664091</v>
      </c>
      <c r="AG117" s="3">
        <f>-111.17916*627.50956</f>
        <v>-69765.985772769593</v>
      </c>
      <c r="AH117" s="3">
        <f>-111.875262*627.50956</f>
        <v>-70202.796432504721</v>
      </c>
      <c r="AI117" s="3">
        <f t="shared" si="64"/>
        <v>-436.81065973512887</v>
      </c>
      <c r="AJ117" s="3">
        <v>-0.65600000000000003</v>
      </c>
      <c r="AK117" s="3">
        <v>-0.67200000000000004</v>
      </c>
      <c r="AL117" s="3">
        <f t="shared" si="65"/>
        <v>-1.6000000000000014E-2</v>
      </c>
      <c r="AM117" s="3">
        <v>32.045160000000003</v>
      </c>
      <c r="AN117" s="3">
        <v>80.797560000000004</v>
      </c>
      <c r="AO117" s="3">
        <v>64.292599999999993</v>
      </c>
      <c r="AP117" s="3">
        <f t="shared" si="66"/>
        <v>1.0412304736608724</v>
      </c>
      <c r="AQ117" s="3">
        <v>5.1989999999999998</v>
      </c>
      <c r="AR117" s="3">
        <v>0.85415799999999997</v>
      </c>
      <c r="AS117" s="3">
        <v>-76.454999999999998</v>
      </c>
      <c r="AT117" s="3">
        <v>-76.055000000000007</v>
      </c>
      <c r="AU117" s="3">
        <f t="shared" si="41"/>
        <v>-0.39999999999999147</v>
      </c>
      <c r="AV117" s="3">
        <v>-0.30399999999999999</v>
      </c>
      <c r="AW117" s="3">
        <v>-0.505</v>
      </c>
      <c r="AX117" s="3">
        <f t="shared" si="42"/>
        <v>0.20100000000000001</v>
      </c>
      <c r="AY117" s="3">
        <v>0.04</v>
      </c>
      <c r="AZ117" s="3">
        <v>0.16400000000000001</v>
      </c>
      <c r="BA117" s="3">
        <f t="shared" si="43"/>
        <v>-0.124</v>
      </c>
      <c r="BB117" s="3">
        <f t="shared" si="79"/>
        <v>0.13200000000000001</v>
      </c>
      <c r="BC117" s="3">
        <f t="shared" si="79"/>
        <v>0.17049999999999998</v>
      </c>
      <c r="BD117" s="3">
        <f t="shared" si="45"/>
        <v>-3.8499999999999979E-2</v>
      </c>
      <c r="BE117" s="3">
        <f t="shared" si="80"/>
        <v>0.34399999999999997</v>
      </c>
      <c r="BF117" s="3">
        <f t="shared" si="80"/>
        <v>0.66900000000000004</v>
      </c>
      <c r="BG117" s="3">
        <f t="shared" si="47"/>
        <v>-0.32500000000000007</v>
      </c>
      <c r="BH117" s="3">
        <f t="shared" si="81"/>
        <v>-0.13200000000000001</v>
      </c>
      <c r="BI117" s="3">
        <f t="shared" si="81"/>
        <v>-0.17049999999999998</v>
      </c>
      <c r="BJ117" s="3">
        <f t="shared" si="72"/>
        <v>3.8499999999999979E-2</v>
      </c>
      <c r="BK117" s="3">
        <f t="shared" si="69"/>
        <v>2.5325581395348844E-2</v>
      </c>
      <c r="BL117" s="3">
        <f t="shared" si="70"/>
        <v>2.1726644245141997E-2</v>
      </c>
      <c r="BM117" s="3">
        <f t="shared" si="49"/>
        <v>3.5989371502068469E-3</v>
      </c>
      <c r="BN117" s="3">
        <v>2.3010000000000002</v>
      </c>
      <c r="BO117" s="3">
        <v>2.3559999999999999</v>
      </c>
      <c r="BP117" s="3">
        <f t="shared" si="50"/>
        <v>-5.4999999999999716E-2</v>
      </c>
      <c r="BQ117" s="3">
        <v>-47960.305999999997</v>
      </c>
      <c r="BR117" s="3">
        <v>-47708.290999999997</v>
      </c>
      <c r="BS117" s="3">
        <f t="shared" si="51"/>
        <v>-252.01499999999942</v>
      </c>
      <c r="BT117" s="3">
        <v>-47973.754999999997</v>
      </c>
      <c r="BU117" s="3">
        <v>-47721.697</v>
      </c>
      <c r="BV117" s="3">
        <f t="shared" si="52"/>
        <v>-252.05799999999726</v>
      </c>
    </row>
    <row r="118" spans="1:74" x14ac:dyDescent="0.25">
      <c r="A118" t="s">
        <v>326</v>
      </c>
      <c r="B118" t="s">
        <v>514</v>
      </c>
      <c r="C118" t="s">
        <v>199</v>
      </c>
      <c r="D118" s="3">
        <v>13.5</v>
      </c>
      <c r="E118" s="3">
        <v>0.59</v>
      </c>
      <c r="F118" s="3">
        <v>-226.04</v>
      </c>
      <c r="G118" s="3">
        <v>-227.47399999999999</v>
      </c>
      <c r="H118" s="3">
        <f t="shared" si="53"/>
        <v>-1.4339999999999975</v>
      </c>
      <c r="I118" s="3">
        <v>-0.39400000000000002</v>
      </c>
      <c r="J118" s="6">
        <v>-0.249</v>
      </c>
      <c r="K118" s="3">
        <f t="shared" si="54"/>
        <v>0.14500000000000002</v>
      </c>
      <c r="L118" s="3">
        <v>0.151</v>
      </c>
      <c r="M118" s="6">
        <v>8.9999999999999993E-3</v>
      </c>
      <c r="N118" s="3">
        <f t="shared" si="55"/>
        <v>-0.14199999999999999</v>
      </c>
      <c r="O118" s="3">
        <f t="shared" si="56"/>
        <v>0.12150000000000001</v>
      </c>
      <c r="P118" s="3">
        <f t="shared" si="56"/>
        <v>0.12</v>
      </c>
      <c r="Q118" s="3">
        <f t="shared" si="57"/>
        <v>-1.5000000000000152E-3</v>
      </c>
      <c r="R118" s="3">
        <f t="shared" si="58"/>
        <v>0.54500000000000004</v>
      </c>
      <c r="S118" s="3">
        <f t="shared" si="58"/>
        <v>0.25800000000000001</v>
      </c>
      <c r="T118" s="3">
        <f t="shared" si="59"/>
        <v>-0.28700000000000003</v>
      </c>
      <c r="U118" s="3">
        <f t="shared" si="60"/>
        <v>-0.12150000000000001</v>
      </c>
      <c r="V118" s="3">
        <f t="shared" si="60"/>
        <v>-0.12</v>
      </c>
      <c r="W118" s="3">
        <f t="shared" si="71"/>
        <v>1.5000000000000152E-3</v>
      </c>
      <c r="X118" s="3">
        <f t="shared" si="67"/>
        <v>1.3543348623853212E-2</v>
      </c>
      <c r="Y118" s="3">
        <f t="shared" si="68"/>
        <v>2.7906976744186046E-2</v>
      </c>
      <c r="Z118" s="3">
        <f t="shared" si="61"/>
        <v>1.4363628120332834E-2</v>
      </c>
      <c r="AA118" s="3">
        <v>5.7450000000000001</v>
      </c>
      <c r="AB118" s="3">
        <v>5.4009999999999998</v>
      </c>
      <c r="AC118" s="3">
        <f t="shared" si="62"/>
        <v>-0.34400000000000031</v>
      </c>
      <c r="AD118" s="3">
        <f>-225.935775*627.50956</f>
        <v>-141776.85875850898</v>
      </c>
      <c r="AE118" s="3">
        <f>-227.376073*627.50956</f>
        <v>-142680.65952275787</v>
      </c>
      <c r="AF118" s="3">
        <f t="shared" si="63"/>
        <v>-903.80076424888102</v>
      </c>
      <c r="AG118" s="3">
        <f>-225.970977*627.50956</f>
        <v>-141798.94835004013</v>
      </c>
      <c r="AH118" s="3">
        <f>-227.411758*627.50956</f>
        <v>-142703.05220140648</v>
      </c>
      <c r="AI118" s="3">
        <f t="shared" si="64"/>
        <v>-904.10385136635159</v>
      </c>
      <c r="AJ118" s="3">
        <v>-0.67900000000000005</v>
      </c>
      <c r="AK118" s="3">
        <v>-0.65300000000000002</v>
      </c>
      <c r="AL118" s="3">
        <f t="shared" si="65"/>
        <v>2.6000000000000023E-2</v>
      </c>
      <c r="AM118" s="3">
        <v>70.093140000000005</v>
      </c>
      <c r="AN118" s="3">
        <v>133.5085</v>
      </c>
      <c r="AO118" s="3">
        <v>124.9952</v>
      </c>
      <c r="AP118" s="3">
        <f t="shared" si="66"/>
        <v>1.1045091289275133</v>
      </c>
      <c r="AQ118" s="3">
        <v>8.2560000000000002</v>
      </c>
      <c r="AR118" s="3">
        <v>1.8039894000000001</v>
      </c>
      <c r="AS118" s="3">
        <v>-76.454999999999998</v>
      </c>
      <c r="AT118" s="3">
        <v>-76.055000000000007</v>
      </c>
      <c r="AU118" s="3">
        <f t="shared" si="41"/>
        <v>-0.39999999999999147</v>
      </c>
      <c r="AV118" s="3">
        <v>-0.30399999999999999</v>
      </c>
      <c r="AW118" s="3">
        <v>-0.505</v>
      </c>
      <c r="AX118" s="3">
        <f t="shared" si="42"/>
        <v>0.20100000000000001</v>
      </c>
      <c r="AY118" s="3">
        <v>0.04</v>
      </c>
      <c r="AZ118" s="3">
        <v>0.16400000000000001</v>
      </c>
      <c r="BA118" s="3">
        <f t="shared" si="43"/>
        <v>-0.124</v>
      </c>
      <c r="BB118" s="3">
        <f t="shared" si="79"/>
        <v>0.13200000000000001</v>
      </c>
      <c r="BC118" s="3">
        <f t="shared" si="79"/>
        <v>0.17049999999999998</v>
      </c>
      <c r="BD118" s="3">
        <f t="shared" si="45"/>
        <v>-3.8499999999999979E-2</v>
      </c>
      <c r="BE118" s="3">
        <f t="shared" si="80"/>
        <v>0.34399999999999997</v>
      </c>
      <c r="BF118" s="3">
        <f t="shared" si="80"/>
        <v>0.66900000000000004</v>
      </c>
      <c r="BG118" s="3">
        <f t="shared" si="47"/>
        <v>-0.32500000000000007</v>
      </c>
      <c r="BH118" s="3">
        <f t="shared" si="81"/>
        <v>-0.13200000000000001</v>
      </c>
      <c r="BI118" s="3">
        <f t="shared" si="81"/>
        <v>-0.17049999999999998</v>
      </c>
      <c r="BJ118" s="3">
        <f t="shared" si="72"/>
        <v>3.8499999999999979E-2</v>
      </c>
      <c r="BK118" s="3">
        <f t="shared" si="69"/>
        <v>2.5325581395348844E-2</v>
      </c>
      <c r="BL118" s="3">
        <f t="shared" si="70"/>
        <v>2.1726644245141997E-2</v>
      </c>
      <c r="BM118" s="3">
        <f t="shared" si="49"/>
        <v>3.5989371502068469E-3</v>
      </c>
      <c r="BN118" s="3">
        <v>2.3010000000000002</v>
      </c>
      <c r="BO118" s="3">
        <v>2.3559999999999999</v>
      </c>
      <c r="BP118" s="3">
        <f t="shared" si="50"/>
        <v>-5.4999999999999716E-2</v>
      </c>
      <c r="BQ118" s="3">
        <v>-47960.305999999997</v>
      </c>
      <c r="BR118" s="3">
        <v>-47708.290999999997</v>
      </c>
      <c r="BS118" s="3">
        <f t="shared" si="51"/>
        <v>-252.01499999999942</v>
      </c>
      <c r="BT118" s="3">
        <v>-47973.754999999997</v>
      </c>
      <c r="BU118" s="3">
        <v>-47721.697</v>
      </c>
      <c r="BV118" s="3">
        <f t="shared" si="52"/>
        <v>-252.05799999999726</v>
      </c>
    </row>
    <row r="119" spans="1:74" x14ac:dyDescent="0.25">
      <c r="A119" t="s">
        <v>327</v>
      </c>
      <c r="B119" t="s">
        <v>514</v>
      </c>
      <c r="C119" t="s">
        <v>199</v>
      </c>
      <c r="D119" s="3">
        <v>13.51</v>
      </c>
      <c r="E119" s="3">
        <v>0.57999999999999996</v>
      </c>
      <c r="F119" s="3">
        <v>-321.47399999999999</v>
      </c>
      <c r="G119" s="3">
        <v>-323.36200000000002</v>
      </c>
      <c r="H119" s="3">
        <f t="shared" si="53"/>
        <v>-1.8880000000000337</v>
      </c>
      <c r="I119" s="3">
        <v>-0.35299999999999998</v>
      </c>
      <c r="J119" s="6">
        <v>-0.20699999999999999</v>
      </c>
      <c r="K119" s="3">
        <f t="shared" si="54"/>
        <v>0.14599999999999999</v>
      </c>
      <c r="L119" s="3">
        <v>0.17</v>
      </c>
      <c r="M119" s="6">
        <v>5.7000000000000002E-2</v>
      </c>
      <c r="N119" s="3">
        <f t="shared" si="55"/>
        <v>-0.11300000000000002</v>
      </c>
      <c r="O119" s="3">
        <f t="shared" si="56"/>
        <v>9.1499999999999984E-2</v>
      </c>
      <c r="P119" s="3">
        <f t="shared" si="56"/>
        <v>7.4999999999999997E-2</v>
      </c>
      <c r="Q119" s="3">
        <f t="shared" si="57"/>
        <v>-1.6499999999999987E-2</v>
      </c>
      <c r="R119" s="3">
        <f t="shared" si="58"/>
        <v>0.52300000000000002</v>
      </c>
      <c r="S119" s="3">
        <f t="shared" si="58"/>
        <v>0.26400000000000001</v>
      </c>
      <c r="T119" s="3">
        <f t="shared" si="59"/>
        <v>-0.25900000000000001</v>
      </c>
      <c r="U119" s="3">
        <f t="shared" si="60"/>
        <v>-9.1499999999999984E-2</v>
      </c>
      <c r="V119" s="3">
        <f t="shared" si="60"/>
        <v>-7.4999999999999997E-2</v>
      </c>
      <c r="W119" s="3">
        <f t="shared" si="71"/>
        <v>1.6499999999999987E-2</v>
      </c>
      <c r="X119" s="3">
        <f t="shared" si="67"/>
        <v>8.0040630975143374E-3</v>
      </c>
      <c r="Y119" s="3">
        <f t="shared" si="68"/>
        <v>1.065340909090909E-2</v>
      </c>
      <c r="Z119" s="3">
        <f t="shared" si="61"/>
        <v>2.6493459933947527E-3</v>
      </c>
      <c r="AA119" s="3">
        <v>9.3819999999999997</v>
      </c>
      <c r="AB119" s="3">
        <v>8.2870000000000008</v>
      </c>
      <c r="AC119" s="3">
        <f t="shared" si="62"/>
        <v>-1.0949999999999989</v>
      </c>
      <c r="AD119" s="3">
        <f>-321.365326*627.50956</f>
        <v>-201659.81431751655</v>
      </c>
      <c r="AE119" s="3">
        <f>-323.260361*627.50956</f>
        <v>-202848.96689655114</v>
      </c>
      <c r="AF119" s="3">
        <f t="shared" si="63"/>
        <v>-1189.1525790345913</v>
      </c>
      <c r="AG119" s="3">
        <f>-321.403212*627.50956</f>
        <v>-201683.58814470671</v>
      </c>
      <c r="AH119" s="3">
        <f>-323.298521*627.50956</f>
        <v>-202872.91266136075</v>
      </c>
      <c r="AI119" s="3">
        <f t="shared" si="64"/>
        <v>-1189.3245166540437</v>
      </c>
      <c r="AJ119" s="3">
        <v>-0.71</v>
      </c>
      <c r="AK119" s="3">
        <v>-0.69099999999999995</v>
      </c>
      <c r="AL119" s="3">
        <f t="shared" si="65"/>
        <v>1.9000000000000017E-2</v>
      </c>
      <c r="AM119" s="3">
        <v>88.085239999999999</v>
      </c>
      <c r="AN119" s="3">
        <v>138.67221000000001</v>
      </c>
      <c r="AO119" s="3">
        <v>132.61600000000001</v>
      </c>
      <c r="AP119" s="3">
        <f t="shared" si="66"/>
        <v>1.1028457425720486</v>
      </c>
      <c r="AQ119" s="3">
        <v>8.3819999999999997</v>
      </c>
      <c r="AR119" s="3">
        <v>1.8418399999999999</v>
      </c>
      <c r="AS119" s="3">
        <v>-76.454999999999998</v>
      </c>
      <c r="AT119" s="3">
        <v>-76.055000000000007</v>
      </c>
      <c r="AU119" s="3">
        <f t="shared" si="41"/>
        <v>-0.39999999999999147</v>
      </c>
      <c r="AV119" s="3">
        <v>-0.30399999999999999</v>
      </c>
      <c r="AW119" s="3">
        <v>-0.505</v>
      </c>
      <c r="AX119" s="3">
        <f t="shared" si="42"/>
        <v>0.20100000000000001</v>
      </c>
      <c r="AY119" s="3">
        <v>0.04</v>
      </c>
      <c r="AZ119" s="3">
        <v>0.16400000000000001</v>
      </c>
      <c r="BA119" s="3">
        <f t="shared" si="43"/>
        <v>-0.124</v>
      </c>
      <c r="BB119" s="3">
        <f t="shared" si="79"/>
        <v>0.13200000000000001</v>
      </c>
      <c r="BC119" s="3">
        <f t="shared" si="79"/>
        <v>0.17049999999999998</v>
      </c>
      <c r="BD119" s="3">
        <f t="shared" si="45"/>
        <v>-3.8499999999999979E-2</v>
      </c>
      <c r="BE119" s="3">
        <f t="shared" si="80"/>
        <v>0.34399999999999997</v>
      </c>
      <c r="BF119" s="3">
        <f t="shared" si="80"/>
        <v>0.66900000000000004</v>
      </c>
      <c r="BG119" s="3">
        <f t="shared" si="47"/>
        <v>-0.32500000000000007</v>
      </c>
      <c r="BH119" s="3">
        <f t="shared" si="81"/>
        <v>-0.13200000000000001</v>
      </c>
      <c r="BI119" s="3">
        <f t="shared" si="81"/>
        <v>-0.17049999999999998</v>
      </c>
      <c r="BJ119" s="3">
        <f t="shared" si="72"/>
        <v>3.8499999999999979E-2</v>
      </c>
      <c r="BK119" s="3">
        <f t="shared" si="69"/>
        <v>2.5325581395348844E-2</v>
      </c>
      <c r="BL119" s="3">
        <f t="shared" si="70"/>
        <v>2.1726644245141997E-2</v>
      </c>
      <c r="BM119" s="3">
        <f t="shared" si="49"/>
        <v>3.5989371502068469E-3</v>
      </c>
      <c r="BN119" s="3">
        <v>2.3010000000000002</v>
      </c>
      <c r="BO119" s="3">
        <v>2.3559999999999999</v>
      </c>
      <c r="BP119" s="3">
        <f t="shared" si="50"/>
        <v>-5.4999999999999716E-2</v>
      </c>
      <c r="BQ119" s="3">
        <v>-47960.305999999997</v>
      </c>
      <c r="BR119" s="3">
        <v>-47708.290999999997</v>
      </c>
      <c r="BS119" s="3">
        <f t="shared" si="51"/>
        <v>-252.01499999999942</v>
      </c>
      <c r="BT119" s="3">
        <v>-47973.754999999997</v>
      </c>
      <c r="BU119" s="3">
        <v>-47721.697</v>
      </c>
      <c r="BV119" s="3">
        <f t="shared" si="52"/>
        <v>-252.05799999999726</v>
      </c>
    </row>
    <row r="120" spans="1:74" x14ac:dyDescent="0.25">
      <c r="A120" t="s">
        <v>328</v>
      </c>
      <c r="B120" t="s">
        <v>514</v>
      </c>
      <c r="C120" t="s">
        <v>199</v>
      </c>
      <c r="D120" s="3">
        <v>13.55</v>
      </c>
      <c r="E120" s="3">
        <v>0.56000000000000005</v>
      </c>
      <c r="F120" s="3">
        <v>-360.52699999999999</v>
      </c>
      <c r="G120" s="3">
        <v>-362.69299999999998</v>
      </c>
      <c r="H120" s="3">
        <f t="shared" si="53"/>
        <v>-2.1659999999999968</v>
      </c>
      <c r="I120" s="3">
        <v>-0.36299999999999999</v>
      </c>
      <c r="J120" s="6">
        <v>-0.19900000000000001</v>
      </c>
      <c r="K120" s="3">
        <f t="shared" si="54"/>
        <v>0.16399999999999998</v>
      </c>
      <c r="L120" s="3">
        <v>0.16600000000000001</v>
      </c>
      <c r="M120" s="6">
        <v>4.9000000000000002E-2</v>
      </c>
      <c r="N120" s="3">
        <f t="shared" si="55"/>
        <v>-0.11700000000000001</v>
      </c>
      <c r="O120" s="3">
        <f t="shared" si="56"/>
        <v>9.849999999999999E-2</v>
      </c>
      <c r="P120" s="3">
        <f t="shared" si="56"/>
        <v>7.5000000000000011E-2</v>
      </c>
      <c r="Q120" s="3">
        <f t="shared" si="57"/>
        <v>-2.3499999999999979E-2</v>
      </c>
      <c r="R120" s="3">
        <f t="shared" si="58"/>
        <v>0.52900000000000003</v>
      </c>
      <c r="S120" s="3">
        <f t="shared" si="58"/>
        <v>0.248</v>
      </c>
      <c r="T120" s="3">
        <f t="shared" si="59"/>
        <v>-0.28100000000000003</v>
      </c>
      <c r="U120" s="3">
        <f t="shared" si="60"/>
        <v>-9.849999999999999E-2</v>
      </c>
      <c r="V120" s="3">
        <f t="shared" si="60"/>
        <v>-7.5000000000000011E-2</v>
      </c>
      <c r="W120" s="3">
        <f t="shared" si="71"/>
        <v>2.3499999999999979E-2</v>
      </c>
      <c r="X120" s="3">
        <f t="shared" si="67"/>
        <v>9.170368620037804E-3</v>
      </c>
      <c r="Y120" s="3">
        <f t="shared" si="68"/>
        <v>1.1340725806451617E-2</v>
      </c>
      <c r="Z120" s="3">
        <f t="shared" si="61"/>
        <v>2.1703571864138127E-3</v>
      </c>
      <c r="AA120" s="3">
        <v>12.847</v>
      </c>
      <c r="AB120" s="3">
        <v>12.135999999999999</v>
      </c>
      <c r="AC120" s="3">
        <f t="shared" si="62"/>
        <v>-0.7110000000000003</v>
      </c>
      <c r="AD120" s="3">
        <f>-360.387224*627.50956</f>
        <v>-226146.42836186144</v>
      </c>
      <c r="AE120" s="3">
        <f>-362.561925*627.50956</f>
        <v>-227511.07402950298</v>
      </c>
      <c r="AF120" s="3">
        <f t="shared" si="63"/>
        <v>-1364.6456676415401</v>
      </c>
      <c r="AG120" s="3">
        <f>-360.426548*627.50956</f>
        <v>-226171.1045477989</v>
      </c>
      <c r="AH120" s="3">
        <f>-362.602027*627.50956</f>
        <v>-227536.23841787811</v>
      </c>
      <c r="AI120" s="3">
        <f t="shared" si="64"/>
        <v>-1365.1338700792112</v>
      </c>
      <c r="AJ120" s="3">
        <v>-0.85799999999999998</v>
      </c>
      <c r="AK120" s="3">
        <v>-0.85499999999999998</v>
      </c>
      <c r="AL120" s="3">
        <f t="shared" si="65"/>
        <v>3.0000000000000027E-3</v>
      </c>
      <c r="AM120" s="3">
        <v>102.11181999999999</v>
      </c>
      <c r="AN120" s="3">
        <v>160.86483000000001</v>
      </c>
      <c r="AO120" s="3">
        <v>160.74037999999999</v>
      </c>
      <c r="AP120" s="3">
        <f t="shared" si="66"/>
        <v>1.1253831136051351</v>
      </c>
      <c r="AQ120" s="3">
        <v>9.6720000000000006</v>
      </c>
      <c r="AR120" s="3">
        <v>2.2802902</v>
      </c>
      <c r="AS120" s="3">
        <v>-76.454999999999998</v>
      </c>
      <c r="AT120" s="3">
        <v>-76.055000000000007</v>
      </c>
      <c r="AU120" s="3">
        <f t="shared" si="41"/>
        <v>-0.39999999999999147</v>
      </c>
      <c r="AV120" s="3">
        <v>-0.30399999999999999</v>
      </c>
      <c r="AW120" s="3">
        <v>-0.505</v>
      </c>
      <c r="AX120" s="3">
        <f t="shared" si="42"/>
        <v>0.20100000000000001</v>
      </c>
      <c r="AY120" s="3">
        <v>0.04</v>
      </c>
      <c r="AZ120" s="3">
        <v>0.16400000000000001</v>
      </c>
      <c r="BA120" s="3">
        <f t="shared" si="43"/>
        <v>-0.124</v>
      </c>
      <c r="BB120" s="3">
        <f t="shared" si="79"/>
        <v>0.13200000000000001</v>
      </c>
      <c r="BC120" s="3">
        <f t="shared" si="79"/>
        <v>0.17049999999999998</v>
      </c>
      <c r="BD120" s="3">
        <f t="shared" si="45"/>
        <v>-3.8499999999999979E-2</v>
      </c>
      <c r="BE120" s="3">
        <f t="shared" si="80"/>
        <v>0.34399999999999997</v>
      </c>
      <c r="BF120" s="3">
        <f t="shared" si="80"/>
        <v>0.66900000000000004</v>
      </c>
      <c r="BG120" s="3">
        <f t="shared" si="47"/>
        <v>-0.32500000000000007</v>
      </c>
      <c r="BH120" s="3">
        <f t="shared" si="81"/>
        <v>-0.13200000000000001</v>
      </c>
      <c r="BI120" s="3">
        <f t="shared" si="81"/>
        <v>-0.17049999999999998</v>
      </c>
      <c r="BJ120" s="3">
        <f t="shared" si="72"/>
        <v>3.8499999999999979E-2</v>
      </c>
      <c r="BK120" s="3">
        <f t="shared" si="69"/>
        <v>2.5325581395348844E-2</v>
      </c>
      <c r="BL120" s="3">
        <f t="shared" si="70"/>
        <v>2.1726644245141997E-2</v>
      </c>
      <c r="BM120" s="3">
        <f t="shared" si="49"/>
        <v>3.5989371502068469E-3</v>
      </c>
      <c r="BN120" s="3">
        <v>2.3010000000000002</v>
      </c>
      <c r="BO120" s="3">
        <v>2.3559999999999999</v>
      </c>
      <c r="BP120" s="3">
        <f t="shared" si="50"/>
        <v>-5.4999999999999716E-2</v>
      </c>
      <c r="BQ120" s="3">
        <v>-47960.305999999997</v>
      </c>
      <c r="BR120" s="3">
        <v>-47708.290999999997</v>
      </c>
      <c r="BS120" s="3">
        <f t="shared" si="51"/>
        <v>-252.01499999999942</v>
      </c>
      <c r="BT120" s="3">
        <v>-47973.754999999997</v>
      </c>
      <c r="BU120" s="3">
        <v>-47721.697</v>
      </c>
      <c r="BV120" s="3">
        <f t="shared" si="52"/>
        <v>-252.05799999999726</v>
      </c>
    </row>
    <row r="121" spans="1:74" x14ac:dyDescent="0.25">
      <c r="A121" t="s">
        <v>329</v>
      </c>
      <c r="B121" t="s">
        <v>514</v>
      </c>
      <c r="C121" t="s">
        <v>103</v>
      </c>
      <c r="D121" s="3">
        <v>13.58</v>
      </c>
      <c r="E121" s="3">
        <v>0.77</v>
      </c>
      <c r="F121" s="3">
        <v>-360.32299999999998</v>
      </c>
      <c r="G121" s="3">
        <v>-362.69900000000001</v>
      </c>
      <c r="H121" s="3">
        <f t="shared" si="53"/>
        <v>-2.3760000000000332</v>
      </c>
      <c r="I121" s="3">
        <v>-0.35</v>
      </c>
      <c r="J121" s="6">
        <v>-0.22600000000000001</v>
      </c>
      <c r="K121" s="3">
        <f t="shared" si="54"/>
        <v>0.12399999999999997</v>
      </c>
      <c r="L121" s="3">
        <v>0.151</v>
      </c>
      <c r="M121" s="6">
        <v>3.2000000000000001E-2</v>
      </c>
      <c r="N121" s="3">
        <f t="shared" si="55"/>
        <v>-0.11899999999999999</v>
      </c>
      <c r="O121" s="3">
        <f t="shared" si="56"/>
        <v>9.9499999999999991E-2</v>
      </c>
      <c r="P121" s="3">
        <f t="shared" si="56"/>
        <v>9.7000000000000003E-2</v>
      </c>
      <c r="Q121" s="3">
        <f t="shared" si="57"/>
        <v>-2.4999999999999883E-3</v>
      </c>
      <c r="R121" s="3">
        <f t="shared" si="58"/>
        <v>0.501</v>
      </c>
      <c r="S121" s="3">
        <f t="shared" si="58"/>
        <v>0.25800000000000001</v>
      </c>
      <c r="T121" s="3">
        <f t="shared" si="59"/>
        <v>-0.24299999999999999</v>
      </c>
      <c r="U121" s="3">
        <f t="shared" si="60"/>
        <v>-9.9499999999999991E-2</v>
      </c>
      <c r="V121" s="3">
        <f t="shared" si="60"/>
        <v>-9.7000000000000003E-2</v>
      </c>
      <c r="W121" s="3">
        <f t="shared" si="71"/>
        <v>2.4999999999999883E-3</v>
      </c>
      <c r="X121" s="3">
        <f t="shared" si="67"/>
        <v>9.8804890219560855E-3</v>
      </c>
      <c r="Y121" s="3">
        <f t="shared" si="68"/>
        <v>1.8234496124031007E-2</v>
      </c>
      <c r="Z121" s="3">
        <f t="shared" si="61"/>
        <v>8.3540071020749215E-3</v>
      </c>
      <c r="AA121" s="3">
        <v>3.464</v>
      </c>
      <c r="AB121" s="3">
        <v>3.4630000000000001</v>
      </c>
      <c r="AC121" s="3">
        <f t="shared" si="62"/>
        <v>-9.9999999999988987E-4</v>
      </c>
      <c r="AD121" s="3">
        <f>-360.111677*627.50956</f>
        <v>-225973.51998513209</v>
      </c>
      <c r="AE121" s="3">
        <f>-362.500641*627.50956</f>
        <v>-227472.61773362794</v>
      </c>
      <c r="AF121" s="3">
        <f t="shared" si="63"/>
        <v>-1499.0977484958421</v>
      </c>
      <c r="AG121" s="3">
        <f>-360.156222*627.50956</f>
        <v>-226001.47239848232</v>
      </c>
      <c r="AH121" s="3">
        <f>-362.546223*627.50956</f>
        <v>-227501.22087439187</v>
      </c>
      <c r="AI121" s="3">
        <f t="shared" si="64"/>
        <v>-1499.7484759095532</v>
      </c>
      <c r="AJ121" s="3">
        <v>-0.86</v>
      </c>
      <c r="AK121" s="3">
        <v>-0.80100000000000005</v>
      </c>
      <c r="AL121" s="3">
        <f t="shared" si="65"/>
        <v>5.8999999999999941E-2</v>
      </c>
      <c r="AM121" s="3">
        <v>115.17682000000001</v>
      </c>
      <c r="AN121" s="3">
        <v>192.17699999999999</v>
      </c>
      <c r="AO121" s="3">
        <v>207.78716</v>
      </c>
      <c r="AP121" s="3">
        <f t="shared" si="66"/>
        <v>1.1329521164383385</v>
      </c>
      <c r="AQ121" s="3">
        <v>8.8659999999999997</v>
      </c>
      <c r="AR121" s="3">
        <v>1.9687030000000001</v>
      </c>
      <c r="AS121" s="3">
        <v>-959.76900000000001</v>
      </c>
      <c r="AT121" s="3">
        <v>-958.05</v>
      </c>
      <c r="AU121" s="3">
        <f t="shared" si="41"/>
        <v>-1.7190000000000509</v>
      </c>
      <c r="AV121" s="3">
        <v>-0.317</v>
      </c>
      <c r="AW121" s="3">
        <v>-0.45</v>
      </c>
      <c r="AX121" s="3">
        <f t="shared" si="42"/>
        <v>0.13300000000000001</v>
      </c>
      <c r="AY121" s="3">
        <v>-2.4E-2</v>
      </c>
      <c r="AZ121" s="3">
        <v>0.13500000000000001</v>
      </c>
      <c r="BA121" s="3">
        <f t="shared" si="43"/>
        <v>-0.159</v>
      </c>
      <c r="BB121" s="3">
        <f t="shared" si="79"/>
        <v>0.17050000000000001</v>
      </c>
      <c r="BC121" s="3">
        <f t="shared" si="79"/>
        <v>0.1575</v>
      </c>
      <c r="BD121" s="3">
        <f t="shared" si="45"/>
        <v>1.3000000000000012E-2</v>
      </c>
      <c r="BE121" s="3">
        <f t="shared" si="80"/>
        <v>0.29299999999999998</v>
      </c>
      <c r="BF121" s="3">
        <f t="shared" si="80"/>
        <v>0.58499999999999996</v>
      </c>
      <c r="BG121" s="3">
        <f t="shared" si="47"/>
        <v>-0.29199999999999998</v>
      </c>
      <c r="BH121" s="3">
        <f t="shared" si="81"/>
        <v>-0.17050000000000001</v>
      </c>
      <c r="BI121" s="3">
        <f t="shared" si="81"/>
        <v>-0.1575</v>
      </c>
      <c r="BJ121" s="3">
        <f t="shared" si="72"/>
        <v>-1.3000000000000012E-2</v>
      </c>
      <c r="BK121" s="3">
        <f t="shared" si="69"/>
        <v>4.9607935153583631E-2</v>
      </c>
      <c r="BL121" s="3">
        <f t="shared" si="70"/>
        <v>2.120192307692308E-2</v>
      </c>
      <c r="BM121" s="3">
        <f t="shared" si="49"/>
        <v>2.8406012076660551E-2</v>
      </c>
      <c r="BN121" s="3">
        <v>2.2370000000000001</v>
      </c>
      <c r="BO121" s="3">
        <v>2.431</v>
      </c>
      <c r="BP121" s="3">
        <f t="shared" si="50"/>
        <v>-0.19399999999999995</v>
      </c>
      <c r="BQ121" s="3">
        <v>-602243.07700000005</v>
      </c>
      <c r="BR121" s="3">
        <v>-601163.24300000002</v>
      </c>
      <c r="BS121" s="3">
        <f t="shared" si="51"/>
        <v>-1079.8340000000317</v>
      </c>
      <c r="BT121" s="3">
        <v>-602262.36399999994</v>
      </c>
      <c r="BU121" s="3">
        <v>-601182.38500000001</v>
      </c>
      <c r="BV121" s="3">
        <f t="shared" si="52"/>
        <v>-1079.9789999999339</v>
      </c>
    </row>
    <row r="122" spans="1:74" x14ac:dyDescent="0.25">
      <c r="A122" t="s">
        <v>330</v>
      </c>
      <c r="B122" t="s">
        <v>514</v>
      </c>
      <c r="C122" t="s">
        <v>99</v>
      </c>
      <c r="D122" s="3">
        <v>13.6</v>
      </c>
      <c r="E122" s="3">
        <v>0.84</v>
      </c>
      <c r="F122" s="3">
        <v>-167.346</v>
      </c>
      <c r="G122" s="3">
        <v>-168.26599999999999</v>
      </c>
      <c r="H122" s="3">
        <f t="shared" si="53"/>
        <v>-0.91999999999998749</v>
      </c>
      <c r="I122" s="3">
        <v>-0.34200000000000003</v>
      </c>
      <c r="J122" s="6">
        <v>-0.20300000000000001</v>
      </c>
      <c r="K122" s="3">
        <f t="shared" si="54"/>
        <v>0.13900000000000001</v>
      </c>
      <c r="L122" s="3">
        <v>0.33900000000000002</v>
      </c>
      <c r="M122" s="6">
        <v>0.159</v>
      </c>
      <c r="N122" s="3">
        <f t="shared" si="55"/>
        <v>-0.18000000000000002</v>
      </c>
      <c r="O122" s="3">
        <f t="shared" si="56"/>
        <v>1.5000000000000013E-3</v>
      </c>
      <c r="P122" s="3">
        <f t="shared" si="56"/>
        <v>2.2000000000000006E-2</v>
      </c>
      <c r="Q122" s="3">
        <f t="shared" si="57"/>
        <v>2.0500000000000004E-2</v>
      </c>
      <c r="R122" s="3">
        <f t="shared" si="58"/>
        <v>0.68100000000000005</v>
      </c>
      <c r="S122" s="3">
        <f t="shared" si="58"/>
        <v>0.36199999999999999</v>
      </c>
      <c r="T122" s="3">
        <f t="shared" si="59"/>
        <v>-0.31900000000000006</v>
      </c>
      <c r="U122" s="3">
        <f t="shared" si="60"/>
        <v>-1.5000000000000013E-3</v>
      </c>
      <c r="V122" s="3">
        <f t="shared" si="60"/>
        <v>-2.2000000000000006E-2</v>
      </c>
      <c r="W122" s="3">
        <f t="shared" si="71"/>
        <v>-2.0500000000000004E-2</v>
      </c>
      <c r="X122" s="3">
        <f t="shared" si="67"/>
        <v>1.6519823788546283E-6</v>
      </c>
      <c r="Y122" s="3">
        <f t="shared" si="68"/>
        <v>6.6850828729281807E-4</v>
      </c>
      <c r="Z122" s="3">
        <f t="shared" si="61"/>
        <v>6.6685630491396339E-4</v>
      </c>
      <c r="AA122" s="3">
        <v>1.6819999999999999</v>
      </c>
      <c r="AB122" s="3">
        <v>1.819</v>
      </c>
      <c r="AC122" s="3">
        <f t="shared" si="62"/>
        <v>0.13700000000000001</v>
      </c>
      <c r="AD122" s="3">
        <f>-167.330283*627.50956</f>
        <v>-105001.35226000549</v>
      </c>
      <c r="AE122" s="3">
        <f>-168.251309*627.50956</f>
        <v>-105579.30488001402</v>
      </c>
      <c r="AF122" s="3">
        <f t="shared" si="63"/>
        <v>-577.95262000853836</v>
      </c>
      <c r="AG122" s="3">
        <f>-167.355035*627.50956</f>
        <v>-105016.88437663458</v>
      </c>
      <c r="AH122" s="3">
        <f>-168.276207*627.50956</f>
        <v>-105594.92861303891</v>
      </c>
      <c r="AI122" s="3">
        <f t="shared" si="64"/>
        <v>-578.04423640432651</v>
      </c>
      <c r="AJ122" s="3">
        <v>-0.91200000000000003</v>
      </c>
      <c r="AK122" s="3">
        <v>-0.83899999999999997</v>
      </c>
      <c r="AL122" s="3">
        <f t="shared" si="65"/>
        <v>7.3000000000000065E-2</v>
      </c>
      <c r="AM122" s="3">
        <v>42.016800000000003</v>
      </c>
      <c r="AN122" s="3">
        <v>69.660659999999993</v>
      </c>
      <c r="AO122" s="3">
        <v>52.07864</v>
      </c>
      <c r="AP122" s="3">
        <f t="shared" si="66"/>
        <v>1.0330875132296984</v>
      </c>
      <c r="AQ122" s="3">
        <v>5.4790000000000001</v>
      </c>
      <c r="AR122" s="3">
        <v>1.0166820000000001</v>
      </c>
      <c r="AS122" s="3">
        <v>-132.80099999999999</v>
      </c>
      <c r="AT122" s="3">
        <v>-131.97</v>
      </c>
      <c r="AU122" s="3">
        <f t="shared" si="41"/>
        <v>-0.83099999999998886</v>
      </c>
      <c r="AV122" s="3">
        <v>-0.34100000000000003</v>
      </c>
      <c r="AW122" s="3">
        <v>-0.47499999999999998</v>
      </c>
      <c r="AX122" s="3">
        <f t="shared" si="42"/>
        <v>0.13399999999999995</v>
      </c>
      <c r="AY122" s="3">
        <v>2.9000000000000001E-2</v>
      </c>
      <c r="AZ122" s="3">
        <v>0.156</v>
      </c>
      <c r="BA122" s="3">
        <f t="shared" si="43"/>
        <v>-0.127</v>
      </c>
      <c r="BB122" s="3">
        <f t="shared" si="79"/>
        <v>0.156</v>
      </c>
      <c r="BC122" s="3">
        <f t="shared" si="79"/>
        <v>0.15949999999999998</v>
      </c>
      <c r="BD122" s="3">
        <f t="shared" si="45"/>
        <v>-3.4999999999999754E-3</v>
      </c>
      <c r="BE122" s="3">
        <f t="shared" si="80"/>
        <v>0.37000000000000005</v>
      </c>
      <c r="BF122" s="3">
        <f t="shared" si="80"/>
        <v>0.63100000000000001</v>
      </c>
      <c r="BG122" s="3">
        <f t="shared" si="47"/>
        <v>-0.26099999999999995</v>
      </c>
      <c r="BH122" s="3">
        <f t="shared" si="81"/>
        <v>-0.156</v>
      </c>
      <c r="BI122" s="3">
        <f t="shared" si="81"/>
        <v>-0.15949999999999998</v>
      </c>
      <c r="BJ122" s="3">
        <f t="shared" si="72"/>
        <v>3.4999999999999754E-3</v>
      </c>
      <c r="BK122" s="3">
        <f t="shared" si="69"/>
        <v>3.2886486486486483E-2</v>
      </c>
      <c r="BL122" s="3">
        <f t="shared" si="70"/>
        <v>2.0158676703645E-2</v>
      </c>
      <c r="BM122" s="3">
        <f t="shared" si="49"/>
        <v>1.2727809782841482E-2</v>
      </c>
      <c r="BN122" s="3">
        <v>4.7279999999999998</v>
      </c>
      <c r="BO122" s="3">
        <v>4.9340000000000002</v>
      </c>
      <c r="BP122" s="3">
        <f t="shared" si="50"/>
        <v>-0.20600000000000041</v>
      </c>
      <c r="BQ122" s="3">
        <v>-83302.89</v>
      </c>
      <c r="BR122" s="3">
        <v>-82779.224000000002</v>
      </c>
      <c r="BS122" s="3">
        <f t="shared" si="51"/>
        <v>-523.66599999999744</v>
      </c>
      <c r="BT122" s="3">
        <v>-83320.774999999994</v>
      </c>
      <c r="BU122" s="3">
        <v>-82796.997000000003</v>
      </c>
      <c r="BV122" s="3">
        <f t="shared" si="52"/>
        <v>-523.77799999999115</v>
      </c>
    </row>
    <row r="123" spans="1:74" x14ac:dyDescent="0.25">
      <c r="A123" t="s">
        <v>331</v>
      </c>
      <c r="B123" t="s">
        <v>514</v>
      </c>
      <c r="C123" t="s">
        <v>199</v>
      </c>
      <c r="D123" s="3">
        <v>13.65</v>
      </c>
      <c r="E123" s="3">
        <v>0.56999999999999995</v>
      </c>
      <c r="F123" s="3">
        <v>-399.57100000000003</v>
      </c>
      <c r="G123" s="3">
        <v>-402.02100000000002</v>
      </c>
      <c r="H123" s="3">
        <f t="shared" si="53"/>
        <v>-2.4499999999999886</v>
      </c>
      <c r="I123" s="3">
        <v>-0.34</v>
      </c>
      <c r="J123" s="6">
        <v>-0.192</v>
      </c>
      <c r="K123" s="3">
        <f t="shared" si="54"/>
        <v>0.14800000000000002</v>
      </c>
      <c r="L123" s="3">
        <v>0.17100000000000001</v>
      </c>
      <c r="M123" s="6">
        <v>5.7000000000000002E-2</v>
      </c>
      <c r="N123" s="3">
        <f t="shared" si="55"/>
        <v>-0.11400000000000002</v>
      </c>
      <c r="O123" s="3">
        <f t="shared" si="56"/>
        <v>8.4500000000000006E-2</v>
      </c>
      <c r="P123" s="3">
        <f t="shared" si="56"/>
        <v>6.7500000000000004E-2</v>
      </c>
      <c r="Q123" s="3">
        <f t="shared" si="57"/>
        <v>-1.7000000000000001E-2</v>
      </c>
      <c r="R123" s="3">
        <f t="shared" si="58"/>
        <v>0.51100000000000001</v>
      </c>
      <c r="S123" s="3">
        <f t="shared" si="58"/>
        <v>0.249</v>
      </c>
      <c r="T123" s="3">
        <f t="shared" si="59"/>
        <v>-0.26200000000000001</v>
      </c>
      <c r="U123" s="3">
        <f t="shared" si="60"/>
        <v>-8.4500000000000006E-2</v>
      </c>
      <c r="V123" s="3">
        <f t="shared" si="60"/>
        <v>-6.7500000000000004E-2</v>
      </c>
      <c r="W123" s="3">
        <f t="shared" si="71"/>
        <v>1.7000000000000001E-2</v>
      </c>
      <c r="X123" s="3">
        <f t="shared" si="67"/>
        <v>6.9865459882583174E-3</v>
      </c>
      <c r="Y123" s="3">
        <f t="shared" si="68"/>
        <v>9.14909638554217E-3</v>
      </c>
      <c r="Z123" s="3">
        <f t="shared" si="61"/>
        <v>2.1625503972838526E-3</v>
      </c>
      <c r="AA123" s="3">
        <v>8.4600000000000009</v>
      </c>
      <c r="AB123" s="3">
        <v>7.5979999999999999</v>
      </c>
      <c r="AC123" s="3">
        <f t="shared" si="62"/>
        <v>-0.86200000000000099</v>
      </c>
      <c r="AD123" s="3">
        <f>-399.399947*627.50956</f>
        <v>-250627.2850059933</v>
      </c>
      <c r="AE123" s="3">
        <f>-401.860393*627.50956</f>
        <v>-252171.23839285705</v>
      </c>
      <c r="AF123" s="3">
        <f t="shared" si="63"/>
        <v>-1543.9533868637518</v>
      </c>
      <c r="AG123" s="3">
        <f>-399.443265*627.50956</f>
        <v>-250654.46746511338</v>
      </c>
      <c r="AH123" s="3">
        <f>-401.904578*627.50956</f>
        <v>-252198.96490276567</v>
      </c>
      <c r="AI123" s="3">
        <f t="shared" si="64"/>
        <v>-1544.4974376522878</v>
      </c>
      <c r="AJ123" s="3">
        <v>-0.86599999999999999</v>
      </c>
      <c r="AK123" s="3">
        <v>-0.874</v>
      </c>
      <c r="AL123" s="3">
        <f t="shared" si="65"/>
        <v>-8.0000000000000071E-3</v>
      </c>
      <c r="AM123" s="3">
        <v>116.1384</v>
      </c>
      <c r="AN123" s="3">
        <v>172.95372</v>
      </c>
      <c r="AO123" s="3">
        <v>184.96025</v>
      </c>
      <c r="AP123" s="3">
        <f t="shared" si="66"/>
        <v>1.1018781945738372</v>
      </c>
      <c r="AQ123" s="3">
        <v>7.867</v>
      </c>
      <c r="AR123" s="3">
        <v>1.9750512</v>
      </c>
      <c r="AS123" s="3">
        <v>-76.454999999999998</v>
      </c>
      <c r="AT123" s="3">
        <v>-76.055000000000007</v>
      </c>
      <c r="AU123" s="3">
        <f t="shared" si="41"/>
        <v>-0.39999999999999147</v>
      </c>
      <c r="AV123" s="3">
        <v>-0.30399999999999999</v>
      </c>
      <c r="AW123" s="3">
        <v>-0.505</v>
      </c>
      <c r="AX123" s="3">
        <f t="shared" si="42"/>
        <v>0.20100000000000001</v>
      </c>
      <c r="AY123" s="3">
        <v>0.04</v>
      </c>
      <c r="AZ123" s="3">
        <v>0.16400000000000001</v>
      </c>
      <c r="BA123" s="3">
        <f t="shared" si="43"/>
        <v>-0.124</v>
      </c>
      <c r="BB123" s="3">
        <f t="shared" si="79"/>
        <v>0.13200000000000001</v>
      </c>
      <c r="BC123" s="3">
        <f t="shared" si="79"/>
        <v>0.17049999999999998</v>
      </c>
      <c r="BD123" s="3">
        <f t="shared" si="45"/>
        <v>-3.8499999999999979E-2</v>
      </c>
      <c r="BE123" s="3">
        <f t="shared" si="80"/>
        <v>0.34399999999999997</v>
      </c>
      <c r="BF123" s="3">
        <f t="shared" si="80"/>
        <v>0.66900000000000004</v>
      </c>
      <c r="BG123" s="3">
        <f t="shared" si="47"/>
        <v>-0.32500000000000007</v>
      </c>
      <c r="BH123" s="3">
        <f t="shared" si="81"/>
        <v>-0.13200000000000001</v>
      </c>
      <c r="BI123" s="3">
        <f t="shared" si="81"/>
        <v>-0.17049999999999998</v>
      </c>
      <c r="BJ123" s="3">
        <f t="shared" si="72"/>
        <v>3.8499999999999979E-2</v>
      </c>
      <c r="BK123" s="3">
        <f t="shared" si="69"/>
        <v>2.5325581395348844E-2</v>
      </c>
      <c r="BL123" s="3">
        <f t="shared" si="70"/>
        <v>2.1726644245141997E-2</v>
      </c>
      <c r="BM123" s="3">
        <f t="shared" si="49"/>
        <v>3.5989371502068469E-3</v>
      </c>
      <c r="BN123" s="3">
        <v>2.3010000000000002</v>
      </c>
      <c r="BO123" s="3">
        <v>2.3559999999999999</v>
      </c>
      <c r="BP123" s="3">
        <f t="shared" si="50"/>
        <v>-5.4999999999999716E-2</v>
      </c>
      <c r="BQ123" s="3">
        <v>-47960.305999999997</v>
      </c>
      <c r="BR123" s="3">
        <v>-47708.290999999997</v>
      </c>
      <c r="BS123" s="3">
        <f t="shared" si="51"/>
        <v>-252.01499999999942</v>
      </c>
      <c r="BT123" s="3">
        <v>-47973.754999999997</v>
      </c>
      <c r="BU123" s="3">
        <v>-47721.697</v>
      </c>
      <c r="BV123" s="3">
        <f t="shared" si="52"/>
        <v>-252.05799999999726</v>
      </c>
    </row>
    <row r="124" spans="1:74" x14ac:dyDescent="0.25">
      <c r="A124" t="s">
        <v>258</v>
      </c>
      <c r="B124" t="s">
        <v>514</v>
      </c>
      <c r="C124" t="s">
        <v>103</v>
      </c>
      <c r="D124" s="3">
        <v>13.7</v>
      </c>
      <c r="E124" s="3">
        <v>0.67</v>
      </c>
      <c r="F124" s="3">
        <v>-285.803</v>
      </c>
      <c r="G124" s="3">
        <v>-287.68099999999998</v>
      </c>
      <c r="H124" s="3">
        <f t="shared" si="53"/>
        <v>-1.8779999999999859</v>
      </c>
      <c r="I124" s="3">
        <v>-0.34899999999999998</v>
      </c>
      <c r="J124" s="6">
        <v>-0.26500000000000001</v>
      </c>
      <c r="K124" s="3">
        <f t="shared" si="54"/>
        <v>8.3999999999999964E-2</v>
      </c>
      <c r="L124" s="3">
        <v>0.11799999999999999</v>
      </c>
      <c r="M124" s="6">
        <v>-3.1E-2</v>
      </c>
      <c r="N124" s="3">
        <f t="shared" si="55"/>
        <v>-0.14899999999999999</v>
      </c>
      <c r="O124" s="3">
        <f t="shared" si="56"/>
        <v>0.11549999999999999</v>
      </c>
      <c r="P124" s="3">
        <f t="shared" si="56"/>
        <v>0.14800000000000002</v>
      </c>
      <c r="Q124" s="3">
        <f t="shared" si="57"/>
        <v>3.2500000000000029E-2</v>
      </c>
      <c r="R124" s="3">
        <f t="shared" si="58"/>
        <v>0.46699999999999997</v>
      </c>
      <c r="S124" s="3">
        <f t="shared" si="58"/>
        <v>0.23400000000000001</v>
      </c>
      <c r="T124" s="3">
        <f t="shared" si="59"/>
        <v>-0.23299999999999996</v>
      </c>
      <c r="U124" s="3">
        <f t="shared" si="60"/>
        <v>-0.11549999999999999</v>
      </c>
      <c r="V124" s="3">
        <f t="shared" si="60"/>
        <v>-0.14800000000000002</v>
      </c>
      <c r="W124" s="3">
        <f t="shared" si="71"/>
        <v>-3.2500000000000029E-2</v>
      </c>
      <c r="X124" s="3">
        <f t="shared" si="67"/>
        <v>1.4282922912205566E-2</v>
      </c>
      <c r="Y124" s="3">
        <f t="shared" si="68"/>
        <v>4.6803418803418817E-2</v>
      </c>
      <c r="Z124" s="3">
        <f t="shared" si="61"/>
        <v>3.2520495891213252E-2</v>
      </c>
      <c r="AA124" s="3">
        <v>3.4169999999999998</v>
      </c>
      <c r="AB124" s="3">
        <v>3.3959999999999999</v>
      </c>
      <c r="AC124" s="3">
        <f t="shared" si="62"/>
        <v>-2.0999999999999908E-2</v>
      </c>
      <c r="AD124" s="3">
        <f>-285.673656*627.50956</f>
        <v>-179262.95018015135</v>
      </c>
      <c r="AE124" s="3">
        <f>-287.557795*627.50956</f>
        <v>-180445.2654150202</v>
      </c>
      <c r="AF124" s="3">
        <f t="shared" si="63"/>
        <v>-1182.3152348688454</v>
      </c>
      <c r="AG124" s="3">
        <f>-285.708201*627.50956</f>
        <v>-179284.62749790153</v>
      </c>
      <c r="AH124" s="3">
        <f>-287.595278*627.50956</f>
        <v>-180468.78635585768</v>
      </c>
      <c r="AI124" s="3">
        <f t="shared" si="64"/>
        <v>-1184.1588579561503</v>
      </c>
      <c r="AJ124" s="3">
        <v>-0.55200000000000005</v>
      </c>
      <c r="AK124" s="3">
        <v>-0.49199999999999999</v>
      </c>
      <c r="AL124" s="3">
        <f t="shared" si="65"/>
        <v>6.0000000000000053E-2</v>
      </c>
      <c r="AM124" s="3">
        <v>93.126480000000001</v>
      </c>
      <c r="AN124" s="3">
        <v>155.56567000000001</v>
      </c>
      <c r="AO124" s="3">
        <v>157.00948</v>
      </c>
      <c r="AP124" s="3">
        <f t="shared" si="66"/>
        <v>1.1054840068624316</v>
      </c>
      <c r="AQ124" s="3">
        <v>7.8959999999999999</v>
      </c>
      <c r="AR124" s="3">
        <v>1.7489433999999999</v>
      </c>
      <c r="AS124" s="3">
        <v>-959.76900000000001</v>
      </c>
      <c r="AT124" s="3">
        <v>-958.05</v>
      </c>
      <c r="AU124" s="3">
        <f t="shared" si="41"/>
        <v>-1.7190000000000509</v>
      </c>
      <c r="AV124" s="3">
        <v>-0.317</v>
      </c>
      <c r="AW124" s="3">
        <v>-0.45</v>
      </c>
      <c r="AX124" s="3">
        <f t="shared" si="42"/>
        <v>0.13300000000000001</v>
      </c>
      <c r="AY124" s="3">
        <v>-2.4E-2</v>
      </c>
      <c r="AZ124" s="3">
        <v>0.13500000000000001</v>
      </c>
      <c r="BA124" s="3">
        <f t="shared" si="43"/>
        <v>-0.159</v>
      </c>
      <c r="BB124" s="3">
        <f t="shared" si="79"/>
        <v>0.17050000000000001</v>
      </c>
      <c r="BC124" s="3">
        <f t="shared" si="79"/>
        <v>0.1575</v>
      </c>
      <c r="BD124" s="3">
        <f t="shared" si="45"/>
        <v>1.3000000000000012E-2</v>
      </c>
      <c r="BE124" s="3">
        <f t="shared" si="80"/>
        <v>0.29299999999999998</v>
      </c>
      <c r="BF124" s="3">
        <f t="shared" si="80"/>
        <v>0.58499999999999996</v>
      </c>
      <c r="BG124" s="3">
        <f t="shared" si="47"/>
        <v>-0.29199999999999998</v>
      </c>
      <c r="BH124" s="3">
        <f t="shared" si="81"/>
        <v>-0.17050000000000001</v>
      </c>
      <c r="BI124" s="3">
        <f t="shared" si="81"/>
        <v>-0.1575</v>
      </c>
      <c r="BJ124" s="3">
        <f t="shared" si="72"/>
        <v>-1.3000000000000012E-2</v>
      </c>
      <c r="BK124" s="3">
        <f t="shared" si="69"/>
        <v>4.9607935153583631E-2</v>
      </c>
      <c r="BL124" s="3">
        <f t="shared" si="70"/>
        <v>2.120192307692308E-2</v>
      </c>
      <c r="BM124" s="3">
        <f t="shared" si="49"/>
        <v>2.8406012076660551E-2</v>
      </c>
      <c r="BN124" s="3">
        <v>2.2370000000000001</v>
      </c>
      <c r="BO124" s="3">
        <v>2.431</v>
      </c>
      <c r="BP124" s="3">
        <f t="shared" si="50"/>
        <v>-0.19399999999999995</v>
      </c>
      <c r="BQ124" s="3">
        <v>-602243.07700000005</v>
      </c>
      <c r="BR124" s="3">
        <v>-601163.24300000002</v>
      </c>
      <c r="BS124" s="3">
        <f t="shared" si="51"/>
        <v>-1079.8340000000317</v>
      </c>
      <c r="BT124" s="3">
        <v>-602262.36399999994</v>
      </c>
      <c r="BU124" s="3">
        <v>-601182.38500000001</v>
      </c>
      <c r="BV124" s="3">
        <f t="shared" si="52"/>
        <v>-1079.9789999999339</v>
      </c>
    </row>
    <row r="125" spans="1:74" x14ac:dyDescent="0.25">
      <c r="A125" t="s">
        <v>332</v>
      </c>
      <c r="B125" t="s">
        <v>514</v>
      </c>
      <c r="C125" t="s">
        <v>103</v>
      </c>
      <c r="D125" s="3">
        <v>13.7</v>
      </c>
      <c r="E125" s="3">
        <v>0.67</v>
      </c>
      <c r="F125" s="3">
        <v>-360.66500000000002</v>
      </c>
      <c r="G125" s="3">
        <v>-362.90199999999999</v>
      </c>
      <c r="H125" s="3">
        <f t="shared" si="53"/>
        <v>-2.2369999999999663</v>
      </c>
      <c r="I125" s="3">
        <v>-0.35399999999999998</v>
      </c>
      <c r="J125" s="6">
        <v>-0.27</v>
      </c>
      <c r="K125" s="3">
        <f t="shared" si="54"/>
        <v>8.3999999999999964E-2</v>
      </c>
      <c r="L125" s="3">
        <v>0.12</v>
      </c>
      <c r="M125" s="6">
        <v>-3.2000000000000001E-2</v>
      </c>
      <c r="N125" s="3">
        <f t="shared" si="55"/>
        <v>-0.152</v>
      </c>
      <c r="O125" s="3">
        <f t="shared" si="56"/>
        <v>0.11699999999999999</v>
      </c>
      <c r="P125" s="3">
        <f t="shared" si="56"/>
        <v>0.15100000000000002</v>
      </c>
      <c r="Q125" s="3">
        <f t="shared" si="57"/>
        <v>3.400000000000003E-2</v>
      </c>
      <c r="R125" s="3">
        <f t="shared" si="58"/>
        <v>0.47399999999999998</v>
      </c>
      <c r="S125" s="3">
        <f t="shared" si="58"/>
        <v>0.23800000000000002</v>
      </c>
      <c r="T125" s="3">
        <f t="shared" si="59"/>
        <v>-0.23599999999999996</v>
      </c>
      <c r="U125" s="3">
        <f t="shared" si="60"/>
        <v>-0.11699999999999999</v>
      </c>
      <c r="V125" s="3">
        <f t="shared" si="60"/>
        <v>-0.15100000000000002</v>
      </c>
      <c r="W125" s="3">
        <f t="shared" si="71"/>
        <v>-3.400000000000003E-2</v>
      </c>
      <c r="X125" s="3">
        <f t="shared" si="67"/>
        <v>1.4439873417721518E-2</v>
      </c>
      <c r="Y125" s="3">
        <f t="shared" si="68"/>
        <v>4.7901260504201688E-2</v>
      </c>
      <c r="Z125" s="3">
        <f t="shared" si="61"/>
        <v>3.3461387086480172E-2</v>
      </c>
      <c r="AA125" s="3">
        <v>3.2639999999999998</v>
      </c>
      <c r="AB125" s="3">
        <v>3.2</v>
      </c>
      <c r="AC125" s="3">
        <f t="shared" si="62"/>
        <v>-6.3999999999999613E-2</v>
      </c>
      <c r="AD125" s="3">
        <f>-360.529389*627.50956</f>
        <v>-226235.63825845881</v>
      </c>
      <c r="AE125" s="3">
        <f>-362.774788*627.50956</f>
        <v>-227644.64759697326</v>
      </c>
      <c r="AF125" s="3">
        <f t="shared" si="63"/>
        <v>-1409.0093385144428</v>
      </c>
      <c r="AG125" s="3">
        <f>-360.56632*627.50956</f>
        <v>-226258.81281401921</v>
      </c>
      <c r="AH125" s="3">
        <f>-362.812443*627.50956</f>
        <v>-227668.27646945504</v>
      </c>
      <c r="AI125" s="3">
        <f t="shared" si="64"/>
        <v>-1409.4636554358294</v>
      </c>
      <c r="AJ125" s="3">
        <v>-0.55600000000000005</v>
      </c>
      <c r="AK125" s="3">
        <v>-0.49199999999999999</v>
      </c>
      <c r="AL125" s="3">
        <f t="shared" si="65"/>
        <v>6.4000000000000057E-2</v>
      </c>
      <c r="AM125" s="3">
        <v>109.12588</v>
      </c>
      <c r="AN125" s="3">
        <v>167.23439999999999</v>
      </c>
      <c r="AO125" s="3">
        <v>169.55879999999999</v>
      </c>
      <c r="AP125" s="3">
        <f t="shared" si="66"/>
        <v>1.12901924239986</v>
      </c>
      <c r="AQ125" s="3">
        <v>8.6180000000000003</v>
      </c>
      <c r="AR125" s="3">
        <v>1.9461850000000001</v>
      </c>
      <c r="AS125" s="3">
        <v>-959.76900000000001</v>
      </c>
      <c r="AT125" s="3">
        <v>-958.05</v>
      </c>
      <c r="AU125" s="3">
        <f t="shared" si="41"/>
        <v>-1.7190000000000509</v>
      </c>
      <c r="AV125" s="3">
        <v>-0.317</v>
      </c>
      <c r="AW125" s="3">
        <v>-0.45</v>
      </c>
      <c r="AX125" s="3">
        <f t="shared" si="42"/>
        <v>0.13300000000000001</v>
      </c>
      <c r="AY125" s="3">
        <v>-2.4E-2</v>
      </c>
      <c r="AZ125" s="3">
        <v>0.13500000000000001</v>
      </c>
      <c r="BA125" s="3">
        <f t="shared" si="43"/>
        <v>-0.159</v>
      </c>
      <c r="BB125" s="3">
        <f t="shared" si="79"/>
        <v>0.17050000000000001</v>
      </c>
      <c r="BC125" s="3">
        <f t="shared" si="79"/>
        <v>0.1575</v>
      </c>
      <c r="BD125" s="3">
        <f t="shared" si="45"/>
        <v>1.3000000000000012E-2</v>
      </c>
      <c r="BE125" s="3">
        <f t="shared" si="80"/>
        <v>0.29299999999999998</v>
      </c>
      <c r="BF125" s="3">
        <f t="shared" si="80"/>
        <v>0.58499999999999996</v>
      </c>
      <c r="BG125" s="3">
        <f t="shared" si="47"/>
        <v>-0.29199999999999998</v>
      </c>
      <c r="BH125" s="3">
        <f t="shared" si="81"/>
        <v>-0.17050000000000001</v>
      </c>
      <c r="BI125" s="3">
        <f t="shared" si="81"/>
        <v>-0.1575</v>
      </c>
      <c r="BJ125" s="3">
        <f t="shared" si="72"/>
        <v>-1.3000000000000012E-2</v>
      </c>
      <c r="BK125" s="3">
        <f t="shared" si="69"/>
        <v>4.9607935153583631E-2</v>
      </c>
      <c r="BL125" s="3">
        <f t="shared" si="70"/>
        <v>2.120192307692308E-2</v>
      </c>
      <c r="BM125" s="3">
        <f t="shared" si="49"/>
        <v>2.8406012076660551E-2</v>
      </c>
      <c r="BN125" s="3">
        <v>2.2370000000000001</v>
      </c>
      <c r="BO125" s="3">
        <v>2.431</v>
      </c>
      <c r="BP125" s="3">
        <f t="shared" si="50"/>
        <v>-0.19399999999999995</v>
      </c>
      <c r="BQ125" s="3">
        <v>-602243.07700000005</v>
      </c>
      <c r="BR125" s="3">
        <v>-601163.24300000002</v>
      </c>
      <c r="BS125" s="3">
        <f t="shared" si="51"/>
        <v>-1079.8340000000317</v>
      </c>
      <c r="BT125" s="3">
        <v>-602262.36399999994</v>
      </c>
      <c r="BU125" s="3">
        <v>-601182.38500000001</v>
      </c>
      <c r="BV125" s="3">
        <f t="shared" si="52"/>
        <v>-1079.9789999999339</v>
      </c>
    </row>
    <row r="126" spans="1:74" x14ac:dyDescent="0.25">
      <c r="A126" t="s">
        <v>276</v>
      </c>
      <c r="B126" t="s">
        <v>514</v>
      </c>
      <c r="C126" t="s">
        <v>99</v>
      </c>
      <c r="D126" s="3">
        <v>13.77</v>
      </c>
      <c r="E126" s="3">
        <v>0.7</v>
      </c>
      <c r="F126" s="3">
        <v>-173.34100000000001</v>
      </c>
      <c r="G126" s="3">
        <v>-174.548</v>
      </c>
      <c r="H126" s="3">
        <f t="shared" si="53"/>
        <v>-1.2069999999999936</v>
      </c>
      <c r="I126" s="3">
        <v>-0.38900000000000001</v>
      </c>
      <c r="J126" s="6">
        <v>-0.24299999999999999</v>
      </c>
      <c r="K126" s="3">
        <f t="shared" si="54"/>
        <v>0.14600000000000002</v>
      </c>
      <c r="L126" s="3">
        <v>0.155</v>
      </c>
      <c r="M126" s="6">
        <v>3.9E-2</v>
      </c>
      <c r="N126" s="3">
        <f t="shared" si="55"/>
        <v>-0.11599999999999999</v>
      </c>
      <c r="O126" s="3">
        <f t="shared" si="56"/>
        <v>0.11700000000000001</v>
      </c>
      <c r="P126" s="3">
        <f t="shared" si="56"/>
        <v>0.10199999999999999</v>
      </c>
      <c r="Q126" s="3">
        <f t="shared" si="57"/>
        <v>-1.5000000000000013E-2</v>
      </c>
      <c r="R126" s="3">
        <f t="shared" si="58"/>
        <v>0.54400000000000004</v>
      </c>
      <c r="S126" s="3">
        <f t="shared" si="58"/>
        <v>0.28199999999999997</v>
      </c>
      <c r="T126" s="3">
        <f t="shared" si="59"/>
        <v>-0.26200000000000007</v>
      </c>
      <c r="U126" s="3">
        <f t="shared" si="60"/>
        <v>-0.11700000000000001</v>
      </c>
      <c r="V126" s="3">
        <f t="shared" si="60"/>
        <v>-0.10199999999999999</v>
      </c>
      <c r="W126" s="3">
        <f t="shared" si="71"/>
        <v>1.5000000000000013E-2</v>
      </c>
      <c r="X126" s="3">
        <f t="shared" si="67"/>
        <v>1.2581801470588235E-2</v>
      </c>
      <c r="Y126" s="3">
        <f t="shared" si="68"/>
        <v>1.8446808510638298E-2</v>
      </c>
      <c r="Z126" s="3">
        <f t="shared" si="61"/>
        <v>5.8650070400500624E-3</v>
      </c>
      <c r="AA126" s="3">
        <v>1.772</v>
      </c>
      <c r="AB126" s="3">
        <v>1.7430000000000001</v>
      </c>
      <c r="AC126" s="3">
        <f t="shared" si="62"/>
        <v>-2.8999999999999915E-2</v>
      </c>
      <c r="AD126" s="3">
        <f>-173.207097*627.50956</f>
        <v>-108689.10922734732</v>
      </c>
      <c r="AE126" s="3">
        <f>-174.421705*627.50956</f>
        <v>-109451.28735899979</v>
      </c>
      <c r="AF126" s="3">
        <f t="shared" si="63"/>
        <v>-762.17813165247208</v>
      </c>
      <c r="AG126" s="3">
        <f>-173.24064*627.50956</f>
        <v>-108710.15778051841</v>
      </c>
      <c r="AH126" s="3">
        <f>-174.455733*627.50956</f>
        <v>-109472.64025430748</v>
      </c>
      <c r="AI126" s="3">
        <f t="shared" si="64"/>
        <v>-762.48247378907399</v>
      </c>
      <c r="AJ126" s="3">
        <v>-0.871</v>
      </c>
      <c r="AK126" s="3">
        <v>-0.86699999999999999</v>
      </c>
      <c r="AL126" s="3">
        <f t="shared" si="65"/>
        <v>4.0000000000000036E-3</v>
      </c>
      <c r="AM126" s="3">
        <v>59.110259999999997</v>
      </c>
      <c r="AN126" s="3">
        <v>132.36959999999999</v>
      </c>
      <c r="AO126" s="3">
        <v>129.18709999999999</v>
      </c>
      <c r="AP126" s="3">
        <f t="shared" si="66"/>
        <v>1.0712679386508348</v>
      </c>
      <c r="AQ126" s="3">
        <v>6.7279999999999998</v>
      </c>
      <c r="AR126" s="3">
        <v>1.407017</v>
      </c>
      <c r="AS126" s="3">
        <v>-132.80099999999999</v>
      </c>
      <c r="AT126" s="3">
        <v>-131.97</v>
      </c>
      <c r="AU126" s="3">
        <f t="shared" si="41"/>
        <v>-0.83099999999998886</v>
      </c>
      <c r="AV126" s="3">
        <v>-0.34100000000000003</v>
      </c>
      <c r="AW126" s="3">
        <v>-0.47499999999999998</v>
      </c>
      <c r="AX126" s="3">
        <f t="shared" si="42"/>
        <v>0.13399999999999995</v>
      </c>
      <c r="AY126" s="3">
        <v>2.9000000000000001E-2</v>
      </c>
      <c r="AZ126" s="3">
        <v>0.156</v>
      </c>
      <c r="BA126" s="3">
        <f t="shared" si="43"/>
        <v>-0.127</v>
      </c>
      <c r="BB126" s="3">
        <f t="shared" si="79"/>
        <v>0.156</v>
      </c>
      <c r="BC126" s="3">
        <f t="shared" si="79"/>
        <v>0.15949999999999998</v>
      </c>
      <c r="BD126" s="3">
        <f t="shared" si="45"/>
        <v>-3.4999999999999754E-3</v>
      </c>
      <c r="BE126" s="3">
        <f t="shared" si="80"/>
        <v>0.37000000000000005</v>
      </c>
      <c r="BF126" s="3">
        <f t="shared" si="80"/>
        <v>0.63100000000000001</v>
      </c>
      <c r="BG126" s="3">
        <f t="shared" si="47"/>
        <v>-0.26099999999999995</v>
      </c>
      <c r="BH126" s="3">
        <f t="shared" si="81"/>
        <v>-0.156</v>
      </c>
      <c r="BI126" s="3">
        <f t="shared" si="81"/>
        <v>-0.15949999999999998</v>
      </c>
      <c r="BJ126" s="3">
        <f t="shared" si="72"/>
        <v>3.4999999999999754E-3</v>
      </c>
      <c r="BK126" s="3">
        <f t="shared" si="69"/>
        <v>3.2886486486486483E-2</v>
      </c>
      <c r="BL126" s="3">
        <f t="shared" si="70"/>
        <v>2.0158676703645E-2</v>
      </c>
      <c r="BM126" s="3">
        <f t="shared" si="49"/>
        <v>1.2727809782841482E-2</v>
      </c>
      <c r="BN126" s="3">
        <v>4.7279999999999998</v>
      </c>
      <c r="BO126" s="3">
        <v>4.9340000000000002</v>
      </c>
      <c r="BP126" s="3">
        <f t="shared" si="50"/>
        <v>-0.20600000000000041</v>
      </c>
      <c r="BQ126" s="3">
        <v>-83302.89</v>
      </c>
      <c r="BR126" s="3">
        <v>-82779.224000000002</v>
      </c>
      <c r="BS126" s="3">
        <f t="shared" si="51"/>
        <v>-523.66599999999744</v>
      </c>
      <c r="BT126" s="3">
        <v>-83320.774999999994</v>
      </c>
      <c r="BU126" s="3">
        <v>-82796.997000000003</v>
      </c>
      <c r="BV126" s="3">
        <f t="shared" si="52"/>
        <v>-523.77799999999115</v>
      </c>
    </row>
    <row r="127" spans="1:74" x14ac:dyDescent="0.25">
      <c r="A127" t="s">
        <v>333</v>
      </c>
      <c r="B127" t="s">
        <v>514</v>
      </c>
      <c r="C127" t="s">
        <v>199</v>
      </c>
      <c r="D127" s="3">
        <v>13.81</v>
      </c>
      <c r="E127" s="3">
        <v>0.53</v>
      </c>
      <c r="F127" s="3">
        <v>-508.673</v>
      </c>
      <c r="G127" s="3">
        <v>-511.52300000000002</v>
      </c>
      <c r="H127" s="3">
        <f t="shared" si="53"/>
        <v>-2.8500000000000227</v>
      </c>
      <c r="I127" s="3">
        <v>-0.34300000000000003</v>
      </c>
      <c r="J127" s="6">
        <v>-0.193</v>
      </c>
      <c r="K127" s="3">
        <f t="shared" si="54"/>
        <v>0.15000000000000002</v>
      </c>
      <c r="L127" s="3">
        <v>0.20399999999999999</v>
      </c>
      <c r="M127" s="6">
        <v>7.0999999999999994E-2</v>
      </c>
      <c r="N127" s="3">
        <f t="shared" si="55"/>
        <v>-0.13300000000000001</v>
      </c>
      <c r="O127" s="3">
        <f t="shared" si="56"/>
        <v>6.950000000000002E-2</v>
      </c>
      <c r="P127" s="3">
        <f t="shared" si="56"/>
        <v>6.1000000000000006E-2</v>
      </c>
      <c r="Q127" s="3">
        <f t="shared" si="57"/>
        <v>-8.5000000000000145E-3</v>
      </c>
      <c r="R127" s="3">
        <f t="shared" si="58"/>
        <v>0.54700000000000004</v>
      </c>
      <c r="S127" s="3">
        <f t="shared" si="58"/>
        <v>0.26400000000000001</v>
      </c>
      <c r="T127" s="3">
        <f t="shared" si="59"/>
        <v>-0.28300000000000003</v>
      </c>
      <c r="U127" s="3">
        <f t="shared" si="60"/>
        <v>-6.950000000000002E-2</v>
      </c>
      <c r="V127" s="3">
        <f t="shared" si="60"/>
        <v>-6.1000000000000006E-2</v>
      </c>
      <c r="W127" s="3">
        <f t="shared" si="71"/>
        <v>8.5000000000000145E-3</v>
      </c>
      <c r="X127" s="3">
        <f t="shared" si="67"/>
        <v>4.4152193784277906E-3</v>
      </c>
      <c r="Y127" s="3">
        <f t="shared" si="68"/>
        <v>7.0473484848484862E-3</v>
      </c>
      <c r="Z127" s="3">
        <f t="shared" si="61"/>
        <v>2.6321291064206956E-3</v>
      </c>
      <c r="AA127" s="3">
        <v>2.4540000000000002</v>
      </c>
      <c r="AB127" s="3">
        <v>1.8240000000000001</v>
      </c>
      <c r="AC127" s="3">
        <f t="shared" si="62"/>
        <v>-0.63000000000000012</v>
      </c>
      <c r="AD127" s="3">
        <f>-508.558372*627.50956</f>
        <v>-319125.24024803634</v>
      </c>
      <c r="AE127" s="3">
        <f>-511.416002*627.50956</f>
        <v>-320918.43039197911</v>
      </c>
      <c r="AF127" s="3">
        <f t="shared" si="63"/>
        <v>-1793.1901439427747</v>
      </c>
      <c r="AG127" s="3">
        <f>-508.602468*627.50956</f>
        <v>-319152.91090959404</v>
      </c>
      <c r="AH127" s="3">
        <f>-511.460674*627.50956</f>
        <v>-320946.46249904344</v>
      </c>
      <c r="AI127" s="3">
        <f t="shared" si="64"/>
        <v>-1793.5515894494019</v>
      </c>
      <c r="AJ127" s="3">
        <v>-0.89400000000000002</v>
      </c>
      <c r="AK127" s="3">
        <v>-0.90400000000000003</v>
      </c>
      <c r="AL127" s="3">
        <f t="shared" si="65"/>
        <v>-1.0000000000000009E-2</v>
      </c>
      <c r="AM127" s="3">
        <v>131.08680000000001</v>
      </c>
      <c r="AN127" s="3">
        <v>157.87611999999999</v>
      </c>
      <c r="AO127" s="3">
        <v>160.14695</v>
      </c>
      <c r="AP127" s="3">
        <f t="shared" si="66"/>
        <v>1.1072013678063433</v>
      </c>
      <c r="AQ127" s="3">
        <v>8.6470000000000002</v>
      </c>
      <c r="AR127" s="3">
        <v>2.2262727</v>
      </c>
      <c r="AS127" s="3">
        <v>-76.454999999999998</v>
      </c>
      <c r="AT127" s="3">
        <v>-76.055000000000007</v>
      </c>
      <c r="AU127" s="3">
        <f t="shared" si="41"/>
        <v>-0.39999999999999147</v>
      </c>
      <c r="AV127" s="3">
        <v>-0.30399999999999999</v>
      </c>
      <c r="AW127" s="3">
        <v>-0.505</v>
      </c>
      <c r="AX127" s="3">
        <f t="shared" si="42"/>
        <v>0.20100000000000001</v>
      </c>
      <c r="AY127" s="3">
        <v>0.04</v>
      </c>
      <c r="AZ127" s="3">
        <v>0.16400000000000001</v>
      </c>
      <c r="BA127" s="3">
        <f t="shared" si="43"/>
        <v>-0.124</v>
      </c>
      <c r="BB127" s="3">
        <f t="shared" si="79"/>
        <v>0.13200000000000001</v>
      </c>
      <c r="BC127" s="3">
        <f t="shared" si="79"/>
        <v>0.17049999999999998</v>
      </c>
      <c r="BD127" s="3">
        <f t="shared" si="45"/>
        <v>-3.8499999999999979E-2</v>
      </c>
      <c r="BE127" s="3">
        <f t="shared" si="80"/>
        <v>0.34399999999999997</v>
      </c>
      <c r="BF127" s="3">
        <f t="shared" si="80"/>
        <v>0.66900000000000004</v>
      </c>
      <c r="BG127" s="3">
        <f t="shared" si="47"/>
        <v>-0.32500000000000007</v>
      </c>
      <c r="BH127" s="3">
        <f t="shared" si="81"/>
        <v>-0.13200000000000001</v>
      </c>
      <c r="BI127" s="3">
        <f t="shared" si="81"/>
        <v>-0.17049999999999998</v>
      </c>
      <c r="BJ127" s="3">
        <f t="shared" si="72"/>
        <v>3.8499999999999979E-2</v>
      </c>
      <c r="BK127" s="3">
        <f t="shared" si="69"/>
        <v>2.5325581395348844E-2</v>
      </c>
      <c r="BL127" s="3">
        <f t="shared" si="70"/>
        <v>2.1726644245141997E-2</v>
      </c>
      <c r="BM127" s="3">
        <f t="shared" si="49"/>
        <v>3.5989371502068469E-3</v>
      </c>
      <c r="BN127" s="3">
        <v>2.3010000000000002</v>
      </c>
      <c r="BO127" s="3">
        <v>2.3559999999999999</v>
      </c>
      <c r="BP127" s="3">
        <f t="shared" si="50"/>
        <v>-5.4999999999999716E-2</v>
      </c>
      <c r="BQ127" s="3">
        <v>-47960.305999999997</v>
      </c>
      <c r="BR127" s="3">
        <v>-47708.290999999997</v>
      </c>
      <c r="BS127" s="3">
        <f t="shared" si="51"/>
        <v>-252.01499999999942</v>
      </c>
      <c r="BT127" s="3">
        <v>-47973.754999999997</v>
      </c>
      <c r="BU127" s="3">
        <v>-47721.697</v>
      </c>
      <c r="BV127" s="3">
        <f t="shared" si="52"/>
        <v>-252.05799999999726</v>
      </c>
    </row>
    <row r="128" spans="1:74" x14ac:dyDescent="0.25">
      <c r="A128" t="s">
        <v>334</v>
      </c>
      <c r="B128" t="s">
        <v>514</v>
      </c>
      <c r="C128" t="s">
        <v>199</v>
      </c>
      <c r="D128" s="3">
        <v>13.83</v>
      </c>
      <c r="E128" s="3">
        <v>0.54</v>
      </c>
      <c r="F128" s="3">
        <v>-545.20500000000004</v>
      </c>
      <c r="G128" s="3">
        <v>-548.45799999999997</v>
      </c>
      <c r="H128" s="3">
        <f t="shared" si="53"/>
        <v>-3.2529999999999291</v>
      </c>
      <c r="I128" s="3">
        <v>-0.309</v>
      </c>
      <c r="J128" s="6">
        <v>-0.20899999999999999</v>
      </c>
      <c r="K128" s="3">
        <f t="shared" si="54"/>
        <v>0.1</v>
      </c>
      <c r="L128" s="3">
        <v>0.17100000000000001</v>
      </c>
      <c r="M128" s="6">
        <v>2.7E-2</v>
      </c>
      <c r="N128" s="3">
        <f t="shared" si="55"/>
        <v>-0.14400000000000002</v>
      </c>
      <c r="O128" s="3">
        <f t="shared" si="56"/>
        <v>6.8999999999999992E-2</v>
      </c>
      <c r="P128" s="3">
        <f t="shared" si="56"/>
        <v>9.0999999999999998E-2</v>
      </c>
      <c r="Q128" s="3">
        <f t="shared" si="57"/>
        <v>2.2000000000000006E-2</v>
      </c>
      <c r="R128" s="3">
        <f t="shared" si="58"/>
        <v>0.48</v>
      </c>
      <c r="S128" s="3">
        <f t="shared" si="58"/>
        <v>0.23599999999999999</v>
      </c>
      <c r="T128" s="3">
        <f t="shared" si="59"/>
        <v>-0.24399999999999999</v>
      </c>
      <c r="U128" s="3">
        <f t="shared" si="60"/>
        <v>-6.8999999999999992E-2</v>
      </c>
      <c r="V128" s="3">
        <f t="shared" si="60"/>
        <v>-9.0999999999999998E-2</v>
      </c>
      <c r="W128" s="3">
        <f t="shared" si="71"/>
        <v>-2.2000000000000006E-2</v>
      </c>
      <c r="X128" s="3">
        <f t="shared" si="67"/>
        <v>4.9593749999999985E-3</v>
      </c>
      <c r="Y128" s="3">
        <f t="shared" si="68"/>
        <v>1.7544491525423731E-2</v>
      </c>
      <c r="Z128" s="3">
        <f t="shared" si="61"/>
        <v>1.2585116525423733E-2</v>
      </c>
      <c r="AA128" s="3">
        <v>12.914999999999999</v>
      </c>
      <c r="AB128" s="3">
        <v>12.103999999999999</v>
      </c>
      <c r="AC128" s="3">
        <f t="shared" si="62"/>
        <v>-0.81099999999999994</v>
      </c>
      <c r="AD128" s="3">
        <f>-545.035727*627.50956</f>
        <v>-342015.12923405005</v>
      </c>
      <c r="AE128" s="3">
        <f>-548.299925*627.50956</f>
        <v>-344063.444684783</v>
      </c>
      <c r="AF128" s="3">
        <f t="shared" si="63"/>
        <v>-2048.3154507329455</v>
      </c>
      <c r="AG128" s="3">
        <f>-545.082889*627.50956</f>
        <v>-342044.72383991885</v>
      </c>
      <c r="AH128" s="3">
        <f>-548.34824*627.50956</f>
        <v>-344093.76280917443</v>
      </c>
      <c r="AI128" s="3">
        <f t="shared" si="64"/>
        <v>-2049.0389692555764</v>
      </c>
      <c r="AJ128" s="3">
        <v>-0.86799999999999999</v>
      </c>
      <c r="AK128" s="3">
        <v>-0.876</v>
      </c>
      <c r="AL128" s="3">
        <f t="shared" si="65"/>
        <v>-8.0000000000000071E-3</v>
      </c>
      <c r="AM128" s="3">
        <v>154.14662000000001</v>
      </c>
      <c r="AN128" s="3">
        <v>196.0231</v>
      </c>
      <c r="AO128" s="3">
        <v>208.74377999999999</v>
      </c>
      <c r="AP128" s="3">
        <f t="shared" si="66"/>
        <v>1.1520929199696659</v>
      </c>
      <c r="AQ128" s="3">
        <v>10.356999999999999</v>
      </c>
      <c r="AR128" s="3">
        <v>2.4914360000000002</v>
      </c>
      <c r="AS128" s="3">
        <v>-76.454999999999998</v>
      </c>
      <c r="AT128" s="3">
        <v>-76.055000000000007</v>
      </c>
      <c r="AU128" s="3">
        <f t="shared" ref="AU128:AU191" si="82">AS128-AT128</f>
        <v>-0.39999999999999147</v>
      </c>
      <c r="AV128" s="3">
        <v>-0.30399999999999999</v>
      </c>
      <c r="AW128" s="3">
        <v>-0.505</v>
      </c>
      <c r="AX128" s="3">
        <f t="shared" ref="AX128:AX191" si="83">AV128-AW128</f>
        <v>0.20100000000000001</v>
      </c>
      <c r="AY128" s="3">
        <v>0.04</v>
      </c>
      <c r="AZ128" s="3">
        <v>0.16400000000000001</v>
      </c>
      <c r="BA128" s="3">
        <f t="shared" ref="BA128:BA191" si="84">AY128-AZ128</f>
        <v>-0.124</v>
      </c>
      <c r="BB128" s="3">
        <f t="shared" ref="BB128:BC143" si="85">-(AV128+AY128)/2</f>
        <v>0.13200000000000001</v>
      </c>
      <c r="BC128" s="3">
        <f t="shared" si="85"/>
        <v>0.17049999999999998</v>
      </c>
      <c r="BD128" s="3">
        <f t="shared" ref="BD128:BD191" si="86">BB128-BC128</f>
        <v>-3.8499999999999979E-2</v>
      </c>
      <c r="BE128" s="3">
        <f t="shared" ref="BE128:BF143" si="87">AY128-AV128</f>
        <v>0.34399999999999997</v>
      </c>
      <c r="BF128" s="3">
        <f t="shared" si="87"/>
        <v>0.66900000000000004</v>
      </c>
      <c r="BG128" s="3">
        <f t="shared" ref="BG128:BG191" si="88">BE128-BF128</f>
        <v>-0.32500000000000007</v>
      </c>
      <c r="BH128" s="3">
        <f t="shared" ref="BH128:BI143" si="89">(AV128+AY128)/2</f>
        <v>-0.13200000000000001</v>
      </c>
      <c r="BI128" s="3">
        <f t="shared" si="89"/>
        <v>-0.17049999999999998</v>
      </c>
      <c r="BJ128" s="3">
        <f t="shared" si="72"/>
        <v>3.8499999999999979E-2</v>
      </c>
      <c r="BK128" s="3">
        <f t="shared" si="69"/>
        <v>2.5325581395348844E-2</v>
      </c>
      <c r="BL128" s="3">
        <f t="shared" si="70"/>
        <v>2.1726644245141997E-2</v>
      </c>
      <c r="BM128" s="3">
        <f t="shared" ref="BM128:BM191" si="90">BK128-BL128</f>
        <v>3.5989371502068469E-3</v>
      </c>
      <c r="BN128" s="3">
        <v>2.3010000000000002</v>
      </c>
      <c r="BO128" s="3">
        <v>2.3559999999999999</v>
      </c>
      <c r="BP128" s="3">
        <f t="shared" ref="BP128:BP191" si="91">BN128-BO128</f>
        <v>-5.4999999999999716E-2</v>
      </c>
      <c r="BQ128" s="3">
        <v>-47960.305999999997</v>
      </c>
      <c r="BR128" s="3">
        <v>-47708.290999999997</v>
      </c>
      <c r="BS128" s="3">
        <f t="shared" ref="BS128:BS191" si="92">BQ128-BR128</f>
        <v>-252.01499999999942</v>
      </c>
      <c r="BT128" s="3">
        <v>-47973.754999999997</v>
      </c>
      <c r="BU128" s="3">
        <v>-47721.697</v>
      </c>
      <c r="BV128" s="3">
        <f t="shared" ref="BV128:BV191" si="93">BT128-BU128</f>
        <v>-252.05799999999726</v>
      </c>
    </row>
    <row r="129" spans="1:74" x14ac:dyDescent="0.25">
      <c r="A129" t="s">
        <v>335</v>
      </c>
      <c r="B129" t="s">
        <v>514</v>
      </c>
      <c r="C129" t="s">
        <v>199</v>
      </c>
      <c r="D129" s="3">
        <v>13.85</v>
      </c>
      <c r="E129" s="3">
        <v>0.53</v>
      </c>
      <c r="F129" s="3">
        <v>-95.247</v>
      </c>
      <c r="G129" s="3">
        <v>-95.893000000000001</v>
      </c>
      <c r="H129" s="3">
        <f t="shared" ref="H129:H192" si="94">G129-F129</f>
        <v>-0.6460000000000008</v>
      </c>
      <c r="I129" s="3">
        <v>-0.39300000000000002</v>
      </c>
      <c r="J129" s="6">
        <v>-0.24199999999999999</v>
      </c>
      <c r="K129" s="3">
        <f t="shared" ref="K129:K192" si="95">J129-I129</f>
        <v>0.15100000000000002</v>
      </c>
      <c r="L129" s="3">
        <v>0.16200000000000001</v>
      </c>
      <c r="M129" s="6">
        <v>4.5999999999999999E-2</v>
      </c>
      <c r="N129" s="3">
        <f t="shared" ref="N129:N192" si="96">M129-L129</f>
        <v>-0.11600000000000001</v>
      </c>
      <c r="O129" s="3">
        <f t="shared" ref="O129:P192" si="97">-(I129+L129)/2</f>
        <v>0.11550000000000001</v>
      </c>
      <c r="P129" s="3">
        <f t="shared" si="97"/>
        <v>9.8000000000000004E-2</v>
      </c>
      <c r="Q129" s="3">
        <f t="shared" ref="Q129:Q192" si="98">P129-O129</f>
        <v>-1.7500000000000002E-2</v>
      </c>
      <c r="R129" s="3">
        <f t="shared" ref="R129:S192" si="99">L129-I129</f>
        <v>0.55500000000000005</v>
      </c>
      <c r="S129" s="3">
        <f t="shared" si="99"/>
        <v>0.28799999999999998</v>
      </c>
      <c r="T129" s="3">
        <f t="shared" ref="T129:T192" si="100">S129-R129</f>
        <v>-0.26700000000000007</v>
      </c>
      <c r="U129" s="3">
        <f t="shared" ref="U129:V192" si="101">(I129+L129)/2</f>
        <v>-0.11550000000000001</v>
      </c>
      <c r="V129" s="3">
        <f t="shared" si="101"/>
        <v>-9.8000000000000004E-2</v>
      </c>
      <c r="W129" s="3">
        <f t="shared" si="71"/>
        <v>1.7500000000000002E-2</v>
      </c>
      <c r="X129" s="3">
        <f t="shared" si="67"/>
        <v>1.2018243243243243E-2</v>
      </c>
      <c r="Y129" s="3">
        <f t="shared" si="68"/>
        <v>1.6673611111111115E-2</v>
      </c>
      <c r="Z129" s="3">
        <f t="shared" ref="Z129:Z192" si="102">Y129-X129</f>
        <v>4.6553678678678719E-3</v>
      </c>
      <c r="AA129" s="3">
        <v>1.744</v>
      </c>
      <c r="AB129" s="3">
        <v>1.6990000000000001</v>
      </c>
      <c r="AC129" s="3">
        <f t="shared" ref="AC129:AC192" si="103">AB129-AA129</f>
        <v>-4.4999999999999929E-2</v>
      </c>
      <c r="AD129" s="3">
        <f>-95.174734*627.50956</f>
        <v>-59723.055455457041</v>
      </c>
      <c r="AE129" s="3">
        <f xml:space="preserve"> -95.82459*627.50956</f>
        <v>-60130.846308080399</v>
      </c>
      <c r="AF129" s="3">
        <f t="shared" ref="AF129:AF192" si="104">AE129-AD129</f>
        <v>-407.79085262335866</v>
      </c>
      <c r="AG129" s="3">
        <f>-95.201876*627.50956</f>
        <v>-59740.087319934559</v>
      </c>
      <c r="AH129" s="3">
        <f>-95.851861*627.50956</f>
        <v>-60147.959121291155</v>
      </c>
      <c r="AI129" s="3">
        <f t="shared" ref="AI129:AI192" si="105">AH129-AG129</f>
        <v>-407.87180135659582</v>
      </c>
      <c r="AJ129" s="3">
        <v>-0.84899999999999998</v>
      </c>
      <c r="AK129" s="3">
        <v>-0.84499999999999997</v>
      </c>
      <c r="AL129" s="3">
        <f t="shared" ref="AL129:AL192" si="106">AK129-AJ129</f>
        <v>4.0000000000000036E-3</v>
      </c>
      <c r="AM129" s="3">
        <v>31.057099999999998</v>
      </c>
      <c r="AN129" s="3">
        <v>88.770309999999995</v>
      </c>
      <c r="AO129" s="3">
        <v>73.740099999999998</v>
      </c>
      <c r="AP129" s="3">
        <f t="shared" ref="AP129:AP192" si="107">(AN129/(4*3.14*POWER(((3*AO129)/(4*3.14)),2/3)))</f>
        <v>1.0440497781095832</v>
      </c>
      <c r="AQ129" s="3">
        <v>5.3440000000000003</v>
      </c>
      <c r="AR129" s="3">
        <v>0.90163444000000004</v>
      </c>
      <c r="AS129" s="3">
        <v>-76.454999999999998</v>
      </c>
      <c r="AT129" s="3">
        <v>-76.055000000000007</v>
      </c>
      <c r="AU129" s="3">
        <f t="shared" si="82"/>
        <v>-0.39999999999999147</v>
      </c>
      <c r="AV129" s="3">
        <v>-0.30399999999999999</v>
      </c>
      <c r="AW129" s="3">
        <v>-0.505</v>
      </c>
      <c r="AX129" s="3">
        <f t="shared" si="83"/>
        <v>0.20100000000000001</v>
      </c>
      <c r="AY129" s="3">
        <v>0.04</v>
      </c>
      <c r="AZ129" s="3">
        <v>0.16400000000000001</v>
      </c>
      <c r="BA129" s="3">
        <f t="shared" si="84"/>
        <v>-0.124</v>
      </c>
      <c r="BB129" s="3">
        <f t="shared" si="85"/>
        <v>0.13200000000000001</v>
      </c>
      <c r="BC129" s="3">
        <f t="shared" si="85"/>
        <v>0.17049999999999998</v>
      </c>
      <c r="BD129" s="3">
        <f t="shared" si="86"/>
        <v>-3.8499999999999979E-2</v>
      </c>
      <c r="BE129" s="3">
        <f t="shared" si="87"/>
        <v>0.34399999999999997</v>
      </c>
      <c r="BF129" s="3">
        <f t="shared" si="87"/>
        <v>0.66900000000000004</v>
      </c>
      <c r="BG129" s="3">
        <f t="shared" si="88"/>
        <v>-0.32500000000000007</v>
      </c>
      <c r="BH129" s="3">
        <f t="shared" si="89"/>
        <v>-0.13200000000000001</v>
      </c>
      <c r="BI129" s="3">
        <f t="shared" si="89"/>
        <v>-0.17049999999999998</v>
      </c>
      <c r="BJ129" s="3">
        <f t="shared" si="72"/>
        <v>3.8499999999999979E-2</v>
      </c>
      <c r="BK129" s="3">
        <f t="shared" si="69"/>
        <v>2.5325581395348844E-2</v>
      </c>
      <c r="BL129" s="3">
        <f t="shared" si="70"/>
        <v>2.1726644245141997E-2</v>
      </c>
      <c r="BM129" s="3">
        <f t="shared" si="90"/>
        <v>3.5989371502068469E-3</v>
      </c>
      <c r="BN129" s="3">
        <v>2.3010000000000002</v>
      </c>
      <c r="BO129" s="3">
        <v>2.3559999999999999</v>
      </c>
      <c r="BP129" s="3">
        <f t="shared" si="91"/>
        <v>-5.4999999999999716E-2</v>
      </c>
      <c r="BQ129" s="3">
        <v>-47960.305999999997</v>
      </c>
      <c r="BR129" s="3">
        <v>-47708.290999999997</v>
      </c>
      <c r="BS129" s="3">
        <f t="shared" si="92"/>
        <v>-252.01499999999942</v>
      </c>
      <c r="BT129" s="3">
        <v>-47973.754999999997</v>
      </c>
      <c r="BU129" s="3">
        <v>-47721.697</v>
      </c>
      <c r="BV129" s="3">
        <f t="shared" si="93"/>
        <v>-252.05799999999726</v>
      </c>
    </row>
    <row r="130" spans="1:74" x14ac:dyDescent="0.25">
      <c r="A130" t="s">
        <v>336</v>
      </c>
      <c r="B130" t="s">
        <v>514</v>
      </c>
      <c r="C130" t="s">
        <v>103</v>
      </c>
      <c r="D130" s="3">
        <v>13.86</v>
      </c>
      <c r="E130" s="3">
        <v>0.78</v>
      </c>
      <c r="F130" s="3">
        <v>-891.05</v>
      </c>
      <c r="G130" s="3">
        <v>-894.93299999999999</v>
      </c>
      <c r="H130" s="3">
        <f t="shared" si="94"/>
        <v>-3.8830000000000382</v>
      </c>
      <c r="I130" s="3">
        <v>-0.28699999999999998</v>
      </c>
      <c r="J130" s="6">
        <v>-0.20499999999999999</v>
      </c>
      <c r="K130" s="3">
        <f t="shared" si="95"/>
        <v>8.199999999999999E-2</v>
      </c>
      <c r="L130" s="3">
        <v>0.11799999999999999</v>
      </c>
      <c r="M130" s="6">
        <v>-2.1000000000000001E-2</v>
      </c>
      <c r="N130" s="3">
        <f t="shared" si="96"/>
        <v>-0.13899999999999998</v>
      </c>
      <c r="O130" s="3">
        <f t="shared" si="97"/>
        <v>8.4499999999999992E-2</v>
      </c>
      <c r="P130" s="3">
        <f t="shared" si="97"/>
        <v>0.11299999999999999</v>
      </c>
      <c r="Q130" s="3">
        <f t="shared" si="98"/>
        <v>2.8499999999999998E-2</v>
      </c>
      <c r="R130" s="3">
        <f t="shared" si="99"/>
        <v>0.40499999999999997</v>
      </c>
      <c r="S130" s="3">
        <f t="shared" si="99"/>
        <v>0.184</v>
      </c>
      <c r="T130" s="3">
        <f t="shared" si="100"/>
        <v>-0.22099999999999997</v>
      </c>
      <c r="U130" s="3">
        <f t="shared" si="101"/>
        <v>-8.4499999999999992E-2</v>
      </c>
      <c r="V130" s="3">
        <f t="shared" si="101"/>
        <v>-0.11299999999999999</v>
      </c>
      <c r="W130" s="3">
        <f t="shared" si="71"/>
        <v>-2.8499999999999998E-2</v>
      </c>
      <c r="X130" s="3">
        <f t="shared" ref="X130:X193" si="108">(U130*U130)/(2*R130)</f>
        <v>8.8151234567901224E-3</v>
      </c>
      <c r="Y130" s="3">
        <f t="shared" ref="Y130:Y193" si="109">(V130*V130)/(2*S130)</f>
        <v>3.4698369565217387E-2</v>
      </c>
      <c r="Z130" s="3">
        <f t="shared" si="102"/>
        <v>2.5883246108427266E-2</v>
      </c>
      <c r="AA130" s="3">
        <v>5.1449999999999996</v>
      </c>
      <c r="AB130" s="3">
        <v>4.7119999999999997</v>
      </c>
      <c r="AC130" s="3">
        <f t="shared" si="103"/>
        <v>-0.43299999999999983</v>
      </c>
      <c r="AD130" s="3">
        <f>-890.843751*627.50956</f>
        <v>-559012.9702187595</v>
      </c>
      <c r="AE130" s="3">
        <f>-894.739053*627.50956</f>
        <v>-561457.30946284661</v>
      </c>
      <c r="AF130" s="3">
        <f t="shared" si="104"/>
        <v>-2444.3392440871103</v>
      </c>
      <c r="AG130" s="3">
        <f>-890.889391*627.50956</f>
        <v>-559041.60975507798</v>
      </c>
      <c r="AH130" s="3">
        <f>-894.78584*627.50956</f>
        <v>-561486.66875263036</v>
      </c>
      <c r="AI130" s="3">
        <f t="shared" si="105"/>
        <v>-2445.0589975523762</v>
      </c>
      <c r="AJ130" s="3">
        <v>-0.66900000000000004</v>
      </c>
      <c r="AK130" s="3">
        <v>-0.58199999999999996</v>
      </c>
      <c r="AL130" s="3">
        <f t="shared" si="106"/>
        <v>8.7000000000000077E-2</v>
      </c>
      <c r="AM130" s="3">
        <v>190.26480000000001</v>
      </c>
      <c r="AN130" s="3">
        <v>230.97030000000001</v>
      </c>
      <c r="AO130" s="3">
        <v>262.16430000000003</v>
      </c>
      <c r="AP130" s="3">
        <f t="shared" si="107"/>
        <v>1.1661731939498459</v>
      </c>
      <c r="AQ130" s="3">
        <v>11.337999999999999</v>
      </c>
      <c r="AR130" s="3">
        <v>2.5191222</v>
      </c>
      <c r="AS130" s="3">
        <v>-959.76900000000001</v>
      </c>
      <c r="AT130" s="3">
        <v>-958.05</v>
      </c>
      <c r="AU130" s="3">
        <f t="shared" si="82"/>
        <v>-1.7190000000000509</v>
      </c>
      <c r="AV130" s="3">
        <v>-0.317</v>
      </c>
      <c r="AW130" s="3">
        <v>-0.45</v>
      </c>
      <c r="AX130" s="3">
        <f t="shared" si="83"/>
        <v>0.13300000000000001</v>
      </c>
      <c r="AY130" s="3">
        <v>-2.4E-2</v>
      </c>
      <c r="AZ130" s="3">
        <v>0.13500000000000001</v>
      </c>
      <c r="BA130" s="3">
        <f t="shared" si="84"/>
        <v>-0.159</v>
      </c>
      <c r="BB130" s="3">
        <f t="shared" si="85"/>
        <v>0.17050000000000001</v>
      </c>
      <c r="BC130" s="3">
        <f t="shared" si="85"/>
        <v>0.1575</v>
      </c>
      <c r="BD130" s="3">
        <f t="shared" si="86"/>
        <v>1.3000000000000012E-2</v>
      </c>
      <c r="BE130" s="3">
        <f t="shared" si="87"/>
        <v>0.29299999999999998</v>
      </c>
      <c r="BF130" s="3">
        <f t="shared" si="87"/>
        <v>0.58499999999999996</v>
      </c>
      <c r="BG130" s="3">
        <f t="shared" si="88"/>
        <v>-0.29199999999999998</v>
      </c>
      <c r="BH130" s="3">
        <f t="shared" si="89"/>
        <v>-0.17050000000000001</v>
      </c>
      <c r="BI130" s="3">
        <f t="shared" si="89"/>
        <v>-0.1575</v>
      </c>
      <c r="BJ130" s="3">
        <f t="shared" si="72"/>
        <v>-1.3000000000000012E-2</v>
      </c>
      <c r="BK130" s="3">
        <f t="shared" ref="BK130:BK193" si="110">(BH130*BH130)/(2*BE130)</f>
        <v>4.9607935153583631E-2</v>
      </c>
      <c r="BL130" s="3">
        <f t="shared" ref="BL130:BL193" si="111">(BI130*BI130)/(2*BF130)</f>
        <v>2.120192307692308E-2</v>
      </c>
      <c r="BM130" s="3">
        <f t="shared" si="90"/>
        <v>2.8406012076660551E-2</v>
      </c>
      <c r="BN130" s="3">
        <v>2.2370000000000001</v>
      </c>
      <c r="BO130" s="3">
        <v>2.431</v>
      </c>
      <c r="BP130" s="3">
        <f t="shared" si="91"/>
        <v>-0.19399999999999995</v>
      </c>
      <c r="BQ130" s="3">
        <v>-602243.07700000005</v>
      </c>
      <c r="BR130" s="3">
        <v>-601163.24300000002</v>
      </c>
      <c r="BS130" s="3">
        <f t="shared" si="92"/>
        <v>-1079.8340000000317</v>
      </c>
      <c r="BT130" s="3">
        <v>-602262.36399999994</v>
      </c>
      <c r="BU130" s="3">
        <v>-601182.38500000001</v>
      </c>
      <c r="BV130" s="3">
        <f t="shared" si="93"/>
        <v>-1079.9789999999339</v>
      </c>
    </row>
    <row r="131" spans="1:74" x14ac:dyDescent="0.25">
      <c r="A131" t="s">
        <v>337</v>
      </c>
      <c r="B131" t="s">
        <v>514</v>
      </c>
      <c r="C131" t="s">
        <v>199</v>
      </c>
      <c r="D131" s="3">
        <v>13.96</v>
      </c>
      <c r="E131" s="3">
        <v>0.54</v>
      </c>
      <c r="F131" s="3">
        <v>-547.71600000000001</v>
      </c>
      <c r="G131" s="3">
        <v>-550.84400000000005</v>
      </c>
      <c r="H131" s="3">
        <f t="shared" si="94"/>
        <v>-3.1280000000000427</v>
      </c>
      <c r="I131" s="3">
        <v>-0.35</v>
      </c>
      <c r="J131" s="6">
        <v>-0.192</v>
      </c>
      <c r="K131" s="3">
        <f t="shared" si="95"/>
        <v>0.15799999999999997</v>
      </c>
      <c r="L131" s="3">
        <v>0.17499999999999999</v>
      </c>
      <c r="M131" s="6">
        <v>0.55900000000000005</v>
      </c>
      <c r="N131" s="3">
        <f t="shared" si="96"/>
        <v>0.38400000000000006</v>
      </c>
      <c r="O131" s="3">
        <f t="shared" si="97"/>
        <v>8.7499999999999994E-2</v>
      </c>
      <c r="P131" s="3">
        <f t="shared" si="97"/>
        <v>-0.18350000000000002</v>
      </c>
      <c r="Q131" s="3">
        <f t="shared" si="98"/>
        <v>-0.27100000000000002</v>
      </c>
      <c r="R131" s="3">
        <f t="shared" si="99"/>
        <v>0.52499999999999991</v>
      </c>
      <c r="S131" s="3">
        <f t="shared" si="99"/>
        <v>0.75100000000000011</v>
      </c>
      <c r="T131" s="3">
        <f t="shared" si="100"/>
        <v>0.2260000000000002</v>
      </c>
      <c r="U131" s="3">
        <f t="shared" si="101"/>
        <v>-8.7499999999999994E-2</v>
      </c>
      <c r="V131" s="3">
        <f t="shared" si="101"/>
        <v>0.18350000000000002</v>
      </c>
      <c r="W131" s="3">
        <f t="shared" ref="W131:W194" si="112">(V131-U131)</f>
        <v>0.27100000000000002</v>
      </c>
      <c r="X131" s="3">
        <f t="shared" si="108"/>
        <v>7.2916666666666668E-3</v>
      </c>
      <c r="Y131" s="3">
        <f t="shared" si="109"/>
        <v>2.2418275632490017E-2</v>
      </c>
      <c r="Z131" s="3">
        <f t="shared" si="102"/>
        <v>1.512660896582335E-2</v>
      </c>
      <c r="AA131" s="3">
        <v>7.718</v>
      </c>
      <c r="AB131" s="3">
        <v>7.1959999999999997</v>
      </c>
      <c r="AC131" s="3">
        <f t="shared" si="103"/>
        <v>-0.52200000000000024</v>
      </c>
      <c r="AD131" s="3">
        <f>-547.569927*627.50956</f>
        <v>-343605.36396100209</v>
      </c>
      <c r="AE131" s="3">
        <f>-550.708224*627.50956</f>
        <v>-345574.67533062142</v>
      </c>
      <c r="AF131" s="3">
        <f t="shared" si="104"/>
        <v>-1969.3113696193323</v>
      </c>
      <c r="AG131" s="3">
        <f>-547.617934*627.50956</f>
        <v>-343635.48881244904</v>
      </c>
      <c r="AH131" s="3">
        <f>-550.757592*627.50956</f>
        <v>-345605.65422257956</v>
      </c>
      <c r="AI131" s="3">
        <f t="shared" si="105"/>
        <v>-1970.1654101305176</v>
      </c>
      <c r="AJ131" s="3">
        <v>-0.88700000000000001</v>
      </c>
      <c r="AK131" s="3">
        <v>-0.89400000000000002</v>
      </c>
      <c r="AL131" s="3">
        <f t="shared" si="106"/>
        <v>-7.0000000000000062E-3</v>
      </c>
      <c r="AM131" s="3">
        <v>145.11338000000001</v>
      </c>
      <c r="AN131" s="3">
        <v>181.63810000000001</v>
      </c>
      <c r="AO131" s="3">
        <v>189.05584999999999</v>
      </c>
      <c r="AP131" s="3">
        <f t="shared" si="107"/>
        <v>1.1404322422706723</v>
      </c>
      <c r="AQ131" s="3">
        <v>10.285</v>
      </c>
      <c r="AR131" s="3">
        <v>2.6519591</v>
      </c>
      <c r="AS131" s="3">
        <v>-76.454999999999998</v>
      </c>
      <c r="AT131" s="3">
        <v>-76.055000000000007</v>
      </c>
      <c r="AU131" s="3">
        <f t="shared" si="82"/>
        <v>-0.39999999999999147</v>
      </c>
      <c r="AV131" s="3">
        <v>-0.30399999999999999</v>
      </c>
      <c r="AW131" s="3">
        <v>-0.505</v>
      </c>
      <c r="AX131" s="3">
        <f t="shared" si="83"/>
        <v>0.20100000000000001</v>
      </c>
      <c r="AY131" s="3">
        <v>0.04</v>
      </c>
      <c r="AZ131" s="3">
        <v>0.16400000000000001</v>
      </c>
      <c r="BA131" s="3">
        <f t="shared" si="84"/>
        <v>-0.124</v>
      </c>
      <c r="BB131" s="3">
        <f t="shared" si="85"/>
        <v>0.13200000000000001</v>
      </c>
      <c r="BC131" s="3">
        <f t="shared" si="85"/>
        <v>0.17049999999999998</v>
      </c>
      <c r="BD131" s="3">
        <f t="shared" si="86"/>
        <v>-3.8499999999999979E-2</v>
      </c>
      <c r="BE131" s="3">
        <f t="shared" si="87"/>
        <v>0.34399999999999997</v>
      </c>
      <c r="BF131" s="3">
        <f t="shared" si="87"/>
        <v>0.66900000000000004</v>
      </c>
      <c r="BG131" s="3">
        <f t="shared" si="88"/>
        <v>-0.32500000000000007</v>
      </c>
      <c r="BH131" s="3">
        <f t="shared" si="89"/>
        <v>-0.13200000000000001</v>
      </c>
      <c r="BI131" s="3">
        <f t="shared" si="89"/>
        <v>-0.17049999999999998</v>
      </c>
      <c r="BJ131" s="3">
        <f t="shared" ref="BJ131:BJ194" si="113">(BH131-BI131)</f>
        <v>3.8499999999999979E-2</v>
      </c>
      <c r="BK131" s="3">
        <f t="shared" si="110"/>
        <v>2.5325581395348844E-2</v>
      </c>
      <c r="BL131" s="3">
        <f t="shared" si="111"/>
        <v>2.1726644245141997E-2</v>
      </c>
      <c r="BM131" s="3">
        <f t="shared" si="90"/>
        <v>3.5989371502068469E-3</v>
      </c>
      <c r="BN131" s="3">
        <v>2.3010000000000002</v>
      </c>
      <c r="BO131" s="3">
        <v>2.3559999999999999</v>
      </c>
      <c r="BP131" s="3">
        <f t="shared" si="91"/>
        <v>-5.4999999999999716E-2</v>
      </c>
      <c r="BQ131" s="3">
        <v>-47960.305999999997</v>
      </c>
      <c r="BR131" s="3">
        <v>-47708.290999999997</v>
      </c>
      <c r="BS131" s="3">
        <f t="shared" si="92"/>
        <v>-252.01499999999942</v>
      </c>
      <c r="BT131" s="3">
        <v>-47973.754999999997</v>
      </c>
      <c r="BU131" s="3">
        <v>-47721.697</v>
      </c>
      <c r="BV131" s="3">
        <f t="shared" si="93"/>
        <v>-252.05799999999726</v>
      </c>
    </row>
    <row r="132" spans="1:74" x14ac:dyDescent="0.25">
      <c r="A132" t="s">
        <v>338</v>
      </c>
      <c r="B132" t="s">
        <v>514</v>
      </c>
      <c r="C132" t="s">
        <v>103</v>
      </c>
      <c r="D132" s="3">
        <v>14</v>
      </c>
      <c r="E132" s="3">
        <v>0.7</v>
      </c>
      <c r="F132" s="3">
        <v>-627.79499999999996</v>
      </c>
      <c r="G132" s="3">
        <v>-631.91700000000003</v>
      </c>
      <c r="H132" s="3">
        <f t="shared" si="94"/>
        <v>-4.1220000000000709</v>
      </c>
      <c r="I132" s="3">
        <v>-0.32500000000000001</v>
      </c>
      <c r="J132" s="6">
        <v>-0.215</v>
      </c>
      <c r="K132" s="3">
        <f t="shared" si="95"/>
        <v>0.11000000000000001</v>
      </c>
      <c r="L132" s="3">
        <v>0.13</v>
      </c>
      <c r="M132" s="6">
        <v>-1.2E-2</v>
      </c>
      <c r="N132" s="3">
        <f t="shared" si="96"/>
        <v>-0.14200000000000002</v>
      </c>
      <c r="O132" s="3">
        <f t="shared" si="97"/>
        <v>9.7500000000000003E-2</v>
      </c>
      <c r="P132" s="3">
        <f t="shared" si="97"/>
        <v>0.1135</v>
      </c>
      <c r="Q132" s="3">
        <f t="shared" si="98"/>
        <v>1.6E-2</v>
      </c>
      <c r="R132" s="3">
        <f t="shared" si="99"/>
        <v>0.45500000000000002</v>
      </c>
      <c r="S132" s="3">
        <f t="shared" si="99"/>
        <v>0.20299999999999999</v>
      </c>
      <c r="T132" s="3">
        <f t="shared" si="100"/>
        <v>-0.252</v>
      </c>
      <c r="U132" s="3">
        <f t="shared" si="101"/>
        <v>-9.7500000000000003E-2</v>
      </c>
      <c r="V132" s="3">
        <f t="shared" si="101"/>
        <v>-0.1135</v>
      </c>
      <c r="W132" s="3">
        <f t="shared" si="112"/>
        <v>-1.6E-2</v>
      </c>
      <c r="X132" s="3">
        <f t="shared" si="108"/>
        <v>1.0446428571428572E-2</v>
      </c>
      <c r="Y132" s="3">
        <f t="shared" si="109"/>
        <v>3.1729679802955671E-2</v>
      </c>
      <c r="Z132" s="3">
        <f t="shared" si="102"/>
        <v>2.1283251231527099E-2</v>
      </c>
      <c r="AA132" s="3">
        <v>4.1900000000000004</v>
      </c>
      <c r="AB132" s="3">
        <v>4.0510000000000002</v>
      </c>
      <c r="AC132" s="3">
        <f t="shared" si="103"/>
        <v>-0.13900000000000023</v>
      </c>
      <c r="AD132" s="3">
        <f>-627.485159*627.50956</f>
        <v>-393752.93603062001</v>
      </c>
      <c r="AE132" s="3">
        <f>-631.626685*627.50956</f>
        <v>-396351.78318860853</v>
      </c>
      <c r="AF132" s="3">
        <f t="shared" si="104"/>
        <v>-2598.8471579885227</v>
      </c>
      <c r="AG132" s="3">
        <f>-627.541032*627.50956</f>
        <v>-393787.99687226588</v>
      </c>
      <c r="AH132" s="3">
        <f>-631.684563*627.50956</f>
        <v>-396388.10218692227</v>
      </c>
      <c r="AI132" s="3">
        <f t="shared" si="105"/>
        <v>-2600.1053146563936</v>
      </c>
      <c r="AJ132" s="3">
        <v>-0.73099999999999998</v>
      </c>
      <c r="AK132" s="3">
        <v>-0.64600000000000002</v>
      </c>
      <c r="AL132" s="3">
        <f t="shared" si="106"/>
        <v>8.4999999999999964E-2</v>
      </c>
      <c r="AM132" s="3">
        <v>203.28348</v>
      </c>
      <c r="AN132" s="3">
        <v>285.96652</v>
      </c>
      <c r="AO132" s="3">
        <v>329.61559999999997</v>
      </c>
      <c r="AP132" s="3">
        <f t="shared" si="107"/>
        <v>1.2394603420927182</v>
      </c>
      <c r="AQ132" s="3">
        <v>12.696</v>
      </c>
      <c r="AR132" s="3">
        <v>3.1933440000000002</v>
      </c>
      <c r="AS132" s="3">
        <v>-959.76900000000001</v>
      </c>
      <c r="AT132" s="3">
        <v>-958.05</v>
      </c>
      <c r="AU132" s="3">
        <f t="shared" si="82"/>
        <v>-1.7190000000000509</v>
      </c>
      <c r="AV132" s="3">
        <v>-0.317</v>
      </c>
      <c r="AW132" s="3">
        <v>-0.45</v>
      </c>
      <c r="AX132" s="3">
        <f t="shared" si="83"/>
        <v>0.13300000000000001</v>
      </c>
      <c r="AY132" s="3">
        <v>-2.4E-2</v>
      </c>
      <c r="AZ132" s="3">
        <v>0.13500000000000001</v>
      </c>
      <c r="BA132" s="3">
        <f t="shared" si="84"/>
        <v>-0.159</v>
      </c>
      <c r="BB132" s="3">
        <f t="shared" si="85"/>
        <v>0.17050000000000001</v>
      </c>
      <c r="BC132" s="3">
        <f t="shared" si="85"/>
        <v>0.1575</v>
      </c>
      <c r="BD132" s="3">
        <f t="shared" si="86"/>
        <v>1.3000000000000012E-2</v>
      </c>
      <c r="BE132" s="3">
        <f t="shared" si="87"/>
        <v>0.29299999999999998</v>
      </c>
      <c r="BF132" s="3">
        <f t="shared" si="87"/>
        <v>0.58499999999999996</v>
      </c>
      <c r="BG132" s="3">
        <f t="shared" si="88"/>
        <v>-0.29199999999999998</v>
      </c>
      <c r="BH132" s="3">
        <f t="shared" si="89"/>
        <v>-0.17050000000000001</v>
      </c>
      <c r="BI132" s="3">
        <f t="shared" si="89"/>
        <v>-0.1575</v>
      </c>
      <c r="BJ132" s="3">
        <f t="shared" si="113"/>
        <v>-1.3000000000000012E-2</v>
      </c>
      <c r="BK132" s="3">
        <f t="shared" si="110"/>
        <v>4.9607935153583631E-2</v>
      </c>
      <c r="BL132" s="3">
        <f t="shared" si="111"/>
        <v>2.120192307692308E-2</v>
      </c>
      <c r="BM132" s="3">
        <f t="shared" si="90"/>
        <v>2.8406012076660551E-2</v>
      </c>
      <c r="BN132" s="3">
        <v>2.2370000000000001</v>
      </c>
      <c r="BO132" s="3">
        <v>2.431</v>
      </c>
      <c r="BP132" s="3">
        <f t="shared" si="91"/>
        <v>-0.19399999999999995</v>
      </c>
      <c r="BQ132" s="3">
        <v>-602243.07700000005</v>
      </c>
      <c r="BR132" s="3">
        <v>-601163.24300000002</v>
      </c>
      <c r="BS132" s="3">
        <f t="shared" si="92"/>
        <v>-1079.8340000000317</v>
      </c>
      <c r="BT132" s="3">
        <v>-602262.36399999994</v>
      </c>
      <c r="BU132" s="3">
        <v>-601182.38500000001</v>
      </c>
      <c r="BV132" s="3">
        <f t="shared" si="93"/>
        <v>-1079.9789999999339</v>
      </c>
    </row>
    <row r="133" spans="1:74" x14ac:dyDescent="0.25">
      <c r="A133" t="s">
        <v>339</v>
      </c>
      <c r="B133" t="s">
        <v>514</v>
      </c>
      <c r="C133" t="s">
        <v>199</v>
      </c>
      <c r="D133" s="3">
        <v>14.01</v>
      </c>
      <c r="E133" s="3">
        <v>0.52</v>
      </c>
      <c r="F133" s="3">
        <v>-438.613</v>
      </c>
      <c r="G133" s="3">
        <v>-441.34399999999999</v>
      </c>
      <c r="H133" s="3">
        <f t="shared" si="94"/>
        <v>-2.7309999999999945</v>
      </c>
      <c r="I133" s="3">
        <v>-0.33900000000000002</v>
      </c>
      <c r="J133" s="6">
        <v>-0.19400000000000001</v>
      </c>
      <c r="K133" s="3">
        <f t="shared" si="95"/>
        <v>0.14500000000000002</v>
      </c>
      <c r="L133" s="3">
        <v>0.16600000000000001</v>
      </c>
      <c r="M133" s="6">
        <v>5.0999999999999997E-2</v>
      </c>
      <c r="N133" s="3">
        <f t="shared" si="96"/>
        <v>-0.11500000000000002</v>
      </c>
      <c r="O133" s="3">
        <f t="shared" si="97"/>
        <v>8.6500000000000007E-2</v>
      </c>
      <c r="P133" s="3">
        <f t="shared" si="97"/>
        <v>7.1500000000000008E-2</v>
      </c>
      <c r="Q133" s="3">
        <f t="shared" si="98"/>
        <v>-1.4999999999999999E-2</v>
      </c>
      <c r="R133" s="3">
        <f t="shared" si="99"/>
        <v>0.505</v>
      </c>
      <c r="S133" s="3">
        <f t="shared" si="99"/>
        <v>0.245</v>
      </c>
      <c r="T133" s="3">
        <f t="shared" si="100"/>
        <v>-0.26</v>
      </c>
      <c r="U133" s="3">
        <f t="shared" si="101"/>
        <v>-8.6500000000000007E-2</v>
      </c>
      <c r="V133" s="3">
        <f t="shared" si="101"/>
        <v>-7.1500000000000008E-2</v>
      </c>
      <c r="W133" s="3">
        <f t="shared" si="112"/>
        <v>1.4999999999999999E-2</v>
      </c>
      <c r="X133" s="3">
        <f t="shared" si="108"/>
        <v>7.4081683168316839E-3</v>
      </c>
      <c r="Y133" s="3">
        <f t="shared" si="109"/>
        <v>1.0433163265306125E-2</v>
      </c>
      <c r="Z133" s="3">
        <f t="shared" si="102"/>
        <v>3.0249949484744409E-3</v>
      </c>
      <c r="AA133" s="3">
        <v>11.502000000000001</v>
      </c>
      <c r="AB133" s="3">
        <v>10.577</v>
      </c>
      <c r="AC133" s="3">
        <f t="shared" si="103"/>
        <v>-0.92500000000000071</v>
      </c>
      <c r="AD133" s="3">
        <f>-438.410648*627.50956</f>
        <v>-275106.87282579485</v>
      </c>
      <c r="AE133" s="3">
        <f>-441.153953*627.50956</f>
        <v>-276828.32293929067</v>
      </c>
      <c r="AF133" s="3">
        <f t="shared" si="104"/>
        <v>-1721.4501134958118</v>
      </c>
      <c r="AG133" s="3">
        <f>-438.457668*627.50956</f>
        <v>-275136.37832530605</v>
      </c>
      <c r="AH133" s="3">
        <f>-441.202133*627.50956</f>
        <v>-276858.55634989147</v>
      </c>
      <c r="AI133" s="3">
        <f t="shared" si="105"/>
        <v>-1722.178024585417</v>
      </c>
      <c r="AJ133" s="3">
        <v>-0.86799999999999999</v>
      </c>
      <c r="AK133" s="3">
        <v>-0.88800000000000001</v>
      </c>
      <c r="AL133" s="3">
        <f t="shared" si="106"/>
        <v>-2.0000000000000018E-2</v>
      </c>
      <c r="AM133" s="3">
        <v>130.16498000000001</v>
      </c>
      <c r="AN133" s="3">
        <v>192.80785</v>
      </c>
      <c r="AO133" s="3">
        <v>211.49950000000001</v>
      </c>
      <c r="AP133" s="3">
        <f t="shared" si="107"/>
        <v>1.1233310556073879</v>
      </c>
      <c r="AQ133" s="3">
        <v>9.7840000000000007</v>
      </c>
      <c r="AR133" s="3">
        <v>2.3610316999999998</v>
      </c>
      <c r="AS133" s="3">
        <v>-76.454999999999998</v>
      </c>
      <c r="AT133" s="3">
        <v>-76.055000000000007</v>
      </c>
      <c r="AU133" s="3">
        <f t="shared" si="82"/>
        <v>-0.39999999999999147</v>
      </c>
      <c r="AV133" s="3">
        <v>-0.30399999999999999</v>
      </c>
      <c r="AW133" s="3">
        <v>-0.505</v>
      </c>
      <c r="AX133" s="3">
        <f t="shared" si="83"/>
        <v>0.20100000000000001</v>
      </c>
      <c r="AY133" s="3">
        <v>0.04</v>
      </c>
      <c r="AZ133" s="3">
        <v>0.16400000000000001</v>
      </c>
      <c r="BA133" s="3">
        <f t="shared" si="84"/>
        <v>-0.124</v>
      </c>
      <c r="BB133" s="3">
        <f t="shared" si="85"/>
        <v>0.13200000000000001</v>
      </c>
      <c r="BC133" s="3">
        <f t="shared" si="85"/>
        <v>0.17049999999999998</v>
      </c>
      <c r="BD133" s="3">
        <f t="shared" si="86"/>
        <v>-3.8499999999999979E-2</v>
      </c>
      <c r="BE133" s="3">
        <f t="shared" si="87"/>
        <v>0.34399999999999997</v>
      </c>
      <c r="BF133" s="3">
        <f t="shared" si="87"/>
        <v>0.66900000000000004</v>
      </c>
      <c r="BG133" s="3">
        <f t="shared" si="88"/>
        <v>-0.32500000000000007</v>
      </c>
      <c r="BH133" s="3">
        <f t="shared" si="89"/>
        <v>-0.13200000000000001</v>
      </c>
      <c r="BI133" s="3">
        <f t="shared" si="89"/>
        <v>-0.17049999999999998</v>
      </c>
      <c r="BJ133" s="3">
        <f t="shared" si="113"/>
        <v>3.8499999999999979E-2</v>
      </c>
      <c r="BK133" s="3">
        <f t="shared" si="110"/>
        <v>2.5325581395348844E-2</v>
      </c>
      <c r="BL133" s="3">
        <f t="shared" si="111"/>
        <v>2.1726644245141997E-2</v>
      </c>
      <c r="BM133" s="3">
        <f t="shared" si="90"/>
        <v>3.5989371502068469E-3</v>
      </c>
      <c r="BN133" s="3">
        <v>2.3010000000000002</v>
      </c>
      <c r="BO133" s="3">
        <v>2.3559999999999999</v>
      </c>
      <c r="BP133" s="3">
        <f t="shared" si="91"/>
        <v>-5.4999999999999716E-2</v>
      </c>
      <c r="BQ133" s="3">
        <v>-47960.305999999997</v>
      </c>
      <c r="BR133" s="3">
        <v>-47708.290999999997</v>
      </c>
      <c r="BS133" s="3">
        <f t="shared" si="92"/>
        <v>-252.01499999999942</v>
      </c>
      <c r="BT133" s="3">
        <v>-47973.754999999997</v>
      </c>
      <c r="BU133" s="3">
        <v>-47721.697</v>
      </c>
      <c r="BV133" s="3">
        <f t="shared" si="93"/>
        <v>-252.05799999999726</v>
      </c>
    </row>
    <row r="134" spans="1:74" x14ac:dyDescent="0.25">
      <c r="A134" t="s">
        <v>340</v>
      </c>
      <c r="B134" t="s">
        <v>514</v>
      </c>
      <c r="C134" t="s">
        <v>199</v>
      </c>
      <c r="D134" s="3">
        <v>14.02</v>
      </c>
      <c r="E134" s="3">
        <v>0.54</v>
      </c>
      <c r="F134" s="3">
        <v>-228.38</v>
      </c>
      <c r="G134" s="3">
        <v>-229.90799999999999</v>
      </c>
      <c r="H134" s="3">
        <f t="shared" si="94"/>
        <v>-1.5279999999999916</v>
      </c>
      <c r="I134" s="3">
        <v>-0.39100000000000001</v>
      </c>
      <c r="J134" s="6">
        <v>-0.24299999999999999</v>
      </c>
      <c r="K134" s="3">
        <f t="shared" si="95"/>
        <v>0.14800000000000002</v>
      </c>
      <c r="L134" s="3">
        <v>0.16200000000000001</v>
      </c>
      <c r="M134" s="6">
        <v>4.4999999999999998E-2</v>
      </c>
      <c r="N134" s="3">
        <f t="shared" si="96"/>
        <v>-0.11700000000000001</v>
      </c>
      <c r="O134" s="3">
        <f t="shared" si="97"/>
        <v>0.1145</v>
      </c>
      <c r="P134" s="3">
        <f t="shared" si="97"/>
        <v>9.9000000000000005E-2</v>
      </c>
      <c r="Q134" s="3">
        <f t="shared" si="98"/>
        <v>-1.55E-2</v>
      </c>
      <c r="R134" s="3">
        <f t="shared" si="99"/>
        <v>0.55300000000000005</v>
      </c>
      <c r="S134" s="3">
        <f t="shared" si="99"/>
        <v>0.28799999999999998</v>
      </c>
      <c r="T134" s="3">
        <f t="shared" si="100"/>
        <v>-0.26500000000000007</v>
      </c>
      <c r="U134" s="3">
        <f t="shared" si="101"/>
        <v>-0.1145</v>
      </c>
      <c r="V134" s="3">
        <f t="shared" si="101"/>
        <v>-9.9000000000000005E-2</v>
      </c>
      <c r="W134" s="3">
        <f t="shared" si="112"/>
        <v>1.55E-2</v>
      </c>
      <c r="X134" s="3">
        <f t="shared" si="108"/>
        <v>1.1853752260397829E-2</v>
      </c>
      <c r="Y134" s="3">
        <f t="shared" si="109"/>
        <v>1.7015625000000003E-2</v>
      </c>
      <c r="Z134" s="3">
        <f t="shared" si="102"/>
        <v>5.1618727396021743E-3</v>
      </c>
      <c r="AA134" s="3">
        <v>2.08</v>
      </c>
      <c r="AB134" s="3">
        <v>1.976</v>
      </c>
      <c r="AC134" s="3">
        <f t="shared" si="103"/>
        <v>-0.10400000000000009</v>
      </c>
      <c r="AD134" s="3">
        <f>-228.224172*627.50956</f>
        <v>-143212.84975308433</v>
      </c>
      <c r="AE134" s="3">
        <f>-229.761672*627.50956</f>
        <v>-144177.64570158432</v>
      </c>
      <c r="AF134" s="3">
        <f t="shared" si="104"/>
        <v>-964.7959484999883</v>
      </c>
      <c r="AG134" s="3">
        <f>-228.260863*627.50956</f>
        <v>-143235.87370635028</v>
      </c>
      <c r="AH134" s="3">
        <f>-229.79897*627.50956</f>
        <v>-144201.05055315318</v>
      </c>
      <c r="AI134" s="3">
        <f t="shared" si="105"/>
        <v>-965.17684680290404</v>
      </c>
      <c r="AJ134" s="3">
        <v>-0.85599999999999998</v>
      </c>
      <c r="AK134" s="3">
        <v>-0.85299999999999998</v>
      </c>
      <c r="AL134" s="3">
        <f t="shared" si="106"/>
        <v>3.0000000000000027E-3</v>
      </c>
      <c r="AM134" s="3">
        <v>74.124899999999997</v>
      </c>
      <c r="AN134" s="3">
        <v>150.29746</v>
      </c>
      <c r="AO134" s="3">
        <v>148.72666000000001</v>
      </c>
      <c r="AP134" s="3">
        <f t="shared" si="107"/>
        <v>1.107341836282425</v>
      </c>
      <c r="AQ134" s="3">
        <v>9.0079999999999991</v>
      </c>
      <c r="AR134" s="3">
        <v>1.935324</v>
      </c>
      <c r="AS134" s="3">
        <v>-76.454999999999998</v>
      </c>
      <c r="AT134" s="3">
        <v>-76.055000000000007</v>
      </c>
      <c r="AU134" s="3">
        <f t="shared" si="82"/>
        <v>-0.39999999999999147</v>
      </c>
      <c r="AV134" s="3">
        <v>-0.30399999999999999</v>
      </c>
      <c r="AW134" s="3">
        <v>-0.505</v>
      </c>
      <c r="AX134" s="3">
        <f t="shared" si="83"/>
        <v>0.20100000000000001</v>
      </c>
      <c r="AY134" s="3">
        <v>0.04</v>
      </c>
      <c r="AZ134" s="3">
        <v>0.16400000000000001</v>
      </c>
      <c r="BA134" s="3">
        <f t="shared" si="84"/>
        <v>-0.124</v>
      </c>
      <c r="BB134" s="3">
        <f t="shared" si="85"/>
        <v>0.13200000000000001</v>
      </c>
      <c r="BC134" s="3">
        <f t="shared" si="85"/>
        <v>0.17049999999999998</v>
      </c>
      <c r="BD134" s="3">
        <f t="shared" si="86"/>
        <v>-3.8499999999999979E-2</v>
      </c>
      <c r="BE134" s="3">
        <f t="shared" si="87"/>
        <v>0.34399999999999997</v>
      </c>
      <c r="BF134" s="3">
        <f t="shared" si="87"/>
        <v>0.66900000000000004</v>
      </c>
      <c r="BG134" s="3">
        <f t="shared" si="88"/>
        <v>-0.32500000000000007</v>
      </c>
      <c r="BH134" s="3">
        <f t="shared" si="89"/>
        <v>-0.13200000000000001</v>
      </c>
      <c r="BI134" s="3">
        <f t="shared" si="89"/>
        <v>-0.17049999999999998</v>
      </c>
      <c r="BJ134" s="3">
        <f t="shared" si="113"/>
        <v>3.8499999999999979E-2</v>
      </c>
      <c r="BK134" s="3">
        <f t="shared" si="110"/>
        <v>2.5325581395348844E-2</v>
      </c>
      <c r="BL134" s="3">
        <f t="shared" si="111"/>
        <v>2.1726644245141997E-2</v>
      </c>
      <c r="BM134" s="3">
        <f t="shared" si="90"/>
        <v>3.5989371502068469E-3</v>
      </c>
      <c r="BN134" s="3">
        <v>2.3010000000000002</v>
      </c>
      <c r="BO134" s="3">
        <v>2.3559999999999999</v>
      </c>
      <c r="BP134" s="3">
        <f t="shared" si="91"/>
        <v>-5.4999999999999716E-2</v>
      </c>
      <c r="BQ134" s="3">
        <v>-47960.305999999997</v>
      </c>
      <c r="BR134" s="3">
        <v>-47708.290999999997</v>
      </c>
      <c r="BS134" s="3">
        <f t="shared" si="92"/>
        <v>-252.01499999999942</v>
      </c>
      <c r="BT134" s="3">
        <v>-47973.754999999997</v>
      </c>
      <c r="BU134" s="3">
        <v>-47721.697</v>
      </c>
      <c r="BV134" s="3">
        <f t="shared" si="93"/>
        <v>-252.05799999999726</v>
      </c>
    </row>
    <row r="135" spans="1:74" x14ac:dyDescent="0.25">
      <c r="A135" t="s">
        <v>342</v>
      </c>
      <c r="B135" t="s">
        <v>514</v>
      </c>
      <c r="C135" t="s">
        <v>99</v>
      </c>
      <c r="D135" s="3">
        <v>14.1</v>
      </c>
      <c r="E135" s="3">
        <v>0.76</v>
      </c>
      <c r="F135" s="3">
        <v>-170.07400000000001</v>
      </c>
      <c r="G135" s="3">
        <v>-171.084</v>
      </c>
      <c r="H135" s="3">
        <f t="shared" si="94"/>
        <v>-1.0099999999999909</v>
      </c>
      <c r="I135" s="3">
        <v>-0.39700000000000002</v>
      </c>
      <c r="J135" s="6">
        <v>-0.248</v>
      </c>
      <c r="K135" s="3">
        <f t="shared" si="95"/>
        <v>0.14900000000000002</v>
      </c>
      <c r="L135" s="3">
        <v>0.16500000000000001</v>
      </c>
      <c r="M135" s="6">
        <v>4.5999999999999999E-2</v>
      </c>
      <c r="N135" s="3">
        <f t="shared" si="96"/>
        <v>-0.11900000000000001</v>
      </c>
      <c r="O135" s="3">
        <f t="shared" si="97"/>
        <v>0.11600000000000001</v>
      </c>
      <c r="P135" s="3">
        <f t="shared" si="97"/>
        <v>0.10100000000000001</v>
      </c>
      <c r="Q135" s="3">
        <f t="shared" si="98"/>
        <v>-1.4999999999999999E-2</v>
      </c>
      <c r="R135" s="3">
        <f t="shared" si="99"/>
        <v>0.56200000000000006</v>
      </c>
      <c r="S135" s="3">
        <f t="shared" si="99"/>
        <v>0.29399999999999998</v>
      </c>
      <c r="T135" s="3">
        <f t="shared" si="100"/>
        <v>-0.26800000000000007</v>
      </c>
      <c r="U135" s="3">
        <f t="shared" si="101"/>
        <v>-0.11600000000000001</v>
      </c>
      <c r="V135" s="3">
        <f t="shared" si="101"/>
        <v>-0.10100000000000001</v>
      </c>
      <c r="W135" s="3">
        <f t="shared" si="112"/>
        <v>1.4999999999999999E-2</v>
      </c>
      <c r="X135" s="3">
        <f t="shared" si="108"/>
        <v>1.197153024911032E-2</v>
      </c>
      <c r="Y135" s="3">
        <f t="shared" si="109"/>
        <v>1.7348639455782317E-2</v>
      </c>
      <c r="Z135" s="3">
        <f t="shared" si="102"/>
        <v>5.3771092066719969E-3</v>
      </c>
      <c r="AA135" s="3">
        <v>0.90200000000000002</v>
      </c>
      <c r="AB135" s="3">
        <v>0.83599999999999997</v>
      </c>
      <c r="AC135" s="3">
        <f t="shared" si="103"/>
        <v>-6.6000000000000059E-2</v>
      </c>
      <c r="AD135" s="3">
        <f>-169.995039*627.50956</f>
        <v>-106673.51212507283</v>
      </c>
      <c r="AE135" s="3">
        <f>-171.010566*627.50956</f>
        <v>-107310.76502601097</v>
      </c>
      <c r="AF135" s="3">
        <f t="shared" si="104"/>
        <v>-637.25290093813965</v>
      </c>
      <c r="AG135" s="3">
        <f>-170.025186*627.50956</f>
        <v>-106692.42965577815</v>
      </c>
      <c r="AH135" s="3">
        <f>-171.041104*627.50956</f>
        <v>-107329.92791295423</v>
      </c>
      <c r="AI135" s="3">
        <f t="shared" si="105"/>
        <v>-637.49825717607746</v>
      </c>
      <c r="AJ135" s="3">
        <v>-0.33900000000000002</v>
      </c>
      <c r="AK135" s="3">
        <v>-0.35299999999999998</v>
      </c>
      <c r="AL135" s="3">
        <f t="shared" si="106"/>
        <v>-1.3999999999999957E-2</v>
      </c>
      <c r="AM135" s="3">
        <v>47.0565</v>
      </c>
      <c r="AN135" s="3">
        <v>100.08929000000001</v>
      </c>
      <c r="AO135" s="3">
        <v>85.743219999999994</v>
      </c>
      <c r="AP135" s="3">
        <f t="shared" si="107"/>
        <v>1.0645768868604237</v>
      </c>
      <c r="AQ135" s="3">
        <v>6.2229999999999999</v>
      </c>
      <c r="AR135" s="3">
        <v>1.1414659</v>
      </c>
      <c r="AS135" s="3">
        <v>-132.80099999999999</v>
      </c>
      <c r="AT135" s="3">
        <v>-131.97</v>
      </c>
      <c r="AU135" s="3">
        <f t="shared" si="82"/>
        <v>-0.83099999999998886</v>
      </c>
      <c r="AV135" s="3">
        <v>-0.34100000000000003</v>
      </c>
      <c r="AW135" s="3">
        <v>-0.47499999999999998</v>
      </c>
      <c r="AX135" s="3">
        <f t="shared" si="83"/>
        <v>0.13399999999999995</v>
      </c>
      <c r="AY135" s="3">
        <v>2.9000000000000001E-2</v>
      </c>
      <c r="AZ135" s="3">
        <v>0.156</v>
      </c>
      <c r="BA135" s="3">
        <f t="shared" si="84"/>
        <v>-0.127</v>
      </c>
      <c r="BB135" s="3">
        <f t="shared" si="85"/>
        <v>0.156</v>
      </c>
      <c r="BC135" s="3">
        <f t="shared" si="85"/>
        <v>0.15949999999999998</v>
      </c>
      <c r="BD135" s="3">
        <f t="shared" si="86"/>
        <v>-3.4999999999999754E-3</v>
      </c>
      <c r="BE135" s="3">
        <f t="shared" si="87"/>
        <v>0.37000000000000005</v>
      </c>
      <c r="BF135" s="3">
        <f t="shared" si="87"/>
        <v>0.63100000000000001</v>
      </c>
      <c r="BG135" s="3">
        <f t="shared" si="88"/>
        <v>-0.26099999999999995</v>
      </c>
      <c r="BH135" s="3">
        <f t="shared" si="89"/>
        <v>-0.156</v>
      </c>
      <c r="BI135" s="3">
        <f t="shared" si="89"/>
        <v>-0.15949999999999998</v>
      </c>
      <c r="BJ135" s="3">
        <f t="shared" si="113"/>
        <v>3.4999999999999754E-3</v>
      </c>
      <c r="BK135" s="3">
        <f t="shared" si="110"/>
        <v>3.2886486486486483E-2</v>
      </c>
      <c r="BL135" s="3">
        <f t="shared" si="111"/>
        <v>2.0158676703645E-2</v>
      </c>
      <c r="BM135" s="3">
        <f t="shared" si="90"/>
        <v>1.2727809782841482E-2</v>
      </c>
      <c r="BN135" s="3">
        <v>4.7279999999999998</v>
      </c>
      <c r="BO135" s="3">
        <v>4.9340000000000002</v>
      </c>
      <c r="BP135" s="3">
        <f t="shared" si="91"/>
        <v>-0.20600000000000041</v>
      </c>
      <c r="BQ135" s="3">
        <v>-83302.89</v>
      </c>
      <c r="BR135" s="3">
        <v>-82779.224000000002</v>
      </c>
      <c r="BS135" s="3">
        <f t="shared" si="92"/>
        <v>-523.66599999999744</v>
      </c>
      <c r="BT135" s="3">
        <v>-83320.774999999994</v>
      </c>
      <c r="BU135" s="3">
        <v>-82796.997000000003</v>
      </c>
      <c r="BV135" s="3">
        <f t="shared" si="93"/>
        <v>-523.77799999999115</v>
      </c>
    </row>
    <row r="136" spans="1:74" x14ac:dyDescent="0.25">
      <c r="A136" t="s">
        <v>341</v>
      </c>
      <c r="B136" t="s">
        <v>514</v>
      </c>
      <c r="C136" t="s">
        <v>103</v>
      </c>
      <c r="D136" s="3">
        <v>14.1</v>
      </c>
      <c r="E136" s="3">
        <v>0.82</v>
      </c>
      <c r="F136" s="3">
        <v>-778.57600000000002</v>
      </c>
      <c r="G136" s="3">
        <v>-781.78300000000002</v>
      </c>
      <c r="H136" s="3">
        <f t="shared" si="94"/>
        <v>-3.2069999999999936</v>
      </c>
      <c r="I136" s="3">
        <v>-0.32300000000000001</v>
      </c>
      <c r="J136" s="6">
        <v>-0.214</v>
      </c>
      <c r="K136" s="3">
        <f t="shared" si="95"/>
        <v>0.10900000000000001</v>
      </c>
      <c r="L136" s="3">
        <v>0.15</v>
      </c>
      <c r="M136" s="6">
        <v>0.02</v>
      </c>
      <c r="N136" s="3">
        <f t="shared" si="96"/>
        <v>-0.13</v>
      </c>
      <c r="O136" s="3">
        <f t="shared" si="97"/>
        <v>8.6500000000000007E-2</v>
      </c>
      <c r="P136" s="3">
        <f t="shared" si="97"/>
        <v>9.7000000000000003E-2</v>
      </c>
      <c r="Q136" s="3">
        <f t="shared" si="98"/>
        <v>1.0499999999999995E-2</v>
      </c>
      <c r="R136" s="3">
        <f t="shared" si="99"/>
        <v>0.47299999999999998</v>
      </c>
      <c r="S136" s="3">
        <f t="shared" si="99"/>
        <v>0.23399999999999999</v>
      </c>
      <c r="T136" s="3">
        <f t="shared" si="100"/>
        <v>-0.23899999999999999</v>
      </c>
      <c r="U136" s="3">
        <f t="shared" si="101"/>
        <v>-8.6500000000000007E-2</v>
      </c>
      <c r="V136" s="3">
        <f t="shared" si="101"/>
        <v>-9.7000000000000003E-2</v>
      </c>
      <c r="W136" s="3">
        <f t="shared" si="112"/>
        <v>-1.0499999999999995E-2</v>
      </c>
      <c r="X136" s="3">
        <f t="shared" si="108"/>
        <v>7.9093551797040189E-3</v>
      </c>
      <c r="Y136" s="3">
        <f t="shared" si="109"/>
        <v>2.0104700854700858E-2</v>
      </c>
      <c r="Z136" s="3">
        <f t="shared" si="102"/>
        <v>1.2195345674996839E-2</v>
      </c>
      <c r="AA136" s="3">
        <v>6.6609999999999996</v>
      </c>
      <c r="AB136" s="3">
        <v>6.4370000000000003</v>
      </c>
      <c r="AC136" s="3">
        <f t="shared" si="103"/>
        <v>-0.22399999999999931</v>
      </c>
      <c r="AD136" s="3">
        <f>-778.364467*627.50956</f>
        <v>-488431.14420680451</v>
      </c>
      <c r="AE136" s="3">
        <f>-781.584355*627.50956</f>
        <v>-490451.65470893373</v>
      </c>
      <c r="AF136" s="3">
        <f t="shared" si="104"/>
        <v>-2020.5105021292111</v>
      </c>
      <c r="AG136" s="3">
        <f>-778.408576*627.50956</f>
        <v>-488458.82302598655</v>
      </c>
      <c r="AH136" s="3">
        <f>-781.629562*627.50956</f>
        <v>-490480.02253361268</v>
      </c>
      <c r="AI136" s="3">
        <f t="shared" si="105"/>
        <v>-2021.1995076261228</v>
      </c>
      <c r="AJ136" s="3">
        <v>-0.71</v>
      </c>
      <c r="AK136" s="3">
        <v>-0.62</v>
      </c>
      <c r="AL136" s="3">
        <f t="shared" si="106"/>
        <v>8.9999999999999969E-2</v>
      </c>
      <c r="AM136" s="3">
        <v>156.24858</v>
      </c>
      <c r="AN136" s="3">
        <v>207.15198000000001</v>
      </c>
      <c r="AO136" s="3">
        <v>234.11328</v>
      </c>
      <c r="AP136" s="3">
        <f t="shared" si="107"/>
        <v>1.1278750926243677</v>
      </c>
      <c r="AQ136" s="3">
        <v>9.7469999999999999</v>
      </c>
      <c r="AR136" s="3">
        <v>2.1803268</v>
      </c>
      <c r="AS136" s="3">
        <v>-959.76900000000001</v>
      </c>
      <c r="AT136" s="3">
        <v>-958.05</v>
      </c>
      <c r="AU136" s="3">
        <f t="shared" si="82"/>
        <v>-1.7190000000000509</v>
      </c>
      <c r="AV136" s="3">
        <v>-0.317</v>
      </c>
      <c r="AW136" s="3">
        <v>-0.45</v>
      </c>
      <c r="AX136" s="3">
        <f t="shared" si="83"/>
        <v>0.13300000000000001</v>
      </c>
      <c r="AY136" s="3">
        <v>-2.4E-2</v>
      </c>
      <c r="AZ136" s="3">
        <v>0.13500000000000001</v>
      </c>
      <c r="BA136" s="3">
        <f t="shared" si="84"/>
        <v>-0.159</v>
      </c>
      <c r="BB136" s="3">
        <f t="shared" si="85"/>
        <v>0.17050000000000001</v>
      </c>
      <c r="BC136" s="3">
        <f t="shared" si="85"/>
        <v>0.1575</v>
      </c>
      <c r="BD136" s="3">
        <f t="shared" si="86"/>
        <v>1.3000000000000012E-2</v>
      </c>
      <c r="BE136" s="3">
        <f t="shared" si="87"/>
        <v>0.29299999999999998</v>
      </c>
      <c r="BF136" s="3">
        <f t="shared" si="87"/>
        <v>0.58499999999999996</v>
      </c>
      <c r="BG136" s="3">
        <f t="shared" si="88"/>
        <v>-0.29199999999999998</v>
      </c>
      <c r="BH136" s="3">
        <f t="shared" si="89"/>
        <v>-0.17050000000000001</v>
      </c>
      <c r="BI136" s="3">
        <f t="shared" si="89"/>
        <v>-0.1575</v>
      </c>
      <c r="BJ136" s="3">
        <f t="shared" si="113"/>
        <v>-1.3000000000000012E-2</v>
      </c>
      <c r="BK136" s="3">
        <f t="shared" si="110"/>
        <v>4.9607935153583631E-2</v>
      </c>
      <c r="BL136" s="3">
        <f t="shared" si="111"/>
        <v>2.120192307692308E-2</v>
      </c>
      <c r="BM136" s="3">
        <f t="shared" si="90"/>
        <v>2.8406012076660551E-2</v>
      </c>
      <c r="BN136" s="3">
        <v>2.2370000000000001</v>
      </c>
      <c r="BO136" s="3">
        <v>2.431</v>
      </c>
      <c r="BP136" s="3">
        <f t="shared" si="91"/>
        <v>-0.19399999999999995</v>
      </c>
      <c r="BQ136" s="3">
        <v>-602243.07700000005</v>
      </c>
      <c r="BR136" s="3">
        <v>-601163.24300000002</v>
      </c>
      <c r="BS136" s="3">
        <f t="shared" si="92"/>
        <v>-1079.8340000000317</v>
      </c>
      <c r="BT136" s="3">
        <v>-602262.36399999994</v>
      </c>
      <c r="BU136" s="3">
        <v>-601182.38500000001</v>
      </c>
      <c r="BV136" s="3">
        <f t="shared" si="93"/>
        <v>-1079.9789999999339</v>
      </c>
    </row>
    <row r="137" spans="1:74" x14ac:dyDescent="0.25">
      <c r="A137" t="s">
        <v>291</v>
      </c>
      <c r="B137" t="s">
        <v>514</v>
      </c>
      <c r="C137" t="s">
        <v>99</v>
      </c>
      <c r="D137" s="3">
        <v>14.11</v>
      </c>
      <c r="E137" s="3">
        <v>0.71</v>
      </c>
      <c r="F137" s="3">
        <v>-209.172</v>
      </c>
      <c r="G137" s="3">
        <v>-210.45400000000001</v>
      </c>
      <c r="H137" s="3">
        <f t="shared" si="94"/>
        <v>-1.2820000000000107</v>
      </c>
      <c r="I137" s="3">
        <v>-0.39500000000000002</v>
      </c>
      <c r="J137" s="6">
        <v>-0.245</v>
      </c>
      <c r="K137" s="3">
        <f t="shared" si="95"/>
        <v>0.15000000000000002</v>
      </c>
      <c r="L137" s="3">
        <v>0.16300000000000001</v>
      </c>
      <c r="M137" s="6">
        <v>4.2999999999999997E-2</v>
      </c>
      <c r="N137" s="3">
        <f t="shared" si="96"/>
        <v>-0.12000000000000001</v>
      </c>
      <c r="O137" s="3">
        <f t="shared" si="97"/>
        <v>0.11600000000000001</v>
      </c>
      <c r="P137" s="3">
        <f t="shared" si="97"/>
        <v>0.10100000000000001</v>
      </c>
      <c r="Q137" s="3">
        <f t="shared" si="98"/>
        <v>-1.4999999999999999E-2</v>
      </c>
      <c r="R137" s="3">
        <f t="shared" si="99"/>
        <v>0.55800000000000005</v>
      </c>
      <c r="S137" s="3">
        <f t="shared" si="99"/>
        <v>0.28799999999999998</v>
      </c>
      <c r="T137" s="3">
        <f t="shared" si="100"/>
        <v>-0.27000000000000007</v>
      </c>
      <c r="U137" s="3">
        <f t="shared" si="101"/>
        <v>-0.11600000000000001</v>
      </c>
      <c r="V137" s="3">
        <f t="shared" si="101"/>
        <v>-0.10100000000000001</v>
      </c>
      <c r="W137" s="3">
        <f t="shared" si="112"/>
        <v>1.4999999999999999E-2</v>
      </c>
      <c r="X137" s="3">
        <f t="shared" si="108"/>
        <v>1.2057347670250896E-2</v>
      </c>
      <c r="Y137" s="3">
        <f t="shared" si="109"/>
        <v>1.7710069444444448E-2</v>
      </c>
      <c r="Z137" s="3">
        <f t="shared" si="102"/>
        <v>5.6527217741935525E-3</v>
      </c>
      <c r="AA137" s="3">
        <v>1.514</v>
      </c>
      <c r="AB137" s="3">
        <v>1.3979999999999999</v>
      </c>
      <c r="AC137" s="3">
        <f t="shared" si="103"/>
        <v>-0.1160000000000001</v>
      </c>
      <c r="AD137" s="3">
        <f>-209.061388*627.50956</f>
        <v>-131188.01959686927</v>
      </c>
      <c r="AE137" s="3">
        <f>-210.350429*627.50956</f>
        <v>-131996.90514760124</v>
      </c>
      <c r="AF137" s="3">
        <f t="shared" si="104"/>
        <v>-808.88555073196767</v>
      </c>
      <c r="AG137" s="3">
        <f>-209.095107*627.50956</f>
        <v>-131209.17859172291</v>
      </c>
      <c r="AH137" s="3">
        <f>-210.384742*627.50956</f>
        <v>-132018.43688313352</v>
      </c>
      <c r="AI137" s="3">
        <f t="shared" si="105"/>
        <v>-809.2582914106024</v>
      </c>
      <c r="AJ137" s="3">
        <v>-0.86</v>
      </c>
      <c r="AK137" s="3">
        <v>-0.85199999999999998</v>
      </c>
      <c r="AL137" s="3">
        <f t="shared" si="106"/>
        <v>8.0000000000000071E-3</v>
      </c>
      <c r="AM137" s="3">
        <v>61.083080000000002</v>
      </c>
      <c r="AN137" s="3">
        <v>122.32069</v>
      </c>
      <c r="AO137" s="3">
        <v>113.04539</v>
      </c>
      <c r="AP137" s="3">
        <f t="shared" si="107"/>
        <v>1.0820665410927832</v>
      </c>
      <c r="AQ137" s="3">
        <v>7.6070000000000002</v>
      </c>
      <c r="AR137" s="3">
        <v>1.535104</v>
      </c>
      <c r="AS137" s="3">
        <v>-132.80099999999999</v>
      </c>
      <c r="AT137" s="3">
        <v>-131.97</v>
      </c>
      <c r="AU137" s="3">
        <f t="shared" si="82"/>
        <v>-0.83099999999998886</v>
      </c>
      <c r="AV137" s="3">
        <v>-0.34100000000000003</v>
      </c>
      <c r="AW137" s="3">
        <v>-0.47499999999999998</v>
      </c>
      <c r="AX137" s="3">
        <f t="shared" si="83"/>
        <v>0.13399999999999995</v>
      </c>
      <c r="AY137" s="3">
        <v>2.9000000000000001E-2</v>
      </c>
      <c r="AZ137" s="3">
        <v>0.156</v>
      </c>
      <c r="BA137" s="3">
        <f t="shared" si="84"/>
        <v>-0.127</v>
      </c>
      <c r="BB137" s="3">
        <f t="shared" si="85"/>
        <v>0.156</v>
      </c>
      <c r="BC137" s="3">
        <f t="shared" si="85"/>
        <v>0.15949999999999998</v>
      </c>
      <c r="BD137" s="3">
        <f t="shared" si="86"/>
        <v>-3.4999999999999754E-3</v>
      </c>
      <c r="BE137" s="3">
        <f t="shared" si="87"/>
        <v>0.37000000000000005</v>
      </c>
      <c r="BF137" s="3">
        <f t="shared" si="87"/>
        <v>0.63100000000000001</v>
      </c>
      <c r="BG137" s="3">
        <f t="shared" si="88"/>
        <v>-0.26099999999999995</v>
      </c>
      <c r="BH137" s="3">
        <f t="shared" si="89"/>
        <v>-0.156</v>
      </c>
      <c r="BI137" s="3">
        <f t="shared" si="89"/>
        <v>-0.15949999999999998</v>
      </c>
      <c r="BJ137" s="3">
        <f t="shared" si="113"/>
        <v>3.4999999999999754E-3</v>
      </c>
      <c r="BK137" s="3">
        <f t="shared" si="110"/>
        <v>3.2886486486486483E-2</v>
      </c>
      <c r="BL137" s="3">
        <f t="shared" si="111"/>
        <v>2.0158676703645E-2</v>
      </c>
      <c r="BM137" s="3">
        <f t="shared" si="90"/>
        <v>1.2727809782841482E-2</v>
      </c>
      <c r="BN137" s="3">
        <v>4.7279999999999998</v>
      </c>
      <c r="BO137" s="3">
        <v>4.9340000000000002</v>
      </c>
      <c r="BP137" s="3">
        <f t="shared" si="91"/>
        <v>-0.20600000000000041</v>
      </c>
      <c r="BQ137" s="3">
        <v>-83302.89</v>
      </c>
      <c r="BR137" s="3">
        <v>-82779.224000000002</v>
      </c>
      <c r="BS137" s="3">
        <f t="shared" si="92"/>
        <v>-523.66599999999744</v>
      </c>
      <c r="BT137" s="3">
        <v>-83320.774999999994</v>
      </c>
      <c r="BU137" s="3">
        <v>-82796.997000000003</v>
      </c>
      <c r="BV137" s="3">
        <f t="shared" si="93"/>
        <v>-523.77799999999115</v>
      </c>
    </row>
    <row r="138" spans="1:74" x14ac:dyDescent="0.25">
      <c r="A138" t="s">
        <v>343</v>
      </c>
      <c r="B138" t="s">
        <v>514</v>
      </c>
      <c r="C138" t="s">
        <v>199</v>
      </c>
      <c r="D138" s="3">
        <v>14.12</v>
      </c>
      <c r="E138" s="3">
        <v>0.53</v>
      </c>
      <c r="F138" s="3">
        <v>-551.077</v>
      </c>
      <c r="G138" s="3">
        <v>-554.47900000000004</v>
      </c>
      <c r="H138" s="3">
        <f t="shared" si="94"/>
        <v>-3.4020000000000437</v>
      </c>
      <c r="I138" s="3">
        <v>-0.32300000000000001</v>
      </c>
      <c r="J138" s="6">
        <v>-0.21</v>
      </c>
      <c r="K138" s="3">
        <f t="shared" si="95"/>
        <v>0.11300000000000002</v>
      </c>
      <c r="L138" s="3">
        <v>0.13500000000000001</v>
      </c>
      <c r="M138" s="6">
        <v>-7.0000000000000001E-3</v>
      </c>
      <c r="N138" s="3">
        <f t="shared" si="96"/>
        <v>-0.14200000000000002</v>
      </c>
      <c r="O138" s="3">
        <f t="shared" si="97"/>
        <v>9.4E-2</v>
      </c>
      <c r="P138" s="3">
        <f t="shared" si="97"/>
        <v>0.1085</v>
      </c>
      <c r="Q138" s="3">
        <f t="shared" si="98"/>
        <v>1.4499999999999999E-2</v>
      </c>
      <c r="R138" s="3">
        <f t="shared" si="99"/>
        <v>0.45800000000000002</v>
      </c>
      <c r="S138" s="3">
        <f t="shared" si="99"/>
        <v>0.20299999999999999</v>
      </c>
      <c r="T138" s="3">
        <f t="shared" si="100"/>
        <v>-0.255</v>
      </c>
      <c r="U138" s="3">
        <f t="shared" si="101"/>
        <v>-9.4E-2</v>
      </c>
      <c r="V138" s="3">
        <f t="shared" si="101"/>
        <v>-0.1085</v>
      </c>
      <c r="W138" s="3">
        <f t="shared" si="112"/>
        <v>-1.4499999999999999E-2</v>
      </c>
      <c r="X138" s="3">
        <f t="shared" si="108"/>
        <v>9.6462882096069874E-3</v>
      </c>
      <c r="Y138" s="3">
        <f t="shared" si="109"/>
        <v>2.8995689655172414E-2</v>
      </c>
      <c r="Z138" s="3">
        <f t="shared" si="102"/>
        <v>1.9349401445565427E-2</v>
      </c>
      <c r="AA138" s="3">
        <v>13.606999999999999</v>
      </c>
      <c r="AB138" s="3">
        <v>13.111000000000001</v>
      </c>
      <c r="AC138" s="3">
        <f t="shared" si="103"/>
        <v>-0.49599999999999866</v>
      </c>
      <c r="AD138" s="3">
        <f>-550.877614*627.50956</f>
        <v>-345680.96917498979</v>
      </c>
      <c r="AE138" s="3">
        <f>-554.291069*627.50956</f>
        <v>-347822.94482011959</v>
      </c>
      <c r="AF138" s="3">
        <f t="shared" si="104"/>
        <v>-2141.9756451298017</v>
      </c>
      <c r="AG138" s="3">
        <f>-550.926543*627.50956</f>
        <v>-345711.67259025108</v>
      </c>
      <c r="AH138" s="3">
        <f>-554.340771*627.50956</f>
        <v>-347854.13330027077</v>
      </c>
      <c r="AI138" s="3">
        <f t="shared" si="105"/>
        <v>-2142.4607100196881</v>
      </c>
      <c r="AJ138" s="3">
        <v>-0.86599999999999999</v>
      </c>
      <c r="AK138" s="3">
        <v>-0.876</v>
      </c>
      <c r="AL138" s="3">
        <f t="shared" si="106"/>
        <v>-1.0000000000000009E-2</v>
      </c>
      <c r="AM138" s="3">
        <v>164.18119999999999</v>
      </c>
      <c r="AN138" s="3">
        <v>217.8588</v>
      </c>
      <c r="AO138" s="3">
        <v>239.92023</v>
      </c>
      <c r="AP138" s="3">
        <f t="shared" si="107"/>
        <v>1.1669524087919032</v>
      </c>
      <c r="AQ138" s="3">
        <v>10.558999999999999</v>
      </c>
      <c r="AR138" s="3">
        <v>2.6790740999999998</v>
      </c>
      <c r="AS138" s="3">
        <v>-76.454999999999998</v>
      </c>
      <c r="AT138" s="3">
        <v>-76.055000000000007</v>
      </c>
      <c r="AU138" s="3">
        <f t="shared" si="82"/>
        <v>-0.39999999999999147</v>
      </c>
      <c r="AV138" s="3">
        <v>-0.30399999999999999</v>
      </c>
      <c r="AW138" s="3">
        <v>-0.505</v>
      </c>
      <c r="AX138" s="3">
        <f t="shared" si="83"/>
        <v>0.20100000000000001</v>
      </c>
      <c r="AY138" s="3">
        <v>0.04</v>
      </c>
      <c r="AZ138" s="3">
        <v>0.16400000000000001</v>
      </c>
      <c r="BA138" s="3">
        <f t="shared" si="84"/>
        <v>-0.124</v>
      </c>
      <c r="BB138" s="3">
        <f t="shared" si="85"/>
        <v>0.13200000000000001</v>
      </c>
      <c r="BC138" s="3">
        <f t="shared" si="85"/>
        <v>0.17049999999999998</v>
      </c>
      <c r="BD138" s="3">
        <f t="shared" si="86"/>
        <v>-3.8499999999999979E-2</v>
      </c>
      <c r="BE138" s="3">
        <f t="shared" si="87"/>
        <v>0.34399999999999997</v>
      </c>
      <c r="BF138" s="3">
        <f t="shared" si="87"/>
        <v>0.66900000000000004</v>
      </c>
      <c r="BG138" s="3">
        <f t="shared" si="88"/>
        <v>-0.32500000000000007</v>
      </c>
      <c r="BH138" s="3">
        <f t="shared" si="89"/>
        <v>-0.13200000000000001</v>
      </c>
      <c r="BI138" s="3">
        <f t="shared" si="89"/>
        <v>-0.17049999999999998</v>
      </c>
      <c r="BJ138" s="3">
        <f t="shared" si="113"/>
        <v>3.8499999999999979E-2</v>
      </c>
      <c r="BK138" s="3">
        <f t="shared" si="110"/>
        <v>2.5325581395348844E-2</v>
      </c>
      <c r="BL138" s="3">
        <f t="shared" si="111"/>
        <v>2.1726644245141997E-2</v>
      </c>
      <c r="BM138" s="3">
        <f t="shared" si="90"/>
        <v>3.5989371502068469E-3</v>
      </c>
      <c r="BN138" s="3">
        <v>2.3010000000000002</v>
      </c>
      <c r="BO138" s="3">
        <v>2.3559999999999999</v>
      </c>
      <c r="BP138" s="3">
        <f t="shared" si="91"/>
        <v>-5.4999999999999716E-2</v>
      </c>
      <c r="BQ138" s="3">
        <v>-47960.305999999997</v>
      </c>
      <c r="BR138" s="3">
        <v>-47708.290999999997</v>
      </c>
      <c r="BS138" s="3">
        <f t="shared" si="92"/>
        <v>-252.01499999999942</v>
      </c>
      <c r="BT138" s="3">
        <v>-47973.754999999997</v>
      </c>
      <c r="BU138" s="3">
        <v>-47721.697</v>
      </c>
      <c r="BV138" s="3">
        <f t="shared" si="93"/>
        <v>-252.05799999999726</v>
      </c>
    </row>
    <row r="139" spans="1:74" x14ac:dyDescent="0.25">
      <c r="A139" t="s">
        <v>344</v>
      </c>
      <c r="B139" t="s">
        <v>514</v>
      </c>
      <c r="C139" t="s">
        <v>99</v>
      </c>
      <c r="D139" s="3">
        <v>14.19</v>
      </c>
      <c r="E139" s="3">
        <v>0.67</v>
      </c>
      <c r="F139" s="3">
        <v>-1250.45</v>
      </c>
      <c r="G139" s="3">
        <v>-1258.2850000000001</v>
      </c>
      <c r="H139" s="3">
        <f t="shared" si="94"/>
        <v>-7.8350000000000364</v>
      </c>
      <c r="I139" s="3">
        <v>-0.315</v>
      </c>
      <c r="J139" s="6">
        <v>-0.217</v>
      </c>
      <c r="K139" s="3">
        <f t="shared" si="95"/>
        <v>9.8000000000000004E-2</v>
      </c>
      <c r="L139" s="3">
        <v>9.2999999999999999E-2</v>
      </c>
      <c r="M139" s="6">
        <v>-5.2999999999999999E-2</v>
      </c>
      <c r="N139" s="3">
        <f t="shared" si="96"/>
        <v>-0.14599999999999999</v>
      </c>
      <c r="O139" s="3">
        <f t="shared" si="97"/>
        <v>0.111</v>
      </c>
      <c r="P139" s="3">
        <f t="shared" si="97"/>
        <v>0.13500000000000001</v>
      </c>
      <c r="Q139" s="3">
        <f t="shared" si="98"/>
        <v>2.4000000000000007E-2</v>
      </c>
      <c r="R139" s="3">
        <f t="shared" si="99"/>
        <v>0.40800000000000003</v>
      </c>
      <c r="S139" s="3">
        <f t="shared" si="99"/>
        <v>0.16400000000000001</v>
      </c>
      <c r="T139" s="3">
        <f t="shared" si="100"/>
        <v>-0.24400000000000002</v>
      </c>
      <c r="U139" s="3">
        <f t="shared" si="101"/>
        <v>-0.111</v>
      </c>
      <c r="V139" s="3">
        <f t="shared" si="101"/>
        <v>-0.13500000000000001</v>
      </c>
      <c r="W139" s="3">
        <f t="shared" si="112"/>
        <v>-2.4000000000000007E-2</v>
      </c>
      <c r="X139" s="3">
        <f t="shared" si="108"/>
        <v>1.5099264705882352E-2</v>
      </c>
      <c r="Y139" s="3">
        <f t="shared" si="109"/>
        <v>5.5564024390243903E-2</v>
      </c>
      <c r="Z139" s="3">
        <f t="shared" si="102"/>
        <v>4.046475968436155E-2</v>
      </c>
      <c r="AA139" s="3">
        <v>2.06</v>
      </c>
      <c r="AB139" s="3">
        <v>2.88</v>
      </c>
      <c r="AC139" s="3">
        <f t="shared" si="103"/>
        <v>0.81999999999999984</v>
      </c>
      <c r="AD139" s="3">
        <f>-1250.007381*627.50956</f>
        <v>-784391.58164806222</v>
      </c>
      <c r="AE139" s="3">
        <f>-1257.868752*627.50956</f>
        <v>-789324.66710526915</v>
      </c>
      <c r="AF139" s="3">
        <f t="shared" si="104"/>
        <v>-4933.0854572069366</v>
      </c>
      <c r="AG139" s="3">
        <f>-1250.082442*627.50956</f>
        <v>-784438.6831431454</v>
      </c>
      <c r="AH139" s="3">
        <f>-1257.946336*627.50956</f>
        <v>-789373.35180697206</v>
      </c>
      <c r="AI139" s="3">
        <f t="shared" si="105"/>
        <v>-4934.6686638266547</v>
      </c>
      <c r="AJ139" s="3">
        <v>-0.54300000000000004</v>
      </c>
      <c r="AK139" s="3">
        <v>-0.49199999999999999</v>
      </c>
      <c r="AL139" s="3">
        <f t="shared" si="106"/>
        <v>5.1000000000000045E-2</v>
      </c>
      <c r="AM139" s="3">
        <v>384.43049999999999</v>
      </c>
      <c r="AN139" s="3">
        <v>419.25369999999998</v>
      </c>
      <c r="AO139" s="3">
        <v>522.76476000000002</v>
      </c>
      <c r="AP139" s="3">
        <f t="shared" si="107"/>
        <v>1.3361708264093053</v>
      </c>
      <c r="AQ139" s="3">
        <v>14.609</v>
      </c>
      <c r="AR139" s="3">
        <v>3.9856642</v>
      </c>
      <c r="AS139" s="3">
        <v>-132.80099999999999</v>
      </c>
      <c r="AT139" s="3">
        <v>-131.97</v>
      </c>
      <c r="AU139" s="3">
        <f t="shared" si="82"/>
        <v>-0.83099999999998886</v>
      </c>
      <c r="AV139" s="3">
        <v>-0.34100000000000003</v>
      </c>
      <c r="AW139" s="3">
        <v>-0.47499999999999998</v>
      </c>
      <c r="AX139" s="3">
        <f t="shared" si="83"/>
        <v>0.13399999999999995</v>
      </c>
      <c r="AY139" s="3">
        <v>2.9000000000000001E-2</v>
      </c>
      <c r="AZ139" s="3">
        <v>0.156</v>
      </c>
      <c r="BA139" s="3">
        <f t="shared" si="84"/>
        <v>-0.127</v>
      </c>
      <c r="BB139" s="3">
        <f t="shared" si="85"/>
        <v>0.156</v>
      </c>
      <c r="BC139" s="3">
        <f t="shared" si="85"/>
        <v>0.15949999999999998</v>
      </c>
      <c r="BD139" s="3">
        <f t="shared" si="86"/>
        <v>-3.4999999999999754E-3</v>
      </c>
      <c r="BE139" s="3">
        <f t="shared" si="87"/>
        <v>0.37000000000000005</v>
      </c>
      <c r="BF139" s="3">
        <f t="shared" si="87"/>
        <v>0.63100000000000001</v>
      </c>
      <c r="BG139" s="3">
        <f t="shared" si="88"/>
        <v>-0.26099999999999995</v>
      </c>
      <c r="BH139" s="3">
        <f t="shared" si="89"/>
        <v>-0.156</v>
      </c>
      <c r="BI139" s="3">
        <f t="shared" si="89"/>
        <v>-0.15949999999999998</v>
      </c>
      <c r="BJ139" s="3">
        <f t="shared" si="113"/>
        <v>3.4999999999999754E-3</v>
      </c>
      <c r="BK139" s="3">
        <f t="shared" si="110"/>
        <v>3.2886486486486483E-2</v>
      </c>
      <c r="BL139" s="3">
        <f t="shared" si="111"/>
        <v>2.0158676703645E-2</v>
      </c>
      <c r="BM139" s="3">
        <f t="shared" si="90"/>
        <v>1.2727809782841482E-2</v>
      </c>
      <c r="BN139" s="3">
        <v>4.7279999999999998</v>
      </c>
      <c r="BO139" s="3">
        <v>4.9340000000000002</v>
      </c>
      <c r="BP139" s="3">
        <f t="shared" si="91"/>
        <v>-0.20600000000000041</v>
      </c>
      <c r="BQ139" s="3">
        <v>-83302.89</v>
      </c>
      <c r="BR139" s="3">
        <v>-82779.224000000002</v>
      </c>
      <c r="BS139" s="3">
        <f t="shared" si="92"/>
        <v>-523.66599999999744</v>
      </c>
      <c r="BT139" s="3">
        <v>-83320.774999999994</v>
      </c>
      <c r="BU139" s="3">
        <v>-82796.997000000003</v>
      </c>
      <c r="BV139" s="3">
        <f t="shared" si="93"/>
        <v>-523.77799999999115</v>
      </c>
    </row>
    <row r="140" spans="1:74" x14ac:dyDescent="0.25">
      <c r="A140" t="s">
        <v>320</v>
      </c>
      <c r="B140" t="s">
        <v>514</v>
      </c>
      <c r="C140" t="s">
        <v>199</v>
      </c>
      <c r="D140" s="3">
        <v>14.28</v>
      </c>
      <c r="E140" s="3">
        <v>0.68</v>
      </c>
      <c r="F140" s="3">
        <v>-399.71499999999997</v>
      </c>
      <c r="G140" s="3">
        <v>-402.23700000000002</v>
      </c>
      <c r="H140" s="3">
        <f t="shared" si="94"/>
        <v>-2.5220000000000482</v>
      </c>
      <c r="I140" s="3">
        <v>-0.29599999999999999</v>
      </c>
      <c r="J140" s="6">
        <v>-0.20799999999999999</v>
      </c>
      <c r="K140" s="3">
        <f t="shared" si="95"/>
        <v>8.7999999999999995E-2</v>
      </c>
      <c r="L140" s="3">
        <v>0.125</v>
      </c>
      <c r="M140" s="6">
        <v>-1.4999999999999999E-2</v>
      </c>
      <c r="N140" s="3">
        <f t="shared" si="96"/>
        <v>-0.14000000000000001</v>
      </c>
      <c r="O140" s="3">
        <f t="shared" si="97"/>
        <v>8.5499999999999993E-2</v>
      </c>
      <c r="P140" s="3">
        <f t="shared" si="97"/>
        <v>0.11149999999999999</v>
      </c>
      <c r="Q140" s="3">
        <f t="shared" si="98"/>
        <v>2.5999999999999995E-2</v>
      </c>
      <c r="R140" s="3">
        <f t="shared" si="99"/>
        <v>0.42099999999999999</v>
      </c>
      <c r="S140" s="3">
        <f t="shared" si="99"/>
        <v>0.193</v>
      </c>
      <c r="T140" s="3">
        <f t="shared" si="100"/>
        <v>-0.22799999999999998</v>
      </c>
      <c r="U140" s="3">
        <f t="shared" si="101"/>
        <v>-8.5499999999999993E-2</v>
      </c>
      <c r="V140" s="3">
        <f t="shared" si="101"/>
        <v>-0.11149999999999999</v>
      </c>
      <c r="W140" s="3">
        <f t="shared" si="112"/>
        <v>-2.5999999999999995E-2</v>
      </c>
      <c r="X140" s="3">
        <f t="shared" si="108"/>
        <v>8.6820071258907356E-3</v>
      </c>
      <c r="Y140" s="3">
        <f t="shared" si="109"/>
        <v>3.2207901554404138E-2</v>
      </c>
      <c r="Z140" s="3">
        <f t="shared" si="102"/>
        <v>2.3525894428513404E-2</v>
      </c>
      <c r="AA140" s="3">
        <v>1.5409999999999999</v>
      </c>
      <c r="AB140" s="3">
        <v>2.194</v>
      </c>
      <c r="AC140" s="3">
        <f t="shared" si="103"/>
        <v>0.65300000000000002</v>
      </c>
      <c r="AD140" s="3">
        <f>-399.547583*627.50956</f>
        <v>-250719.92800739346</v>
      </c>
      <c r="AE140" s="3">
        <f>-402.079562*627.50956</f>
        <v>-252308.7690356127</v>
      </c>
      <c r="AF140" s="3">
        <f t="shared" si="104"/>
        <v>-1588.8410282192344</v>
      </c>
      <c r="AG140" s="3">
        <f>-399.589914*627.50956</f>
        <v>-250746.49111457783</v>
      </c>
      <c r="AH140" s="3">
        <f>-402.123831*627.50956</f>
        <v>-252336.54825632434</v>
      </c>
      <c r="AI140" s="3">
        <f t="shared" si="105"/>
        <v>-1590.0571417465108</v>
      </c>
      <c r="AJ140" s="3">
        <v>-0.82899999999999996</v>
      </c>
      <c r="AK140" s="3">
        <v>-0.79300000000000004</v>
      </c>
      <c r="AL140" s="3">
        <f t="shared" si="106"/>
        <v>3.5999999999999921E-2</v>
      </c>
      <c r="AM140" s="3">
        <v>123.15246</v>
      </c>
      <c r="AN140" s="3">
        <v>188.67240000000001</v>
      </c>
      <c r="AO140" s="3">
        <v>196.81639999999999</v>
      </c>
      <c r="AP140" s="3">
        <f t="shared" si="107"/>
        <v>1.1532500136833932</v>
      </c>
      <c r="AQ140" s="3">
        <v>10.313000000000001</v>
      </c>
      <c r="AR140" s="3">
        <v>2.2229930000000002</v>
      </c>
      <c r="AS140" s="3">
        <v>-76.454999999999998</v>
      </c>
      <c r="AT140" s="3">
        <v>-76.055000000000007</v>
      </c>
      <c r="AU140" s="3">
        <f t="shared" si="82"/>
        <v>-0.39999999999999147</v>
      </c>
      <c r="AV140" s="3">
        <v>-0.30399999999999999</v>
      </c>
      <c r="AW140" s="3">
        <v>-0.505</v>
      </c>
      <c r="AX140" s="3">
        <f t="shared" si="83"/>
        <v>0.20100000000000001</v>
      </c>
      <c r="AY140" s="3">
        <v>0.04</v>
      </c>
      <c r="AZ140" s="3">
        <v>0.16400000000000001</v>
      </c>
      <c r="BA140" s="3">
        <f t="shared" si="84"/>
        <v>-0.124</v>
      </c>
      <c r="BB140" s="3">
        <f t="shared" si="85"/>
        <v>0.13200000000000001</v>
      </c>
      <c r="BC140" s="3">
        <f t="shared" si="85"/>
        <v>0.17049999999999998</v>
      </c>
      <c r="BD140" s="3">
        <f t="shared" si="86"/>
        <v>-3.8499999999999979E-2</v>
      </c>
      <c r="BE140" s="3">
        <f t="shared" si="87"/>
        <v>0.34399999999999997</v>
      </c>
      <c r="BF140" s="3">
        <f t="shared" si="87"/>
        <v>0.66900000000000004</v>
      </c>
      <c r="BG140" s="3">
        <f t="shared" si="88"/>
        <v>-0.32500000000000007</v>
      </c>
      <c r="BH140" s="3">
        <f t="shared" si="89"/>
        <v>-0.13200000000000001</v>
      </c>
      <c r="BI140" s="3">
        <f t="shared" si="89"/>
        <v>-0.17049999999999998</v>
      </c>
      <c r="BJ140" s="3">
        <f t="shared" si="113"/>
        <v>3.8499999999999979E-2</v>
      </c>
      <c r="BK140" s="3">
        <f t="shared" si="110"/>
        <v>2.5325581395348844E-2</v>
      </c>
      <c r="BL140" s="3">
        <f t="shared" si="111"/>
        <v>2.1726644245141997E-2</v>
      </c>
      <c r="BM140" s="3">
        <f t="shared" si="90"/>
        <v>3.5989371502068469E-3</v>
      </c>
      <c r="BN140" s="3">
        <v>2.3010000000000002</v>
      </c>
      <c r="BO140" s="3">
        <v>2.3559999999999999</v>
      </c>
      <c r="BP140" s="3">
        <f t="shared" si="91"/>
        <v>-5.4999999999999716E-2</v>
      </c>
      <c r="BQ140" s="3">
        <v>-47960.305999999997</v>
      </c>
      <c r="BR140" s="3">
        <v>-47708.290999999997</v>
      </c>
      <c r="BS140" s="3">
        <f t="shared" si="92"/>
        <v>-252.01499999999942</v>
      </c>
      <c r="BT140" s="3">
        <v>-47973.754999999997</v>
      </c>
      <c r="BU140" s="3">
        <v>-47721.697</v>
      </c>
      <c r="BV140" s="3">
        <f t="shared" si="93"/>
        <v>-252.05799999999726</v>
      </c>
    </row>
    <row r="141" spans="1:74" x14ac:dyDescent="0.25">
      <c r="A141" t="s">
        <v>322</v>
      </c>
      <c r="B141" t="s">
        <v>514</v>
      </c>
      <c r="C141" t="s">
        <v>99</v>
      </c>
      <c r="D141" s="3">
        <v>14.29</v>
      </c>
      <c r="E141" s="3">
        <v>0.67</v>
      </c>
      <c r="F141" s="3">
        <v>-324.84399999999999</v>
      </c>
      <c r="G141" s="3">
        <v>-327.00200000000001</v>
      </c>
      <c r="H141" s="3">
        <f t="shared" si="94"/>
        <v>-2.1580000000000155</v>
      </c>
      <c r="I141" s="3">
        <v>-0.33100000000000002</v>
      </c>
      <c r="J141" s="6">
        <v>-0.24199999999999999</v>
      </c>
      <c r="K141" s="3">
        <f t="shared" si="95"/>
        <v>8.9000000000000024E-2</v>
      </c>
      <c r="L141" s="3">
        <v>0.127</v>
      </c>
      <c r="M141" s="6">
        <v>-1.2E-2</v>
      </c>
      <c r="N141" s="3">
        <f t="shared" si="96"/>
        <v>-0.13900000000000001</v>
      </c>
      <c r="O141" s="3">
        <f t="shared" si="97"/>
        <v>0.10200000000000001</v>
      </c>
      <c r="P141" s="3">
        <f t="shared" si="97"/>
        <v>0.127</v>
      </c>
      <c r="Q141" s="3">
        <f t="shared" si="98"/>
        <v>2.4999999999999994E-2</v>
      </c>
      <c r="R141" s="3">
        <f t="shared" si="99"/>
        <v>0.45800000000000002</v>
      </c>
      <c r="S141" s="3">
        <f t="shared" si="99"/>
        <v>0.22999999999999998</v>
      </c>
      <c r="T141" s="3">
        <f t="shared" si="100"/>
        <v>-0.22800000000000004</v>
      </c>
      <c r="U141" s="3">
        <f t="shared" si="101"/>
        <v>-0.10200000000000001</v>
      </c>
      <c r="V141" s="3">
        <f t="shared" si="101"/>
        <v>-0.127</v>
      </c>
      <c r="W141" s="3">
        <f t="shared" si="112"/>
        <v>-2.4999999999999994E-2</v>
      </c>
      <c r="X141" s="3">
        <f t="shared" si="108"/>
        <v>1.1358078602620088E-2</v>
      </c>
      <c r="Y141" s="3">
        <f t="shared" si="109"/>
        <v>3.5063043478260877E-2</v>
      </c>
      <c r="Z141" s="3">
        <f t="shared" si="102"/>
        <v>2.3704964875640791E-2</v>
      </c>
      <c r="AA141" s="3">
        <v>1.8420000000000001</v>
      </c>
      <c r="AB141" s="3">
        <v>1.9710000000000001</v>
      </c>
      <c r="AC141" s="3">
        <f t="shared" si="103"/>
        <v>0.129</v>
      </c>
      <c r="AD141" s="3">
        <f>-324.680975*627.50956</f>
        <v>-203740.41576262098</v>
      </c>
      <c r="AE141" s="3">
        <f>-326.848023*627.50956</f>
        <v>-205100.25909959988</v>
      </c>
      <c r="AF141" s="3">
        <f t="shared" si="104"/>
        <v>-1359.8433369788982</v>
      </c>
      <c r="AG141" s="3">
        <f>-324.720678*627.50956</f>
        <v>-203765.32977468168</v>
      </c>
      <c r="AH141" s="3">
        <f>-326.888226*627.50956</f>
        <v>-205125.48686644054</v>
      </c>
      <c r="AI141" s="3">
        <f t="shared" si="105"/>
        <v>-1360.1570917588542</v>
      </c>
      <c r="AJ141" s="3">
        <v>-0.85</v>
      </c>
      <c r="AK141" s="3">
        <v>-0.85099999999999998</v>
      </c>
      <c r="AL141" s="3">
        <f t="shared" si="106"/>
        <v>-1.0000000000000009E-3</v>
      </c>
      <c r="AM141" s="3">
        <v>107.15306</v>
      </c>
      <c r="AN141" s="3">
        <v>177.02172999999999</v>
      </c>
      <c r="AO141" s="3">
        <v>184.3989</v>
      </c>
      <c r="AP141" s="3">
        <f t="shared" si="107"/>
        <v>1.1300829269729797</v>
      </c>
      <c r="AQ141" s="3">
        <v>9.5220000000000002</v>
      </c>
      <c r="AR141" s="3">
        <v>2.0330566999999999</v>
      </c>
      <c r="AS141" s="3">
        <v>-132.80099999999999</v>
      </c>
      <c r="AT141" s="3">
        <v>-131.97</v>
      </c>
      <c r="AU141" s="3">
        <f t="shared" si="82"/>
        <v>-0.83099999999998886</v>
      </c>
      <c r="AV141" s="3">
        <v>-0.34100000000000003</v>
      </c>
      <c r="AW141" s="3">
        <v>-0.47499999999999998</v>
      </c>
      <c r="AX141" s="3">
        <f t="shared" si="83"/>
        <v>0.13399999999999995</v>
      </c>
      <c r="AY141" s="3">
        <v>2.9000000000000001E-2</v>
      </c>
      <c r="AZ141" s="3">
        <v>0.156</v>
      </c>
      <c r="BA141" s="3">
        <f t="shared" si="84"/>
        <v>-0.127</v>
      </c>
      <c r="BB141" s="3">
        <f t="shared" si="85"/>
        <v>0.156</v>
      </c>
      <c r="BC141" s="3">
        <f t="shared" si="85"/>
        <v>0.15949999999999998</v>
      </c>
      <c r="BD141" s="3">
        <f t="shared" si="86"/>
        <v>-3.4999999999999754E-3</v>
      </c>
      <c r="BE141" s="3">
        <f t="shared" si="87"/>
        <v>0.37000000000000005</v>
      </c>
      <c r="BF141" s="3">
        <f t="shared" si="87"/>
        <v>0.63100000000000001</v>
      </c>
      <c r="BG141" s="3">
        <f t="shared" si="88"/>
        <v>-0.26099999999999995</v>
      </c>
      <c r="BH141" s="3">
        <f t="shared" si="89"/>
        <v>-0.156</v>
      </c>
      <c r="BI141" s="3">
        <f t="shared" si="89"/>
        <v>-0.15949999999999998</v>
      </c>
      <c r="BJ141" s="3">
        <f t="shared" si="113"/>
        <v>3.4999999999999754E-3</v>
      </c>
      <c r="BK141" s="3">
        <f t="shared" si="110"/>
        <v>3.2886486486486483E-2</v>
      </c>
      <c r="BL141" s="3">
        <f t="shared" si="111"/>
        <v>2.0158676703645E-2</v>
      </c>
      <c r="BM141" s="3">
        <f t="shared" si="90"/>
        <v>1.2727809782841482E-2</v>
      </c>
      <c r="BN141" s="3">
        <v>4.7279999999999998</v>
      </c>
      <c r="BO141" s="3">
        <v>4.9340000000000002</v>
      </c>
      <c r="BP141" s="3">
        <f t="shared" si="91"/>
        <v>-0.20600000000000041</v>
      </c>
      <c r="BQ141" s="3">
        <v>-83302.89</v>
      </c>
      <c r="BR141" s="3">
        <v>-82779.224000000002</v>
      </c>
      <c r="BS141" s="3">
        <f t="shared" si="92"/>
        <v>-523.66599999999744</v>
      </c>
      <c r="BT141" s="3">
        <v>-83320.774999999994</v>
      </c>
      <c r="BU141" s="3">
        <v>-82796.997000000003</v>
      </c>
      <c r="BV141" s="3">
        <f t="shared" si="93"/>
        <v>-523.77799999999115</v>
      </c>
    </row>
    <row r="142" spans="1:74" x14ac:dyDescent="0.25">
      <c r="A142" t="s">
        <v>345</v>
      </c>
      <c r="B142" t="s">
        <v>514</v>
      </c>
      <c r="C142" t="s">
        <v>200</v>
      </c>
      <c r="D142" s="3">
        <v>14.3</v>
      </c>
      <c r="E142" s="3">
        <v>0.67</v>
      </c>
      <c r="F142" s="3">
        <v>-361.00400000000002</v>
      </c>
      <c r="G142" s="3">
        <v>-363.16399999999999</v>
      </c>
      <c r="H142" s="3">
        <f t="shared" si="94"/>
        <v>-2.1599999999999682</v>
      </c>
      <c r="I142" s="3">
        <v>-0.40400000000000003</v>
      </c>
      <c r="J142" s="6">
        <v>-0.251</v>
      </c>
      <c r="K142" s="3">
        <f t="shared" si="95"/>
        <v>0.15300000000000002</v>
      </c>
      <c r="L142" s="3">
        <v>0.157</v>
      </c>
      <c r="M142" s="6">
        <v>3.0000000000000001E-3</v>
      </c>
      <c r="N142" s="3">
        <f t="shared" si="96"/>
        <v>-0.154</v>
      </c>
      <c r="O142" s="3">
        <f t="shared" si="97"/>
        <v>0.12350000000000001</v>
      </c>
      <c r="P142" s="3">
        <f t="shared" si="97"/>
        <v>0.124</v>
      </c>
      <c r="Q142" s="3">
        <f t="shared" si="98"/>
        <v>4.9999999999998657E-4</v>
      </c>
      <c r="R142" s="3">
        <f t="shared" si="99"/>
        <v>0.56100000000000005</v>
      </c>
      <c r="S142" s="3">
        <f t="shared" si="99"/>
        <v>0.254</v>
      </c>
      <c r="T142" s="3">
        <f t="shared" si="100"/>
        <v>-0.30700000000000005</v>
      </c>
      <c r="U142" s="3">
        <f t="shared" si="101"/>
        <v>-0.12350000000000001</v>
      </c>
      <c r="V142" s="3">
        <f t="shared" si="101"/>
        <v>-0.124</v>
      </c>
      <c r="W142" s="3">
        <f t="shared" si="112"/>
        <v>-4.9999999999998657E-4</v>
      </c>
      <c r="X142" s="3">
        <f t="shared" si="108"/>
        <v>1.3593805704099824E-2</v>
      </c>
      <c r="Y142" s="3">
        <f t="shared" si="109"/>
        <v>3.0267716535433069E-2</v>
      </c>
      <c r="Z142" s="3">
        <f t="shared" si="102"/>
        <v>1.6673910831333245E-2</v>
      </c>
      <c r="AA142" s="3">
        <v>3.5310000000000001</v>
      </c>
      <c r="AB142" s="3">
        <v>3.1890000000000001</v>
      </c>
      <c r="AC142" s="3">
        <f t="shared" si="103"/>
        <v>-0.34200000000000008</v>
      </c>
      <c r="AD142" s="3">
        <f>-360.84956*627.50956</f>
        <v>-226436.5486217936</v>
      </c>
      <c r="AE142" s="3">
        <f>-363.019296*627.50956</f>
        <v>-227798.07870446975</v>
      </c>
      <c r="AF142" s="3">
        <f t="shared" si="104"/>
        <v>-1361.5300826761522</v>
      </c>
      <c r="AG142" s="3">
        <f>-360.891748*627.50956</f>
        <v>-226463.02199511087</v>
      </c>
      <c r="AH142" s="3">
        <f>-363.06254*627.50956</f>
        <v>-227825.21472788238</v>
      </c>
      <c r="AI142" s="3">
        <f t="shared" si="105"/>
        <v>-1362.1927327715093</v>
      </c>
      <c r="AJ142" s="3">
        <v>-0.84499999999999997</v>
      </c>
      <c r="AK142" s="3">
        <v>-0.84299999999999997</v>
      </c>
      <c r="AL142" s="3">
        <f t="shared" si="106"/>
        <v>2.0000000000000018E-3</v>
      </c>
      <c r="AM142" s="3">
        <v>103.11976</v>
      </c>
      <c r="AN142" s="3">
        <v>171.74064999999999</v>
      </c>
      <c r="AO142" s="3">
        <v>168.80858000000001</v>
      </c>
      <c r="AP142" s="3">
        <f t="shared" si="107"/>
        <v>1.1628741277977335</v>
      </c>
      <c r="AQ142" s="3">
        <v>10.113</v>
      </c>
      <c r="AR142" s="3">
        <v>2.1057198000000001</v>
      </c>
      <c r="AS142" s="3">
        <v>-553.27200000000005</v>
      </c>
      <c r="AT142" s="3">
        <v>-551.61699999999996</v>
      </c>
      <c r="AU142" s="3">
        <f t="shared" si="82"/>
        <v>-1.6550000000000864</v>
      </c>
      <c r="AV142" s="3">
        <v>-0.23699999999999999</v>
      </c>
      <c r="AW142" s="3">
        <v>-0.36899999999999999</v>
      </c>
      <c r="AX142" s="3">
        <f t="shared" si="83"/>
        <v>0.13200000000000001</v>
      </c>
      <c r="AY142" s="3">
        <v>2.8000000000000001E-2</v>
      </c>
      <c r="AZ142" s="3">
        <v>0.154</v>
      </c>
      <c r="BA142" s="3">
        <f t="shared" si="84"/>
        <v>-0.126</v>
      </c>
      <c r="BB142" s="3">
        <f t="shared" si="85"/>
        <v>0.1045</v>
      </c>
      <c r="BC142" s="3">
        <f t="shared" si="85"/>
        <v>0.1075</v>
      </c>
      <c r="BD142" s="3">
        <f t="shared" si="86"/>
        <v>-3.0000000000000027E-3</v>
      </c>
      <c r="BE142" s="3">
        <f t="shared" si="87"/>
        <v>0.26500000000000001</v>
      </c>
      <c r="BF142" s="3">
        <f t="shared" si="87"/>
        <v>0.52300000000000002</v>
      </c>
      <c r="BG142" s="3">
        <f t="shared" si="88"/>
        <v>-0.25800000000000001</v>
      </c>
      <c r="BH142" s="3">
        <f t="shared" si="89"/>
        <v>-0.1045</v>
      </c>
      <c r="BI142" s="3">
        <f t="shared" si="89"/>
        <v>-0.1075</v>
      </c>
      <c r="BJ142" s="3">
        <f t="shared" si="113"/>
        <v>3.0000000000000027E-3</v>
      </c>
      <c r="BK142" s="3">
        <f t="shared" si="110"/>
        <v>2.0604245283018865E-2</v>
      </c>
      <c r="BL142" s="3">
        <f t="shared" si="111"/>
        <v>1.104804015296367E-2</v>
      </c>
      <c r="BM142" s="3">
        <f t="shared" si="90"/>
        <v>9.5562051300551957E-3</v>
      </c>
      <c r="BN142" s="3">
        <v>5.4870000000000001</v>
      </c>
      <c r="BO142" s="3">
        <v>6.0839999999999996</v>
      </c>
      <c r="BP142" s="3">
        <f t="shared" si="91"/>
        <v>-0.59699999999999953</v>
      </c>
      <c r="BQ142" s="3">
        <v>-347129.96399999998</v>
      </c>
      <c r="BR142" s="3">
        <v>-346087.64600000001</v>
      </c>
      <c r="BS142" s="3">
        <f t="shared" si="92"/>
        <v>-1042.3179999999702</v>
      </c>
      <c r="BT142" s="3">
        <v>-347152.04599999997</v>
      </c>
      <c r="BU142" s="3">
        <v>-346109.22600000002</v>
      </c>
      <c r="BV142" s="3">
        <f t="shared" si="93"/>
        <v>-1042.8199999999488</v>
      </c>
    </row>
    <row r="143" spans="1:74" x14ac:dyDescent="0.25">
      <c r="A143" t="s">
        <v>346</v>
      </c>
      <c r="B143" t="s">
        <v>514</v>
      </c>
      <c r="C143" t="s">
        <v>103</v>
      </c>
      <c r="D143" s="3">
        <v>14.36</v>
      </c>
      <c r="E143" s="3">
        <v>0.79</v>
      </c>
      <c r="F143" s="3">
        <v>-628.94100000000003</v>
      </c>
      <c r="G143" s="3">
        <v>-633.11400000000003</v>
      </c>
      <c r="H143" s="3">
        <f t="shared" si="94"/>
        <v>-4.1730000000000018</v>
      </c>
      <c r="I143" s="3">
        <v>-0.32600000000000001</v>
      </c>
      <c r="J143" s="6">
        <v>-0.215</v>
      </c>
      <c r="K143" s="3">
        <f t="shared" si="95"/>
        <v>0.11100000000000002</v>
      </c>
      <c r="L143" s="3">
        <v>0.13300000000000001</v>
      </c>
      <c r="M143" s="6">
        <v>-0.01</v>
      </c>
      <c r="N143" s="3">
        <f t="shared" si="96"/>
        <v>-0.14300000000000002</v>
      </c>
      <c r="O143" s="3">
        <f t="shared" si="97"/>
        <v>9.6500000000000002E-2</v>
      </c>
      <c r="P143" s="3">
        <f t="shared" si="97"/>
        <v>0.1125</v>
      </c>
      <c r="Q143" s="3">
        <f t="shared" si="98"/>
        <v>1.6E-2</v>
      </c>
      <c r="R143" s="3">
        <f t="shared" si="99"/>
        <v>0.45900000000000002</v>
      </c>
      <c r="S143" s="3">
        <f t="shared" si="99"/>
        <v>0.20499999999999999</v>
      </c>
      <c r="T143" s="3">
        <f t="shared" si="100"/>
        <v>-0.254</v>
      </c>
      <c r="U143" s="3">
        <f t="shared" si="101"/>
        <v>-9.6500000000000002E-2</v>
      </c>
      <c r="V143" s="3">
        <f t="shared" si="101"/>
        <v>-0.1125</v>
      </c>
      <c r="W143" s="3">
        <f t="shared" si="112"/>
        <v>-1.6E-2</v>
      </c>
      <c r="X143" s="3">
        <f t="shared" si="108"/>
        <v>1.0144063180827887E-2</v>
      </c>
      <c r="Y143" s="3">
        <f t="shared" si="109"/>
        <v>3.0868902439024393E-2</v>
      </c>
      <c r="Z143" s="3">
        <f t="shared" si="102"/>
        <v>2.0724839258196508E-2</v>
      </c>
      <c r="AA143" s="3">
        <v>3.9</v>
      </c>
      <c r="AB143" s="3">
        <v>4.226</v>
      </c>
      <c r="AC143" s="3">
        <f t="shared" si="103"/>
        <v>0.32600000000000007</v>
      </c>
      <c r="AD143" s="3">
        <f>-628.609156*627.50956</f>
        <v>-394458.25489353132</v>
      </c>
      <c r="AE143" s="3">
        <f>-632.801601*627.50956</f>
        <v>-397089.05421080557</v>
      </c>
      <c r="AF143" s="3">
        <f t="shared" si="104"/>
        <v>-2630.7993172742426</v>
      </c>
      <c r="AG143" s="3">
        <f>-628.669701*627.50956</f>
        <v>-394496.24745984154</v>
      </c>
      <c r="AH143" s="3">
        <f>-632.863061*627.50956</f>
        <v>-397127.62094836315</v>
      </c>
      <c r="AI143" s="3">
        <f t="shared" si="105"/>
        <v>-2631.3734885216109</v>
      </c>
      <c r="AJ143" s="3">
        <v>-0.69199999999999995</v>
      </c>
      <c r="AK143" s="3">
        <v>-0.626</v>
      </c>
      <c r="AL143" s="3">
        <f t="shared" si="106"/>
        <v>6.5999999999999948E-2</v>
      </c>
      <c r="AM143" s="3">
        <v>205.29936000000001</v>
      </c>
      <c r="AN143" s="3">
        <v>297.64303999999998</v>
      </c>
      <c r="AO143" s="3">
        <v>347.00653</v>
      </c>
      <c r="AP143" s="3">
        <f t="shared" si="107"/>
        <v>1.2465984531749132</v>
      </c>
      <c r="AQ143" s="3">
        <v>12.496</v>
      </c>
      <c r="AR143" s="3">
        <v>3.1519497400000001</v>
      </c>
      <c r="AS143" s="3">
        <v>-959.76900000000001</v>
      </c>
      <c r="AT143" s="3">
        <v>-958.05</v>
      </c>
      <c r="AU143" s="3">
        <f t="shared" si="82"/>
        <v>-1.7190000000000509</v>
      </c>
      <c r="AV143" s="3">
        <v>-0.317</v>
      </c>
      <c r="AW143" s="3">
        <v>-0.45</v>
      </c>
      <c r="AX143" s="3">
        <f t="shared" si="83"/>
        <v>0.13300000000000001</v>
      </c>
      <c r="AY143" s="3">
        <v>-2.4E-2</v>
      </c>
      <c r="AZ143" s="3">
        <v>0.13500000000000001</v>
      </c>
      <c r="BA143" s="3">
        <f t="shared" si="84"/>
        <v>-0.159</v>
      </c>
      <c r="BB143" s="3">
        <f t="shared" si="85"/>
        <v>0.17050000000000001</v>
      </c>
      <c r="BC143" s="3">
        <f t="shared" si="85"/>
        <v>0.1575</v>
      </c>
      <c r="BD143" s="3">
        <f t="shared" si="86"/>
        <v>1.3000000000000012E-2</v>
      </c>
      <c r="BE143" s="3">
        <f t="shared" si="87"/>
        <v>0.29299999999999998</v>
      </c>
      <c r="BF143" s="3">
        <f t="shared" si="87"/>
        <v>0.58499999999999996</v>
      </c>
      <c r="BG143" s="3">
        <f t="shared" si="88"/>
        <v>-0.29199999999999998</v>
      </c>
      <c r="BH143" s="3">
        <f t="shared" si="89"/>
        <v>-0.17050000000000001</v>
      </c>
      <c r="BI143" s="3">
        <f t="shared" si="89"/>
        <v>-0.1575</v>
      </c>
      <c r="BJ143" s="3">
        <f t="shared" si="113"/>
        <v>-1.3000000000000012E-2</v>
      </c>
      <c r="BK143" s="3">
        <f t="shared" si="110"/>
        <v>4.9607935153583631E-2</v>
      </c>
      <c r="BL143" s="3">
        <f t="shared" si="111"/>
        <v>2.120192307692308E-2</v>
      </c>
      <c r="BM143" s="3">
        <f t="shared" si="90"/>
        <v>2.8406012076660551E-2</v>
      </c>
      <c r="BN143" s="3">
        <v>2.2370000000000001</v>
      </c>
      <c r="BO143" s="3">
        <v>2.431</v>
      </c>
      <c r="BP143" s="3">
        <f t="shared" si="91"/>
        <v>-0.19399999999999995</v>
      </c>
      <c r="BQ143" s="3">
        <v>-602243.07700000005</v>
      </c>
      <c r="BR143" s="3">
        <v>-601163.24300000002</v>
      </c>
      <c r="BS143" s="3">
        <f t="shared" si="92"/>
        <v>-1079.8340000000317</v>
      </c>
      <c r="BT143" s="3">
        <v>-602262.36399999994</v>
      </c>
      <c r="BU143" s="3">
        <v>-601182.38500000001</v>
      </c>
      <c r="BV143" s="3">
        <f t="shared" si="93"/>
        <v>-1079.9789999999339</v>
      </c>
    </row>
    <row r="144" spans="1:74" x14ac:dyDescent="0.25">
      <c r="A144" t="s">
        <v>313</v>
      </c>
      <c r="B144" t="s">
        <v>514</v>
      </c>
      <c r="C144" t="s">
        <v>99</v>
      </c>
      <c r="D144" s="3">
        <v>14.37</v>
      </c>
      <c r="E144" s="3">
        <v>0.66</v>
      </c>
      <c r="F144" s="3">
        <v>-172.14400000000001</v>
      </c>
      <c r="G144" s="3">
        <v>-173.30600000000001</v>
      </c>
      <c r="H144" s="3">
        <f t="shared" si="94"/>
        <v>-1.1620000000000061</v>
      </c>
      <c r="I144" s="3">
        <v>-0.36899999999999999</v>
      </c>
      <c r="J144" s="6">
        <v>-0.245</v>
      </c>
      <c r="K144" s="3">
        <f t="shared" si="95"/>
        <v>0.124</v>
      </c>
      <c r="L144" s="3">
        <v>0.155</v>
      </c>
      <c r="M144" s="6">
        <v>4.0000000000000001E-3</v>
      </c>
      <c r="N144" s="3">
        <f t="shared" si="96"/>
        <v>-0.151</v>
      </c>
      <c r="O144" s="3">
        <f t="shared" si="97"/>
        <v>0.107</v>
      </c>
      <c r="P144" s="3">
        <f t="shared" si="97"/>
        <v>0.1205</v>
      </c>
      <c r="Q144" s="3">
        <f t="shared" si="98"/>
        <v>1.3499999999999998E-2</v>
      </c>
      <c r="R144" s="3">
        <f t="shared" si="99"/>
        <v>0.52400000000000002</v>
      </c>
      <c r="S144" s="3">
        <f t="shared" si="99"/>
        <v>0.249</v>
      </c>
      <c r="T144" s="3">
        <f t="shared" si="100"/>
        <v>-0.27500000000000002</v>
      </c>
      <c r="U144" s="3">
        <f t="shared" si="101"/>
        <v>-0.107</v>
      </c>
      <c r="V144" s="3">
        <f t="shared" si="101"/>
        <v>-0.1205</v>
      </c>
      <c r="W144" s="3">
        <f t="shared" si="112"/>
        <v>-1.3499999999999998E-2</v>
      </c>
      <c r="X144" s="3">
        <f t="shared" si="108"/>
        <v>1.0924618320610686E-2</v>
      </c>
      <c r="Y144" s="3">
        <f t="shared" si="109"/>
        <v>2.9157128514056222E-2</v>
      </c>
      <c r="Z144" s="3">
        <f t="shared" si="102"/>
        <v>1.8232510193445538E-2</v>
      </c>
      <c r="AA144" s="3">
        <v>1.929</v>
      </c>
      <c r="AB144" s="3">
        <v>1.887</v>
      </c>
      <c r="AC144" s="3">
        <f t="shared" si="103"/>
        <v>-4.2000000000000037E-2</v>
      </c>
      <c r="AD144" s="3">
        <f>-172.034292*627.50956</f>
        <v>-107953.16287783151</v>
      </c>
      <c r="AE144" s="3">
        <f>-173.202665*627.50956</f>
        <v>-108686.32810497739</v>
      </c>
      <c r="AF144" s="3">
        <f t="shared" si="104"/>
        <v>-733.16522714588791</v>
      </c>
      <c r="AG144" s="3">
        <f>-172.067454*627.50956</f>
        <v>-107973.97234986024</v>
      </c>
      <c r="AH144" s="3">
        <f>-173.236221*627.50956</f>
        <v>-108707.38481577275</v>
      </c>
      <c r="AI144" s="3">
        <f t="shared" si="105"/>
        <v>-733.4124659125082</v>
      </c>
      <c r="AJ144" s="3">
        <v>-0.85099999999999998</v>
      </c>
      <c r="AK144" s="3">
        <v>-0.84799999999999998</v>
      </c>
      <c r="AL144" s="3">
        <f t="shared" si="106"/>
        <v>3.0000000000000027E-3</v>
      </c>
      <c r="AM144" s="3">
        <v>57.094380000000001</v>
      </c>
      <c r="AN144" s="3">
        <v>127.2804</v>
      </c>
      <c r="AO144" s="3">
        <v>118.51819999999999</v>
      </c>
      <c r="AP144" s="3">
        <f t="shared" si="107"/>
        <v>1.0910067826290299</v>
      </c>
      <c r="AQ144" s="3">
        <v>7.7290000000000001</v>
      </c>
      <c r="AR144" s="3">
        <v>1.5243633999999999</v>
      </c>
      <c r="AS144" s="3">
        <v>-132.80099999999999</v>
      </c>
      <c r="AT144" s="3">
        <v>-131.97</v>
      </c>
      <c r="AU144" s="3">
        <f t="shared" si="82"/>
        <v>-0.83099999999998886</v>
      </c>
      <c r="AV144" s="3">
        <v>-0.34100000000000003</v>
      </c>
      <c r="AW144" s="3">
        <v>-0.47499999999999998</v>
      </c>
      <c r="AX144" s="3">
        <f t="shared" si="83"/>
        <v>0.13399999999999995</v>
      </c>
      <c r="AY144" s="3">
        <v>2.9000000000000001E-2</v>
      </c>
      <c r="AZ144" s="3">
        <v>0.156</v>
      </c>
      <c r="BA144" s="3">
        <f t="shared" si="84"/>
        <v>-0.127</v>
      </c>
      <c r="BB144" s="3">
        <f t="shared" ref="BB144:BC159" si="114">-(AV144+AY144)/2</f>
        <v>0.156</v>
      </c>
      <c r="BC144" s="3">
        <f t="shared" si="114"/>
        <v>0.15949999999999998</v>
      </c>
      <c r="BD144" s="3">
        <f t="shared" si="86"/>
        <v>-3.4999999999999754E-3</v>
      </c>
      <c r="BE144" s="3">
        <f t="shared" ref="BE144:BF159" si="115">AY144-AV144</f>
        <v>0.37000000000000005</v>
      </c>
      <c r="BF144" s="3">
        <f t="shared" si="115"/>
        <v>0.63100000000000001</v>
      </c>
      <c r="BG144" s="3">
        <f t="shared" si="88"/>
        <v>-0.26099999999999995</v>
      </c>
      <c r="BH144" s="3">
        <f t="shared" ref="BH144:BI159" si="116">(AV144+AY144)/2</f>
        <v>-0.156</v>
      </c>
      <c r="BI144" s="3">
        <f t="shared" si="116"/>
        <v>-0.15949999999999998</v>
      </c>
      <c r="BJ144" s="3">
        <f t="shared" si="113"/>
        <v>3.4999999999999754E-3</v>
      </c>
      <c r="BK144" s="3">
        <f t="shared" si="110"/>
        <v>3.2886486486486483E-2</v>
      </c>
      <c r="BL144" s="3">
        <f t="shared" si="111"/>
        <v>2.0158676703645E-2</v>
      </c>
      <c r="BM144" s="3">
        <f t="shared" si="90"/>
        <v>1.2727809782841482E-2</v>
      </c>
      <c r="BN144" s="3">
        <v>4.7279999999999998</v>
      </c>
      <c r="BO144" s="3">
        <v>4.9340000000000002</v>
      </c>
      <c r="BP144" s="3">
        <f t="shared" si="91"/>
        <v>-0.20600000000000041</v>
      </c>
      <c r="BQ144" s="3">
        <v>-83302.89</v>
      </c>
      <c r="BR144" s="3">
        <v>-82779.224000000002</v>
      </c>
      <c r="BS144" s="3">
        <f t="shared" si="92"/>
        <v>-523.66599999999744</v>
      </c>
      <c r="BT144" s="3">
        <v>-83320.774999999994</v>
      </c>
      <c r="BU144" s="3">
        <v>-82796.997000000003</v>
      </c>
      <c r="BV144" s="3">
        <f t="shared" si="93"/>
        <v>-523.77799999999115</v>
      </c>
    </row>
    <row r="145" spans="1:74" x14ac:dyDescent="0.25">
      <c r="A145" t="s">
        <v>347</v>
      </c>
      <c r="B145" t="s">
        <v>514</v>
      </c>
      <c r="C145" t="s">
        <v>200</v>
      </c>
      <c r="D145" s="3">
        <v>14.39</v>
      </c>
      <c r="E145" s="3">
        <v>0.67</v>
      </c>
      <c r="F145" s="3">
        <v>-287.26</v>
      </c>
      <c r="G145" s="3">
        <v>-289.10500000000002</v>
      </c>
      <c r="H145" s="3">
        <f t="shared" si="94"/>
        <v>-1.8450000000000273</v>
      </c>
      <c r="I145" s="3">
        <v>-0.39300000000000002</v>
      </c>
      <c r="J145" s="6">
        <v>-0.246</v>
      </c>
      <c r="K145" s="3">
        <f t="shared" si="95"/>
        <v>0.14700000000000002</v>
      </c>
      <c r="L145" s="3">
        <v>0.161</v>
      </c>
      <c r="M145" s="6">
        <v>4.2000000000000003E-2</v>
      </c>
      <c r="N145" s="3">
        <f t="shared" si="96"/>
        <v>-0.11899999999999999</v>
      </c>
      <c r="O145" s="3">
        <f t="shared" si="97"/>
        <v>0.11600000000000001</v>
      </c>
      <c r="P145" s="3">
        <f t="shared" si="97"/>
        <v>0.10199999999999999</v>
      </c>
      <c r="Q145" s="3">
        <f t="shared" si="98"/>
        <v>-1.4000000000000012E-2</v>
      </c>
      <c r="R145" s="3">
        <f t="shared" si="99"/>
        <v>0.55400000000000005</v>
      </c>
      <c r="S145" s="3">
        <f t="shared" si="99"/>
        <v>0.28799999999999998</v>
      </c>
      <c r="T145" s="3">
        <f t="shared" si="100"/>
        <v>-0.26600000000000007</v>
      </c>
      <c r="U145" s="3">
        <f t="shared" si="101"/>
        <v>-0.11600000000000001</v>
      </c>
      <c r="V145" s="3">
        <f t="shared" si="101"/>
        <v>-0.10199999999999999</v>
      </c>
      <c r="W145" s="3">
        <f t="shared" si="112"/>
        <v>1.4000000000000012E-2</v>
      </c>
      <c r="X145" s="3">
        <f t="shared" si="108"/>
        <v>1.2144404332129963E-2</v>
      </c>
      <c r="Y145" s="3">
        <f t="shared" si="109"/>
        <v>1.8062499999999999E-2</v>
      </c>
      <c r="Z145" s="3">
        <f t="shared" si="102"/>
        <v>5.9180956678700353E-3</v>
      </c>
      <c r="AA145" s="3">
        <v>1.3109999999999999</v>
      </c>
      <c r="AB145" s="3">
        <v>1.3680000000000001</v>
      </c>
      <c r="AC145" s="3">
        <f t="shared" si="103"/>
        <v>5.7000000000000162E-2</v>
      </c>
      <c r="AD145" s="3">
        <f>-287.086715*627.50956</f>
        <v>-180149.65821149541</v>
      </c>
      <c r="AE145" s="3">
        <f>-288.942607*627.50956</f>
        <v>-181314.24818382293</v>
      </c>
      <c r="AF145" s="3">
        <f t="shared" si="104"/>
        <v>-1164.5899723275215</v>
      </c>
      <c r="AG145" s="3">
        <f>-287.126855*627.50956</f>
        <v>-180174.84644523376</v>
      </c>
      <c r="AH145" s="3">
        <f>-288.983422*627.50956</f>
        <v>-181339.85998651432</v>
      </c>
      <c r="AI145" s="3">
        <f t="shared" si="105"/>
        <v>-1165.0135412805539</v>
      </c>
      <c r="AJ145" s="3">
        <v>-0.86699999999999999</v>
      </c>
      <c r="AK145" s="3">
        <v>-0.86199999999999999</v>
      </c>
      <c r="AL145" s="3">
        <f t="shared" si="106"/>
        <v>5.0000000000000044E-3</v>
      </c>
      <c r="AM145" s="3">
        <v>89.136240000000001</v>
      </c>
      <c r="AN145" s="3">
        <v>160.70240000000001</v>
      </c>
      <c r="AO145" s="3">
        <v>166.75800000000001</v>
      </c>
      <c r="AP145" s="3">
        <f t="shared" si="107"/>
        <v>1.097035111988244</v>
      </c>
      <c r="AQ145" s="3">
        <v>7.8659999999999997</v>
      </c>
      <c r="AR145" s="3">
        <v>1.7962796000000001</v>
      </c>
      <c r="AS145" s="3">
        <v>-553.27200000000005</v>
      </c>
      <c r="AT145" s="3">
        <v>-551.61699999999996</v>
      </c>
      <c r="AU145" s="3">
        <f t="shared" si="82"/>
        <v>-1.6550000000000864</v>
      </c>
      <c r="AV145" s="3">
        <v>-0.23699999999999999</v>
      </c>
      <c r="AW145" s="3">
        <v>-0.36899999999999999</v>
      </c>
      <c r="AX145" s="3">
        <f t="shared" si="83"/>
        <v>0.13200000000000001</v>
      </c>
      <c r="AY145" s="3">
        <v>2.8000000000000001E-2</v>
      </c>
      <c r="AZ145" s="3">
        <v>0.154</v>
      </c>
      <c r="BA145" s="3">
        <f t="shared" si="84"/>
        <v>-0.126</v>
      </c>
      <c r="BB145" s="3">
        <f t="shared" si="114"/>
        <v>0.1045</v>
      </c>
      <c r="BC145" s="3">
        <f t="shared" si="114"/>
        <v>0.1075</v>
      </c>
      <c r="BD145" s="3">
        <f t="shared" si="86"/>
        <v>-3.0000000000000027E-3</v>
      </c>
      <c r="BE145" s="3">
        <f t="shared" si="115"/>
        <v>0.26500000000000001</v>
      </c>
      <c r="BF145" s="3">
        <f t="shared" si="115"/>
        <v>0.52300000000000002</v>
      </c>
      <c r="BG145" s="3">
        <f t="shared" si="88"/>
        <v>-0.25800000000000001</v>
      </c>
      <c r="BH145" s="3">
        <f t="shared" si="116"/>
        <v>-0.1045</v>
      </c>
      <c r="BI145" s="3">
        <f t="shared" si="116"/>
        <v>-0.1075</v>
      </c>
      <c r="BJ145" s="3">
        <f t="shared" si="113"/>
        <v>3.0000000000000027E-3</v>
      </c>
      <c r="BK145" s="3">
        <f t="shared" si="110"/>
        <v>2.0604245283018865E-2</v>
      </c>
      <c r="BL145" s="3">
        <f t="shared" si="111"/>
        <v>1.104804015296367E-2</v>
      </c>
      <c r="BM145" s="3">
        <f t="shared" si="90"/>
        <v>9.5562051300551957E-3</v>
      </c>
      <c r="BN145" s="3">
        <v>5.4870000000000001</v>
      </c>
      <c r="BO145" s="3">
        <v>6.0839999999999996</v>
      </c>
      <c r="BP145" s="3">
        <f t="shared" si="91"/>
        <v>-0.59699999999999953</v>
      </c>
      <c r="BQ145" s="3">
        <v>-347129.96399999998</v>
      </c>
      <c r="BR145" s="3">
        <v>-346087.64600000001</v>
      </c>
      <c r="BS145" s="3">
        <f t="shared" si="92"/>
        <v>-1042.3179999999702</v>
      </c>
      <c r="BT145" s="3">
        <v>-347152.04599999997</v>
      </c>
      <c r="BU145" s="3">
        <v>-346109.22600000002</v>
      </c>
      <c r="BV145" s="3">
        <f t="shared" si="93"/>
        <v>-1042.8199999999488</v>
      </c>
    </row>
    <row r="146" spans="1:74" x14ac:dyDescent="0.25">
      <c r="A146" t="s">
        <v>348</v>
      </c>
      <c r="B146" t="s">
        <v>514</v>
      </c>
      <c r="C146" t="s">
        <v>99</v>
      </c>
      <c r="D146" s="3">
        <v>14.43</v>
      </c>
      <c r="E146" s="3">
        <v>0.79</v>
      </c>
      <c r="F146" s="3">
        <v>-304.13799999999998</v>
      </c>
      <c r="G146" s="3">
        <v>-306.14299999999997</v>
      </c>
      <c r="H146" s="3">
        <f t="shared" si="94"/>
        <v>-2.0049999999999955</v>
      </c>
      <c r="I146" s="3">
        <v>-0.34</v>
      </c>
      <c r="J146" s="6">
        <v>-0.219</v>
      </c>
      <c r="K146" s="3">
        <f t="shared" si="95"/>
        <v>0.12100000000000002</v>
      </c>
      <c r="L146" s="3">
        <v>0.153</v>
      </c>
      <c r="M146" s="6">
        <v>2.9000000000000001E-2</v>
      </c>
      <c r="N146" s="3">
        <f t="shared" si="96"/>
        <v>-0.124</v>
      </c>
      <c r="O146" s="3">
        <f t="shared" si="97"/>
        <v>9.3500000000000014E-2</v>
      </c>
      <c r="P146" s="3">
        <f t="shared" si="97"/>
        <v>9.5000000000000001E-2</v>
      </c>
      <c r="Q146" s="3">
        <f t="shared" si="98"/>
        <v>1.4999999999999875E-3</v>
      </c>
      <c r="R146" s="3">
        <f t="shared" si="99"/>
        <v>0.49299999999999999</v>
      </c>
      <c r="S146" s="3">
        <f t="shared" si="99"/>
        <v>0.248</v>
      </c>
      <c r="T146" s="3">
        <f t="shared" si="100"/>
        <v>-0.245</v>
      </c>
      <c r="U146" s="3">
        <f t="shared" si="101"/>
        <v>-9.3500000000000014E-2</v>
      </c>
      <c r="V146" s="3">
        <f t="shared" si="101"/>
        <v>-9.5000000000000001E-2</v>
      </c>
      <c r="W146" s="3">
        <f t="shared" si="112"/>
        <v>-1.4999999999999875E-3</v>
      </c>
      <c r="X146" s="3">
        <f t="shared" si="108"/>
        <v>8.8663793103448303E-3</v>
      </c>
      <c r="Y146" s="3">
        <f t="shared" si="109"/>
        <v>1.8195564516129033E-2</v>
      </c>
      <c r="Z146" s="3">
        <f t="shared" si="102"/>
        <v>9.3291852057842024E-3</v>
      </c>
      <c r="AA146" s="3">
        <v>4.0540000000000003</v>
      </c>
      <c r="AB146" s="3">
        <v>4.3</v>
      </c>
      <c r="AC146" s="3">
        <f t="shared" si="103"/>
        <v>0.24599999999999955</v>
      </c>
      <c r="AD146" s="3">
        <f>-303.969237*627.50956</f>
        <v>-190743.60216340571</v>
      </c>
      <c r="AE146" s="3">
        <f>-305.984445*627.50956</f>
        <v>-192008.16444879418</v>
      </c>
      <c r="AF146" s="3">
        <f t="shared" si="104"/>
        <v>-1264.5622853884706</v>
      </c>
      <c r="AG146" s="3">
        <f>-304.007584*627.50956</f>
        <v>-190767.66527250304</v>
      </c>
      <c r="AH146" s="3">
        <f>-306.024015*627.50956</f>
        <v>-192032.99500208339</v>
      </c>
      <c r="AI146" s="3">
        <f t="shared" si="105"/>
        <v>-1265.3297295803495</v>
      </c>
      <c r="AJ146" s="3">
        <v>-0.71899999999999997</v>
      </c>
      <c r="AK146" s="3">
        <v>-0.64300000000000002</v>
      </c>
      <c r="AL146" s="3">
        <f t="shared" si="106"/>
        <v>7.5999999999999956E-2</v>
      </c>
      <c r="AM146" s="3">
        <v>98.146299999999997</v>
      </c>
      <c r="AN146" s="3">
        <v>166.51137</v>
      </c>
      <c r="AO146" s="3">
        <v>172.41597999999999</v>
      </c>
      <c r="AP146" s="3">
        <f t="shared" si="107"/>
        <v>1.1116843737894939</v>
      </c>
      <c r="AQ146" s="3">
        <v>8.2390000000000008</v>
      </c>
      <c r="AR146" s="3">
        <v>1.7576939</v>
      </c>
      <c r="AS146" s="3">
        <v>-132.80099999999999</v>
      </c>
      <c r="AT146" s="3">
        <v>-131.97</v>
      </c>
      <c r="AU146" s="3">
        <f t="shared" si="82"/>
        <v>-0.83099999999998886</v>
      </c>
      <c r="AV146" s="3">
        <v>-0.34100000000000003</v>
      </c>
      <c r="AW146" s="3">
        <v>-0.47499999999999998</v>
      </c>
      <c r="AX146" s="3">
        <f t="shared" si="83"/>
        <v>0.13399999999999995</v>
      </c>
      <c r="AY146" s="3">
        <v>2.9000000000000001E-2</v>
      </c>
      <c r="AZ146" s="3">
        <v>0.156</v>
      </c>
      <c r="BA146" s="3">
        <f t="shared" si="84"/>
        <v>-0.127</v>
      </c>
      <c r="BB146" s="3">
        <f t="shared" si="114"/>
        <v>0.156</v>
      </c>
      <c r="BC146" s="3">
        <f t="shared" si="114"/>
        <v>0.15949999999999998</v>
      </c>
      <c r="BD146" s="3">
        <f t="shared" si="86"/>
        <v>-3.4999999999999754E-3</v>
      </c>
      <c r="BE146" s="3">
        <f t="shared" si="115"/>
        <v>0.37000000000000005</v>
      </c>
      <c r="BF146" s="3">
        <f t="shared" si="115"/>
        <v>0.63100000000000001</v>
      </c>
      <c r="BG146" s="3">
        <f t="shared" si="88"/>
        <v>-0.26099999999999995</v>
      </c>
      <c r="BH146" s="3">
        <f t="shared" si="116"/>
        <v>-0.156</v>
      </c>
      <c r="BI146" s="3">
        <f t="shared" si="116"/>
        <v>-0.15949999999999998</v>
      </c>
      <c r="BJ146" s="3">
        <f t="shared" si="113"/>
        <v>3.4999999999999754E-3</v>
      </c>
      <c r="BK146" s="3">
        <f t="shared" si="110"/>
        <v>3.2886486486486483E-2</v>
      </c>
      <c r="BL146" s="3">
        <f t="shared" si="111"/>
        <v>2.0158676703645E-2</v>
      </c>
      <c r="BM146" s="3">
        <f t="shared" si="90"/>
        <v>1.2727809782841482E-2</v>
      </c>
      <c r="BN146" s="3">
        <v>4.7279999999999998</v>
      </c>
      <c r="BO146" s="3">
        <v>4.9340000000000002</v>
      </c>
      <c r="BP146" s="3">
        <f t="shared" si="91"/>
        <v>-0.20600000000000041</v>
      </c>
      <c r="BQ146" s="3">
        <v>-83302.89</v>
      </c>
      <c r="BR146" s="3">
        <v>-82779.224000000002</v>
      </c>
      <c r="BS146" s="3">
        <f t="shared" si="92"/>
        <v>-523.66599999999744</v>
      </c>
      <c r="BT146" s="3">
        <v>-83320.774999999994</v>
      </c>
      <c r="BU146" s="3">
        <v>-82796.997000000003</v>
      </c>
      <c r="BV146" s="3">
        <f t="shared" si="93"/>
        <v>-523.77799999999115</v>
      </c>
    </row>
    <row r="147" spans="1:74" x14ac:dyDescent="0.25">
      <c r="A147" t="s">
        <v>349</v>
      </c>
      <c r="B147" t="s">
        <v>514</v>
      </c>
      <c r="C147" t="s">
        <v>103</v>
      </c>
      <c r="D147" s="3">
        <v>14.43</v>
      </c>
      <c r="E147" s="3">
        <v>0.81</v>
      </c>
      <c r="F147" s="3">
        <v>-475.13</v>
      </c>
      <c r="G147" s="3">
        <v>-478.25599999999997</v>
      </c>
      <c r="H147" s="3">
        <f t="shared" si="94"/>
        <v>-3.1259999999999764</v>
      </c>
      <c r="I147" s="3">
        <v>-0.32400000000000001</v>
      </c>
      <c r="J147" s="6">
        <v>-0.20699999999999999</v>
      </c>
      <c r="K147" s="3">
        <f t="shared" si="95"/>
        <v>0.11700000000000002</v>
      </c>
      <c r="L147" s="3">
        <v>0.152</v>
      </c>
      <c r="M147" s="6">
        <v>3.1E-2</v>
      </c>
      <c r="N147" s="3">
        <f t="shared" si="96"/>
        <v>-0.121</v>
      </c>
      <c r="O147" s="3">
        <f t="shared" si="97"/>
        <v>8.6000000000000007E-2</v>
      </c>
      <c r="P147" s="3">
        <f t="shared" si="97"/>
        <v>8.7999999999999995E-2</v>
      </c>
      <c r="Q147" s="3">
        <f t="shared" si="98"/>
        <v>1.9999999999999879E-3</v>
      </c>
      <c r="R147" s="3">
        <f t="shared" si="99"/>
        <v>0.47599999999999998</v>
      </c>
      <c r="S147" s="3">
        <f t="shared" si="99"/>
        <v>0.23799999999999999</v>
      </c>
      <c r="T147" s="3">
        <f t="shared" si="100"/>
        <v>-0.23799999999999999</v>
      </c>
      <c r="U147" s="3">
        <f t="shared" si="101"/>
        <v>-8.6000000000000007E-2</v>
      </c>
      <c r="V147" s="3">
        <f t="shared" si="101"/>
        <v>-8.7999999999999995E-2</v>
      </c>
      <c r="W147" s="3">
        <f t="shared" si="112"/>
        <v>-1.9999999999999879E-3</v>
      </c>
      <c r="X147" s="3">
        <f t="shared" si="108"/>
        <v>7.7689075630252118E-3</v>
      </c>
      <c r="Y147" s="3">
        <f t="shared" si="109"/>
        <v>1.6268907563025209E-2</v>
      </c>
      <c r="Z147" s="3">
        <f t="shared" si="102"/>
        <v>8.4999999999999971E-3</v>
      </c>
      <c r="AA147" s="3">
        <v>3.5950000000000002</v>
      </c>
      <c r="AB147" s="3">
        <v>3.4950000000000001</v>
      </c>
      <c r="AC147" s="3">
        <f t="shared" si="103"/>
        <v>-0.10000000000000009</v>
      </c>
      <c r="AD147" s="3">
        <f>-474.870797*627.50956</f>
        <v>-297985.96488231927</v>
      </c>
      <c r="AE147" s="3">
        <f>-478.012788*627.50956</f>
        <v>-299957.59427225328</v>
      </c>
      <c r="AF147" s="3">
        <f t="shared" si="104"/>
        <v>-1971.6293899340089</v>
      </c>
      <c r="AG147" s="3">
        <f>-474.916177*627.50956</f>
        <v>-298014.44126615213</v>
      </c>
      <c r="AH147" s="3">
        <f>-478.059637*627.50956</f>
        <v>-299986.99246762972</v>
      </c>
      <c r="AI147" s="3">
        <f t="shared" si="105"/>
        <v>-1972.5512014775886</v>
      </c>
      <c r="AJ147" s="3">
        <v>-0.72599999999999998</v>
      </c>
      <c r="AK147" s="3">
        <v>-0.64400000000000002</v>
      </c>
      <c r="AL147" s="3">
        <f t="shared" si="106"/>
        <v>8.1999999999999962E-2</v>
      </c>
      <c r="AM147" s="3">
        <v>153.22479999999999</v>
      </c>
      <c r="AN147" s="3">
        <v>221.982</v>
      </c>
      <c r="AO147" s="3">
        <v>252.59190000000001</v>
      </c>
      <c r="AP147" s="3">
        <f t="shared" si="107"/>
        <v>1.1489313959276022</v>
      </c>
      <c r="AQ147" s="3">
        <v>9.4540000000000006</v>
      </c>
      <c r="AR147" s="3">
        <v>2.2006060000000001</v>
      </c>
      <c r="AS147" s="3">
        <v>-959.76900000000001</v>
      </c>
      <c r="AT147" s="3">
        <v>-958.05</v>
      </c>
      <c r="AU147" s="3">
        <f t="shared" si="82"/>
        <v>-1.7190000000000509</v>
      </c>
      <c r="AV147" s="3">
        <v>-0.317</v>
      </c>
      <c r="AW147" s="3">
        <v>-0.45</v>
      </c>
      <c r="AX147" s="3">
        <f t="shared" si="83"/>
        <v>0.13300000000000001</v>
      </c>
      <c r="AY147" s="3">
        <v>-2.4E-2</v>
      </c>
      <c r="AZ147" s="3">
        <v>0.13500000000000001</v>
      </c>
      <c r="BA147" s="3">
        <f t="shared" si="84"/>
        <v>-0.159</v>
      </c>
      <c r="BB147" s="3">
        <f t="shared" si="114"/>
        <v>0.17050000000000001</v>
      </c>
      <c r="BC147" s="3">
        <f t="shared" si="114"/>
        <v>0.1575</v>
      </c>
      <c r="BD147" s="3">
        <f t="shared" si="86"/>
        <v>1.3000000000000012E-2</v>
      </c>
      <c r="BE147" s="3">
        <f t="shared" si="115"/>
        <v>0.29299999999999998</v>
      </c>
      <c r="BF147" s="3">
        <f t="shared" si="115"/>
        <v>0.58499999999999996</v>
      </c>
      <c r="BG147" s="3">
        <f t="shared" si="88"/>
        <v>-0.29199999999999998</v>
      </c>
      <c r="BH147" s="3">
        <f t="shared" si="116"/>
        <v>-0.17050000000000001</v>
      </c>
      <c r="BI147" s="3">
        <f t="shared" si="116"/>
        <v>-0.1575</v>
      </c>
      <c r="BJ147" s="3">
        <f t="shared" si="113"/>
        <v>-1.3000000000000012E-2</v>
      </c>
      <c r="BK147" s="3">
        <f t="shared" si="110"/>
        <v>4.9607935153583631E-2</v>
      </c>
      <c r="BL147" s="3">
        <f t="shared" si="111"/>
        <v>2.120192307692308E-2</v>
      </c>
      <c r="BM147" s="3">
        <f t="shared" si="90"/>
        <v>2.8406012076660551E-2</v>
      </c>
      <c r="BN147" s="3">
        <v>2.2370000000000001</v>
      </c>
      <c r="BO147" s="3">
        <v>2.431</v>
      </c>
      <c r="BP147" s="3">
        <f t="shared" si="91"/>
        <v>-0.19399999999999995</v>
      </c>
      <c r="BQ147" s="3">
        <v>-602243.07700000005</v>
      </c>
      <c r="BR147" s="3">
        <v>-601163.24300000002</v>
      </c>
      <c r="BS147" s="3">
        <f t="shared" si="92"/>
        <v>-1079.8340000000317</v>
      </c>
      <c r="BT147" s="3">
        <v>-602262.36399999994</v>
      </c>
      <c r="BU147" s="3">
        <v>-601182.38500000001</v>
      </c>
      <c r="BV147" s="3">
        <f t="shared" si="93"/>
        <v>-1079.9789999999339</v>
      </c>
    </row>
    <row r="148" spans="1:74" x14ac:dyDescent="0.25">
      <c r="A148" t="s">
        <v>350</v>
      </c>
      <c r="B148" t="s">
        <v>514</v>
      </c>
      <c r="C148" t="s">
        <v>103</v>
      </c>
      <c r="D148" s="3">
        <v>14.44</v>
      </c>
      <c r="E148" s="3">
        <v>0.79</v>
      </c>
      <c r="F148" s="3">
        <v>-358.00400000000002</v>
      </c>
      <c r="G148" s="3">
        <v>-360.28500000000003</v>
      </c>
      <c r="H148" s="3">
        <f t="shared" si="94"/>
        <v>-2.2810000000000059</v>
      </c>
      <c r="I148" s="3">
        <v>-0.33400000000000002</v>
      </c>
      <c r="J148" s="6">
        <v>-0.215</v>
      </c>
      <c r="K148" s="3">
        <f t="shared" si="95"/>
        <v>0.11900000000000002</v>
      </c>
      <c r="L148" s="3">
        <v>0.156</v>
      </c>
      <c r="M148" s="6">
        <v>4.2000000000000003E-2</v>
      </c>
      <c r="N148" s="3">
        <f t="shared" si="96"/>
        <v>-0.11399999999999999</v>
      </c>
      <c r="O148" s="3">
        <f t="shared" si="97"/>
        <v>8.900000000000001E-2</v>
      </c>
      <c r="P148" s="3">
        <f t="shared" si="97"/>
        <v>8.6499999999999994E-2</v>
      </c>
      <c r="Q148" s="3">
        <f t="shared" si="98"/>
        <v>-2.5000000000000161E-3</v>
      </c>
      <c r="R148" s="3">
        <f t="shared" si="99"/>
        <v>0.49</v>
      </c>
      <c r="S148" s="3">
        <f t="shared" si="99"/>
        <v>0.25700000000000001</v>
      </c>
      <c r="T148" s="3">
        <f t="shared" si="100"/>
        <v>-0.23299999999999998</v>
      </c>
      <c r="U148" s="3">
        <f t="shared" si="101"/>
        <v>-8.900000000000001E-2</v>
      </c>
      <c r="V148" s="3">
        <f t="shared" si="101"/>
        <v>-8.6499999999999994E-2</v>
      </c>
      <c r="W148" s="3">
        <f t="shared" si="112"/>
        <v>2.5000000000000161E-3</v>
      </c>
      <c r="X148" s="3">
        <f t="shared" si="108"/>
        <v>8.0826530612244912E-3</v>
      </c>
      <c r="Y148" s="3">
        <f t="shared" si="109"/>
        <v>1.4556906614785991E-2</v>
      </c>
      <c r="Z148" s="3">
        <f t="shared" si="102"/>
        <v>6.4742535535614997E-3</v>
      </c>
      <c r="AA148" s="3">
        <v>4.7329999999999997</v>
      </c>
      <c r="AB148" s="3">
        <v>4.4240000000000004</v>
      </c>
      <c r="AC148" s="3">
        <f t="shared" si="103"/>
        <v>-0.30899999999999928</v>
      </c>
      <c r="AD148" s="3">
        <f>-357.839968*627.50956</f>
        <v>-224548.00087009405</v>
      </c>
      <c r="AE148" s="3">
        <f>-360.130883*627.50956</f>
        <v>-225985.57193374145</v>
      </c>
      <c r="AF148" s="3">
        <f t="shared" si="104"/>
        <v>-1437.5710636473959</v>
      </c>
      <c r="AG148" s="3">
        <f>-357.877567*627.50956</f>
        <v>-224571.59460204051</v>
      </c>
      <c r="AH148" s="3">
        <f>-360.169196*627.50956</f>
        <v>-226009.61370751375</v>
      </c>
      <c r="AI148" s="3">
        <f t="shared" si="105"/>
        <v>-1438.0191054732422</v>
      </c>
      <c r="AJ148" s="3">
        <v>-0.70199999999999996</v>
      </c>
      <c r="AK148" s="3">
        <v>-0.64200000000000002</v>
      </c>
      <c r="AL148" s="3">
        <f t="shared" si="106"/>
        <v>5.9999999999999942E-2</v>
      </c>
      <c r="AM148" s="3">
        <v>111.14506</v>
      </c>
      <c r="AN148" s="3">
        <v>167.04839999999999</v>
      </c>
      <c r="AO148" s="3">
        <v>174.18338</v>
      </c>
      <c r="AP148" s="3">
        <f t="shared" si="107"/>
        <v>1.10771268278771</v>
      </c>
      <c r="AQ148" s="3">
        <v>8.3279999999999994</v>
      </c>
      <c r="AR148" s="3">
        <v>1.7744282</v>
      </c>
      <c r="AS148" s="3">
        <v>-959.76900000000001</v>
      </c>
      <c r="AT148" s="3">
        <v>-958.05</v>
      </c>
      <c r="AU148" s="3">
        <f t="shared" si="82"/>
        <v>-1.7190000000000509</v>
      </c>
      <c r="AV148" s="3">
        <v>-0.317</v>
      </c>
      <c r="AW148" s="3">
        <v>-0.45</v>
      </c>
      <c r="AX148" s="3">
        <f t="shared" si="83"/>
        <v>0.13300000000000001</v>
      </c>
      <c r="AY148" s="3">
        <v>-2.4E-2</v>
      </c>
      <c r="AZ148" s="3">
        <v>0.13500000000000001</v>
      </c>
      <c r="BA148" s="3">
        <f t="shared" si="84"/>
        <v>-0.159</v>
      </c>
      <c r="BB148" s="3">
        <f t="shared" si="114"/>
        <v>0.17050000000000001</v>
      </c>
      <c r="BC148" s="3">
        <f t="shared" si="114"/>
        <v>0.1575</v>
      </c>
      <c r="BD148" s="3">
        <f t="shared" si="86"/>
        <v>1.3000000000000012E-2</v>
      </c>
      <c r="BE148" s="3">
        <f t="shared" si="115"/>
        <v>0.29299999999999998</v>
      </c>
      <c r="BF148" s="3">
        <f t="shared" si="115"/>
        <v>0.58499999999999996</v>
      </c>
      <c r="BG148" s="3">
        <f t="shared" si="88"/>
        <v>-0.29199999999999998</v>
      </c>
      <c r="BH148" s="3">
        <f t="shared" si="116"/>
        <v>-0.17050000000000001</v>
      </c>
      <c r="BI148" s="3">
        <f t="shared" si="116"/>
        <v>-0.1575</v>
      </c>
      <c r="BJ148" s="3">
        <f t="shared" si="113"/>
        <v>-1.3000000000000012E-2</v>
      </c>
      <c r="BK148" s="3">
        <f t="shared" si="110"/>
        <v>4.9607935153583631E-2</v>
      </c>
      <c r="BL148" s="3">
        <f t="shared" si="111"/>
        <v>2.120192307692308E-2</v>
      </c>
      <c r="BM148" s="3">
        <f t="shared" si="90"/>
        <v>2.8406012076660551E-2</v>
      </c>
      <c r="BN148" s="3">
        <v>2.2370000000000001</v>
      </c>
      <c r="BO148" s="3">
        <v>2.431</v>
      </c>
      <c r="BP148" s="3">
        <f t="shared" si="91"/>
        <v>-0.19399999999999995</v>
      </c>
      <c r="BQ148" s="3">
        <v>-602243.07700000005</v>
      </c>
      <c r="BR148" s="3">
        <v>-601163.24300000002</v>
      </c>
      <c r="BS148" s="3">
        <f t="shared" si="92"/>
        <v>-1079.8340000000317</v>
      </c>
      <c r="BT148" s="3">
        <v>-602262.36399999994</v>
      </c>
      <c r="BU148" s="3">
        <v>-601182.38500000001</v>
      </c>
      <c r="BV148" s="3">
        <f t="shared" si="93"/>
        <v>-1079.9789999999339</v>
      </c>
    </row>
    <row r="149" spans="1:74" x14ac:dyDescent="0.25">
      <c r="A149" t="s">
        <v>351</v>
      </c>
      <c r="B149" t="s">
        <v>514</v>
      </c>
      <c r="C149" t="s">
        <v>103</v>
      </c>
      <c r="D149" s="3">
        <v>14.45</v>
      </c>
      <c r="E149" s="3">
        <v>0.78</v>
      </c>
      <c r="F149" s="3">
        <v>-739.53899999999999</v>
      </c>
      <c r="G149" s="3">
        <v>-742.46400000000006</v>
      </c>
      <c r="H149" s="3">
        <f t="shared" si="94"/>
        <v>-2.9250000000000682</v>
      </c>
      <c r="I149" s="3">
        <v>-0.33400000000000002</v>
      </c>
      <c r="J149" s="6">
        <v>-0.222</v>
      </c>
      <c r="K149" s="3">
        <f t="shared" si="95"/>
        <v>0.11200000000000002</v>
      </c>
      <c r="L149" s="3">
        <v>0.14299999999999999</v>
      </c>
      <c r="M149" s="6">
        <v>6.0000000000000001E-3</v>
      </c>
      <c r="N149" s="3">
        <f t="shared" si="96"/>
        <v>-0.13699999999999998</v>
      </c>
      <c r="O149" s="3">
        <f t="shared" si="97"/>
        <v>9.5500000000000015E-2</v>
      </c>
      <c r="P149" s="3">
        <f t="shared" si="97"/>
        <v>0.108</v>
      </c>
      <c r="Q149" s="3">
        <f t="shared" si="98"/>
        <v>1.2499999999999983E-2</v>
      </c>
      <c r="R149" s="3">
        <f t="shared" si="99"/>
        <v>0.47699999999999998</v>
      </c>
      <c r="S149" s="3">
        <f t="shared" si="99"/>
        <v>0.22800000000000001</v>
      </c>
      <c r="T149" s="3">
        <f t="shared" si="100"/>
        <v>-0.24899999999999997</v>
      </c>
      <c r="U149" s="3">
        <f t="shared" si="101"/>
        <v>-9.5500000000000015E-2</v>
      </c>
      <c r="V149" s="3">
        <f t="shared" si="101"/>
        <v>-0.108</v>
      </c>
      <c r="W149" s="3">
        <f t="shared" si="112"/>
        <v>-1.2499999999999983E-2</v>
      </c>
      <c r="X149" s="3">
        <f t="shared" si="108"/>
        <v>9.5600104821802982E-3</v>
      </c>
      <c r="Y149" s="3">
        <f t="shared" si="109"/>
        <v>2.5578947368421048E-2</v>
      </c>
      <c r="Z149" s="3">
        <f t="shared" si="102"/>
        <v>1.6018936886240752E-2</v>
      </c>
      <c r="AA149" s="3">
        <v>6.2149999999999999</v>
      </c>
      <c r="AB149" s="3">
        <v>6.0110000000000001</v>
      </c>
      <c r="AC149" s="3">
        <f t="shared" si="103"/>
        <v>-0.20399999999999974</v>
      </c>
      <c r="AD149" s="3">
        <f>-739.358908*627.50956</f>
        <v>-463954.7830411605</v>
      </c>
      <c r="AE149" s="3">
        <f>-742.294607*627.50956</f>
        <v>-465796.9622289429</v>
      </c>
      <c r="AF149" s="3">
        <f t="shared" si="104"/>
        <v>-1842.1791877823998</v>
      </c>
      <c r="AG149" s="3">
        <f>-739.399966*627.50956</f>
        <v>-463980.54732867487</v>
      </c>
      <c r="AH149" s="3">
        <f>-742.336582*627.50956</f>
        <v>-465823.30194272392</v>
      </c>
      <c r="AI149" s="3">
        <f t="shared" si="105"/>
        <v>-1842.7546140490449</v>
      </c>
      <c r="AJ149" s="3">
        <v>-0.68899999999999995</v>
      </c>
      <c r="AK149" s="3">
        <v>-0.60399999999999998</v>
      </c>
      <c r="AL149" s="3">
        <f t="shared" si="106"/>
        <v>8.4999999999999964E-2</v>
      </c>
      <c r="AM149" s="3">
        <v>142.22200000000001</v>
      </c>
      <c r="AN149" s="3">
        <v>190.28513000000001</v>
      </c>
      <c r="AO149" s="3">
        <v>208.7037</v>
      </c>
      <c r="AP149" s="3">
        <f t="shared" si="107"/>
        <v>1.1185121412872643</v>
      </c>
      <c r="AQ149" s="3">
        <v>9.0510000000000002</v>
      </c>
      <c r="AR149" s="3">
        <v>2.0329600999999999</v>
      </c>
      <c r="AS149" s="3">
        <v>-959.76900000000001</v>
      </c>
      <c r="AT149" s="3">
        <v>-958.05</v>
      </c>
      <c r="AU149" s="3">
        <f t="shared" si="82"/>
        <v>-1.7190000000000509</v>
      </c>
      <c r="AV149" s="3">
        <v>-0.317</v>
      </c>
      <c r="AW149" s="3">
        <v>-0.45</v>
      </c>
      <c r="AX149" s="3">
        <f t="shared" si="83"/>
        <v>0.13300000000000001</v>
      </c>
      <c r="AY149" s="3">
        <v>-2.4E-2</v>
      </c>
      <c r="AZ149" s="3">
        <v>0.13500000000000001</v>
      </c>
      <c r="BA149" s="3">
        <f t="shared" si="84"/>
        <v>-0.159</v>
      </c>
      <c r="BB149" s="3">
        <f t="shared" si="114"/>
        <v>0.17050000000000001</v>
      </c>
      <c r="BC149" s="3">
        <f t="shared" si="114"/>
        <v>0.1575</v>
      </c>
      <c r="BD149" s="3">
        <f t="shared" si="86"/>
        <v>1.3000000000000012E-2</v>
      </c>
      <c r="BE149" s="3">
        <f t="shared" si="115"/>
        <v>0.29299999999999998</v>
      </c>
      <c r="BF149" s="3">
        <f t="shared" si="115"/>
        <v>0.58499999999999996</v>
      </c>
      <c r="BG149" s="3">
        <f t="shared" si="88"/>
        <v>-0.29199999999999998</v>
      </c>
      <c r="BH149" s="3">
        <f t="shared" si="116"/>
        <v>-0.17050000000000001</v>
      </c>
      <c r="BI149" s="3">
        <f t="shared" si="116"/>
        <v>-0.1575</v>
      </c>
      <c r="BJ149" s="3">
        <f t="shared" si="113"/>
        <v>-1.3000000000000012E-2</v>
      </c>
      <c r="BK149" s="3">
        <f t="shared" si="110"/>
        <v>4.9607935153583631E-2</v>
      </c>
      <c r="BL149" s="3">
        <f t="shared" si="111"/>
        <v>2.120192307692308E-2</v>
      </c>
      <c r="BM149" s="3">
        <f t="shared" si="90"/>
        <v>2.8406012076660551E-2</v>
      </c>
      <c r="BN149" s="3">
        <v>2.2370000000000001</v>
      </c>
      <c r="BO149" s="3">
        <v>2.431</v>
      </c>
      <c r="BP149" s="3">
        <f t="shared" si="91"/>
        <v>-0.19399999999999995</v>
      </c>
      <c r="BQ149" s="3">
        <v>-602243.07700000005</v>
      </c>
      <c r="BR149" s="3">
        <v>-601163.24300000002</v>
      </c>
      <c r="BS149" s="3">
        <f t="shared" si="92"/>
        <v>-1079.8340000000317</v>
      </c>
      <c r="BT149" s="3">
        <v>-602262.36399999994</v>
      </c>
      <c r="BU149" s="3">
        <v>-601182.38500000001</v>
      </c>
      <c r="BV149" s="3">
        <f t="shared" si="93"/>
        <v>-1079.9789999999339</v>
      </c>
    </row>
    <row r="150" spans="1:74" x14ac:dyDescent="0.25">
      <c r="A150" t="s">
        <v>352</v>
      </c>
      <c r="B150" t="s">
        <v>514</v>
      </c>
      <c r="C150" t="s">
        <v>99</v>
      </c>
      <c r="D150" s="3">
        <v>14.51</v>
      </c>
      <c r="E150" s="3">
        <v>0.8</v>
      </c>
      <c r="F150" s="3">
        <v>-290.45800000000003</v>
      </c>
      <c r="G150" s="3">
        <v>-292.50700000000001</v>
      </c>
      <c r="H150" s="3">
        <f t="shared" si="94"/>
        <v>-2.0489999999999782</v>
      </c>
      <c r="I150" s="3">
        <v>-0.36199999999999999</v>
      </c>
      <c r="J150" s="6">
        <v>-0.22600000000000001</v>
      </c>
      <c r="K150" s="3">
        <f t="shared" si="95"/>
        <v>0.13599999999999998</v>
      </c>
      <c r="L150" s="3">
        <v>0.159</v>
      </c>
      <c r="M150" s="6">
        <v>4.3999999999999997E-2</v>
      </c>
      <c r="N150" s="3">
        <f t="shared" si="96"/>
        <v>-0.115</v>
      </c>
      <c r="O150" s="3">
        <f t="shared" si="97"/>
        <v>0.10149999999999999</v>
      </c>
      <c r="P150" s="3">
        <f t="shared" si="97"/>
        <v>9.0999999999999998E-2</v>
      </c>
      <c r="Q150" s="3">
        <f t="shared" si="98"/>
        <v>-1.0499999999999995E-2</v>
      </c>
      <c r="R150" s="3">
        <f t="shared" si="99"/>
        <v>0.52100000000000002</v>
      </c>
      <c r="S150" s="3">
        <f t="shared" si="99"/>
        <v>0.27</v>
      </c>
      <c r="T150" s="3">
        <f t="shared" si="100"/>
        <v>-0.251</v>
      </c>
      <c r="U150" s="3">
        <f t="shared" si="101"/>
        <v>-0.10149999999999999</v>
      </c>
      <c r="V150" s="3">
        <f t="shared" si="101"/>
        <v>-9.0999999999999998E-2</v>
      </c>
      <c r="W150" s="3">
        <f t="shared" si="112"/>
        <v>1.0499999999999995E-2</v>
      </c>
      <c r="X150" s="3">
        <f t="shared" si="108"/>
        <v>9.886996161228406E-3</v>
      </c>
      <c r="Y150" s="3">
        <f t="shared" si="109"/>
        <v>1.5335185185185184E-2</v>
      </c>
      <c r="Z150" s="3">
        <f t="shared" si="102"/>
        <v>5.4481890239567784E-3</v>
      </c>
      <c r="AA150" s="3">
        <v>1.3640000000000001</v>
      </c>
      <c r="AB150" s="3">
        <v>1.2609999999999999</v>
      </c>
      <c r="AC150" s="3">
        <f t="shared" si="103"/>
        <v>-0.1030000000000002</v>
      </c>
      <c r="AD150" s="3">
        <f>-290.229307*627.50956</f>
        <v>-182121.66473467491</v>
      </c>
      <c r="AE150" s="3">
        <f>-292.292057*627.50956</f>
        <v>-183416.06007956492</v>
      </c>
      <c r="AF150" s="3">
        <f t="shared" si="104"/>
        <v>-1294.3953448900138</v>
      </c>
      <c r="AG150" s="3">
        <f>-290.274033*627.50956</f>
        <v>-182149.73072725546</v>
      </c>
      <c r="AH150" s="3">
        <f>-292.335249*627.50956</f>
        <v>-183443.1634724804</v>
      </c>
      <c r="AI150" s="3">
        <f t="shared" si="105"/>
        <v>-1293.4327452249418</v>
      </c>
      <c r="AJ150" s="3">
        <v>-0.75900000000000001</v>
      </c>
      <c r="AK150" s="3">
        <v>-0.68899999999999995</v>
      </c>
      <c r="AL150" s="3">
        <f t="shared" si="106"/>
        <v>7.0000000000000062E-2</v>
      </c>
      <c r="AM150" s="3">
        <v>101.19</v>
      </c>
      <c r="AN150" s="3">
        <v>199.05246</v>
      </c>
      <c r="AO150" s="3">
        <v>213.42173</v>
      </c>
      <c r="AP150" s="3">
        <f t="shared" si="107"/>
        <v>1.1527392360765851</v>
      </c>
      <c r="AQ150" s="3">
        <v>10.196</v>
      </c>
      <c r="AR150" s="3">
        <v>2.3399079999999999</v>
      </c>
      <c r="AS150" s="3">
        <v>-132.80099999999999</v>
      </c>
      <c r="AT150" s="3">
        <v>-131.97</v>
      </c>
      <c r="AU150" s="3">
        <f t="shared" si="82"/>
        <v>-0.83099999999998886</v>
      </c>
      <c r="AV150" s="3">
        <v>-0.34100000000000003</v>
      </c>
      <c r="AW150" s="3">
        <v>-0.47499999999999998</v>
      </c>
      <c r="AX150" s="3">
        <f t="shared" si="83"/>
        <v>0.13399999999999995</v>
      </c>
      <c r="AY150" s="3">
        <v>2.9000000000000001E-2</v>
      </c>
      <c r="AZ150" s="3">
        <v>0.156</v>
      </c>
      <c r="BA150" s="3">
        <f t="shared" si="84"/>
        <v>-0.127</v>
      </c>
      <c r="BB150" s="3">
        <f t="shared" si="114"/>
        <v>0.156</v>
      </c>
      <c r="BC150" s="3">
        <f t="shared" si="114"/>
        <v>0.15949999999999998</v>
      </c>
      <c r="BD150" s="3">
        <f t="shared" si="86"/>
        <v>-3.4999999999999754E-3</v>
      </c>
      <c r="BE150" s="3">
        <f t="shared" si="115"/>
        <v>0.37000000000000005</v>
      </c>
      <c r="BF150" s="3">
        <f t="shared" si="115"/>
        <v>0.63100000000000001</v>
      </c>
      <c r="BG150" s="3">
        <f t="shared" si="88"/>
        <v>-0.26099999999999995</v>
      </c>
      <c r="BH150" s="3">
        <f t="shared" si="116"/>
        <v>-0.156</v>
      </c>
      <c r="BI150" s="3">
        <f t="shared" si="116"/>
        <v>-0.15949999999999998</v>
      </c>
      <c r="BJ150" s="3">
        <f t="shared" si="113"/>
        <v>3.4999999999999754E-3</v>
      </c>
      <c r="BK150" s="3">
        <f t="shared" si="110"/>
        <v>3.2886486486486483E-2</v>
      </c>
      <c r="BL150" s="3">
        <f t="shared" si="111"/>
        <v>2.0158676703645E-2</v>
      </c>
      <c r="BM150" s="3">
        <f t="shared" si="90"/>
        <v>1.2727809782841482E-2</v>
      </c>
      <c r="BN150" s="3">
        <v>4.7279999999999998</v>
      </c>
      <c r="BO150" s="3">
        <v>4.9340000000000002</v>
      </c>
      <c r="BP150" s="3">
        <f t="shared" si="91"/>
        <v>-0.20600000000000041</v>
      </c>
      <c r="BQ150" s="3">
        <v>-83302.89</v>
      </c>
      <c r="BR150" s="3">
        <v>-82779.224000000002</v>
      </c>
      <c r="BS150" s="3">
        <f t="shared" si="92"/>
        <v>-523.66599999999744</v>
      </c>
      <c r="BT150" s="3">
        <v>-83320.774999999994</v>
      </c>
      <c r="BU150" s="3">
        <v>-82796.997000000003</v>
      </c>
      <c r="BV150" s="3">
        <f t="shared" si="93"/>
        <v>-523.77799999999115</v>
      </c>
    </row>
    <row r="151" spans="1:74" x14ac:dyDescent="0.25">
      <c r="A151" t="s">
        <v>353</v>
      </c>
      <c r="B151" t="s">
        <v>514</v>
      </c>
      <c r="C151" t="s">
        <v>103</v>
      </c>
      <c r="D151" s="3">
        <v>14.57</v>
      </c>
      <c r="E151" s="3">
        <v>0.75</v>
      </c>
      <c r="F151" s="3">
        <v>-1053.8989999999999</v>
      </c>
      <c r="G151" s="3">
        <v>-1060.5930000000001</v>
      </c>
      <c r="H151" s="3">
        <f t="shared" si="94"/>
        <v>-6.6940000000001874</v>
      </c>
      <c r="I151" s="3">
        <v>-0.311</v>
      </c>
      <c r="J151" s="6">
        <v>-0.216</v>
      </c>
      <c r="K151" s="3">
        <f t="shared" si="95"/>
        <v>9.5000000000000001E-2</v>
      </c>
      <c r="L151" s="3">
        <v>0.11700000000000001</v>
      </c>
      <c r="M151" s="6">
        <v>-2.9000000000000001E-2</v>
      </c>
      <c r="N151" s="3">
        <f t="shared" si="96"/>
        <v>-0.14600000000000002</v>
      </c>
      <c r="O151" s="3">
        <f t="shared" si="97"/>
        <v>9.7000000000000003E-2</v>
      </c>
      <c r="P151" s="3">
        <f t="shared" si="97"/>
        <v>0.1225</v>
      </c>
      <c r="Q151" s="3">
        <f t="shared" si="98"/>
        <v>2.5499999999999995E-2</v>
      </c>
      <c r="R151" s="3">
        <f t="shared" si="99"/>
        <v>0.42799999999999999</v>
      </c>
      <c r="S151" s="3">
        <f t="shared" si="99"/>
        <v>0.187</v>
      </c>
      <c r="T151" s="3">
        <f t="shared" si="100"/>
        <v>-0.24099999999999999</v>
      </c>
      <c r="U151" s="3">
        <f t="shared" si="101"/>
        <v>-9.7000000000000003E-2</v>
      </c>
      <c r="V151" s="3">
        <f t="shared" si="101"/>
        <v>-0.1225</v>
      </c>
      <c r="W151" s="3">
        <f t="shared" si="112"/>
        <v>-2.5499999999999995E-2</v>
      </c>
      <c r="X151" s="3">
        <f t="shared" si="108"/>
        <v>1.0991822429906543E-2</v>
      </c>
      <c r="Y151" s="3">
        <f t="shared" si="109"/>
        <v>4.0123663101604277E-2</v>
      </c>
      <c r="Z151" s="3">
        <f t="shared" si="102"/>
        <v>2.9131840671697735E-2</v>
      </c>
      <c r="AA151" s="3">
        <v>7.6509999999999998</v>
      </c>
      <c r="AB151" s="3">
        <v>8.0749999999999993</v>
      </c>
      <c r="AC151" s="3">
        <f t="shared" si="103"/>
        <v>0.42399999999999949</v>
      </c>
      <c r="AD151" s="3">
        <f>-1053.472596*627.50956</f>
        <v>-661064.12518801773</v>
      </c>
      <c r="AE151" s="3">
        <f>-1060.191801*627.50956</f>
        <v>-665280.49056111753</v>
      </c>
      <c r="AF151" s="3">
        <f t="shared" si="104"/>
        <v>-4216.3653730998049</v>
      </c>
      <c r="AG151" s="3">
        <f>-1053.542236*627.50956</f>
        <v>-661107.82495377609</v>
      </c>
      <c r="AH151" s="3">
        <f>-1060.26367*627.50956</f>
        <v>-665325.58904568525</v>
      </c>
      <c r="AI151" s="3">
        <f t="shared" si="105"/>
        <v>-4217.7640919091646</v>
      </c>
      <c r="AJ151" s="3">
        <v>-0.60199999999999998</v>
      </c>
      <c r="AK151" s="3">
        <v>-0.53200000000000003</v>
      </c>
      <c r="AL151" s="3">
        <f t="shared" si="106"/>
        <v>6.9999999999999951E-2</v>
      </c>
      <c r="AM151" s="3">
        <v>332.41394000000003</v>
      </c>
      <c r="AN151" s="3">
        <v>378.30473999999998</v>
      </c>
      <c r="AO151" s="3">
        <v>478.923</v>
      </c>
      <c r="AP151" s="3">
        <f t="shared" si="107"/>
        <v>1.2781660280136498</v>
      </c>
      <c r="AQ151" s="3">
        <v>13.955</v>
      </c>
      <c r="AR151" s="3">
        <v>3.4481907199999999</v>
      </c>
      <c r="AS151" s="3">
        <v>-959.76900000000001</v>
      </c>
      <c r="AT151" s="3">
        <v>-958.05</v>
      </c>
      <c r="AU151" s="3">
        <f t="shared" si="82"/>
        <v>-1.7190000000000509</v>
      </c>
      <c r="AV151" s="3">
        <v>-0.317</v>
      </c>
      <c r="AW151" s="3">
        <v>-0.45</v>
      </c>
      <c r="AX151" s="3">
        <f t="shared" si="83"/>
        <v>0.13300000000000001</v>
      </c>
      <c r="AY151" s="3">
        <v>-2.4E-2</v>
      </c>
      <c r="AZ151" s="3">
        <v>0.13500000000000001</v>
      </c>
      <c r="BA151" s="3">
        <f t="shared" si="84"/>
        <v>-0.159</v>
      </c>
      <c r="BB151" s="3">
        <f t="shared" si="114"/>
        <v>0.17050000000000001</v>
      </c>
      <c r="BC151" s="3">
        <f t="shared" si="114"/>
        <v>0.1575</v>
      </c>
      <c r="BD151" s="3">
        <f t="shared" si="86"/>
        <v>1.3000000000000012E-2</v>
      </c>
      <c r="BE151" s="3">
        <f t="shared" si="115"/>
        <v>0.29299999999999998</v>
      </c>
      <c r="BF151" s="3">
        <f t="shared" si="115"/>
        <v>0.58499999999999996</v>
      </c>
      <c r="BG151" s="3">
        <f t="shared" si="88"/>
        <v>-0.29199999999999998</v>
      </c>
      <c r="BH151" s="3">
        <f t="shared" si="116"/>
        <v>-0.17050000000000001</v>
      </c>
      <c r="BI151" s="3">
        <f t="shared" si="116"/>
        <v>-0.1575</v>
      </c>
      <c r="BJ151" s="3">
        <f t="shared" si="113"/>
        <v>-1.3000000000000012E-2</v>
      </c>
      <c r="BK151" s="3">
        <f t="shared" si="110"/>
        <v>4.9607935153583631E-2</v>
      </c>
      <c r="BL151" s="3">
        <f t="shared" si="111"/>
        <v>2.120192307692308E-2</v>
      </c>
      <c r="BM151" s="3">
        <f t="shared" si="90"/>
        <v>2.8406012076660551E-2</v>
      </c>
      <c r="BN151" s="3">
        <v>2.2370000000000001</v>
      </c>
      <c r="BO151" s="3">
        <v>2.431</v>
      </c>
      <c r="BP151" s="3">
        <f t="shared" si="91"/>
        <v>-0.19399999999999995</v>
      </c>
      <c r="BQ151" s="3">
        <v>-602243.07700000005</v>
      </c>
      <c r="BR151" s="3">
        <v>-601163.24300000002</v>
      </c>
      <c r="BS151" s="3">
        <f t="shared" si="92"/>
        <v>-1079.8340000000317</v>
      </c>
      <c r="BT151" s="3">
        <v>-602262.36399999994</v>
      </c>
      <c r="BU151" s="3">
        <v>-601182.38500000001</v>
      </c>
      <c r="BV151" s="3">
        <f t="shared" si="93"/>
        <v>-1079.9789999999339</v>
      </c>
    </row>
    <row r="152" spans="1:74" x14ac:dyDescent="0.25">
      <c r="A152" t="s">
        <v>348</v>
      </c>
      <c r="B152" t="s">
        <v>514</v>
      </c>
      <c r="C152" t="s">
        <v>200</v>
      </c>
      <c r="D152" s="3">
        <v>14.58</v>
      </c>
      <c r="E152" s="3">
        <v>0.79</v>
      </c>
      <c r="F152" s="3">
        <v>-304.13799999999998</v>
      </c>
      <c r="G152" s="3">
        <v>-306.14299999999997</v>
      </c>
      <c r="H152" s="3">
        <f t="shared" si="94"/>
        <v>-2.0049999999999955</v>
      </c>
      <c r="I152" s="3">
        <v>-0.34</v>
      </c>
      <c r="J152" s="6">
        <v>-0.219</v>
      </c>
      <c r="K152" s="3">
        <f t="shared" si="95"/>
        <v>0.12100000000000002</v>
      </c>
      <c r="L152" s="3">
        <v>0.153</v>
      </c>
      <c r="M152" s="6">
        <v>2.9000000000000001E-2</v>
      </c>
      <c r="N152" s="3">
        <f t="shared" si="96"/>
        <v>-0.124</v>
      </c>
      <c r="O152" s="3">
        <f t="shared" si="97"/>
        <v>9.3500000000000014E-2</v>
      </c>
      <c r="P152" s="3">
        <f t="shared" si="97"/>
        <v>9.5000000000000001E-2</v>
      </c>
      <c r="Q152" s="3">
        <f t="shared" si="98"/>
        <v>1.4999999999999875E-3</v>
      </c>
      <c r="R152" s="3">
        <f t="shared" si="99"/>
        <v>0.49299999999999999</v>
      </c>
      <c r="S152" s="3">
        <f t="shared" si="99"/>
        <v>0.248</v>
      </c>
      <c r="T152" s="3">
        <f t="shared" si="100"/>
        <v>-0.245</v>
      </c>
      <c r="U152" s="3">
        <f t="shared" si="101"/>
        <v>-9.3500000000000014E-2</v>
      </c>
      <c r="V152" s="3">
        <f t="shared" si="101"/>
        <v>-9.5000000000000001E-2</v>
      </c>
      <c r="W152" s="3">
        <f t="shared" si="112"/>
        <v>-1.4999999999999875E-3</v>
      </c>
      <c r="X152" s="3">
        <f t="shared" si="108"/>
        <v>8.8663793103448303E-3</v>
      </c>
      <c r="Y152" s="3">
        <f t="shared" si="109"/>
        <v>1.8195564516129033E-2</v>
      </c>
      <c r="Z152" s="3">
        <f t="shared" si="102"/>
        <v>9.3291852057842024E-3</v>
      </c>
      <c r="AA152" s="3">
        <v>4.0750000000000002</v>
      </c>
      <c r="AB152" s="3">
        <v>4.3159999999999998</v>
      </c>
      <c r="AC152" s="3">
        <f t="shared" si="103"/>
        <v>0.24099999999999966</v>
      </c>
      <c r="AD152" s="3">
        <f>-303.969347*627.50956</f>
        <v>-190743.67118945732</v>
      </c>
      <c r="AE152" s="3">
        <f>-305.984547*627.50956</f>
        <v>-192008.22845476933</v>
      </c>
      <c r="AF152" s="3">
        <f t="shared" si="104"/>
        <v>-1264.5572653120034</v>
      </c>
      <c r="AG152" s="3">
        <f>-304.007705*627.50956</f>
        <v>-190767.74120115978</v>
      </c>
      <c r="AH152" s="3">
        <f>-306.024105*627.50956</f>
        <v>-192033.05147794381</v>
      </c>
      <c r="AI152" s="3">
        <f t="shared" si="105"/>
        <v>-1265.3102767840319</v>
      </c>
      <c r="AJ152" s="3">
        <v>-0.71899999999999997</v>
      </c>
      <c r="AK152" s="3">
        <v>-0.64300000000000002</v>
      </c>
      <c r="AL152" s="3">
        <f t="shared" si="106"/>
        <v>7.5999999999999956E-2</v>
      </c>
      <c r="AM152" s="3">
        <v>98.146299999999997</v>
      </c>
      <c r="AN152" s="3">
        <v>166.51054999999999</v>
      </c>
      <c r="AO152" s="3">
        <v>172.41672</v>
      </c>
      <c r="AP152" s="3">
        <f t="shared" si="107"/>
        <v>1.1116757183690953</v>
      </c>
      <c r="AQ152" s="3">
        <v>8.2390000000000008</v>
      </c>
      <c r="AR152" s="3">
        <v>1.75769</v>
      </c>
      <c r="AS152" s="3">
        <v>-553.27200000000005</v>
      </c>
      <c r="AT152" s="3">
        <v>-551.61699999999996</v>
      </c>
      <c r="AU152" s="3">
        <f t="shared" si="82"/>
        <v>-1.6550000000000864</v>
      </c>
      <c r="AV152" s="3">
        <v>-0.23699999999999999</v>
      </c>
      <c r="AW152" s="3">
        <v>-0.36899999999999999</v>
      </c>
      <c r="AX152" s="3">
        <f t="shared" si="83"/>
        <v>0.13200000000000001</v>
      </c>
      <c r="AY152" s="3">
        <v>2.8000000000000001E-2</v>
      </c>
      <c r="AZ152" s="3">
        <v>0.154</v>
      </c>
      <c r="BA152" s="3">
        <f t="shared" si="84"/>
        <v>-0.126</v>
      </c>
      <c r="BB152" s="3">
        <f t="shared" si="114"/>
        <v>0.1045</v>
      </c>
      <c r="BC152" s="3">
        <f t="shared" si="114"/>
        <v>0.1075</v>
      </c>
      <c r="BD152" s="3">
        <f t="shared" si="86"/>
        <v>-3.0000000000000027E-3</v>
      </c>
      <c r="BE152" s="3">
        <f t="shared" si="115"/>
        <v>0.26500000000000001</v>
      </c>
      <c r="BF152" s="3">
        <f t="shared" si="115"/>
        <v>0.52300000000000002</v>
      </c>
      <c r="BG152" s="3">
        <f t="shared" si="88"/>
        <v>-0.25800000000000001</v>
      </c>
      <c r="BH152" s="3">
        <f t="shared" si="116"/>
        <v>-0.1045</v>
      </c>
      <c r="BI152" s="3">
        <f t="shared" si="116"/>
        <v>-0.1075</v>
      </c>
      <c r="BJ152" s="3">
        <f t="shared" si="113"/>
        <v>3.0000000000000027E-3</v>
      </c>
      <c r="BK152" s="3">
        <f t="shared" si="110"/>
        <v>2.0604245283018865E-2</v>
      </c>
      <c r="BL152" s="3">
        <f t="shared" si="111"/>
        <v>1.104804015296367E-2</v>
      </c>
      <c r="BM152" s="3">
        <f t="shared" si="90"/>
        <v>9.5562051300551957E-3</v>
      </c>
      <c r="BN152" s="3">
        <v>5.4870000000000001</v>
      </c>
      <c r="BO152" s="3">
        <v>6.0839999999999996</v>
      </c>
      <c r="BP152" s="3">
        <f t="shared" si="91"/>
        <v>-0.59699999999999953</v>
      </c>
      <c r="BQ152" s="3">
        <v>-347129.96399999998</v>
      </c>
      <c r="BR152" s="3">
        <v>-346087.64600000001</v>
      </c>
      <c r="BS152" s="3">
        <f t="shared" si="92"/>
        <v>-1042.3179999999702</v>
      </c>
      <c r="BT152" s="3">
        <v>-347152.04599999997</v>
      </c>
      <c r="BU152" s="3">
        <v>-346109.22600000002</v>
      </c>
      <c r="BV152" s="3">
        <f t="shared" si="93"/>
        <v>-1042.8199999999488</v>
      </c>
    </row>
    <row r="153" spans="1:74" x14ac:dyDescent="0.25">
      <c r="A153" t="s">
        <v>354</v>
      </c>
      <c r="B153" t="s">
        <v>514</v>
      </c>
      <c r="C153" t="s">
        <v>103</v>
      </c>
      <c r="D153" s="3">
        <v>14.59</v>
      </c>
      <c r="E153" s="3">
        <v>0.69</v>
      </c>
      <c r="F153" s="3">
        <v>-531.66700000000003</v>
      </c>
      <c r="G153" s="3">
        <v>-535.029</v>
      </c>
      <c r="H153" s="3">
        <f t="shared" si="94"/>
        <v>-3.3619999999999663</v>
      </c>
      <c r="I153" s="3">
        <v>-0.32400000000000001</v>
      </c>
      <c r="J153" s="6">
        <v>-0.222</v>
      </c>
      <c r="K153" s="3">
        <f t="shared" si="95"/>
        <v>0.10200000000000001</v>
      </c>
      <c r="L153" s="3">
        <v>0.126</v>
      </c>
      <c r="M153" s="6">
        <v>-1.6E-2</v>
      </c>
      <c r="N153" s="3">
        <f t="shared" si="96"/>
        <v>-0.14200000000000002</v>
      </c>
      <c r="O153" s="3">
        <f t="shared" si="97"/>
        <v>9.9000000000000005E-2</v>
      </c>
      <c r="P153" s="3">
        <f t="shared" si="97"/>
        <v>0.11899999999999999</v>
      </c>
      <c r="Q153" s="3">
        <f t="shared" si="98"/>
        <v>1.999999999999999E-2</v>
      </c>
      <c r="R153" s="3">
        <f t="shared" si="99"/>
        <v>0.45</v>
      </c>
      <c r="S153" s="3">
        <f t="shared" si="99"/>
        <v>0.20600000000000002</v>
      </c>
      <c r="T153" s="3">
        <f t="shared" si="100"/>
        <v>-0.24399999999999999</v>
      </c>
      <c r="U153" s="3">
        <f t="shared" si="101"/>
        <v>-9.9000000000000005E-2</v>
      </c>
      <c r="V153" s="3">
        <f t="shared" si="101"/>
        <v>-0.11899999999999999</v>
      </c>
      <c r="W153" s="3">
        <f t="shared" si="112"/>
        <v>-1.999999999999999E-2</v>
      </c>
      <c r="X153" s="3">
        <f t="shared" si="108"/>
        <v>1.089E-2</v>
      </c>
      <c r="Y153" s="3">
        <f t="shared" si="109"/>
        <v>3.4371359223300965E-2</v>
      </c>
      <c r="Z153" s="3">
        <f t="shared" si="102"/>
        <v>2.3481359223300965E-2</v>
      </c>
      <c r="AA153" s="3">
        <v>3.0659999999999998</v>
      </c>
      <c r="AB153" s="3">
        <v>4.0019999999999998</v>
      </c>
      <c r="AC153" s="3">
        <f t="shared" si="103"/>
        <v>0.93599999999999994</v>
      </c>
      <c r="AD153" s="3">
        <f>-531.439133*627.50956</f>
        <v>-333483.13651561143</v>
      </c>
      <c r="AE153" s="3">
        <f>-534.814565*627.50956</f>
        <v>-335601.25236474141</v>
      </c>
      <c r="AF153" s="3">
        <f t="shared" si="104"/>
        <v>-2118.115849129972</v>
      </c>
      <c r="AG153" s="3">
        <f>-531.484507*627.50956</f>
        <v>-333511.60913438693</v>
      </c>
      <c r="AH153" s="3">
        <f>-534.861881*627.50956</f>
        <v>-335630.94360708236</v>
      </c>
      <c r="AI153" s="3">
        <f t="shared" si="105"/>
        <v>-2119.3344726954238</v>
      </c>
      <c r="AJ153" s="3">
        <v>-0.58599999999999997</v>
      </c>
      <c r="AK153" s="3">
        <v>-0.52600000000000002</v>
      </c>
      <c r="AL153" s="3">
        <f t="shared" si="106"/>
        <v>5.9999999999999942E-2</v>
      </c>
      <c r="AM153" s="3">
        <v>164.20437999999999</v>
      </c>
      <c r="AN153" s="3">
        <v>219.52163999999999</v>
      </c>
      <c r="AO153" s="3">
        <v>246.63982999999999</v>
      </c>
      <c r="AP153" s="3">
        <f t="shared" si="107"/>
        <v>1.1544039763871088</v>
      </c>
      <c r="AQ153" s="3">
        <v>10.353</v>
      </c>
      <c r="AR153" s="3">
        <v>2.6295196000000001</v>
      </c>
      <c r="AS153" s="3">
        <v>-959.76900000000001</v>
      </c>
      <c r="AT153" s="3">
        <v>-958.05</v>
      </c>
      <c r="AU153" s="3">
        <f t="shared" si="82"/>
        <v>-1.7190000000000509</v>
      </c>
      <c r="AV153" s="3">
        <v>-0.317</v>
      </c>
      <c r="AW153" s="3">
        <v>-0.45</v>
      </c>
      <c r="AX153" s="3">
        <f t="shared" si="83"/>
        <v>0.13300000000000001</v>
      </c>
      <c r="AY153" s="3">
        <v>-2.4E-2</v>
      </c>
      <c r="AZ153" s="3">
        <v>0.13500000000000001</v>
      </c>
      <c r="BA153" s="3">
        <f t="shared" si="84"/>
        <v>-0.159</v>
      </c>
      <c r="BB153" s="3">
        <f t="shared" si="114"/>
        <v>0.17050000000000001</v>
      </c>
      <c r="BC153" s="3">
        <f t="shared" si="114"/>
        <v>0.1575</v>
      </c>
      <c r="BD153" s="3">
        <f t="shared" si="86"/>
        <v>1.3000000000000012E-2</v>
      </c>
      <c r="BE153" s="3">
        <f t="shared" si="115"/>
        <v>0.29299999999999998</v>
      </c>
      <c r="BF153" s="3">
        <f t="shared" si="115"/>
        <v>0.58499999999999996</v>
      </c>
      <c r="BG153" s="3">
        <f t="shared" si="88"/>
        <v>-0.29199999999999998</v>
      </c>
      <c r="BH153" s="3">
        <f t="shared" si="116"/>
        <v>-0.17050000000000001</v>
      </c>
      <c r="BI153" s="3">
        <f t="shared" si="116"/>
        <v>-0.1575</v>
      </c>
      <c r="BJ153" s="3">
        <f t="shared" si="113"/>
        <v>-1.3000000000000012E-2</v>
      </c>
      <c r="BK153" s="3">
        <f t="shared" si="110"/>
        <v>4.9607935153583631E-2</v>
      </c>
      <c r="BL153" s="3">
        <f t="shared" si="111"/>
        <v>2.120192307692308E-2</v>
      </c>
      <c r="BM153" s="3">
        <f t="shared" si="90"/>
        <v>2.8406012076660551E-2</v>
      </c>
      <c r="BN153" s="3">
        <v>2.2370000000000001</v>
      </c>
      <c r="BO153" s="3">
        <v>2.431</v>
      </c>
      <c r="BP153" s="3">
        <f t="shared" si="91"/>
        <v>-0.19399999999999995</v>
      </c>
      <c r="BQ153" s="3">
        <v>-602243.07700000005</v>
      </c>
      <c r="BR153" s="3">
        <v>-601163.24300000002</v>
      </c>
      <c r="BS153" s="3">
        <f t="shared" si="92"/>
        <v>-1079.8340000000317</v>
      </c>
      <c r="BT153" s="3">
        <v>-602262.36399999994</v>
      </c>
      <c r="BU153" s="3">
        <v>-601182.38500000001</v>
      </c>
      <c r="BV153" s="3">
        <f t="shared" si="93"/>
        <v>-1079.9789999999339</v>
      </c>
    </row>
    <row r="154" spans="1:74" x14ac:dyDescent="0.25">
      <c r="A154" t="s">
        <v>355</v>
      </c>
      <c r="B154" t="s">
        <v>514</v>
      </c>
      <c r="C154" t="s">
        <v>103</v>
      </c>
      <c r="D154" s="3">
        <v>14.62</v>
      </c>
      <c r="E154" s="3">
        <v>0.72</v>
      </c>
      <c r="F154" s="3">
        <v>-494.685</v>
      </c>
      <c r="G154" s="3">
        <v>-497.923</v>
      </c>
      <c r="H154" s="3">
        <f t="shared" si="94"/>
        <v>-3.2379999999999995</v>
      </c>
      <c r="I154" s="3">
        <v>-0.32800000000000001</v>
      </c>
      <c r="J154" s="6">
        <v>-0.22500000000000001</v>
      </c>
      <c r="K154" s="3">
        <f t="shared" si="95"/>
        <v>0.10300000000000001</v>
      </c>
      <c r="L154" s="3">
        <v>0.109</v>
      </c>
      <c r="M154" s="6">
        <v>-3.4000000000000002E-2</v>
      </c>
      <c r="N154" s="3">
        <f t="shared" si="96"/>
        <v>-0.14300000000000002</v>
      </c>
      <c r="O154" s="3">
        <f t="shared" si="97"/>
        <v>0.10950000000000001</v>
      </c>
      <c r="P154" s="3">
        <f t="shared" si="97"/>
        <v>0.1295</v>
      </c>
      <c r="Q154" s="3">
        <f t="shared" si="98"/>
        <v>1.999999999999999E-2</v>
      </c>
      <c r="R154" s="3">
        <f t="shared" si="99"/>
        <v>0.437</v>
      </c>
      <c r="S154" s="3">
        <f t="shared" si="99"/>
        <v>0.191</v>
      </c>
      <c r="T154" s="3">
        <f t="shared" si="100"/>
        <v>-0.246</v>
      </c>
      <c r="U154" s="3">
        <f t="shared" si="101"/>
        <v>-0.10950000000000001</v>
      </c>
      <c r="V154" s="3">
        <f t="shared" si="101"/>
        <v>-0.1295</v>
      </c>
      <c r="W154" s="3">
        <f t="shared" si="112"/>
        <v>-1.999999999999999E-2</v>
      </c>
      <c r="X154" s="3">
        <f t="shared" si="108"/>
        <v>1.3718821510297486E-2</v>
      </c>
      <c r="Y154" s="3">
        <f t="shared" si="109"/>
        <v>4.3901178010471206E-2</v>
      </c>
      <c r="Z154" s="3">
        <f t="shared" si="102"/>
        <v>3.0182356500173722E-2</v>
      </c>
      <c r="AA154" s="3">
        <v>3.73</v>
      </c>
      <c r="AB154" s="3">
        <v>3.746</v>
      </c>
      <c r="AC154" s="3">
        <f t="shared" si="103"/>
        <v>1.6000000000000014E-2</v>
      </c>
      <c r="AD154" s="3">
        <f>-494.456773*627.50956</f>
        <v>-310276.35206424986</v>
      </c>
      <c r="AE154" s="3">
        <f>-497.708777*627.50956</f>
        <v>-312317.01566340809</v>
      </c>
      <c r="AF154" s="3">
        <f t="shared" si="104"/>
        <v>-2040.6635991582298</v>
      </c>
      <c r="AG154" s="3">
        <f>-494.502519*627.50956</f>
        <v>-310305.05811658164</v>
      </c>
      <c r="AH154" s="3">
        <f>-497.755519*627.50956</f>
        <v>-312346.34671526164</v>
      </c>
      <c r="AI154" s="3">
        <f t="shared" si="105"/>
        <v>-2041.2885986799956</v>
      </c>
      <c r="AJ154" s="3">
        <v>-0.71</v>
      </c>
      <c r="AK154" s="3">
        <v>-0.63900000000000001</v>
      </c>
      <c r="AL154" s="3">
        <f t="shared" si="106"/>
        <v>7.0999999999999952E-2</v>
      </c>
      <c r="AM154" s="3">
        <v>160.21567999999999</v>
      </c>
      <c r="AN154" s="3">
        <v>229.52446</v>
      </c>
      <c r="AO154" s="3">
        <v>253.858</v>
      </c>
      <c r="AP154" s="3">
        <f t="shared" si="107"/>
        <v>1.1840163200223139</v>
      </c>
      <c r="AQ154" s="3">
        <v>11.555</v>
      </c>
      <c r="AR154" s="3">
        <v>2.6255772999999998</v>
      </c>
      <c r="AS154" s="3">
        <v>-959.76900000000001</v>
      </c>
      <c r="AT154" s="3">
        <v>-958.05</v>
      </c>
      <c r="AU154" s="3">
        <f t="shared" si="82"/>
        <v>-1.7190000000000509</v>
      </c>
      <c r="AV154" s="3">
        <v>-0.317</v>
      </c>
      <c r="AW154" s="3">
        <v>-0.45</v>
      </c>
      <c r="AX154" s="3">
        <f t="shared" si="83"/>
        <v>0.13300000000000001</v>
      </c>
      <c r="AY154" s="3">
        <v>-2.4E-2</v>
      </c>
      <c r="AZ154" s="3">
        <v>0.13500000000000001</v>
      </c>
      <c r="BA154" s="3">
        <f t="shared" si="84"/>
        <v>-0.159</v>
      </c>
      <c r="BB154" s="3">
        <f t="shared" si="114"/>
        <v>0.17050000000000001</v>
      </c>
      <c r="BC154" s="3">
        <f t="shared" si="114"/>
        <v>0.1575</v>
      </c>
      <c r="BD154" s="3">
        <f t="shared" si="86"/>
        <v>1.3000000000000012E-2</v>
      </c>
      <c r="BE154" s="3">
        <f t="shared" si="115"/>
        <v>0.29299999999999998</v>
      </c>
      <c r="BF154" s="3">
        <f t="shared" si="115"/>
        <v>0.58499999999999996</v>
      </c>
      <c r="BG154" s="3">
        <f t="shared" si="88"/>
        <v>-0.29199999999999998</v>
      </c>
      <c r="BH154" s="3">
        <f t="shared" si="116"/>
        <v>-0.17050000000000001</v>
      </c>
      <c r="BI154" s="3">
        <f t="shared" si="116"/>
        <v>-0.1575</v>
      </c>
      <c r="BJ154" s="3">
        <f t="shared" si="113"/>
        <v>-1.3000000000000012E-2</v>
      </c>
      <c r="BK154" s="3">
        <f t="shared" si="110"/>
        <v>4.9607935153583631E-2</v>
      </c>
      <c r="BL154" s="3">
        <f t="shared" si="111"/>
        <v>2.120192307692308E-2</v>
      </c>
      <c r="BM154" s="3">
        <f t="shared" si="90"/>
        <v>2.8406012076660551E-2</v>
      </c>
      <c r="BN154" s="3">
        <v>2.2370000000000001</v>
      </c>
      <c r="BO154" s="3">
        <v>2.431</v>
      </c>
      <c r="BP154" s="3">
        <f t="shared" si="91"/>
        <v>-0.19399999999999995</v>
      </c>
      <c r="BQ154" s="3">
        <v>-602243.07700000005</v>
      </c>
      <c r="BR154" s="3">
        <v>-601163.24300000002</v>
      </c>
      <c r="BS154" s="3">
        <f t="shared" si="92"/>
        <v>-1079.8340000000317</v>
      </c>
      <c r="BT154" s="3">
        <v>-602262.36399999994</v>
      </c>
      <c r="BU154" s="3">
        <v>-601182.38500000001</v>
      </c>
      <c r="BV154" s="3">
        <f t="shared" si="93"/>
        <v>-1079.9789999999339</v>
      </c>
    </row>
    <row r="155" spans="1:74" x14ac:dyDescent="0.25">
      <c r="A155" t="s">
        <v>356</v>
      </c>
      <c r="B155" t="s">
        <v>514</v>
      </c>
      <c r="C155" t="s">
        <v>199</v>
      </c>
      <c r="D155" s="3">
        <v>14.68</v>
      </c>
      <c r="E155" s="3">
        <v>0.53</v>
      </c>
      <c r="F155" s="3">
        <v>-212.375</v>
      </c>
      <c r="G155" s="3">
        <v>-213.863</v>
      </c>
      <c r="H155" s="3">
        <f t="shared" si="94"/>
        <v>-1.4879999999999995</v>
      </c>
      <c r="I155" s="3">
        <v>-0.36799999999999999</v>
      </c>
      <c r="J155" s="6">
        <v>-0.22700000000000001</v>
      </c>
      <c r="K155" s="3">
        <f t="shared" si="95"/>
        <v>0.14099999999999999</v>
      </c>
      <c r="L155" s="3">
        <v>0.161</v>
      </c>
      <c r="M155" s="6">
        <v>4.4999999999999998E-2</v>
      </c>
      <c r="N155" s="3">
        <f t="shared" si="96"/>
        <v>-0.11600000000000001</v>
      </c>
      <c r="O155" s="3">
        <f t="shared" si="97"/>
        <v>0.10349999999999999</v>
      </c>
      <c r="P155" s="3">
        <f t="shared" si="97"/>
        <v>9.0999999999999998E-2</v>
      </c>
      <c r="Q155" s="3">
        <f t="shared" si="98"/>
        <v>-1.2499999999999997E-2</v>
      </c>
      <c r="R155" s="3">
        <f t="shared" si="99"/>
        <v>0.52900000000000003</v>
      </c>
      <c r="S155" s="3">
        <f t="shared" si="99"/>
        <v>0.27200000000000002</v>
      </c>
      <c r="T155" s="3">
        <f t="shared" si="100"/>
        <v>-0.25700000000000001</v>
      </c>
      <c r="U155" s="3">
        <f t="shared" si="101"/>
        <v>-0.10349999999999999</v>
      </c>
      <c r="V155" s="3">
        <f t="shared" si="101"/>
        <v>-9.0999999999999998E-2</v>
      </c>
      <c r="W155" s="3">
        <f t="shared" si="112"/>
        <v>1.2499999999999997E-2</v>
      </c>
      <c r="X155" s="3">
        <f t="shared" si="108"/>
        <v>1.0124999999999999E-2</v>
      </c>
      <c r="Y155" s="3">
        <f t="shared" si="109"/>
        <v>1.5222426470588234E-2</v>
      </c>
      <c r="Z155" s="3">
        <f t="shared" si="102"/>
        <v>5.0974264705882354E-3</v>
      </c>
      <c r="AA155" s="3">
        <v>1.3759999999999999</v>
      </c>
      <c r="AB155" s="3">
        <v>1.282</v>
      </c>
      <c r="AC155" s="3">
        <f t="shared" si="103"/>
        <v>-9.3999999999999861E-2</v>
      </c>
      <c r="AD155" s="3">
        <f>-212.209755*627.50956</f>
        <v>-133163.64998775779</v>
      </c>
      <c r="AE155" s="3">
        <f>-213.706915*627.50956</f>
        <v>-134103.13220060739</v>
      </c>
      <c r="AF155" s="3">
        <f t="shared" si="104"/>
        <v>-939.48221284960164</v>
      </c>
      <c r="AG155" s="3">
        <f>-212.247191*627.50956</f>
        <v>-133187.14143564596</v>
      </c>
      <c r="AH155" s="3">
        <f>-213.744899*627.50956</f>
        <v>-134126.96752373443</v>
      </c>
      <c r="AI155" s="3">
        <f t="shared" si="105"/>
        <v>-939.82608808847726</v>
      </c>
      <c r="AJ155" s="3">
        <v>-0.71599999999999997</v>
      </c>
      <c r="AK155" s="3">
        <v>-0.68899999999999995</v>
      </c>
      <c r="AL155" s="3">
        <f t="shared" si="106"/>
        <v>2.7000000000000024E-2</v>
      </c>
      <c r="AM155" s="3">
        <v>73.136840000000007</v>
      </c>
      <c r="AN155" s="3">
        <v>159.30019999999999</v>
      </c>
      <c r="AO155" s="3">
        <v>158.88267999999999</v>
      </c>
      <c r="AP155" s="3">
        <f t="shared" si="107"/>
        <v>1.1231072572803447</v>
      </c>
      <c r="AQ155" s="3">
        <v>9.1530000000000005</v>
      </c>
      <c r="AR155" s="3">
        <v>1.90214785</v>
      </c>
      <c r="AS155" s="3">
        <v>-76.454999999999998</v>
      </c>
      <c r="AT155" s="3">
        <v>-76.055000000000007</v>
      </c>
      <c r="AU155" s="3">
        <f t="shared" si="82"/>
        <v>-0.39999999999999147</v>
      </c>
      <c r="AV155" s="3">
        <v>-0.30399999999999999</v>
      </c>
      <c r="AW155" s="3">
        <v>-0.505</v>
      </c>
      <c r="AX155" s="3">
        <f t="shared" si="83"/>
        <v>0.20100000000000001</v>
      </c>
      <c r="AY155" s="3">
        <v>0.04</v>
      </c>
      <c r="AZ155" s="3">
        <v>0.16400000000000001</v>
      </c>
      <c r="BA155" s="3">
        <f t="shared" si="84"/>
        <v>-0.124</v>
      </c>
      <c r="BB155" s="3">
        <f t="shared" si="114"/>
        <v>0.13200000000000001</v>
      </c>
      <c r="BC155" s="3">
        <f t="shared" si="114"/>
        <v>0.17049999999999998</v>
      </c>
      <c r="BD155" s="3">
        <f t="shared" si="86"/>
        <v>-3.8499999999999979E-2</v>
      </c>
      <c r="BE155" s="3">
        <f t="shared" si="115"/>
        <v>0.34399999999999997</v>
      </c>
      <c r="BF155" s="3">
        <f t="shared" si="115"/>
        <v>0.66900000000000004</v>
      </c>
      <c r="BG155" s="3">
        <f t="shared" si="88"/>
        <v>-0.32500000000000007</v>
      </c>
      <c r="BH155" s="3">
        <f t="shared" si="116"/>
        <v>-0.13200000000000001</v>
      </c>
      <c r="BI155" s="3">
        <f t="shared" si="116"/>
        <v>-0.17049999999999998</v>
      </c>
      <c r="BJ155" s="3">
        <f t="shared" si="113"/>
        <v>3.8499999999999979E-2</v>
      </c>
      <c r="BK155" s="3">
        <f t="shared" si="110"/>
        <v>2.5325581395348844E-2</v>
      </c>
      <c r="BL155" s="3">
        <f t="shared" si="111"/>
        <v>2.1726644245141997E-2</v>
      </c>
      <c r="BM155" s="3">
        <f t="shared" si="90"/>
        <v>3.5989371502068469E-3</v>
      </c>
      <c r="BN155" s="3">
        <v>2.3010000000000002</v>
      </c>
      <c r="BO155" s="3">
        <v>2.3559999999999999</v>
      </c>
      <c r="BP155" s="3">
        <f t="shared" si="91"/>
        <v>-5.4999999999999716E-2</v>
      </c>
      <c r="BQ155" s="3">
        <v>-47960.305999999997</v>
      </c>
      <c r="BR155" s="3">
        <v>-47708.290999999997</v>
      </c>
      <c r="BS155" s="3">
        <f t="shared" si="92"/>
        <v>-252.01499999999942</v>
      </c>
      <c r="BT155" s="3">
        <v>-47973.754999999997</v>
      </c>
      <c r="BU155" s="3">
        <v>-47721.697</v>
      </c>
      <c r="BV155" s="3">
        <f t="shared" si="93"/>
        <v>-252.05799999999726</v>
      </c>
    </row>
    <row r="156" spans="1:74" x14ac:dyDescent="0.25">
      <c r="A156" t="s">
        <v>357</v>
      </c>
      <c r="B156" t="s">
        <v>514</v>
      </c>
      <c r="C156" t="s">
        <v>199</v>
      </c>
      <c r="D156" s="3">
        <v>14.76</v>
      </c>
      <c r="E156" s="3">
        <v>0.48</v>
      </c>
      <c r="F156" s="3">
        <v>-321.15499999999997</v>
      </c>
      <c r="G156" s="3">
        <v>-323.12200000000001</v>
      </c>
      <c r="H156" s="3">
        <f t="shared" si="94"/>
        <v>-1.9670000000000414</v>
      </c>
      <c r="I156" s="3">
        <v>-0.27500000000000002</v>
      </c>
      <c r="J156" s="6">
        <v>-0.183</v>
      </c>
      <c r="K156" s="3">
        <f t="shared" si="95"/>
        <v>9.2000000000000026E-2</v>
      </c>
      <c r="L156" s="3">
        <v>0.16200000000000001</v>
      </c>
      <c r="M156" s="6">
        <v>1.4999999999999999E-2</v>
      </c>
      <c r="N156" s="3">
        <f t="shared" si="96"/>
        <v>-0.14700000000000002</v>
      </c>
      <c r="O156" s="3">
        <f t="shared" si="97"/>
        <v>5.6500000000000009E-2</v>
      </c>
      <c r="P156" s="3">
        <f t="shared" si="97"/>
        <v>8.3999999999999991E-2</v>
      </c>
      <c r="Q156" s="3">
        <f t="shared" si="98"/>
        <v>2.7499999999999983E-2</v>
      </c>
      <c r="R156" s="3">
        <f t="shared" si="99"/>
        <v>0.43700000000000006</v>
      </c>
      <c r="S156" s="3">
        <f t="shared" si="99"/>
        <v>0.19800000000000001</v>
      </c>
      <c r="T156" s="3">
        <f t="shared" si="100"/>
        <v>-0.23900000000000005</v>
      </c>
      <c r="U156" s="3">
        <f t="shared" si="101"/>
        <v>-5.6500000000000009E-2</v>
      </c>
      <c r="V156" s="3">
        <f t="shared" si="101"/>
        <v>-8.3999999999999991E-2</v>
      </c>
      <c r="W156" s="3">
        <f t="shared" si="112"/>
        <v>-2.7499999999999983E-2</v>
      </c>
      <c r="X156" s="3">
        <f t="shared" si="108"/>
        <v>3.6524599542334104E-3</v>
      </c>
      <c r="Y156" s="3">
        <f t="shared" si="109"/>
        <v>1.7818181818181813E-2</v>
      </c>
      <c r="Z156" s="3">
        <f t="shared" si="102"/>
        <v>1.4165721863948402E-2</v>
      </c>
      <c r="AA156" s="3">
        <v>3.51</v>
      </c>
      <c r="AB156" s="3">
        <v>2.8639999999999999</v>
      </c>
      <c r="AC156" s="3">
        <f t="shared" si="103"/>
        <v>-0.64599999999999991</v>
      </c>
      <c r="AD156" s="3">
        <f>-321.063908*627.50956</f>
        <v>-201470.6716409605</v>
      </c>
      <c r="AE156" s="3">
        <f>-323.036477*627.50956</f>
        <v>-202708.47754622009</v>
      </c>
      <c r="AF156" s="3">
        <f t="shared" si="104"/>
        <v>-1237.8059052595927</v>
      </c>
      <c r="AG156" s="3">
        <f>-321.097408*627.50956</f>
        <v>-201491.69321122044</v>
      </c>
      <c r="AH156" s="3">
        <f>-323.070516*627.50956</f>
        <v>-202729.83734413295</v>
      </c>
      <c r="AI156" s="3">
        <f t="shared" si="105"/>
        <v>-1238.1441329125082</v>
      </c>
      <c r="AJ156" s="3">
        <v>-0.69399999999999995</v>
      </c>
      <c r="AK156" s="3">
        <v>-0.60499999999999998</v>
      </c>
      <c r="AL156" s="3">
        <f t="shared" si="106"/>
        <v>8.8999999999999968E-2</v>
      </c>
      <c r="AM156" s="3">
        <v>94.091359999999995</v>
      </c>
      <c r="AN156" s="3">
        <v>137.58501000000001</v>
      </c>
      <c r="AO156" s="3">
        <v>133.78885</v>
      </c>
      <c r="AP156" s="3">
        <f t="shared" si="107"/>
        <v>1.0877951620787192</v>
      </c>
      <c r="AQ156" s="3">
        <v>7.2869999999999999</v>
      </c>
      <c r="AR156" s="3">
        <v>1.6957264999999999</v>
      </c>
      <c r="AS156" s="3">
        <v>-76.454999999999998</v>
      </c>
      <c r="AT156" s="3">
        <v>-76.055000000000007</v>
      </c>
      <c r="AU156" s="3">
        <f t="shared" si="82"/>
        <v>-0.39999999999999147</v>
      </c>
      <c r="AV156" s="3">
        <v>-0.30399999999999999</v>
      </c>
      <c r="AW156" s="3">
        <v>-0.505</v>
      </c>
      <c r="AX156" s="3">
        <f t="shared" si="83"/>
        <v>0.20100000000000001</v>
      </c>
      <c r="AY156" s="3">
        <v>0.04</v>
      </c>
      <c r="AZ156" s="3">
        <v>0.16400000000000001</v>
      </c>
      <c r="BA156" s="3">
        <f t="shared" si="84"/>
        <v>-0.124</v>
      </c>
      <c r="BB156" s="3">
        <f t="shared" si="114"/>
        <v>0.13200000000000001</v>
      </c>
      <c r="BC156" s="3">
        <f t="shared" si="114"/>
        <v>0.17049999999999998</v>
      </c>
      <c r="BD156" s="3">
        <f t="shared" si="86"/>
        <v>-3.8499999999999979E-2</v>
      </c>
      <c r="BE156" s="3">
        <f t="shared" si="115"/>
        <v>0.34399999999999997</v>
      </c>
      <c r="BF156" s="3">
        <f t="shared" si="115"/>
        <v>0.66900000000000004</v>
      </c>
      <c r="BG156" s="3">
        <f t="shared" si="88"/>
        <v>-0.32500000000000007</v>
      </c>
      <c r="BH156" s="3">
        <f t="shared" si="116"/>
        <v>-0.13200000000000001</v>
      </c>
      <c r="BI156" s="3">
        <f t="shared" si="116"/>
        <v>-0.17049999999999998</v>
      </c>
      <c r="BJ156" s="3">
        <f t="shared" si="113"/>
        <v>3.8499999999999979E-2</v>
      </c>
      <c r="BK156" s="3">
        <f t="shared" si="110"/>
        <v>2.5325581395348844E-2</v>
      </c>
      <c r="BL156" s="3">
        <f t="shared" si="111"/>
        <v>2.1726644245141997E-2</v>
      </c>
      <c r="BM156" s="3">
        <f t="shared" si="90"/>
        <v>3.5989371502068469E-3</v>
      </c>
      <c r="BN156" s="3">
        <v>2.3010000000000002</v>
      </c>
      <c r="BO156" s="3">
        <v>2.3559999999999999</v>
      </c>
      <c r="BP156" s="3">
        <f t="shared" si="91"/>
        <v>-5.4999999999999716E-2</v>
      </c>
      <c r="BQ156" s="3">
        <v>-47960.305999999997</v>
      </c>
      <c r="BR156" s="3">
        <v>-47708.290999999997</v>
      </c>
      <c r="BS156" s="3">
        <f t="shared" si="92"/>
        <v>-252.01499999999942</v>
      </c>
      <c r="BT156" s="3">
        <v>-47973.754999999997</v>
      </c>
      <c r="BU156" s="3">
        <v>-47721.697</v>
      </c>
      <c r="BV156" s="3">
        <f t="shared" si="93"/>
        <v>-252.05799999999726</v>
      </c>
    </row>
    <row r="157" spans="1:74" x14ac:dyDescent="0.25">
      <c r="A157" t="s">
        <v>358</v>
      </c>
      <c r="B157" t="s">
        <v>514</v>
      </c>
      <c r="C157" t="s">
        <v>200</v>
      </c>
      <c r="D157" s="3">
        <v>14.78</v>
      </c>
      <c r="E157" s="3">
        <v>0.71</v>
      </c>
      <c r="F157" s="3">
        <v>-636.99199999999996</v>
      </c>
      <c r="G157" s="3">
        <v>-640.76599999999996</v>
      </c>
      <c r="H157" s="3">
        <f t="shared" si="94"/>
        <v>-3.7740000000000009</v>
      </c>
      <c r="I157" s="3">
        <v>-0.27400000000000002</v>
      </c>
      <c r="J157" s="6">
        <v>-0.189</v>
      </c>
      <c r="K157" s="3">
        <f t="shared" si="95"/>
        <v>8.500000000000002E-2</v>
      </c>
      <c r="L157" s="3">
        <v>0.16200000000000001</v>
      </c>
      <c r="M157" s="6">
        <v>3.0000000000000001E-3</v>
      </c>
      <c r="N157" s="3">
        <f t="shared" si="96"/>
        <v>-0.159</v>
      </c>
      <c r="O157" s="3">
        <f t="shared" si="97"/>
        <v>5.6000000000000008E-2</v>
      </c>
      <c r="P157" s="3">
        <f t="shared" si="97"/>
        <v>9.2999999999999999E-2</v>
      </c>
      <c r="Q157" s="3">
        <f t="shared" si="98"/>
        <v>3.6999999999999991E-2</v>
      </c>
      <c r="R157" s="3">
        <f t="shared" si="99"/>
        <v>0.43600000000000005</v>
      </c>
      <c r="S157" s="3">
        <f t="shared" si="99"/>
        <v>0.192</v>
      </c>
      <c r="T157" s="3">
        <f t="shared" si="100"/>
        <v>-0.24400000000000005</v>
      </c>
      <c r="U157" s="3">
        <f t="shared" si="101"/>
        <v>-5.6000000000000008E-2</v>
      </c>
      <c r="V157" s="3">
        <f t="shared" si="101"/>
        <v>-9.2999999999999999E-2</v>
      </c>
      <c r="W157" s="3">
        <f t="shared" si="112"/>
        <v>-3.6999999999999991E-2</v>
      </c>
      <c r="X157" s="3">
        <f t="shared" si="108"/>
        <v>3.5963302752293584E-3</v>
      </c>
      <c r="Y157" s="3">
        <f t="shared" si="109"/>
        <v>2.25234375E-2</v>
      </c>
      <c r="Z157" s="3">
        <f t="shared" si="102"/>
        <v>1.8927107224770642E-2</v>
      </c>
      <c r="AA157" s="3">
        <v>6.42</v>
      </c>
      <c r="AB157" s="3">
        <v>6.1429999999999998</v>
      </c>
      <c r="AC157" s="3">
        <f t="shared" si="103"/>
        <v>-0.27700000000000014</v>
      </c>
      <c r="AD157" s="3">
        <f>-636.822097*627.50956</f>
        <v>-399611.9538867473</v>
      </c>
      <c r="AE157" s="3">
        <f>-640.607401*627.50956</f>
        <v>-401987.26833425352</v>
      </c>
      <c r="AF157" s="3">
        <f t="shared" si="104"/>
        <v>-2375.3144475062145</v>
      </c>
      <c r="AG157" s="3">
        <f>-636.869864*627.50956</f>
        <v>-399641.92813589983</v>
      </c>
      <c r="AH157" s="3">
        <f>-640.65665*627.50956</f>
        <v>-402018.17255257396</v>
      </c>
      <c r="AI157" s="3">
        <f t="shared" si="105"/>
        <v>-2376.2444166741334</v>
      </c>
      <c r="AJ157" s="3">
        <v>-0.72299999999999998</v>
      </c>
      <c r="AK157" s="3">
        <v>-0.57899999999999996</v>
      </c>
      <c r="AL157" s="3">
        <f t="shared" si="106"/>
        <v>0.14400000000000002</v>
      </c>
      <c r="AM157" s="3">
        <v>179.15608</v>
      </c>
      <c r="AN157" s="3">
        <v>207.62693999999999</v>
      </c>
      <c r="AO157" s="3">
        <v>223.67439999999999</v>
      </c>
      <c r="AP157" s="3">
        <f t="shared" si="107"/>
        <v>1.1653654361026609</v>
      </c>
      <c r="AQ157" s="3">
        <v>9.85</v>
      </c>
      <c r="AR157" s="3">
        <v>2.3424939999999999</v>
      </c>
      <c r="AS157" s="3">
        <v>-553.27200000000005</v>
      </c>
      <c r="AT157" s="3">
        <v>-551.61699999999996</v>
      </c>
      <c r="AU157" s="3">
        <f t="shared" si="82"/>
        <v>-1.6550000000000864</v>
      </c>
      <c r="AV157" s="3">
        <v>-0.23699999999999999</v>
      </c>
      <c r="AW157" s="3">
        <v>-0.36899999999999999</v>
      </c>
      <c r="AX157" s="3">
        <f t="shared" si="83"/>
        <v>0.13200000000000001</v>
      </c>
      <c r="AY157" s="3">
        <v>2.8000000000000001E-2</v>
      </c>
      <c r="AZ157" s="3">
        <v>0.154</v>
      </c>
      <c r="BA157" s="3">
        <f t="shared" si="84"/>
        <v>-0.126</v>
      </c>
      <c r="BB157" s="3">
        <f t="shared" si="114"/>
        <v>0.1045</v>
      </c>
      <c r="BC157" s="3">
        <f t="shared" si="114"/>
        <v>0.1075</v>
      </c>
      <c r="BD157" s="3">
        <f t="shared" si="86"/>
        <v>-3.0000000000000027E-3</v>
      </c>
      <c r="BE157" s="3">
        <f t="shared" si="115"/>
        <v>0.26500000000000001</v>
      </c>
      <c r="BF157" s="3">
        <f t="shared" si="115"/>
        <v>0.52300000000000002</v>
      </c>
      <c r="BG157" s="3">
        <f t="shared" si="88"/>
        <v>-0.25800000000000001</v>
      </c>
      <c r="BH157" s="3">
        <f t="shared" si="116"/>
        <v>-0.1045</v>
      </c>
      <c r="BI157" s="3">
        <f t="shared" si="116"/>
        <v>-0.1075</v>
      </c>
      <c r="BJ157" s="3">
        <f t="shared" si="113"/>
        <v>3.0000000000000027E-3</v>
      </c>
      <c r="BK157" s="3">
        <f t="shared" si="110"/>
        <v>2.0604245283018865E-2</v>
      </c>
      <c r="BL157" s="3">
        <f t="shared" si="111"/>
        <v>1.104804015296367E-2</v>
      </c>
      <c r="BM157" s="3">
        <f t="shared" si="90"/>
        <v>9.5562051300551957E-3</v>
      </c>
      <c r="BN157" s="3">
        <v>5.4870000000000001</v>
      </c>
      <c r="BO157" s="3">
        <v>6.0839999999999996</v>
      </c>
      <c r="BP157" s="3">
        <f t="shared" si="91"/>
        <v>-0.59699999999999953</v>
      </c>
      <c r="BQ157" s="3">
        <v>-347129.96399999998</v>
      </c>
      <c r="BR157" s="3">
        <v>-346087.64600000001</v>
      </c>
      <c r="BS157" s="3">
        <f t="shared" si="92"/>
        <v>-1042.3179999999702</v>
      </c>
      <c r="BT157" s="3">
        <v>-347152.04599999997</v>
      </c>
      <c r="BU157" s="3">
        <v>-346109.22600000002</v>
      </c>
      <c r="BV157" s="3">
        <f t="shared" si="93"/>
        <v>-1042.8199999999488</v>
      </c>
    </row>
    <row r="158" spans="1:74" x14ac:dyDescent="0.25">
      <c r="A158" t="s">
        <v>354</v>
      </c>
      <c r="B158" t="s">
        <v>514</v>
      </c>
      <c r="C158" t="s">
        <v>99</v>
      </c>
      <c r="D158" s="3">
        <v>14.8</v>
      </c>
      <c r="E158" s="3">
        <v>0.63</v>
      </c>
      <c r="F158" s="3">
        <v>-531.66899999999998</v>
      </c>
      <c r="G158" s="3">
        <v>-535.03</v>
      </c>
      <c r="H158" s="3">
        <f t="shared" si="94"/>
        <v>-3.36099999999999</v>
      </c>
      <c r="I158" s="3">
        <v>-0.32400000000000001</v>
      </c>
      <c r="J158" s="6">
        <v>-0.222</v>
      </c>
      <c r="K158" s="3">
        <f t="shared" si="95"/>
        <v>0.10200000000000001</v>
      </c>
      <c r="L158" s="3">
        <v>0.125</v>
      </c>
      <c r="M158" s="6">
        <v>-1.7000000000000001E-2</v>
      </c>
      <c r="N158" s="3">
        <f t="shared" si="96"/>
        <v>-0.14200000000000002</v>
      </c>
      <c r="O158" s="3">
        <f t="shared" si="97"/>
        <v>9.9500000000000005E-2</v>
      </c>
      <c r="P158" s="3">
        <f t="shared" si="97"/>
        <v>0.1195</v>
      </c>
      <c r="Q158" s="3">
        <f t="shared" si="98"/>
        <v>1.999999999999999E-2</v>
      </c>
      <c r="R158" s="3">
        <f t="shared" si="99"/>
        <v>0.44900000000000001</v>
      </c>
      <c r="S158" s="3">
        <f t="shared" si="99"/>
        <v>0.20500000000000002</v>
      </c>
      <c r="T158" s="3">
        <f t="shared" si="100"/>
        <v>-0.24399999999999999</v>
      </c>
      <c r="U158" s="3">
        <f t="shared" si="101"/>
        <v>-9.9500000000000005E-2</v>
      </c>
      <c r="V158" s="3">
        <f t="shared" si="101"/>
        <v>-0.1195</v>
      </c>
      <c r="W158" s="3">
        <f t="shared" si="112"/>
        <v>-1.999999999999999E-2</v>
      </c>
      <c r="X158" s="3">
        <f t="shared" si="108"/>
        <v>1.102477728285078E-2</v>
      </c>
      <c r="Y158" s="3">
        <f t="shared" si="109"/>
        <v>3.4829878048780481E-2</v>
      </c>
      <c r="Z158" s="3">
        <f t="shared" si="102"/>
        <v>2.3805100765929701E-2</v>
      </c>
      <c r="AA158" s="3">
        <v>3.1890000000000001</v>
      </c>
      <c r="AB158" s="3">
        <v>4.1589999999999998</v>
      </c>
      <c r="AC158" s="3">
        <f t="shared" si="103"/>
        <v>0.96999999999999975</v>
      </c>
      <c r="AD158" s="3">
        <f>-531.440635*627.50956</f>
        <v>-333484.07903497061</v>
      </c>
      <c r="AE158" s="3">
        <f>-534.815991*627.50956</f>
        <v>-335602.147193374</v>
      </c>
      <c r="AF158" s="3">
        <f t="shared" si="104"/>
        <v>-2118.0681584033882</v>
      </c>
      <c r="AG158" s="3">
        <f>-531.486129*627.50956</f>
        <v>-333512.62695489323</v>
      </c>
      <c r="AH158" s="3">
        <f>-534.863297*627.50956</f>
        <v>-335631.83216061932</v>
      </c>
      <c r="AI158" s="3">
        <f t="shared" si="105"/>
        <v>-2119.205205726088</v>
      </c>
      <c r="AJ158" s="3">
        <v>-0.59199999999999997</v>
      </c>
      <c r="AK158" s="3">
        <v>-0.53200000000000003</v>
      </c>
      <c r="AL158" s="3">
        <f t="shared" si="106"/>
        <v>5.9999999999999942E-2</v>
      </c>
      <c r="AM158" s="3">
        <v>164.20437999999999</v>
      </c>
      <c r="AN158" s="3">
        <v>219.54300000000001</v>
      </c>
      <c r="AO158" s="3">
        <v>246.66489999999999</v>
      </c>
      <c r="AP158" s="3">
        <f t="shared" si="107"/>
        <v>1.1544380745912686</v>
      </c>
      <c r="AQ158" s="3">
        <v>10.353</v>
      </c>
      <c r="AR158" s="3">
        <v>2.62944267</v>
      </c>
      <c r="AS158" s="3">
        <v>-132.80099999999999</v>
      </c>
      <c r="AT158" s="3">
        <v>-131.97</v>
      </c>
      <c r="AU158" s="3">
        <f t="shared" si="82"/>
        <v>-0.83099999999998886</v>
      </c>
      <c r="AV158" s="3">
        <v>-0.34100000000000003</v>
      </c>
      <c r="AW158" s="3">
        <v>-0.47499999999999998</v>
      </c>
      <c r="AX158" s="3">
        <f t="shared" si="83"/>
        <v>0.13399999999999995</v>
      </c>
      <c r="AY158" s="3">
        <v>2.9000000000000001E-2</v>
      </c>
      <c r="AZ158" s="3">
        <v>0.156</v>
      </c>
      <c r="BA158" s="3">
        <f t="shared" si="84"/>
        <v>-0.127</v>
      </c>
      <c r="BB158" s="3">
        <f t="shared" si="114"/>
        <v>0.156</v>
      </c>
      <c r="BC158" s="3">
        <f t="shared" si="114"/>
        <v>0.15949999999999998</v>
      </c>
      <c r="BD158" s="3">
        <f t="shared" si="86"/>
        <v>-3.4999999999999754E-3</v>
      </c>
      <c r="BE158" s="3">
        <f t="shared" si="115"/>
        <v>0.37000000000000005</v>
      </c>
      <c r="BF158" s="3">
        <f t="shared" si="115"/>
        <v>0.63100000000000001</v>
      </c>
      <c r="BG158" s="3">
        <f t="shared" si="88"/>
        <v>-0.26099999999999995</v>
      </c>
      <c r="BH158" s="3">
        <f t="shared" si="116"/>
        <v>-0.156</v>
      </c>
      <c r="BI158" s="3">
        <f t="shared" si="116"/>
        <v>-0.15949999999999998</v>
      </c>
      <c r="BJ158" s="3">
        <f t="shared" si="113"/>
        <v>3.4999999999999754E-3</v>
      </c>
      <c r="BK158" s="3">
        <f t="shared" si="110"/>
        <v>3.2886486486486483E-2</v>
      </c>
      <c r="BL158" s="3">
        <f t="shared" si="111"/>
        <v>2.0158676703645E-2</v>
      </c>
      <c r="BM158" s="3">
        <f t="shared" si="90"/>
        <v>1.2727809782841482E-2</v>
      </c>
      <c r="BN158" s="3">
        <v>4.7279999999999998</v>
      </c>
      <c r="BO158" s="3">
        <v>4.9340000000000002</v>
      </c>
      <c r="BP158" s="3">
        <f t="shared" si="91"/>
        <v>-0.20600000000000041</v>
      </c>
      <c r="BQ158" s="3">
        <v>-83302.89</v>
      </c>
      <c r="BR158" s="3">
        <v>-82779.224000000002</v>
      </c>
      <c r="BS158" s="3">
        <f t="shared" si="92"/>
        <v>-523.66599999999744</v>
      </c>
      <c r="BT158" s="3">
        <v>-83320.774999999994</v>
      </c>
      <c r="BU158" s="3">
        <v>-82796.997000000003</v>
      </c>
      <c r="BV158" s="3">
        <f t="shared" si="93"/>
        <v>-523.77799999999115</v>
      </c>
    </row>
    <row r="159" spans="1:74" x14ac:dyDescent="0.25">
      <c r="A159" t="s">
        <v>312</v>
      </c>
      <c r="B159" t="s">
        <v>514</v>
      </c>
      <c r="C159" t="s">
        <v>200</v>
      </c>
      <c r="D159" s="3">
        <v>14.8</v>
      </c>
      <c r="E159" s="3">
        <v>0.67</v>
      </c>
      <c r="F159" s="3">
        <v>-379.875</v>
      </c>
      <c r="G159" s="3">
        <v>-382.36200000000002</v>
      </c>
      <c r="H159" s="3">
        <f t="shared" si="94"/>
        <v>-2.4870000000000232</v>
      </c>
      <c r="I159" s="3">
        <v>-0.311</v>
      </c>
      <c r="J159" s="6">
        <v>-0.215</v>
      </c>
      <c r="K159" s="3">
        <f t="shared" si="95"/>
        <v>9.6000000000000002E-2</v>
      </c>
      <c r="L159" s="3">
        <v>0.13200000000000001</v>
      </c>
      <c r="M159" s="6">
        <v>-1.2999999999999999E-2</v>
      </c>
      <c r="N159" s="3">
        <f t="shared" si="96"/>
        <v>-0.14500000000000002</v>
      </c>
      <c r="O159" s="3">
        <f t="shared" si="97"/>
        <v>8.9499999999999996E-2</v>
      </c>
      <c r="P159" s="3">
        <f t="shared" si="97"/>
        <v>0.114</v>
      </c>
      <c r="Q159" s="3">
        <f t="shared" si="98"/>
        <v>2.4500000000000008E-2</v>
      </c>
      <c r="R159" s="3">
        <f t="shared" si="99"/>
        <v>0.443</v>
      </c>
      <c r="S159" s="3">
        <f t="shared" si="99"/>
        <v>0.20199999999999999</v>
      </c>
      <c r="T159" s="3">
        <f t="shared" si="100"/>
        <v>-0.24100000000000002</v>
      </c>
      <c r="U159" s="3">
        <f t="shared" si="101"/>
        <v>-8.9499999999999996E-2</v>
      </c>
      <c r="V159" s="3">
        <f t="shared" si="101"/>
        <v>-0.114</v>
      </c>
      <c r="W159" s="3">
        <f t="shared" si="112"/>
        <v>-2.4500000000000008E-2</v>
      </c>
      <c r="X159" s="3">
        <f t="shared" si="108"/>
        <v>9.0409142212189621E-3</v>
      </c>
      <c r="Y159" s="3">
        <f t="shared" si="109"/>
        <v>3.2168316831683169E-2</v>
      </c>
      <c r="Z159" s="3">
        <f t="shared" si="102"/>
        <v>2.3127402610464205E-2</v>
      </c>
      <c r="AA159" s="3">
        <v>5.7279999999999998</v>
      </c>
      <c r="AB159" s="3">
        <v>6.3339999999999996</v>
      </c>
      <c r="AC159" s="3">
        <f t="shared" si="103"/>
        <v>0.60599999999999987</v>
      </c>
      <c r="AD159" s="3">
        <f>-379.693824*627.50956</f>
        <v>-238261.50443295744</v>
      </c>
      <c r="AE159" s="3">
        <f>-382.191506*627.50956</f>
        <v>-239828.82376579734</v>
      </c>
      <c r="AF159" s="3">
        <f t="shared" si="104"/>
        <v>-1567.319332839892</v>
      </c>
      <c r="AG159" s="3">
        <f>-379.736342*627.50956</f>
        <v>-238288.1848844295</v>
      </c>
      <c r="AH159" s="3">
        <f>-382.235324*627.50956</f>
        <v>-239856.31997969741</v>
      </c>
      <c r="AI159" s="3">
        <f t="shared" si="105"/>
        <v>-1568.1350952679059</v>
      </c>
      <c r="AJ159" s="3">
        <v>-0.61399999999999999</v>
      </c>
      <c r="AK159" s="3">
        <v>-0.54300000000000004</v>
      </c>
      <c r="AL159" s="3">
        <f t="shared" si="106"/>
        <v>7.0999999999999952E-2</v>
      </c>
      <c r="AM159" s="3">
        <v>122.1677</v>
      </c>
      <c r="AN159" s="3">
        <v>187.53229999999999</v>
      </c>
      <c r="AO159" s="3">
        <v>201.01220000000001</v>
      </c>
      <c r="AP159" s="3">
        <f t="shared" si="107"/>
        <v>1.130274039279068</v>
      </c>
      <c r="AQ159" s="3">
        <v>9.0459999999999994</v>
      </c>
      <c r="AR159" s="3">
        <v>2.1250366000000001</v>
      </c>
      <c r="AS159" s="3">
        <v>-553.27200000000005</v>
      </c>
      <c r="AT159" s="3">
        <v>-551.61699999999996</v>
      </c>
      <c r="AU159" s="3">
        <f t="shared" si="82"/>
        <v>-1.6550000000000864</v>
      </c>
      <c r="AV159" s="3">
        <v>-0.23699999999999999</v>
      </c>
      <c r="AW159" s="3">
        <v>-0.36899999999999999</v>
      </c>
      <c r="AX159" s="3">
        <f t="shared" si="83"/>
        <v>0.13200000000000001</v>
      </c>
      <c r="AY159" s="3">
        <v>2.8000000000000001E-2</v>
      </c>
      <c r="AZ159" s="3">
        <v>0.154</v>
      </c>
      <c r="BA159" s="3">
        <f t="shared" si="84"/>
        <v>-0.126</v>
      </c>
      <c r="BB159" s="3">
        <f t="shared" si="114"/>
        <v>0.1045</v>
      </c>
      <c r="BC159" s="3">
        <f t="shared" si="114"/>
        <v>0.1075</v>
      </c>
      <c r="BD159" s="3">
        <f t="shared" si="86"/>
        <v>-3.0000000000000027E-3</v>
      </c>
      <c r="BE159" s="3">
        <f t="shared" si="115"/>
        <v>0.26500000000000001</v>
      </c>
      <c r="BF159" s="3">
        <f t="shared" si="115"/>
        <v>0.52300000000000002</v>
      </c>
      <c r="BG159" s="3">
        <f t="shared" si="88"/>
        <v>-0.25800000000000001</v>
      </c>
      <c r="BH159" s="3">
        <f t="shared" si="116"/>
        <v>-0.1045</v>
      </c>
      <c r="BI159" s="3">
        <f t="shared" si="116"/>
        <v>-0.1075</v>
      </c>
      <c r="BJ159" s="3">
        <f t="shared" si="113"/>
        <v>3.0000000000000027E-3</v>
      </c>
      <c r="BK159" s="3">
        <f t="shared" si="110"/>
        <v>2.0604245283018865E-2</v>
      </c>
      <c r="BL159" s="3">
        <f t="shared" si="111"/>
        <v>1.104804015296367E-2</v>
      </c>
      <c r="BM159" s="3">
        <f t="shared" si="90"/>
        <v>9.5562051300551957E-3</v>
      </c>
      <c r="BN159" s="3">
        <v>5.4870000000000001</v>
      </c>
      <c r="BO159" s="3">
        <v>6.0839999999999996</v>
      </c>
      <c r="BP159" s="3">
        <f t="shared" si="91"/>
        <v>-0.59699999999999953</v>
      </c>
      <c r="BQ159" s="3">
        <v>-347129.96399999998</v>
      </c>
      <c r="BR159" s="3">
        <v>-346087.64600000001</v>
      </c>
      <c r="BS159" s="3">
        <f t="shared" si="92"/>
        <v>-1042.3179999999702</v>
      </c>
      <c r="BT159" s="3">
        <v>-347152.04599999997</v>
      </c>
      <c r="BU159" s="3">
        <v>-346109.22600000002</v>
      </c>
      <c r="BV159" s="3">
        <f t="shared" si="93"/>
        <v>-1042.8199999999488</v>
      </c>
    </row>
    <row r="160" spans="1:74" x14ac:dyDescent="0.25">
      <c r="A160" t="s">
        <v>263</v>
      </c>
      <c r="B160" t="s">
        <v>514</v>
      </c>
      <c r="C160" t="s">
        <v>200</v>
      </c>
      <c r="D160" s="3">
        <v>14.81</v>
      </c>
      <c r="E160" s="3">
        <v>0.71</v>
      </c>
      <c r="F160" s="3">
        <v>-427.93</v>
      </c>
      <c r="G160" s="3">
        <v>-430.375</v>
      </c>
      <c r="H160" s="3">
        <f t="shared" si="94"/>
        <v>-2.4449999999999932</v>
      </c>
      <c r="I160" s="3">
        <v>-0.3</v>
      </c>
      <c r="J160" s="6">
        <v>-0.216</v>
      </c>
      <c r="K160" s="3">
        <f t="shared" si="95"/>
        <v>8.3999999999999991E-2</v>
      </c>
      <c r="L160" s="3">
        <v>9.7000000000000003E-2</v>
      </c>
      <c r="M160" s="6">
        <v>-6.0999999999999999E-2</v>
      </c>
      <c r="N160" s="3">
        <f t="shared" si="96"/>
        <v>-0.158</v>
      </c>
      <c r="O160" s="3">
        <f t="shared" si="97"/>
        <v>0.10149999999999999</v>
      </c>
      <c r="P160" s="3">
        <f t="shared" si="97"/>
        <v>0.13850000000000001</v>
      </c>
      <c r="Q160" s="3">
        <f t="shared" si="98"/>
        <v>3.7000000000000019E-2</v>
      </c>
      <c r="R160" s="3">
        <f t="shared" si="99"/>
        <v>0.39700000000000002</v>
      </c>
      <c r="S160" s="3">
        <f t="shared" si="99"/>
        <v>0.155</v>
      </c>
      <c r="T160" s="3">
        <f t="shared" si="100"/>
        <v>-0.24200000000000002</v>
      </c>
      <c r="U160" s="3">
        <f t="shared" si="101"/>
        <v>-0.10149999999999999</v>
      </c>
      <c r="V160" s="3">
        <f t="shared" si="101"/>
        <v>-0.13850000000000001</v>
      </c>
      <c r="W160" s="3">
        <f t="shared" si="112"/>
        <v>-3.7000000000000019E-2</v>
      </c>
      <c r="X160" s="3">
        <f t="shared" si="108"/>
        <v>1.297512594458438E-2</v>
      </c>
      <c r="Y160" s="3">
        <f t="shared" si="109"/>
        <v>6.187822580645163E-2</v>
      </c>
      <c r="Z160" s="3">
        <f t="shared" si="102"/>
        <v>4.890309986186725E-2</v>
      </c>
      <c r="AA160" s="3">
        <v>1.363</v>
      </c>
      <c r="AB160" s="3">
        <v>1.375</v>
      </c>
      <c r="AC160" s="3">
        <f t="shared" si="103"/>
        <v>1.2000000000000011E-2</v>
      </c>
      <c r="AD160" s="3">
        <f>-427.857642*627.50956</f>
        <v>-268484.76067405753</v>
      </c>
      <c r="AE160" s="3">
        <f>-430.307264*627.50956</f>
        <v>-270021.92189744383</v>
      </c>
      <c r="AF160" s="3">
        <f t="shared" si="104"/>
        <v>-1537.1612233862979</v>
      </c>
      <c r="AG160" s="3">
        <f>-427.894155*627.50956</f>
        <v>-268507.67293062177</v>
      </c>
      <c r="AH160" s="3">
        <f>-430.344437*627.50956</f>
        <v>-270045.24831031775</v>
      </c>
      <c r="AI160" s="3">
        <f t="shared" si="105"/>
        <v>-1537.5753796959762</v>
      </c>
      <c r="AJ160" s="3">
        <v>-0.65800000000000003</v>
      </c>
      <c r="AK160" s="3">
        <v>-0.58499999999999996</v>
      </c>
      <c r="AL160" s="3">
        <f t="shared" si="106"/>
        <v>7.3000000000000065E-2</v>
      </c>
      <c r="AM160" s="3">
        <v>112.06688</v>
      </c>
      <c r="AN160" s="3">
        <v>135.47399999999999</v>
      </c>
      <c r="AO160" s="3">
        <v>127.5706</v>
      </c>
      <c r="AP160" s="3">
        <f t="shared" si="107"/>
        <v>1.1056343057594209</v>
      </c>
      <c r="AQ160" s="3">
        <v>8.1379999999999999</v>
      </c>
      <c r="AR160" s="3">
        <v>1.844886</v>
      </c>
      <c r="AS160" s="3">
        <v>-553.27200000000005</v>
      </c>
      <c r="AT160" s="3">
        <v>-551.61699999999996</v>
      </c>
      <c r="AU160" s="3">
        <f t="shared" si="82"/>
        <v>-1.6550000000000864</v>
      </c>
      <c r="AV160" s="3">
        <v>-0.23699999999999999</v>
      </c>
      <c r="AW160" s="3">
        <v>-0.36899999999999999</v>
      </c>
      <c r="AX160" s="3">
        <f t="shared" si="83"/>
        <v>0.13200000000000001</v>
      </c>
      <c r="AY160" s="3">
        <v>2.8000000000000001E-2</v>
      </c>
      <c r="AZ160" s="3">
        <v>0.154</v>
      </c>
      <c r="BA160" s="3">
        <f t="shared" si="84"/>
        <v>-0.126</v>
      </c>
      <c r="BB160" s="3">
        <f t="shared" ref="BB160:BC175" si="117">-(AV160+AY160)/2</f>
        <v>0.1045</v>
      </c>
      <c r="BC160" s="3">
        <f t="shared" si="117"/>
        <v>0.1075</v>
      </c>
      <c r="BD160" s="3">
        <f t="shared" si="86"/>
        <v>-3.0000000000000027E-3</v>
      </c>
      <c r="BE160" s="3">
        <f t="shared" ref="BE160:BF175" si="118">AY160-AV160</f>
        <v>0.26500000000000001</v>
      </c>
      <c r="BF160" s="3">
        <f t="shared" si="118"/>
        <v>0.52300000000000002</v>
      </c>
      <c r="BG160" s="3">
        <f t="shared" si="88"/>
        <v>-0.25800000000000001</v>
      </c>
      <c r="BH160" s="3">
        <f t="shared" ref="BH160:BI175" si="119">(AV160+AY160)/2</f>
        <v>-0.1045</v>
      </c>
      <c r="BI160" s="3">
        <f t="shared" si="119"/>
        <v>-0.1075</v>
      </c>
      <c r="BJ160" s="3">
        <f t="shared" si="113"/>
        <v>3.0000000000000027E-3</v>
      </c>
      <c r="BK160" s="3">
        <f t="shared" si="110"/>
        <v>2.0604245283018865E-2</v>
      </c>
      <c r="BL160" s="3">
        <f t="shared" si="111"/>
        <v>1.104804015296367E-2</v>
      </c>
      <c r="BM160" s="3">
        <f t="shared" si="90"/>
        <v>9.5562051300551957E-3</v>
      </c>
      <c r="BN160" s="3">
        <v>5.4870000000000001</v>
      </c>
      <c r="BO160" s="3">
        <v>6.0839999999999996</v>
      </c>
      <c r="BP160" s="3">
        <f t="shared" si="91"/>
        <v>-0.59699999999999953</v>
      </c>
      <c r="BQ160" s="3">
        <v>-347129.96399999998</v>
      </c>
      <c r="BR160" s="3">
        <v>-346087.64600000001</v>
      </c>
      <c r="BS160" s="3">
        <f t="shared" si="92"/>
        <v>-1042.3179999999702</v>
      </c>
      <c r="BT160" s="3">
        <v>-347152.04599999997</v>
      </c>
      <c r="BU160" s="3">
        <v>-346109.22600000002</v>
      </c>
      <c r="BV160" s="3">
        <f t="shared" si="93"/>
        <v>-1042.8199999999488</v>
      </c>
    </row>
    <row r="161" spans="1:74" x14ac:dyDescent="0.25">
      <c r="A161" t="s">
        <v>359</v>
      </c>
      <c r="B161" t="s">
        <v>514</v>
      </c>
      <c r="C161" t="s">
        <v>200</v>
      </c>
      <c r="D161" s="3">
        <v>14.87</v>
      </c>
      <c r="E161" s="3">
        <v>0.76</v>
      </c>
      <c r="F161" s="3">
        <v>-357.01400000000001</v>
      </c>
      <c r="G161" s="3">
        <v>-359.05099999999999</v>
      </c>
      <c r="H161" s="3">
        <f t="shared" si="94"/>
        <v>-2.0369999999999777</v>
      </c>
      <c r="I161" s="3">
        <v>-0.33500000000000002</v>
      </c>
      <c r="J161" s="6">
        <v>-0.218</v>
      </c>
      <c r="K161" s="3">
        <f t="shared" si="95"/>
        <v>0.11700000000000002</v>
      </c>
      <c r="L161" s="3">
        <v>9.9000000000000005E-2</v>
      </c>
      <c r="M161" s="6">
        <v>-5.1999999999999998E-2</v>
      </c>
      <c r="N161" s="3">
        <f t="shared" si="96"/>
        <v>-0.151</v>
      </c>
      <c r="O161" s="3">
        <f t="shared" si="97"/>
        <v>0.11800000000000001</v>
      </c>
      <c r="P161" s="3">
        <f t="shared" si="97"/>
        <v>0.13500000000000001</v>
      </c>
      <c r="Q161" s="3">
        <f t="shared" si="98"/>
        <v>1.7000000000000001E-2</v>
      </c>
      <c r="R161" s="3">
        <f t="shared" si="99"/>
        <v>0.43400000000000005</v>
      </c>
      <c r="S161" s="3">
        <f t="shared" si="99"/>
        <v>0.16600000000000001</v>
      </c>
      <c r="T161" s="3">
        <f t="shared" si="100"/>
        <v>-0.26800000000000002</v>
      </c>
      <c r="U161" s="3">
        <f t="shared" si="101"/>
        <v>-0.11800000000000001</v>
      </c>
      <c r="V161" s="3">
        <f t="shared" si="101"/>
        <v>-0.13500000000000001</v>
      </c>
      <c r="W161" s="3">
        <f t="shared" si="112"/>
        <v>-1.7000000000000001E-2</v>
      </c>
      <c r="X161" s="3">
        <f t="shared" si="108"/>
        <v>1.6041474654377882E-2</v>
      </c>
      <c r="Y161" s="3">
        <f t="shared" si="109"/>
        <v>5.4894578313253013E-2</v>
      </c>
      <c r="Z161" s="3">
        <f t="shared" si="102"/>
        <v>3.8853103658875135E-2</v>
      </c>
      <c r="AA161" s="3">
        <v>6.9260000000000002</v>
      </c>
      <c r="AB161" s="3">
        <v>6.0170000000000003</v>
      </c>
      <c r="AC161" s="3">
        <f t="shared" si="103"/>
        <v>-0.90899999999999981</v>
      </c>
      <c r="AD161" s="3">
        <f>-356.948538*627.50956</f>
        <v>-223988.62002302325</v>
      </c>
      <c r="AE161" s="3">
        <f>-358.989878*627.50956</f>
        <v>-225269.58038823365</v>
      </c>
      <c r="AF161" s="3">
        <f t="shared" si="104"/>
        <v>-1280.9603652103979</v>
      </c>
      <c r="AG161" s="3">
        <f>-356.983014*627.50956</f>
        <v>-224010.25404261384</v>
      </c>
      <c r="AH161" s="3">
        <f>-359.024863*627.50956</f>
        <v>-225291.53381019025</v>
      </c>
      <c r="AI161" s="3">
        <f t="shared" si="105"/>
        <v>-1281.2797675764014</v>
      </c>
      <c r="AJ161" s="3">
        <v>-0.89</v>
      </c>
      <c r="AK161" s="3">
        <v>-0.76400000000000001</v>
      </c>
      <c r="AL161" s="3">
        <f t="shared" si="106"/>
        <v>0.126</v>
      </c>
      <c r="AM161" s="3">
        <v>96.064179999999993</v>
      </c>
      <c r="AN161" s="3">
        <v>126.47942</v>
      </c>
      <c r="AO161" s="3">
        <v>117.96346</v>
      </c>
      <c r="AP161" s="3">
        <f t="shared" si="107"/>
        <v>1.0875372657292153</v>
      </c>
      <c r="AQ161" s="3">
        <v>7.5970000000000004</v>
      </c>
      <c r="AR161" s="3">
        <v>1.7121925</v>
      </c>
      <c r="AS161" s="3">
        <v>-553.27200000000005</v>
      </c>
      <c r="AT161" s="3">
        <v>-551.61699999999996</v>
      </c>
      <c r="AU161" s="3">
        <f t="shared" si="82"/>
        <v>-1.6550000000000864</v>
      </c>
      <c r="AV161" s="3">
        <v>-0.23699999999999999</v>
      </c>
      <c r="AW161" s="3">
        <v>-0.36899999999999999</v>
      </c>
      <c r="AX161" s="3">
        <f t="shared" si="83"/>
        <v>0.13200000000000001</v>
      </c>
      <c r="AY161" s="3">
        <v>2.8000000000000001E-2</v>
      </c>
      <c r="AZ161" s="3">
        <v>0.154</v>
      </c>
      <c r="BA161" s="3">
        <f t="shared" si="84"/>
        <v>-0.126</v>
      </c>
      <c r="BB161" s="3">
        <f t="shared" si="117"/>
        <v>0.1045</v>
      </c>
      <c r="BC161" s="3">
        <f t="shared" si="117"/>
        <v>0.1075</v>
      </c>
      <c r="BD161" s="3">
        <f t="shared" si="86"/>
        <v>-3.0000000000000027E-3</v>
      </c>
      <c r="BE161" s="3">
        <f t="shared" si="118"/>
        <v>0.26500000000000001</v>
      </c>
      <c r="BF161" s="3">
        <f t="shared" si="118"/>
        <v>0.52300000000000002</v>
      </c>
      <c r="BG161" s="3">
        <f t="shared" si="88"/>
        <v>-0.25800000000000001</v>
      </c>
      <c r="BH161" s="3">
        <f t="shared" si="119"/>
        <v>-0.1045</v>
      </c>
      <c r="BI161" s="3">
        <f t="shared" si="119"/>
        <v>-0.1075</v>
      </c>
      <c r="BJ161" s="3">
        <f t="shared" si="113"/>
        <v>3.0000000000000027E-3</v>
      </c>
      <c r="BK161" s="3">
        <f t="shared" si="110"/>
        <v>2.0604245283018865E-2</v>
      </c>
      <c r="BL161" s="3">
        <f t="shared" si="111"/>
        <v>1.104804015296367E-2</v>
      </c>
      <c r="BM161" s="3">
        <f t="shared" si="90"/>
        <v>9.5562051300551957E-3</v>
      </c>
      <c r="BN161" s="3">
        <v>5.4870000000000001</v>
      </c>
      <c r="BO161" s="3">
        <v>6.0839999999999996</v>
      </c>
      <c r="BP161" s="3">
        <f t="shared" si="91"/>
        <v>-0.59699999999999953</v>
      </c>
      <c r="BQ161" s="3">
        <v>-347129.96399999998</v>
      </c>
      <c r="BR161" s="3">
        <v>-346087.64600000001</v>
      </c>
      <c r="BS161" s="3">
        <f t="shared" si="92"/>
        <v>-1042.3179999999702</v>
      </c>
      <c r="BT161" s="3">
        <v>-347152.04599999997</v>
      </c>
      <c r="BU161" s="3">
        <v>-346109.22600000002</v>
      </c>
      <c r="BV161" s="3">
        <f t="shared" si="93"/>
        <v>-1042.8199999999488</v>
      </c>
    </row>
    <row r="162" spans="1:74" x14ac:dyDescent="0.25">
      <c r="A162" t="s">
        <v>312</v>
      </c>
      <c r="B162" t="s">
        <v>514</v>
      </c>
      <c r="C162" t="s">
        <v>360</v>
      </c>
      <c r="D162" s="3">
        <v>14.9</v>
      </c>
      <c r="E162" s="3">
        <v>0.67</v>
      </c>
      <c r="F162" s="3">
        <v>-379.875</v>
      </c>
      <c r="G162" s="3">
        <v>-382.36200000000002</v>
      </c>
      <c r="H162" s="3">
        <f t="shared" si="94"/>
        <v>-2.4870000000000232</v>
      </c>
      <c r="I162" s="3">
        <v>-0.311</v>
      </c>
      <c r="J162" s="6">
        <v>-0.215</v>
      </c>
      <c r="K162" s="3">
        <f t="shared" si="95"/>
        <v>9.6000000000000002E-2</v>
      </c>
      <c r="L162" s="3">
        <v>0.13200000000000001</v>
      </c>
      <c r="M162" s="6">
        <v>-1.2999999999999999E-2</v>
      </c>
      <c r="N162" s="3">
        <f t="shared" si="96"/>
        <v>-0.14500000000000002</v>
      </c>
      <c r="O162" s="3">
        <f t="shared" si="97"/>
        <v>8.9499999999999996E-2</v>
      </c>
      <c r="P162" s="3">
        <f t="shared" si="97"/>
        <v>0.114</v>
      </c>
      <c r="Q162" s="3">
        <f t="shared" si="98"/>
        <v>2.4500000000000008E-2</v>
      </c>
      <c r="R162" s="3">
        <f t="shared" si="99"/>
        <v>0.443</v>
      </c>
      <c r="S162" s="3">
        <f t="shared" si="99"/>
        <v>0.20199999999999999</v>
      </c>
      <c r="T162" s="3">
        <f t="shared" si="100"/>
        <v>-0.24100000000000002</v>
      </c>
      <c r="U162" s="3">
        <f t="shared" si="101"/>
        <v>-8.9499999999999996E-2</v>
      </c>
      <c r="V162" s="3">
        <f t="shared" si="101"/>
        <v>-0.114</v>
      </c>
      <c r="W162" s="3">
        <f t="shared" si="112"/>
        <v>-2.4500000000000008E-2</v>
      </c>
      <c r="X162" s="3">
        <f t="shared" si="108"/>
        <v>9.0409142212189621E-3</v>
      </c>
      <c r="Y162" s="3">
        <f t="shared" si="109"/>
        <v>3.2168316831683169E-2</v>
      </c>
      <c r="Z162" s="3">
        <f t="shared" si="102"/>
        <v>2.3127402610464205E-2</v>
      </c>
      <c r="AA162" s="3">
        <v>5.7140000000000004</v>
      </c>
      <c r="AB162" s="3">
        <v>6.3179999999999996</v>
      </c>
      <c r="AC162" s="3">
        <f t="shared" si="103"/>
        <v>0.6039999999999992</v>
      </c>
      <c r="AD162" s="3">
        <f>-379.693738*627.50956</f>
        <v>-238261.45046713526</v>
      </c>
      <c r="AE162" s="3">
        <f>-382.191422*627.50956</f>
        <v>-239828.77105499429</v>
      </c>
      <c r="AF162" s="3">
        <f t="shared" si="104"/>
        <v>-1567.3205878590234</v>
      </c>
      <c r="AG162" s="3">
        <f>-379.736253*627.50956</f>
        <v>-238288.12903607867</v>
      </c>
      <c r="AH162" s="3">
        <f>-382.235225*627.50956</f>
        <v>-239856.257856251</v>
      </c>
      <c r="AI162" s="3">
        <f t="shared" si="105"/>
        <v>-1568.1288201723364</v>
      </c>
      <c r="AJ162" s="3">
        <v>-0.61299999999999999</v>
      </c>
      <c r="AK162" s="3">
        <v>-0.54200000000000004</v>
      </c>
      <c r="AL162" s="3">
        <f t="shared" si="106"/>
        <v>7.0999999999999952E-2</v>
      </c>
      <c r="AM162" s="3">
        <v>122.1677</v>
      </c>
      <c r="AN162" s="3">
        <v>187.53254999999999</v>
      </c>
      <c r="AO162" s="3">
        <v>201.00604000000001</v>
      </c>
      <c r="AP162" s="3">
        <f t="shared" si="107"/>
        <v>1.1302986380999396</v>
      </c>
      <c r="AQ162" s="3">
        <v>9.0459999999999994</v>
      </c>
      <c r="AR162" s="3">
        <v>2.1250409000000001</v>
      </c>
      <c r="AS162" s="3">
        <v>-248.59200000000001</v>
      </c>
      <c r="AT162" s="3">
        <v>-247.066</v>
      </c>
      <c r="AU162" s="3">
        <f t="shared" si="82"/>
        <v>-1.5260000000000105</v>
      </c>
      <c r="AV162" s="3">
        <v>-0.25</v>
      </c>
      <c r="AW162" s="3">
        <v>-0.375</v>
      </c>
      <c r="AX162" s="3">
        <f t="shared" si="83"/>
        <v>0.125</v>
      </c>
      <c r="AY162" s="3">
        <v>1.7999999999999999E-2</v>
      </c>
      <c r="AZ162" s="3">
        <v>0.157</v>
      </c>
      <c r="BA162" s="3">
        <f t="shared" si="84"/>
        <v>-0.13900000000000001</v>
      </c>
      <c r="BB162" s="3">
        <f t="shared" si="117"/>
        <v>0.11600000000000001</v>
      </c>
      <c r="BC162" s="3">
        <f t="shared" si="117"/>
        <v>0.109</v>
      </c>
      <c r="BD162" s="3">
        <f t="shared" si="86"/>
        <v>7.0000000000000062E-3</v>
      </c>
      <c r="BE162" s="3">
        <f t="shared" si="118"/>
        <v>0.26800000000000002</v>
      </c>
      <c r="BF162" s="3">
        <f t="shared" si="118"/>
        <v>0.53200000000000003</v>
      </c>
      <c r="BG162" s="3">
        <f t="shared" si="88"/>
        <v>-0.26400000000000001</v>
      </c>
      <c r="BH162" s="3">
        <f t="shared" si="119"/>
        <v>-0.11600000000000001</v>
      </c>
      <c r="BI162" s="3">
        <f t="shared" si="119"/>
        <v>-0.109</v>
      </c>
      <c r="BJ162" s="3">
        <f t="shared" si="113"/>
        <v>-7.0000000000000062E-3</v>
      </c>
      <c r="BK162" s="3">
        <f t="shared" si="110"/>
        <v>2.5104477611940297E-2</v>
      </c>
      <c r="BL162" s="3">
        <f t="shared" si="111"/>
        <v>1.1166353383458645E-2</v>
      </c>
      <c r="BM162" s="3">
        <f t="shared" si="90"/>
        <v>1.3938124228481652E-2</v>
      </c>
      <c r="BN162" s="3">
        <v>5.09</v>
      </c>
      <c r="BO162" s="3">
        <v>5.2910000000000004</v>
      </c>
      <c r="BP162" s="3">
        <f t="shared" si="91"/>
        <v>-0.20100000000000051</v>
      </c>
      <c r="BQ162" s="3">
        <v>-155925.34599999999</v>
      </c>
      <c r="BR162" s="3">
        <v>-154963.22899999999</v>
      </c>
      <c r="BS162" s="3">
        <f t="shared" si="92"/>
        <v>-962.11699999999837</v>
      </c>
      <c r="BT162" s="3">
        <v>-155948.003</v>
      </c>
      <c r="BU162" s="3">
        <v>-154985.997</v>
      </c>
      <c r="BV162" s="3">
        <f t="shared" si="93"/>
        <v>-962.00599999999395</v>
      </c>
    </row>
    <row r="163" spans="1:74" x14ac:dyDescent="0.25">
      <c r="A163" t="s">
        <v>361</v>
      </c>
      <c r="B163" t="s">
        <v>514</v>
      </c>
      <c r="C163" t="s">
        <v>103</v>
      </c>
      <c r="D163" s="3">
        <v>14.96</v>
      </c>
      <c r="E163" s="3">
        <v>0.64</v>
      </c>
      <c r="F163" s="3">
        <v>-1237.7660000000001</v>
      </c>
      <c r="G163" s="3">
        <v>-1244.0039999999999</v>
      </c>
      <c r="H163" s="3">
        <f t="shared" si="94"/>
        <v>-6.237999999999829</v>
      </c>
      <c r="I163" s="3">
        <v>-0.28799999999999998</v>
      </c>
      <c r="J163" s="6">
        <v>-0.20599999999999999</v>
      </c>
      <c r="K163" s="3">
        <f t="shared" si="95"/>
        <v>8.199999999999999E-2</v>
      </c>
      <c r="L163" s="3">
        <v>0.11700000000000001</v>
      </c>
      <c r="M163" s="6">
        <v>-2.1999999999999999E-2</v>
      </c>
      <c r="N163" s="3">
        <f t="shared" si="96"/>
        <v>-0.13900000000000001</v>
      </c>
      <c r="O163" s="3">
        <f t="shared" si="97"/>
        <v>8.5499999999999993E-2</v>
      </c>
      <c r="P163" s="3">
        <f t="shared" si="97"/>
        <v>0.11399999999999999</v>
      </c>
      <c r="Q163" s="3">
        <f t="shared" si="98"/>
        <v>2.8499999999999998E-2</v>
      </c>
      <c r="R163" s="3">
        <f t="shared" si="99"/>
        <v>0.40499999999999997</v>
      </c>
      <c r="S163" s="3">
        <f t="shared" si="99"/>
        <v>0.184</v>
      </c>
      <c r="T163" s="3">
        <f t="shared" si="100"/>
        <v>-0.22099999999999997</v>
      </c>
      <c r="U163" s="3">
        <f t="shared" si="101"/>
        <v>-8.5499999999999993E-2</v>
      </c>
      <c r="V163" s="3">
        <f t="shared" si="101"/>
        <v>-0.11399999999999999</v>
      </c>
      <c r="W163" s="3">
        <f t="shared" si="112"/>
        <v>-2.8499999999999998E-2</v>
      </c>
      <c r="X163" s="3">
        <f t="shared" si="108"/>
        <v>9.025E-3</v>
      </c>
      <c r="Y163" s="3">
        <f t="shared" si="109"/>
        <v>3.5315217391304339E-2</v>
      </c>
      <c r="Z163" s="3">
        <f t="shared" si="102"/>
        <v>2.6290217391304341E-2</v>
      </c>
      <c r="AA163" s="3">
        <v>5.2320000000000002</v>
      </c>
      <c r="AB163" s="3">
        <v>4.7160000000000002</v>
      </c>
      <c r="AC163" s="3">
        <f t="shared" si="103"/>
        <v>-0.51600000000000001</v>
      </c>
      <c r="AD163" s="3">
        <f>-1237.375304*627.50956</f>
        <v>-776464.83256790612</v>
      </c>
      <c r="AE163" s="3">
        <f>-1243.636653*627.50956</f>
        <v>-780393.88892390265</v>
      </c>
      <c r="AF163" s="3">
        <f t="shared" si="104"/>
        <v>-3929.0563559965231</v>
      </c>
      <c r="AG163" s="3">
        <f>-1237.440627*627.50956</f>
        <v>-776505.8233748941</v>
      </c>
      <c r="AH163" s="3">
        <f>-1243.704495*627.50956</f>
        <v>-780436.46042747214</v>
      </c>
      <c r="AI163" s="3">
        <f t="shared" si="105"/>
        <v>-3930.6370525780367</v>
      </c>
      <c r="AJ163" s="3">
        <v>-0.68100000000000005</v>
      </c>
      <c r="AK163" s="3">
        <v>-0.59199999999999997</v>
      </c>
      <c r="AL163" s="3">
        <f t="shared" si="106"/>
        <v>8.9000000000000079E-2</v>
      </c>
      <c r="AM163" s="3">
        <v>308.44049999999999</v>
      </c>
      <c r="AN163" s="3">
        <v>359.98969</v>
      </c>
      <c r="AO163" s="3">
        <v>448.03778</v>
      </c>
      <c r="AP163" s="3">
        <f t="shared" si="107"/>
        <v>1.2715582368830252</v>
      </c>
      <c r="AQ163" s="3">
        <v>15.417999999999999</v>
      </c>
      <c r="AR163" s="3">
        <v>3.6582545199999998</v>
      </c>
      <c r="AS163" s="3">
        <v>-959.76900000000001</v>
      </c>
      <c r="AT163" s="3">
        <v>-958.05</v>
      </c>
      <c r="AU163" s="3">
        <f t="shared" si="82"/>
        <v>-1.7190000000000509</v>
      </c>
      <c r="AV163" s="3">
        <v>-0.317</v>
      </c>
      <c r="AW163" s="3">
        <v>-0.45</v>
      </c>
      <c r="AX163" s="3">
        <f t="shared" si="83"/>
        <v>0.13300000000000001</v>
      </c>
      <c r="AY163" s="3">
        <v>-2.4E-2</v>
      </c>
      <c r="AZ163" s="3">
        <v>0.13500000000000001</v>
      </c>
      <c r="BA163" s="3">
        <f t="shared" si="84"/>
        <v>-0.159</v>
      </c>
      <c r="BB163" s="3">
        <f t="shared" si="117"/>
        <v>0.17050000000000001</v>
      </c>
      <c r="BC163" s="3">
        <f t="shared" si="117"/>
        <v>0.1575</v>
      </c>
      <c r="BD163" s="3">
        <f t="shared" si="86"/>
        <v>1.3000000000000012E-2</v>
      </c>
      <c r="BE163" s="3">
        <f t="shared" si="118"/>
        <v>0.29299999999999998</v>
      </c>
      <c r="BF163" s="3">
        <f t="shared" si="118"/>
        <v>0.58499999999999996</v>
      </c>
      <c r="BG163" s="3">
        <f t="shared" si="88"/>
        <v>-0.29199999999999998</v>
      </c>
      <c r="BH163" s="3">
        <f t="shared" si="119"/>
        <v>-0.17050000000000001</v>
      </c>
      <c r="BI163" s="3">
        <f t="shared" si="119"/>
        <v>-0.1575</v>
      </c>
      <c r="BJ163" s="3">
        <f t="shared" si="113"/>
        <v>-1.3000000000000012E-2</v>
      </c>
      <c r="BK163" s="3">
        <f t="shared" si="110"/>
        <v>4.9607935153583631E-2</v>
      </c>
      <c r="BL163" s="3">
        <f t="shared" si="111"/>
        <v>2.120192307692308E-2</v>
      </c>
      <c r="BM163" s="3">
        <f t="shared" si="90"/>
        <v>2.8406012076660551E-2</v>
      </c>
      <c r="BN163" s="3">
        <v>2.2370000000000001</v>
      </c>
      <c r="BO163" s="3">
        <v>2.431</v>
      </c>
      <c r="BP163" s="3">
        <f t="shared" si="91"/>
        <v>-0.19399999999999995</v>
      </c>
      <c r="BQ163" s="3">
        <v>-602243.07700000005</v>
      </c>
      <c r="BR163" s="3">
        <v>-601163.24300000002</v>
      </c>
      <c r="BS163" s="3">
        <f t="shared" si="92"/>
        <v>-1079.8340000000317</v>
      </c>
      <c r="BT163" s="3">
        <v>-602262.36399999994</v>
      </c>
      <c r="BU163" s="3">
        <v>-601182.38500000001</v>
      </c>
      <c r="BV163" s="3">
        <f t="shared" si="93"/>
        <v>-1079.9789999999339</v>
      </c>
    </row>
    <row r="164" spans="1:74" x14ac:dyDescent="0.25">
      <c r="A164" t="s">
        <v>253</v>
      </c>
      <c r="B164" t="s">
        <v>514</v>
      </c>
      <c r="C164" t="s">
        <v>200</v>
      </c>
      <c r="D164" s="3">
        <v>15.03</v>
      </c>
      <c r="E164" s="3">
        <v>0.77</v>
      </c>
      <c r="F164" s="3">
        <v>-409.08699999999999</v>
      </c>
      <c r="G164" s="3">
        <v>-411.58</v>
      </c>
      <c r="H164" s="3">
        <f t="shared" si="94"/>
        <v>-2.492999999999995</v>
      </c>
      <c r="I164" s="3">
        <v>-0.29499999999999998</v>
      </c>
      <c r="J164" s="6">
        <v>-0.216</v>
      </c>
      <c r="K164" s="3">
        <f t="shared" si="95"/>
        <v>7.8999999999999987E-2</v>
      </c>
      <c r="L164" s="3">
        <v>0.125</v>
      </c>
      <c r="M164" s="6">
        <v>-2.1000000000000001E-2</v>
      </c>
      <c r="N164" s="3">
        <f t="shared" si="96"/>
        <v>-0.14599999999999999</v>
      </c>
      <c r="O164" s="3">
        <f t="shared" si="97"/>
        <v>8.4999999999999992E-2</v>
      </c>
      <c r="P164" s="3">
        <f t="shared" si="97"/>
        <v>0.11849999999999999</v>
      </c>
      <c r="Q164" s="3">
        <f t="shared" si="98"/>
        <v>3.3500000000000002E-2</v>
      </c>
      <c r="R164" s="3">
        <f t="shared" si="99"/>
        <v>0.42</v>
      </c>
      <c r="S164" s="3">
        <f t="shared" si="99"/>
        <v>0.19500000000000001</v>
      </c>
      <c r="T164" s="3">
        <f t="shared" si="100"/>
        <v>-0.22499999999999998</v>
      </c>
      <c r="U164" s="3">
        <f t="shared" si="101"/>
        <v>-8.4999999999999992E-2</v>
      </c>
      <c r="V164" s="3">
        <f t="shared" si="101"/>
        <v>-0.11849999999999999</v>
      </c>
      <c r="W164" s="3">
        <f t="shared" si="112"/>
        <v>-3.3500000000000002E-2</v>
      </c>
      <c r="X164" s="3">
        <f t="shared" si="108"/>
        <v>8.6011904761904758E-3</v>
      </c>
      <c r="Y164" s="3">
        <f t="shared" si="109"/>
        <v>3.600576923076923E-2</v>
      </c>
      <c r="Z164" s="3">
        <f t="shared" si="102"/>
        <v>2.7404578754578753E-2</v>
      </c>
      <c r="AA164" s="3">
        <v>2.419</v>
      </c>
      <c r="AB164" s="3">
        <v>2.056</v>
      </c>
      <c r="AC164" s="3">
        <f t="shared" si="103"/>
        <v>-0.36299999999999999</v>
      </c>
      <c r="AD164" s="3">
        <f>-408.992643*627.50956</f>
        <v>-256646.79345216707</v>
      </c>
      <c r="AE164" s="3">
        <f>-411.491279*627.50956</f>
        <v>-258214.71142912723</v>
      </c>
      <c r="AF164" s="3">
        <f t="shared" si="104"/>
        <v>-1567.9179769601615</v>
      </c>
      <c r="AG164" s="3">
        <f>-409.028158*627.50956</f>
        <v>-256669.07945419048</v>
      </c>
      <c r="AH164" s="3">
        <f>-411.527435*627.50956</f>
        <v>-258237.39966477861</v>
      </c>
      <c r="AI164" s="3">
        <f t="shared" si="105"/>
        <v>-1568.3202105881355</v>
      </c>
      <c r="AJ164" s="3">
        <v>-0.73399999999999999</v>
      </c>
      <c r="AK164" s="3">
        <v>-0.63400000000000001</v>
      </c>
      <c r="AL164" s="3">
        <f t="shared" si="106"/>
        <v>9.9999999999999978E-2</v>
      </c>
      <c r="AM164" s="3">
        <v>119.10411999999999</v>
      </c>
      <c r="AN164" s="3">
        <v>149.33699999999999</v>
      </c>
      <c r="AO164" s="3">
        <v>148.42705000000001</v>
      </c>
      <c r="AP164" s="3">
        <f t="shared" si="107"/>
        <v>1.1017456278801394</v>
      </c>
      <c r="AQ164" s="3">
        <v>8.7769999999999992</v>
      </c>
      <c r="AR164" s="3">
        <v>1.83877095</v>
      </c>
      <c r="AS164" s="3">
        <v>-553.27200000000005</v>
      </c>
      <c r="AT164" s="3">
        <v>-551.61699999999996</v>
      </c>
      <c r="AU164" s="3">
        <f t="shared" si="82"/>
        <v>-1.6550000000000864</v>
      </c>
      <c r="AV164" s="3">
        <v>-0.23699999999999999</v>
      </c>
      <c r="AW164" s="3">
        <v>-0.36899999999999999</v>
      </c>
      <c r="AX164" s="3">
        <f t="shared" si="83"/>
        <v>0.13200000000000001</v>
      </c>
      <c r="AY164" s="3">
        <v>2.8000000000000001E-2</v>
      </c>
      <c r="AZ164" s="3">
        <v>0.154</v>
      </c>
      <c r="BA164" s="3">
        <f t="shared" si="84"/>
        <v>-0.126</v>
      </c>
      <c r="BB164" s="3">
        <f t="shared" si="117"/>
        <v>0.1045</v>
      </c>
      <c r="BC164" s="3">
        <f t="shared" si="117"/>
        <v>0.1075</v>
      </c>
      <c r="BD164" s="3">
        <f t="shared" si="86"/>
        <v>-3.0000000000000027E-3</v>
      </c>
      <c r="BE164" s="3">
        <f t="shared" si="118"/>
        <v>0.26500000000000001</v>
      </c>
      <c r="BF164" s="3">
        <f t="shared" si="118"/>
        <v>0.52300000000000002</v>
      </c>
      <c r="BG164" s="3">
        <f t="shared" si="88"/>
        <v>-0.25800000000000001</v>
      </c>
      <c r="BH164" s="3">
        <f t="shared" si="119"/>
        <v>-0.1045</v>
      </c>
      <c r="BI164" s="3">
        <f t="shared" si="119"/>
        <v>-0.1075</v>
      </c>
      <c r="BJ164" s="3">
        <f t="shared" si="113"/>
        <v>3.0000000000000027E-3</v>
      </c>
      <c r="BK164" s="3">
        <f t="shared" si="110"/>
        <v>2.0604245283018865E-2</v>
      </c>
      <c r="BL164" s="3">
        <f t="shared" si="111"/>
        <v>1.104804015296367E-2</v>
      </c>
      <c r="BM164" s="3">
        <f t="shared" si="90"/>
        <v>9.5562051300551957E-3</v>
      </c>
      <c r="BN164" s="3">
        <v>5.4870000000000001</v>
      </c>
      <c r="BO164" s="3">
        <v>6.0839999999999996</v>
      </c>
      <c r="BP164" s="3">
        <f t="shared" si="91"/>
        <v>-0.59699999999999953</v>
      </c>
      <c r="BQ164" s="3">
        <v>-347129.96399999998</v>
      </c>
      <c r="BR164" s="3">
        <v>-346087.64600000001</v>
      </c>
      <c r="BS164" s="3">
        <f t="shared" si="92"/>
        <v>-1042.3179999999702</v>
      </c>
      <c r="BT164" s="3">
        <v>-347152.04599999997</v>
      </c>
      <c r="BU164" s="3">
        <v>-346109.22600000002</v>
      </c>
      <c r="BV164" s="3">
        <f t="shared" si="93"/>
        <v>-1042.8199999999488</v>
      </c>
    </row>
    <row r="165" spans="1:74" x14ac:dyDescent="0.25">
      <c r="A165" t="s">
        <v>356</v>
      </c>
      <c r="B165" t="s">
        <v>514</v>
      </c>
      <c r="C165" t="s">
        <v>99</v>
      </c>
      <c r="D165" s="3">
        <v>15.1</v>
      </c>
      <c r="E165" s="3">
        <v>0.73</v>
      </c>
      <c r="F165" s="3">
        <v>-212.375</v>
      </c>
      <c r="G165" s="3">
        <v>-213.863</v>
      </c>
      <c r="H165" s="3">
        <f t="shared" si="94"/>
        <v>-1.4879999999999995</v>
      </c>
      <c r="I165" s="3">
        <v>-0.36799999999999999</v>
      </c>
      <c r="J165" s="6">
        <v>-0.22700000000000001</v>
      </c>
      <c r="K165" s="3">
        <f t="shared" si="95"/>
        <v>0.14099999999999999</v>
      </c>
      <c r="L165" s="3">
        <v>0.161</v>
      </c>
      <c r="M165" s="6">
        <v>4.4999999999999998E-2</v>
      </c>
      <c r="N165" s="3">
        <f t="shared" si="96"/>
        <v>-0.11600000000000001</v>
      </c>
      <c r="O165" s="3">
        <f t="shared" si="97"/>
        <v>0.10349999999999999</v>
      </c>
      <c r="P165" s="3">
        <f t="shared" si="97"/>
        <v>9.0999999999999998E-2</v>
      </c>
      <c r="Q165" s="3">
        <f t="shared" si="98"/>
        <v>-1.2499999999999997E-2</v>
      </c>
      <c r="R165" s="3">
        <f t="shared" si="99"/>
        <v>0.52900000000000003</v>
      </c>
      <c r="S165" s="3">
        <f t="shared" si="99"/>
        <v>0.27200000000000002</v>
      </c>
      <c r="T165" s="3">
        <f t="shared" si="100"/>
        <v>-0.25700000000000001</v>
      </c>
      <c r="U165" s="3">
        <f t="shared" si="101"/>
        <v>-0.10349999999999999</v>
      </c>
      <c r="V165" s="3">
        <f t="shared" si="101"/>
        <v>-9.0999999999999998E-2</v>
      </c>
      <c r="W165" s="3">
        <f t="shared" si="112"/>
        <v>1.2499999999999997E-2</v>
      </c>
      <c r="X165" s="3">
        <f t="shared" si="108"/>
        <v>1.0124999999999999E-2</v>
      </c>
      <c r="Y165" s="3">
        <f t="shared" si="109"/>
        <v>1.5222426470588234E-2</v>
      </c>
      <c r="Z165" s="3">
        <f t="shared" si="102"/>
        <v>5.0974264705882354E-3</v>
      </c>
      <c r="AA165" s="3">
        <v>1.361</v>
      </c>
      <c r="AB165" s="3">
        <v>1.266</v>
      </c>
      <c r="AC165" s="3">
        <f t="shared" si="103"/>
        <v>-9.4999999999999973E-2</v>
      </c>
      <c r="AD165" s="3">
        <f>-212.209653*627.50956</f>
        <v>-133163.58598178267</v>
      </c>
      <c r="AE165" s="3">
        <f>-213.706818*627.50956</f>
        <v>-134103.07133218006</v>
      </c>
      <c r="AF165" s="3">
        <f t="shared" si="104"/>
        <v>-939.48535039738636</v>
      </c>
      <c r="AG165" s="3">
        <f>-212.247092*627.50956</f>
        <v>-133187.07931219952</v>
      </c>
      <c r="AH165" s="3">
        <f>-213.744809*627.50956</f>
        <v>-134126.91104787405</v>
      </c>
      <c r="AI165" s="3">
        <f t="shared" si="105"/>
        <v>-939.83173567452468</v>
      </c>
      <c r="AJ165" s="3">
        <v>-0.71499999999999997</v>
      </c>
      <c r="AK165" s="3">
        <v>-0.68899999999999995</v>
      </c>
      <c r="AL165" s="3">
        <f t="shared" si="106"/>
        <v>2.6000000000000023E-2</v>
      </c>
      <c r="AM165" s="3">
        <v>73.136840000000007</v>
      </c>
      <c r="AN165" s="3">
        <v>159.30543</v>
      </c>
      <c r="AO165" s="3">
        <v>158.88494</v>
      </c>
      <c r="AP165" s="3">
        <f t="shared" si="107"/>
        <v>1.1231334795976089</v>
      </c>
      <c r="AQ165" s="3">
        <v>9.1530000000000005</v>
      </c>
      <c r="AR165" s="3">
        <v>1.902142</v>
      </c>
      <c r="AS165" s="3">
        <v>-132.80099999999999</v>
      </c>
      <c r="AT165" s="3">
        <v>-131.97</v>
      </c>
      <c r="AU165" s="3">
        <f t="shared" si="82"/>
        <v>-0.83099999999998886</v>
      </c>
      <c r="AV165" s="3">
        <v>-0.34100000000000003</v>
      </c>
      <c r="AW165" s="3">
        <v>-0.47499999999999998</v>
      </c>
      <c r="AX165" s="3">
        <f t="shared" si="83"/>
        <v>0.13399999999999995</v>
      </c>
      <c r="AY165" s="3">
        <v>2.9000000000000001E-2</v>
      </c>
      <c r="AZ165" s="3">
        <v>0.156</v>
      </c>
      <c r="BA165" s="3">
        <f t="shared" si="84"/>
        <v>-0.127</v>
      </c>
      <c r="BB165" s="3">
        <f t="shared" si="117"/>
        <v>0.156</v>
      </c>
      <c r="BC165" s="3">
        <f t="shared" si="117"/>
        <v>0.15949999999999998</v>
      </c>
      <c r="BD165" s="3">
        <f t="shared" si="86"/>
        <v>-3.4999999999999754E-3</v>
      </c>
      <c r="BE165" s="3">
        <f t="shared" si="118"/>
        <v>0.37000000000000005</v>
      </c>
      <c r="BF165" s="3">
        <f t="shared" si="118"/>
        <v>0.63100000000000001</v>
      </c>
      <c r="BG165" s="3">
        <f t="shared" si="88"/>
        <v>-0.26099999999999995</v>
      </c>
      <c r="BH165" s="3">
        <f t="shared" si="119"/>
        <v>-0.156</v>
      </c>
      <c r="BI165" s="3">
        <f t="shared" si="119"/>
        <v>-0.15949999999999998</v>
      </c>
      <c r="BJ165" s="3">
        <f t="shared" si="113"/>
        <v>3.4999999999999754E-3</v>
      </c>
      <c r="BK165" s="3">
        <f t="shared" si="110"/>
        <v>3.2886486486486483E-2</v>
      </c>
      <c r="BL165" s="3">
        <f t="shared" si="111"/>
        <v>2.0158676703645E-2</v>
      </c>
      <c r="BM165" s="3">
        <f t="shared" si="90"/>
        <v>1.2727809782841482E-2</v>
      </c>
      <c r="BN165" s="3">
        <v>4.7279999999999998</v>
      </c>
      <c r="BO165" s="3">
        <v>4.9340000000000002</v>
      </c>
      <c r="BP165" s="3">
        <f t="shared" si="91"/>
        <v>-0.20600000000000041</v>
      </c>
      <c r="BQ165" s="3">
        <v>-83302.89</v>
      </c>
      <c r="BR165" s="3">
        <v>-82779.224000000002</v>
      </c>
      <c r="BS165" s="3">
        <f t="shared" si="92"/>
        <v>-523.66599999999744</v>
      </c>
      <c r="BT165" s="3">
        <v>-83320.774999999994</v>
      </c>
      <c r="BU165" s="3">
        <v>-82796.997000000003</v>
      </c>
      <c r="BV165" s="3">
        <f t="shared" si="93"/>
        <v>-523.77799999999115</v>
      </c>
    </row>
    <row r="166" spans="1:74" x14ac:dyDescent="0.25">
      <c r="A166" t="s">
        <v>362</v>
      </c>
      <c r="B166" t="s">
        <v>514</v>
      </c>
      <c r="C166" t="s">
        <v>99</v>
      </c>
      <c r="D166" s="3">
        <v>15.11</v>
      </c>
      <c r="E166" s="3">
        <v>0.63</v>
      </c>
      <c r="F166" s="3">
        <v>-173.33799999999999</v>
      </c>
      <c r="G166" s="3">
        <v>-174.54499999999999</v>
      </c>
      <c r="H166" s="3">
        <f t="shared" si="94"/>
        <v>-1.2069999999999936</v>
      </c>
      <c r="I166" s="3">
        <v>-0.39</v>
      </c>
      <c r="J166" s="6">
        <v>-0.24199999999999999</v>
      </c>
      <c r="K166" s="3">
        <f t="shared" si="95"/>
        <v>0.14800000000000002</v>
      </c>
      <c r="L166" s="3">
        <v>0.16200000000000001</v>
      </c>
      <c r="M166" s="6">
        <v>4.5999999999999999E-2</v>
      </c>
      <c r="N166" s="3">
        <f t="shared" si="96"/>
        <v>-0.11600000000000001</v>
      </c>
      <c r="O166" s="3">
        <f t="shared" si="97"/>
        <v>0.114</v>
      </c>
      <c r="P166" s="3">
        <f t="shared" si="97"/>
        <v>9.8000000000000004E-2</v>
      </c>
      <c r="Q166" s="3">
        <f t="shared" si="98"/>
        <v>-1.6E-2</v>
      </c>
      <c r="R166" s="3">
        <f t="shared" si="99"/>
        <v>0.55200000000000005</v>
      </c>
      <c r="S166" s="3">
        <f t="shared" si="99"/>
        <v>0.28799999999999998</v>
      </c>
      <c r="T166" s="3">
        <f t="shared" si="100"/>
        <v>-0.26400000000000007</v>
      </c>
      <c r="U166" s="3">
        <f t="shared" si="101"/>
        <v>-0.114</v>
      </c>
      <c r="V166" s="3">
        <f t="shared" si="101"/>
        <v>-9.8000000000000004E-2</v>
      </c>
      <c r="W166" s="3">
        <f t="shared" si="112"/>
        <v>1.6E-2</v>
      </c>
      <c r="X166" s="3">
        <f t="shared" si="108"/>
        <v>1.1771739130434783E-2</v>
      </c>
      <c r="Y166" s="3">
        <f t="shared" si="109"/>
        <v>1.6673611111111115E-2</v>
      </c>
      <c r="Z166" s="3">
        <f t="shared" si="102"/>
        <v>4.9018719806763322E-3</v>
      </c>
      <c r="AA166" s="3">
        <v>1.681</v>
      </c>
      <c r="AB166" s="3">
        <v>1.6459999999999999</v>
      </c>
      <c r="AC166" s="3">
        <f t="shared" si="103"/>
        <v>-3.5000000000000142E-2</v>
      </c>
      <c r="AD166" s="3">
        <f>-173.203206*627.50956</f>
        <v>-108686.66758764935</v>
      </c>
      <c r="AE166" s="3">
        <f>-174.417287*627.50956</f>
        <v>-109448.51502176371</v>
      </c>
      <c r="AF166" s="3">
        <f t="shared" si="104"/>
        <v>-761.8474341143592</v>
      </c>
      <c r="AG166" s="3">
        <f>-173.237281*627.50956</f>
        <v>-108708.04997590635</v>
      </c>
      <c r="AH166" s="3">
        <f>-174.451793*627.50956</f>
        <v>-109470.16786664107</v>
      </c>
      <c r="AI166" s="3">
        <f t="shared" si="105"/>
        <v>-762.11789073472028</v>
      </c>
      <c r="AJ166" s="3">
        <v>-0.85699999999999998</v>
      </c>
      <c r="AK166" s="3">
        <v>-0.85399999999999998</v>
      </c>
      <c r="AL166" s="3">
        <f t="shared" si="106"/>
        <v>3.0000000000000027E-3</v>
      </c>
      <c r="AM166" s="3">
        <v>59.110259999999997</v>
      </c>
      <c r="AN166" s="3">
        <v>134.6961</v>
      </c>
      <c r="AO166" s="3">
        <v>130.02500000000001</v>
      </c>
      <c r="AP166" s="3">
        <f t="shared" si="107"/>
        <v>1.0854081129131328</v>
      </c>
      <c r="AQ166" s="3">
        <v>7.8849999999999998</v>
      </c>
      <c r="AR166" s="3">
        <v>1.6009554399999999</v>
      </c>
      <c r="AS166" s="3">
        <v>-132.80099999999999</v>
      </c>
      <c r="AT166" s="3">
        <v>-131.97</v>
      </c>
      <c r="AU166" s="3">
        <f t="shared" si="82"/>
        <v>-0.83099999999998886</v>
      </c>
      <c r="AV166" s="3">
        <v>-0.34100000000000003</v>
      </c>
      <c r="AW166" s="3">
        <v>-0.47499999999999998</v>
      </c>
      <c r="AX166" s="3">
        <f t="shared" si="83"/>
        <v>0.13399999999999995</v>
      </c>
      <c r="AY166" s="3">
        <v>2.9000000000000001E-2</v>
      </c>
      <c r="AZ166" s="3">
        <v>0.156</v>
      </c>
      <c r="BA166" s="3">
        <f t="shared" si="84"/>
        <v>-0.127</v>
      </c>
      <c r="BB166" s="3">
        <f t="shared" si="117"/>
        <v>0.156</v>
      </c>
      <c r="BC166" s="3">
        <f t="shared" si="117"/>
        <v>0.15949999999999998</v>
      </c>
      <c r="BD166" s="3">
        <f t="shared" si="86"/>
        <v>-3.4999999999999754E-3</v>
      </c>
      <c r="BE166" s="3">
        <f t="shared" si="118"/>
        <v>0.37000000000000005</v>
      </c>
      <c r="BF166" s="3">
        <f t="shared" si="118"/>
        <v>0.63100000000000001</v>
      </c>
      <c r="BG166" s="3">
        <f t="shared" si="88"/>
        <v>-0.26099999999999995</v>
      </c>
      <c r="BH166" s="3">
        <f t="shared" si="119"/>
        <v>-0.156</v>
      </c>
      <c r="BI166" s="3">
        <f t="shared" si="119"/>
        <v>-0.15949999999999998</v>
      </c>
      <c r="BJ166" s="3">
        <f t="shared" si="113"/>
        <v>3.4999999999999754E-3</v>
      </c>
      <c r="BK166" s="3">
        <f t="shared" si="110"/>
        <v>3.2886486486486483E-2</v>
      </c>
      <c r="BL166" s="3">
        <f t="shared" si="111"/>
        <v>2.0158676703645E-2</v>
      </c>
      <c r="BM166" s="3">
        <f t="shared" si="90"/>
        <v>1.2727809782841482E-2</v>
      </c>
      <c r="BN166" s="3">
        <v>4.7279999999999998</v>
      </c>
      <c r="BO166" s="3">
        <v>4.9340000000000002</v>
      </c>
      <c r="BP166" s="3">
        <f t="shared" si="91"/>
        <v>-0.20600000000000041</v>
      </c>
      <c r="BQ166" s="3">
        <v>-83302.89</v>
      </c>
      <c r="BR166" s="3">
        <v>-82779.224000000002</v>
      </c>
      <c r="BS166" s="3">
        <f t="shared" si="92"/>
        <v>-523.66599999999744</v>
      </c>
      <c r="BT166" s="3">
        <v>-83320.774999999994</v>
      </c>
      <c r="BU166" s="3">
        <v>-82796.997000000003</v>
      </c>
      <c r="BV166" s="3">
        <f t="shared" si="93"/>
        <v>-523.77799999999115</v>
      </c>
    </row>
    <row r="167" spans="1:74" x14ac:dyDescent="0.25">
      <c r="A167" t="s">
        <v>363</v>
      </c>
      <c r="B167" t="s">
        <v>514</v>
      </c>
      <c r="C167" t="s">
        <v>99</v>
      </c>
      <c r="D167" s="3">
        <v>15.19</v>
      </c>
      <c r="E167" s="3">
        <v>0.68</v>
      </c>
      <c r="F167" s="3">
        <v>-95.247</v>
      </c>
      <c r="G167" s="3">
        <v>-95.893000000000001</v>
      </c>
      <c r="H167" s="3">
        <f t="shared" si="94"/>
        <v>-0.6460000000000008</v>
      </c>
      <c r="I167" s="3">
        <v>-0.39300000000000002</v>
      </c>
      <c r="J167" s="6">
        <v>-0.24199999999999999</v>
      </c>
      <c r="K167" s="3">
        <f t="shared" si="95"/>
        <v>0.15100000000000002</v>
      </c>
      <c r="L167" s="3">
        <v>0.16200000000000001</v>
      </c>
      <c r="M167" s="6">
        <v>4.5999999999999999E-2</v>
      </c>
      <c r="N167" s="3">
        <f t="shared" si="96"/>
        <v>-0.11600000000000001</v>
      </c>
      <c r="O167" s="3">
        <f t="shared" si="97"/>
        <v>0.11550000000000001</v>
      </c>
      <c r="P167" s="3">
        <f t="shared" si="97"/>
        <v>9.8000000000000004E-2</v>
      </c>
      <c r="Q167" s="3">
        <f t="shared" si="98"/>
        <v>-1.7500000000000002E-2</v>
      </c>
      <c r="R167" s="3">
        <f t="shared" si="99"/>
        <v>0.55500000000000005</v>
      </c>
      <c r="S167" s="3">
        <f t="shared" si="99"/>
        <v>0.28799999999999998</v>
      </c>
      <c r="T167" s="3">
        <f t="shared" si="100"/>
        <v>-0.26700000000000007</v>
      </c>
      <c r="U167" s="3">
        <f t="shared" si="101"/>
        <v>-0.11550000000000001</v>
      </c>
      <c r="V167" s="3">
        <f t="shared" si="101"/>
        <v>-9.8000000000000004E-2</v>
      </c>
      <c r="W167" s="3">
        <f t="shared" si="112"/>
        <v>1.7500000000000002E-2</v>
      </c>
      <c r="X167" s="3">
        <f t="shared" si="108"/>
        <v>1.2018243243243243E-2</v>
      </c>
      <c r="Y167" s="3">
        <f t="shared" si="109"/>
        <v>1.6673611111111115E-2</v>
      </c>
      <c r="Z167" s="3">
        <f t="shared" si="102"/>
        <v>4.6553678678678719E-3</v>
      </c>
      <c r="AA167" s="3">
        <v>1.7330000000000001</v>
      </c>
      <c r="AB167" s="3">
        <v>1.6919999999999999</v>
      </c>
      <c r="AC167" s="3">
        <f t="shared" si="103"/>
        <v>-4.1000000000000147E-2</v>
      </c>
      <c r="AD167" s="3">
        <f>-95.174614*627.50956</f>
        <v>-59722.980154309837</v>
      </c>
      <c r="AE167" s="3">
        <f>-95.82448*627.50956</f>
        <v>-60130.777282028794</v>
      </c>
      <c r="AF167" s="3">
        <f t="shared" si="104"/>
        <v>-407.7971277189572</v>
      </c>
      <c r="AG167" s="3">
        <f>-95.201757*627.50956</f>
        <v>-59740.01264629692</v>
      </c>
      <c r="AH167" s="3">
        <f>-95.851752*627.50956</f>
        <v>-60147.890722749122</v>
      </c>
      <c r="AI167" s="3">
        <f t="shared" si="105"/>
        <v>-407.87807645220164</v>
      </c>
      <c r="AJ167" s="3">
        <v>-0.84799999999999998</v>
      </c>
      <c r="AK167" s="3">
        <v>-0.84499999999999997</v>
      </c>
      <c r="AL167" s="3">
        <f t="shared" si="106"/>
        <v>3.0000000000000027E-3</v>
      </c>
      <c r="AM167" s="3">
        <v>31.057099999999998</v>
      </c>
      <c r="AN167" s="3">
        <v>88.77373</v>
      </c>
      <c r="AO167" s="3">
        <v>73.736980000000003</v>
      </c>
      <c r="AP167" s="3">
        <f t="shared" si="107"/>
        <v>1.0441194534525906</v>
      </c>
      <c r="AQ167" s="3">
        <v>5.3440000000000003</v>
      </c>
      <c r="AR167" s="3">
        <v>0.90161519999999995</v>
      </c>
      <c r="AS167" s="3">
        <v>-132.80099999999999</v>
      </c>
      <c r="AT167" s="3">
        <v>-131.97</v>
      </c>
      <c r="AU167" s="3">
        <f t="shared" si="82"/>
        <v>-0.83099999999998886</v>
      </c>
      <c r="AV167" s="3">
        <v>-0.34100000000000003</v>
      </c>
      <c r="AW167" s="3">
        <v>-0.47499999999999998</v>
      </c>
      <c r="AX167" s="3">
        <f t="shared" si="83"/>
        <v>0.13399999999999995</v>
      </c>
      <c r="AY167" s="3">
        <v>2.9000000000000001E-2</v>
      </c>
      <c r="AZ167" s="3">
        <v>0.156</v>
      </c>
      <c r="BA167" s="3">
        <f t="shared" si="84"/>
        <v>-0.127</v>
      </c>
      <c r="BB167" s="3">
        <f t="shared" si="117"/>
        <v>0.156</v>
      </c>
      <c r="BC167" s="3">
        <f t="shared" si="117"/>
        <v>0.15949999999999998</v>
      </c>
      <c r="BD167" s="3">
        <f t="shared" si="86"/>
        <v>-3.4999999999999754E-3</v>
      </c>
      <c r="BE167" s="3">
        <f t="shared" si="118"/>
        <v>0.37000000000000005</v>
      </c>
      <c r="BF167" s="3">
        <f t="shared" si="118"/>
        <v>0.63100000000000001</v>
      </c>
      <c r="BG167" s="3">
        <f t="shared" si="88"/>
        <v>-0.26099999999999995</v>
      </c>
      <c r="BH167" s="3">
        <f t="shared" si="119"/>
        <v>-0.156</v>
      </c>
      <c r="BI167" s="3">
        <f t="shared" si="119"/>
        <v>-0.15949999999999998</v>
      </c>
      <c r="BJ167" s="3">
        <f t="shared" si="113"/>
        <v>3.4999999999999754E-3</v>
      </c>
      <c r="BK167" s="3">
        <f t="shared" si="110"/>
        <v>3.2886486486486483E-2</v>
      </c>
      <c r="BL167" s="3">
        <f t="shared" si="111"/>
        <v>2.0158676703645E-2</v>
      </c>
      <c r="BM167" s="3">
        <f t="shared" si="90"/>
        <v>1.2727809782841482E-2</v>
      </c>
      <c r="BN167" s="3">
        <v>4.7279999999999998</v>
      </c>
      <c r="BO167" s="3">
        <v>4.9340000000000002</v>
      </c>
      <c r="BP167" s="3">
        <f t="shared" si="91"/>
        <v>-0.20600000000000041</v>
      </c>
      <c r="BQ167" s="3">
        <v>-83302.89</v>
      </c>
      <c r="BR167" s="3">
        <v>-82779.224000000002</v>
      </c>
      <c r="BS167" s="3">
        <f t="shared" si="92"/>
        <v>-523.66599999999744</v>
      </c>
      <c r="BT167" s="3">
        <v>-83320.774999999994</v>
      </c>
      <c r="BU167" s="3">
        <v>-82796.997000000003</v>
      </c>
      <c r="BV167" s="3">
        <f t="shared" si="93"/>
        <v>-523.77799999999115</v>
      </c>
    </row>
    <row r="168" spans="1:74" x14ac:dyDescent="0.25">
      <c r="A168" t="s">
        <v>280</v>
      </c>
      <c r="B168" t="s">
        <v>514</v>
      </c>
      <c r="C168" t="s">
        <v>103</v>
      </c>
      <c r="D168" s="3">
        <v>15.2</v>
      </c>
      <c r="E168" s="3">
        <v>0.67</v>
      </c>
      <c r="F168" s="3">
        <v>-301.81099999999998</v>
      </c>
      <c r="G168" s="3">
        <v>-303.733</v>
      </c>
      <c r="H168" s="3">
        <f t="shared" si="94"/>
        <v>-1.9220000000000255</v>
      </c>
      <c r="I168" s="3">
        <v>-0.33100000000000002</v>
      </c>
      <c r="J168" s="6">
        <v>-0.23100000000000001</v>
      </c>
      <c r="K168" s="3">
        <f t="shared" si="95"/>
        <v>0.1</v>
      </c>
      <c r="L168" s="3">
        <v>0.13200000000000001</v>
      </c>
      <c r="M168" s="6">
        <v>-1.4999999999999999E-2</v>
      </c>
      <c r="N168" s="3">
        <f t="shared" si="96"/>
        <v>-0.14700000000000002</v>
      </c>
      <c r="O168" s="3">
        <f t="shared" si="97"/>
        <v>9.9500000000000005E-2</v>
      </c>
      <c r="P168" s="3">
        <f t="shared" si="97"/>
        <v>0.123</v>
      </c>
      <c r="Q168" s="3">
        <f t="shared" si="98"/>
        <v>2.3499999999999993E-2</v>
      </c>
      <c r="R168" s="3">
        <f t="shared" si="99"/>
        <v>0.46300000000000002</v>
      </c>
      <c r="S168" s="3">
        <f t="shared" si="99"/>
        <v>0.21600000000000003</v>
      </c>
      <c r="T168" s="3">
        <f t="shared" si="100"/>
        <v>-0.247</v>
      </c>
      <c r="U168" s="3">
        <f t="shared" si="101"/>
        <v>-9.9500000000000005E-2</v>
      </c>
      <c r="V168" s="3">
        <f t="shared" si="101"/>
        <v>-0.123</v>
      </c>
      <c r="W168" s="3">
        <f t="shared" si="112"/>
        <v>-2.3499999999999993E-2</v>
      </c>
      <c r="X168" s="3">
        <f t="shared" si="108"/>
        <v>1.0691414686825055E-2</v>
      </c>
      <c r="Y168" s="3">
        <f t="shared" si="109"/>
        <v>3.5020833333333327E-2</v>
      </c>
      <c r="Z168" s="3">
        <f t="shared" si="102"/>
        <v>2.4329418646508272E-2</v>
      </c>
      <c r="AA168" s="3">
        <v>4.6740000000000004</v>
      </c>
      <c r="AB168" s="3">
        <v>5.2270000000000003</v>
      </c>
      <c r="AC168" s="3">
        <f t="shared" si="103"/>
        <v>0.55299999999999994</v>
      </c>
      <c r="AD168" s="3">
        <f>-301.69221*627.50956</f>
        <v>-189314.74595252759</v>
      </c>
      <c r="AE168" s="3">
        <f>-303.621633*627.50956</f>
        <v>-190525.47733031146</v>
      </c>
      <c r="AF168" s="3">
        <f t="shared" si="104"/>
        <v>-1210.7313777838717</v>
      </c>
      <c r="AG168" s="3">
        <f>-301.727209*627.50956</f>
        <v>-189336.70815961805</v>
      </c>
      <c r="AH168" s="3">
        <f>-303.657278*627.50956</f>
        <v>-190547.84490857768</v>
      </c>
      <c r="AI168" s="3">
        <f t="shared" si="105"/>
        <v>-1211.1367489596305</v>
      </c>
      <c r="AJ168" s="3">
        <v>-0.81299999999999994</v>
      </c>
      <c r="AK168" s="3">
        <v>-0.76500000000000001</v>
      </c>
      <c r="AL168" s="3">
        <f t="shared" si="106"/>
        <v>4.7999999999999932E-2</v>
      </c>
      <c r="AM168" s="3">
        <v>94.114540000000005</v>
      </c>
      <c r="AN168" s="3">
        <v>148.07463000000001</v>
      </c>
      <c r="AO168" s="3">
        <v>147.25110000000001</v>
      </c>
      <c r="AP168" s="3">
        <f t="shared" si="107"/>
        <v>1.0982408020835173</v>
      </c>
      <c r="AQ168" s="3">
        <v>7.8010000000000002</v>
      </c>
      <c r="AR168" s="3">
        <v>1.7198489400000001</v>
      </c>
      <c r="AS168" s="3">
        <v>-959.76900000000001</v>
      </c>
      <c r="AT168" s="3">
        <v>-958.05</v>
      </c>
      <c r="AU168" s="3">
        <f t="shared" si="82"/>
        <v>-1.7190000000000509</v>
      </c>
      <c r="AV168" s="3">
        <v>-0.317</v>
      </c>
      <c r="AW168" s="3">
        <v>-0.45</v>
      </c>
      <c r="AX168" s="3">
        <f t="shared" si="83"/>
        <v>0.13300000000000001</v>
      </c>
      <c r="AY168" s="3">
        <v>-2.4E-2</v>
      </c>
      <c r="AZ168" s="3">
        <v>0.13500000000000001</v>
      </c>
      <c r="BA168" s="3">
        <f t="shared" si="84"/>
        <v>-0.159</v>
      </c>
      <c r="BB168" s="3">
        <f t="shared" si="117"/>
        <v>0.17050000000000001</v>
      </c>
      <c r="BC168" s="3">
        <f t="shared" si="117"/>
        <v>0.1575</v>
      </c>
      <c r="BD168" s="3">
        <f t="shared" si="86"/>
        <v>1.3000000000000012E-2</v>
      </c>
      <c r="BE168" s="3">
        <f t="shared" si="118"/>
        <v>0.29299999999999998</v>
      </c>
      <c r="BF168" s="3">
        <f t="shared" si="118"/>
        <v>0.58499999999999996</v>
      </c>
      <c r="BG168" s="3">
        <f t="shared" si="88"/>
        <v>-0.29199999999999998</v>
      </c>
      <c r="BH168" s="3">
        <f t="shared" si="119"/>
        <v>-0.17050000000000001</v>
      </c>
      <c r="BI168" s="3">
        <f t="shared" si="119"/>
        <v>-0.1575</v>
      </c>
      <c r="BJ168" s="3">
        <f t="shared" si="113"/>
        <v>-1.3000000000000012E-2</v>
      </c>
      <c r="BK168" s="3">
        <f t="shared" si="110"/>
        <v>4.9607935153583631E-2</v>
      </c>
      <c r="BL168" s="3">
        <f t="shared" si="111"/>
        <v>2.120192307692308E-2</v>
      </c>
      <c r="BM168" s="3">
        <f t="shared" si="90"/>
        <v>2.8406012076660551E-2</v>
      </c>
      <c r="BN168" s="3">
        <v>2.2370000000000001</v>
      </c>
      <c r="BO168" s="3">
        <v>2.431</v>
      </c>
      <c r="BP168" s="3">
        <f t="shared" si="91"/>
        <v>-0.19399999999999995</v>
      </c>
      <c r="BQ168" s="3">
        <v>-602243.07700000005</v>
      </c>
      <c r="BR168" s="3">
        <v>-601163.24300000002</v>
      </c>
      <c r="BS168" s="3">
        <f t="shared" si="92"/>
        <v>-1079.8340000000317</v>
      </c>
      <c r="BT168" s="3">
        <v>-602262.36399999994</v>
      </c>
      <c r="BU168" s="3">
        <v>-601182.38500000001</v>
      </c>
      <c r="BV168" s="3">
        <f t="shared" si="93"/>
        <v>-1079.9789999999339</v>
      </c>
    </row>
    <row r="169" spans="1:74" x14ac:dyDescent="0.25">
      <c r="A169" t="s">
        <v>348</v>
      </c>
      <c r="B169" t="s">
        <v>514</v>
      </c>
      <c r="C169" t="s">
        <v>103</v>
      </c>
      <c r="D169" s="3">
        <v>15.21</v>
      </c>
      <c r="E169" s="3">
        <v>0.69</v>
      </c>
      <c r="F169" s="3">
        <v>-302.35700000000003</v>
      </c>
      <c r="G169" s="3">
        <v>-304.34300000000002</v>
      </c>
      <c r="H169" s="3">
        <f t="shared" si="94"/>
        <v>-1.98599999999999</v>
      </c>
      <c r="I169" s="3">
        <v>-0.156</v>
      </c>
      <c r="J169" s="6">
        <v>-7.2999999999999995E-2</v>
      </c>
      <c r="K169" s="3">
        <f t="shared" si="95"/>
        <v>8.3000000000000004E-2</v>
      </c>
      <c r="L169" s="3">
        <v>0.18</v>
      </c>
      <c r="M169" s="6">
        <v>6.4000000000000001E-2</v>
      </c>
      <c r="N169" s="3">
        <f t="shared" si="96"/>
        <v>-0.11599999999999999</v>
      </c>
      <c r="O169" s="3">
        <f t="shared" si="97"/>
        <v>-1.1999999999999997E-2</v>
      </c>
      <c r="P169" s="3">
        <f t="shared" si="97"/>
        <v>4.4999999999999971E-3</v>
      </c>
      <c r="Q169" s="3">
        <f t="shared" si="98"/>
        <v>1.6499999999999994E-2</v>
      </c>
      <c r="R169" s="3">
        <f t="shared" si="99"/>
        <v>0.33599999999999997</v>
      </c>
      <c r="S169" s="3">
        <f t="shared" si="99"/>
        <v>0.13700000000000001</v>
      </c>
      <c r="T169" s="3">
        <f t="shared" si="100"/>
        <v>-0.19899999999999995</v>
      </c>
      <c r="U169" s="3">
        <f t="shared" si="101"/>
        <v>1.1999999999999997E-2</v>
      </c>
      <c r="V169" s="3">
        <f t="shared" si="101"/>
        <v>-4.4999999999999971E-3</v>
      </c>
      <c r="W169" s="3">
        <f t="shared" si="112"/>
        <v>-1.6499999999999994E-2</v>
      </c>
      <c r="X169" s="3">
        <f t="shared" si="108"/>
        <v>2.1428571428571419E-4</v>
      </c>
      <c r="Y169" s="3">
        <f t="shared" si="109"/>
        <v>7.3905109489050996E-5</v>
      </c>
      <c r="Z169" s="3">
        <f t="shared" si="102"/>
        <v>-1.403806047966632E-4</v>
      </c>
      <c r="AA169" s="3">
        <v>7.0330000000000004</v>
      </c>
      <c r="AB169" s="3">
        <v>5.3360000000000003</v>
      </c>
      <c r="AC169" s="3">
        <f t="shared" si="103"/>
        <v>-1.6970000000000001</v>
      </c>
      <c r="AD169" s="3">
        <f>-302.230842*627.50956</f>
        <v>-189652.74268184952</v>
      </c>
      <c r="AE169" s="3">
        <f>-304.225214*627.50956</f>
        <v>-190904.23017804584</v>
      </c>
      <c r="AF169" s="3">
        <f t="shared" si="104"/>
        <v>-1251.4874961963214</v>
      </c>
      <c r="AG169" s="3">
        <f>-302.26752*627.50956</f>
        <v>-189675.75847749118</v>
      </c>
      <c r="AH169" s="3">
        <f>-304.262764*627.50956</f>
        <v>-190927.79316202382</v>
      </c>
      <c r="AI169" s="3">
        <f t="shared" si="105"/>
        <v>-1252.0346845326421</v>
      </c>
      <c r="AJ169" s="3">
        <v>-0.75700000000000001</v>
      </c>
      <c r="AK169" s="3">
        <v>-0.73499999999999999</v>
      </c>
      <c r="AL169" s="3">
        <f t="shared" si="106"/>
        <v>2.200000000000002E-2</v>
      </c>
      <c r="AM169" s="3">
        <v>95.122479999999996</v>
      </c>
      <c r="AN169" s="3">
        <v>155.56370000000001</v>
      </c>
      <c r="AO169" s="3">
        <v>155.05563000000001</v>
      </c>
      <c r="AP169" s="3">
        <f t="shared" si="107"/>
        <v>1.1147372691283586</v>
      </c>
      <c r="AQ169" s="3">
        <v>8.2129999999999992</v>
      </c>
      <c r="AR169" s="3">
        <v>1.7169943999999999</v>
      </c>
      <c r="AS169" s="3">
        <v>-959.76900000000001</v>
      </c>
      <c r="AT169" s="3">
        <v>-958.05</v>
      </c>
      <c r="AU169" s="3">
        <f t="shared" si="82"/>
        <v>-1.7190000000000509</v>
      </c>
      <c r="AV169" s="3">
        <v>-0.317</v>
      </c>
      <c r="AW169" s="3">
        <v>-0.45</v>
      </c>
      <c r="AX169" s="3">
        <f t="shared" si="83"/>
        <v>0.13300000000000001</v>
      </c>
      <c r="AY169" s="3">
        <v>-2.4E-2</v>
      </c>
      <c r="AZ169" s="3">
        <v>0.13500000000000001</v>
      </c>
      <c r="BA169" s="3">
        <f t="shared" si="84"/>
        <v>-0.159</v>
      </c>
      <c r="BB169" s="3">
        <f t="shared" si="117"/>
        <v>0.17050000000000001</v>
      </c>
      <c r="BC169" s="3">
        <f t="shared" si="117"/>
        <v>0.1575</v>
      </c>
      <c r="BD169" s="3">
        <f t="shared" si="86"/>
        <v>1.3000000000000012E-2</v>
      </c>
      <c r="BE169" s="3">
        <f t="shared" si="118"/>
        <v>0.29299999999999998</v>
      </c>
      <c r="BF169" s="3">
        <f t="shared" si="118"/>
        <v>0.58499999999999996</v>
      </c>
      <c r="BG169" s="3">
        <f t="shared" si="88"/>
        <v>-0.29199999999999998</v>
      </c>
      <c r="BH169" s="3">
        <f t="shared" si="119"/>
        <v>-0.17050000000000001</v>
      </c>
      <c r="BI169" s="3">
        <f t="shared" si="119"/>
        <v>-0.1575</v>
      </c>
      <c r="BJ169" s="3">
        <f t="shared" si="113"/>
        <v>-1.3000000000000012E-2</v>
      </c>
      <c r="BK169" s="3">
        <f t="shared" si="110"/>
        <v>4.9607935153583631E-2</v>
      </c>
      <c r="BL169" s="3">
        <f t="shared" si="111"/>
        <v>2.120192307692308E-2</v>
      </c>
      <c r="BM169" s="3">
        <f t="shared" si="90"/>
        <v>2.8406012076660551E-2</v>
      </c>
      <c r="BN169" s="3">
        <v>2.2370000000000001</v>
      </c>
      <c r="BO169" s="3">
        <v>2.431</v>
      </c>
      <c r="BP169" s="3">
        <f t="shared" si="91"/>
        <v>-0.19399999999999995</v>
      </c>
      <c r="BQ169" s="3">
        <v>-602243.07700000005</v>
      </c>
      <c r="BR169" s="3">
        <v>-601163.24300000002</v>
      </c>
      <c r="BS169" s="3">
        <f t="shared" si="92"/>
        <v>-1079.8340000000317</v>
      </c>
      <c r="BT169" s="3">
        <v>-602262.36399999994</v>
      </c>
      <c r="BU169" s="3">
        <v>-601182.38500000001</v>
      </c>
      <c r="BV169" s="3">
        <f t="shared" si="93"/>
        <v>-1079.9789999999339</v>
      </c>
    </row>
    <row r="170" spans="1:74" x14ac:dyDescent="0.25">
      <c r="A170" t="s">
        <v>364</v>
      </c>
      <c r="B170" t="s">
        <v>514</v>
      </c>
      <c r="C170" t="s">
        <v>99</v>
      </c>
      <c r="D170" s="3">
        <v>15.27</v>
      </c>
      <c r="E170" s="3">
        <v>0.63</v>
      </c>
      <c r="F170" s="3">
        <v>-212.38200000000001</v>
      </c>
      <c r="G170" s="3">
        <v>-213.869</v>
      </c>
      <c r="H170" s="3">
        <f t="shared" si="94"/>
        <v>-1.4869999999999948</v>
      </c>
      <c r="I170" s="3">
        <v>-0.39</v>
      </c>
      <c r="J170" s="6">
        <v>-0.24199999999999999</v>
      </c>
      <c r="K170" s="3">
        <f t="shared" si="95"/>
        <v>0.14800000000000002</v>
      </c>
      <c r="L170" s="3">
        <v>0.161</v>
      </c>
      <c r="M170" s="6">
        <v>4.4999999999999998E-2</v>
      </c>
      <c r="N170" s="3">
        <f t="shared" si="96"/>
        <v>-0.11600000000000001</v>
      </c>
      <c r="O170" s="3">
        <f t="shared" si="97"/>
        <v>0.1145</v>
      </c>
      <c r="P170" s="3">
        <f t="shared" si="97"/>
        <v>9.8500000000000004E-2</v>
      </c>
      <c r="Q170" s="3">
        <f t="shared" si="98"/>
        <v>-1.6E-2</v>
      </c>
      <c r="R170" s="3">
        <f t="shared" si="99"/>
        <v>0.55100000000000005</v>
      </c>
      <c r="S170" s="3">
        <f t="shared" si="99"/>
        <v>0.28699999999999998</v>
      </c>
      <c r="T170" s="3">
        <f t="shared" si="100"/>
        <v>-0.26400000000000007</v>
      </c>
      <c r="U170" s="3">
        <f t="shared" si="101"/>
        <v>-0.1145</v>
      </c>
      <c r="V170" s="3">
        <f t="shared" si="101"/>
        <v>-9.8500000000000004E-2</v>
      </c>
      <c r="W170" s="3">
        <f t="shared" si="112"/>
        <v>1.6E-2</v>
      </c>
      <c r="X170" s="3">
        <f t="shared" si="108"/>
        <v>1.1896778584392014E-2</v>
      </c>
      <c r="Y170" s="3">
        <f t="shared" si="109"/>
        <v>1.6902874564459932E-2</v>
      </c>
      <c r="Z170" s="3">
        <f t="shared" si="102"/>
        <v>5.0060959800679178E-3</v>
      </c>
      <c r="AA170" s="3">
        <v>1.73</v>
      </c>
      <c r="AB170" s="3">
        <v>1.6930000000000001</v>
      </c>
      <c r="AC170" s="3">
        <f t="shared" si="103"/>
        <v>-3.6999999999999922E-2</v>
      </c>
      <c r="AD170" s="3">
        <f>-212.215746*627.50956</f>
        <v>-133167.40939753174</v>
      </c>
      <c r="AE170" s="3">
        <f>-213.711808*627.50956</f>
        <v>-134106.20260488446</v>
      </c>
      <c r="AF170" s="3">
        <f t="shared" si="104"/>
        <v>-938.79320735271904</v>
      </c>
      <c r="AG170" s="3">
        <f>-212.253299*627.50956</f>
        <v>-133190.97426403844</v>
      </c>
      <c r="AH170" s="3">
        <f>-213.750012*627.50956</f>
        <v>-134130.1759801147</v>
      </c>
      <c r="AI170" s="3">
        <f t="shared" si="105"/>
        <v>-939.20171607626253</v>
      </c>
      <c r="AJ170" s="3">
        <v>-0.85699999999999998</v>
      </c>
      <c r="AK170" s="3">
        <v>-0.85299999999999998</v>
      </c>
      <c r="AL170" s="3">
        <f t="shared" si="106"/>
        <v>4.0000000000000036E-3</v>
      </c>
      <c r="AM170" s="3">
        <v>73.136840000000007</v>
      </c>
      <c r="AN170" s="3">
        <v>157.04393999999999</v>
      </c>
      <c r="AO170" s="3">
        <v>158.02459999999999</v>
      </c>
      <c r="AP170" s="3">
        <f t="shared" si="107"/>
        <v>1.1112045212737409</v>
      </c>
      <c r="AQ170" s="3">
        <v>9.1590000000000007</v>
      </c>
      <c r="AR170" s="3">
        <v>1.9605036</v>
      </c>
      <c r="AS170" s="3">
        <v>-132.80099999999999</v>
      </c>
      <c r="AT170" s="3">
        <v>-131.97</v>
      </c>
      <c r="AU170" s="3">
        <f t="shared" si="82"/>
        <v>-0.83099999999998886</v>
      </c>
      <c r="AV170" s="3">
        <v>-0.34100000000000003</v>
      </c>
      <c r="AW170" s="3">
        <v>-0.47499999999999998</v>
      </c>
      <c r="AX170" s="3">
        <f t="shared" si="83"/>
        <v>0.13399999999999995</v>
      </c>
      <c r="AY170" s="3">
        <v>2.9000000000000001E-2</v>
      </c>
      <c r="AZ170" s="3">
        <v>0.156</v>
      </c>
      <c r="BA170" s="3">
        <f t="shared" si="84"/>
        <v>-0.127</v>
      </c>
      <c r="BB170" s="3">
        <f t="shared" si="117"/>
        <v>0.156</v>
      </c>
      <c r="BC170" s="3">
        <f t="shared" si="117"/>
        <v>0.15949999999999998</v>
      </c>
      <c r="BD170" s="3">
        <f t="shared" si="86"/>
        <v>-3.4999999999999754E-3</v>
      </c>
      <c r="BE170" s="3">
        <f t="shared" si="118"/>
        <v>0.37000000000000005</v>
      </c>
      <c r="BF170" s="3">
        <f t="shared" si="118"/>
        <v>0.63100000000000001</v>
      </c>
      <c r="BG170" s="3">
        <f t="shared" si="88"/>
        <v>-0.26099999999999995</v>
      </c>
      <c r="BH170" s="3">
        <f t="shared" si="119"/>
        <v>-0.156</v>
      </c>
      <c r="BI170" s="3">
        <f t="shared" si="119"/>
        <v>-0.15949999999999998</v>
      </c>
      <c r="BJ170" s="3">
        <f t="shared" si="113"/>
        <v>3.4999999999999754E-3</v>
      </c>
      <c r="BK170" s="3">
        <f t="shared" si="110"/>
        <v>3.2886486486486483E-2</v>
      </c>
      <c r="BL170" s="3">
        <f t="shared" si="111"/>
        <v>2.0158676703645E-2</v>
      </c>
      <c r="BM170" s="3">
        <f t="shared" si="90"/>
        <v>1.2727809782841482E-2</v>
      </c>
      <c r="BN170" s="3">
        <v>4.7279999999999998</v>
      </c>
      <c r="BO170" s="3">
        <v>4.9340000000000002</v>
      </c>
      <c r="BP170" s="3">
        <f t="shared" si="91"/>
        <v>-0.20600000000000041</v>
      </c>
      <c r="BQ170" s="3">
        <v>-83302.89</v>
      </c>
      <c r="BR170" s="3">
        <v>-82779.224000000002</v>
      </c>
      <c r="BS170" s="3">
        <f t="shared" si="92"/>
        <v>-523.66599999999744</v>
      </c>
      <c r="BT170" s="3">
        <v>-83320.774999999994</v>
      </c>
      <c r="BU170" s="3">
        <v>-82796.997000000003</v>
      </c>
      <c r="BV170" s="3">
        <f t="shared" si="93"/>
        <v>-523.77799999999115</v>
      </c>
    </row>
    <row r="171" spans="1:74" x14ac:dyDescent="0.25">
      <c r="A171" t="s">
        <v>322</v>
      </c>
      <c r="B171" t="s">
        <v>514</v>
      </c>
      <c r="C171" t="s">
        <v>200</v>
      </c>
      <c r="D171" s="3">
        <v>15.28</v>
      </c>
      <c r="E171" s="3">
        <v>0.65</v>
      </c>
      <c r="F171" s="3">
        <v>-324.84399999999999</v>
      </c>
      <c r="G171" s="3">
        <v>-327.00200000000001</v>
      </c>
      <c r="H171" s="3">
        <f t="shared" si="94"/>
        <v>-2.1580000000000155</v>
      </c>
      <c r="I171" s="3">
        <v>-0.33100000000000002</v>
      </c>
      <c r="J171" s="6">
        <v>-0.24199999999999999</v>
      </c>
      <c r="K171" s="3">
        <f t="shared" si="95"/>
        <v>8.9000000000000024E-2</v>
      </c>
      <c r="L171" s="3">
        <v>0.127</v>
      </c>
      <c r="M171" s="6">
        <v>-1.2E-2</v>
      </c>
      <c r="N171" s="3">
        <f t="shared" si="96"/>
        <v>-0.13900000000000001</v>
      </c>
      <c r="O171" s="3">
        <f t="shared" si="97"/>
        <v>0.10200000000000001</v>
      </c>
      <c r="P171" s="3">
        <f t="shared" si="97"/>
        <v>0.127</v>
      </c>
      <c r="Q171" s="3">
        <f t="shared" si="98"/>
        <v>2.4999999999999994E-2</v>
      </c>
      <c r="R171" s="3">
        <f t="shared" si="99"/>
        <v>0.45800000000000002</v>
      </c>
      <c r="S171" s="3">
        <f t="shared" si="99"/>
        <v>0.22999999999999998</v>
      </c>
      <c r="T171" s="3">
        <f t="shared" si="100"/>
        <v>-0.22800000000000004</v>
      </c>
      <c r="U171" s="3">
        <f t="shared" si="101"/>
        <v>-0.10200000000000001</v>
      </c>
      <c r="V171" s="3">
        <f t="shared" si="101"/>
        <v>-0.127</v>
      </c>
      <c r="W171" s="3">
        <f t="shared" si="112"/>
        <v>-2.4999999999999994E-2</v>
      </c>
      <c r="X171" s="3">
        <f t="shared" si="108"/>
        <v>1.1358078602620088E-2</v>
      </c>
      <c r="Y171" s="3">
        <f t="shared" si="109"/>
        <v>3.5063043478260877E-2</v>
      </c>
      <c r="Z171" s="3">
        <f t="shared" si="102"/>
        <v>2.3704964875640791E-2</v>
      </c>
      <c r="AA171" s="3">
        <v>1.847</v>
      </c>
      <c r="AB171" s="3">
        <v>1.9790000000000001</v>
      </c>
      <c r="AC171" s="3">
        <f t="shared" si="103"/>
        <v>0.13200000000000012</v>
      </c>
      <c r="AD171" s="3">
        <f>-324.681066*627.50956</f>
        <v>-203740.47286599095</v>
      </c>
      <c r="AE171" s="3">
        <f>-326.848096*627.50956</f>
        <v>-205100.30490779775</v>
      </c>
      <c r="AF171" s="3">
        <f t="shared" si="104"/>
        <v>-1359.8320418068033</v>
      </c>
      <c r="AG171" s="3">
        <f>-324.720866*627.50956</f>
        <v>-203765.44774647895</v>
      </c>
      <c r="AH171" s="3">
        <f>-326.888307*627.50956</f>
        <v>-205125.53769471491</v>
      </c>
      <c r="AI171" s="3">
        <f t="shared" si="105"/>
        <v>-1360.0899482359528</v>
      </c>
      <c r="AJ171" s="3">
        <v>-0.85</v>
      </c>
      <c r="AK171" s="3">
        <v>-0.85099999999999998</v>
      </c>
      <c r="AL171" s="3">
        <f t="shared" si="106"/>
        <v>-1.0000000000000009E-3</v>
      </c>
      <c r="AM171" s="3">
        <v>107.15306</v>
      </c>
      <c r="AN171" s="3">
        <v>177.02029999999999</v>
      </c>
      <c r="AO171" s="3">
        <v>184.4058</v>
      </c>
      <c r="AP171" s="3">
        <f t="shared" si="107"/>
        <v>1.1300456081949544</v>
      </c>
      <c r="AQ171" s="3">
        <v>9.5220000000000002</v>
      </c>
      <c r="AR171" s="3">
        <v>2.0331380000000001</v>
      </c>
      <c r="AS171" s="3">
        <v>-553.27200000000005</v>
      </c>
      <c r="AT171" s="3">
        <v>-551.61699999999996</v>
      </c>
      <c r="AU171" s="3">
        <f t="shared" si="82"/>
        <v>-1.6550000000000864</v>
      </c>
      <c r="AV171" s="3">
        <v>-0.23699999999999999</v>
      </c>
      <c r="AW171" s="3">
        <v>-0.36899999999999999</v>
      </c>
      <c r="AX171" s="3">
        <f t="shared" si="83"/>
        <v>0.13200000000000001</v>
      </c>
      <c r="AY171" s="3">
        <v>2.8000000000000001E-2</v>
      </c>
      <c r="AZ171" s="3">
        <v>0.154</v>
      </c>
      <c r="BA171" s="3">
        <f t="shared" si="84"/>
        <v>-0.126</v>
      </c>
      <c r="BB171" s="3">
        <f t="shared" si="117"/>
        <v>0.1045</v>
      </c>
      <c r="BC171" s="3">
        <f t="shared" si="117"/>
        <v>0.1075</v>
      </c>
      <c r="BD171" s="3">
        <f t="shared" si="86"/>
        <v>-3.0000000000000027E-3</v>
      </c>
      <c r="BE171" s="3">
        <f t="shared" si="118"/>
        <v>0.26500000000000001</v>
      </c>
      <c r="BF171" s="3">
        <f t="shared" si="118"/>
        <v>0.52300000000000002</v>
      </c>
      <c r="BG171" s="3">
        <f t="shared" si="88"/>
        <v>-0.25800000000000001</v>
      </c>
      <c r="BH171" s="3">
        <f t="shared" si="119"/>
        <v>-0.1045</v>
      </c>
      <c r="BI171" s="3">
        <f t="shared" si="119"/>
        <v>-0.1075</v>
      </c>
      <c r="BJ171" s="3">
        <f t="shared" si="113"/>
        <v>3.0000000000000027E-3</v>
      </c>
      <c r="BK171" s="3">
        <f t="shared" si="110"/>
        <v>2.0604245283018865E-2</v>
      </c>
      <c r="BL171" s="3">
        <f t="shared" si="111"/>
        <v>1.104804015296367E-2</v>
      </c>
      <c r="BM171" s="3">
        <f t="shared" si="90"/>
        <v>9.5562051300551957E-3</v>
      </c>
      <c r="BN171" s="3">
        <v>5.4870000000000001</v>
      </c>
      <c r="BO171" s="3">
        <v>6.0839999999999996</v>
      </c>
      <c r="BP171" s="3">
        <f t="shared" si="91"/>
        <v>-0.59699999999999953</v>
      </c>
      <c r="BQ171" s="3">
        <v>-347129.96399999998</v>
      </c>
      <c r="BR171" s="3">
        <v>-346087.64600000001</v>
      </c>
      <c r="BS171" s="3">
        <f t="shared" si="92"/>
        <v>-1042.3179999999702</v>
      </c>
      <c r="BT171" s="3">
        <v>-347152.04599999997</v>
      </c>
      <c r="BU171" s="3">
        <v>-346109.22600000002</v>
      </c>
      <c r="BV171" s="3">
        <f t="shared" si="93"/>
        <v>-1042.8199999999488</v>
      </c>
    </row>
    <row r="172" spans="1:74" x14ac:dyDescent="0.25">
      <c r="A172" t="s">
        <v>365</v>
      </c>
      <c r="B172" t="s">
        <v>514</v>
      </c>
      <c r="C172" t="s">
        <v>99</v>
      </c>
      <c r="D172" s="3">
        <v>15.29</v>
      </c>
      <c r="E172" s="3">
        <v>0.7</v>
      </c>
      <c r="F172" s="3">
        <v>-459.13400000000001</v>
      </c>
      <c r="G172" s="3">
        <v>-462.21800000000002</v>
      </c>
      <c r="H172" s="3">
        <f t="shared" si="94"/>
        <v>-3.0840000000000032</v>
      </c>
      <c r="I172" s="3">
        <v>-0.32200000000000001</v>
      </c>
      <c r="J172" s="6">
        <v>-0.20799999999999999</v>
      </c>
      <c r="K172" s="3">
        <f t="shared" si="95"/>
        <v>0.11400000000000002</v>
      </c>
      <c r="L172" s="3">
        <v>0.153</v>
      </c>
      <c r="M172" s="6">
        <v>2.5999999999999999E-2</v>
      </c>
      <c r="N172" s="3">
        <f t="shared" si="96"/>
        <v>-0.127</v>
      </c>
      <c r="O172" s="3">
        <f t="shared" si="97"/>
        <v>8.4500000000000006E-2</v>
      </c>
      <c r="P172" s="3">
        <f t="shared" si="97"/>
        <v>9.0999999999999998E-2</v>
      </c>
      <c r="Q172" s="3">
        <f t="shared" si="98"/>
        <v>6.4999999999999919E-3</v>
      </c>
      <c r="R172" s="3">
        <f t="shared" si="99"/>
        <v>0.47499999999999998</v>
      </c>
      <c r="S172" s="3">
        <f t="shared" si="99"/>
        <v>0.23399999999999999</v>
      </c>
      <c r="T172" s="3">
        <f t="shared" si="100"/>
        <v>-0.24099999999999999</v>
      </c>
      <c r="U172" s="3">
        <f t="shared" si="101"/>
        <v>-8.4500000000000006E-2</v>
      </c>
      <c r="V172" s="3">
        <f t="shared" si="101"/>
        <v>-9.0999999999999998E-2</v>
      </c>
      <c r="W172" s="3">
        <f t="shared" si="112"/>
        <v>-6.4999999999999919E-3</v>
      </c>
      <c r="X172" s="3">
        <f t="shared" si="108"/>
        <v>7.5160526315789485E-3</v>
      </c>
      <c r="Y172" s="3">
        <f t="shared" si="109"/>
        <v>1.7694444444444447E-2</v>
      </c>
      <c r="Z172" s="3">
        <f t="shared" si="102"/>
        <v>1.0178391812865499E-2</v>
      </c>
      <c r="AA172" s="3">
        <v>4.4290000000000003</v>
      </c>
      <c r="AB172" s="3">
        <v>4.43</v>
      </c>
      <c r="AC172" s="3">
        <f t="shared" si="103"/>
        <v>9.9999999999944578E-4</v>
      </c>
      <c r="AD172" s="3">
        <f>-458.862259*627.50956</f>
        <v>-287940.45424569602</v>
      </c>
      <c r="AE172" s="3">
        <f>-461.963085*627.50956</f>
        <v>-289886.25220459257</v>
      </c>
      <c r="AF172" s="3">
        <f t="shared" si="104"/>
        <v>-1945.7979588965536</v>
      </c>
      <c r="AG172" s="3">
        <f>-458.907231*627.50956</f>
        <v>-287968.67460562836</v>
      </c>
      <c r="AH172" s="3">
        <f>-462.009163*627.50956</f>
        <v>-289915.16659009829</v>
      </c>
      <c r="AI172" s="3">
        <f t="shared" si="105"/>
        <v>-1946.4919844699325</v>
      </c>
      <c r="AJ172" s="3">
        <v>-0.70399999999999996</v>
      </c>
      <c r="AK172" s="3">
        <v>-0.62</v>
      </c>
      <c r="AL172" s="3">
        <f t="shared" si="106"/>
        <v>8.3999999999999964E-2</v>
      </c>
      <c r="AM172" s="3">
        <v>152.23674</v>
      </c>
      <c r="AN172" s="3">
        <v>221.73199</v>
      </c>
      <c r="AO172" s="3">
        <v>258.98257000000001</v>
      </c>
      <c r="AP172" s="3">
        <f t="shared" si="107"/>
        <v>1.128679440661666</v>
      </c>
      <c r="AQ172" s="3">
        <v>9.5370000000000008</v>
      </c>
      <c r="AR172" s="3">
        <v>2.2625920000000002</v>
      </c>
      <c r="AS172" s="3">
        <v>-132.80099999999999</v>
      </c>
      <c r="AT172" s="3">
        <v>-131.97</v>
      </c>
      <c r="AU172" s="3">
        <f t="shared" si="82"/>
        <v>-0.83099999999998886</v>
      </c>
      <c r="AV172" s="3">
        <v>-0.34100000000000003</v>
      </c>
      <c r="AW172" s="3">
        <v>-0.47499999999999998</v>
      </c>
      <c r="AX172" s="3">
        <f t="shared" si="83"/>
        <v>0.13399999999999995</v>
      </c>
      <c r="AY172" s="3">
        <v>2.9000000000000001E-2</v>
      </c>
      <c r="AZ172" s="3">
        <v>0.156</v>
      </c>
      <c r="BA172" s="3">
        <f t="shared" si="84"/>
        <v>-0.127</v>
      </c>
      <c r="BB172" s="3">
        <f t="shared" si="117"/>
        <v>0.156</v>
      </c>
      <c r="BC172" s="3">
        <f t="shared" si="117"/>
        <v>0.15949999999999998</v>
      </c>
      <c r="BD172" s="3">
        <f t="shared" si="86"/>
        <v>-3.4999999999999754E-3</v>
      </c>
      <c r="BE172" s="3">
        <f t="shared" si="118"/>
        <v>0.37000000000000005</v>
      </c>
      <c r="BF172" s="3">
        <f t="shared" si="118"/>
        <v>0.63100000000000001</v>
      </c>
      <c r="BG172" s="3">
        <f t="shared" si="88"/>
        <v>-0.26099999999999995</v>
      </c>
      <c r="BH172" s="3">
        <f t="shared" si="119"/>
        <v>-0.156</v>
      </c>
      <c r="BI172" s="3">
        <f t="shared" si="119"/>
        <v>-0.15949999999999998</v>
      </c>
      <c r="BJ172" s="3">
        <f t="shared" si="113"/>
        <v>3.4999999999999754E-3</v>
      </c>
      <c r="BK172" s="3">
        <f t="shared" si="110"/>
        <v>3.2886486486486483E-2</v>
      </c>
      <c r="BL172" s="3">
        <f t="shared" si="111"/>
        <v>2.0158676703645E-2</v>
      </c>
      <c r="BM172" s="3">
        <f t="shared" si="90"/>
        <v>1.2727809782841482E-2</v>
      </c>
      <c r="BN172" s="3">
        <v>4.7279999999999998</v>
      </c>
      <c r="BO172" s="3">
        <v>4.9340000000000002</v>
      </c>
      <c r="BP172" s="3">
        <f t="shared" si="91"/>
        <v>-0.20600000000000041</v>
      </c>
      <c r="BQ172" s="3">
        <v>-83302.89</v>
      </c>
      <c r="BR172" s="3">
        <v>-82779.224000000002</v>
      </c>
      <c r="BS172" s="3">
        <f t="shared" si="92"/>
        <v>-523.66599999999744</v>
      </c>
      <c r="BT172" s="3">
        <v>-83320.774999999994</v>
      </c>
      <c r="BU172" s="3">
        <v>-82796.997000000003</v>
      </c>
      <c r="BV172" s="3">
        <f t="shared" si="93"/>
        <v>-523.77799999999115</v>
      </c>
    </row>
    <row r="173" spans="1:74" x14ac:dyDescent="0.25">
      <c r="A173" t="s">
        <v>366</v>
      </c>
      <c r="B173" t="s">
        <v>514</v>
      </c>
      <c r="C173" t="s">
        <v>103</v>
      </c>
      <c r="D173" s="3">
        <v>15.3</v>
      </c>
      <c r="E173" s="3">
        <v>0.55000000000000004</v>
      </c>
      <c r="F173" s="3">
        <v>-1389.278</v>
      </c>
      <c r="G173" s="3">
        <v>-1396.4659999999999</v>
      </c>
      <c r="H173" s="3">
        <f t="shared" si="94"/>
        <v>-7.1879999999998745</v>
      </c>
      <c r="I173" s="3">
        <v>-0.28799999999999998</v>
      </c>
      <c r="J173" s="6">
        <v>-0.20599999999999999</v>
      </c>
      <c r="K173" s="3">
        <f t="shared" si="95"/>
        <v>8.199999999999999E-2</v>
      </c>
      <c r="L173" s="3">
        <v>0.11700000000000001</v>
      </c>
      <c r="M173" s="6">
        <v>-2.3E-2</v>
      </c>
      <c r="N173" s="3">
        <f t="shared" si="96"/>
        <v>-0.14000000000000001</v>
      </c>
      <c r="O173" s="3">
        <f t="shared" si="97"/>
        <v>8.5499999999999993E-2</v>
      </c>
      <c r="P173" s="3">
        <f t="shared" si="97"/>
        <v>0.11449999999999999</v>
      </c>
      <c r="Q173" s="3">
        <f t="shared" si="98"/>
        <v>2.8999999999999998E-2</v>
      </c>
      <c r="R173" s="3">
        <f t="shared" si="99"/>
        <v>0.40499999999999997</v>
      </c>
      <c r="S173" s="3">
        <f t="shared" si="99"/>
        <v>0.183</v>
      </c>
      <c r="T173" s="3">
        <f t="shared" si="100"/>
        <v>-0.22199999999999998</v>
      </c>
      <c r="U173" s="3">
        <f t="shared" si="101"/>
        <v>-8.5499999999999993E-2</v>
      </c>
      <c r="V173" s="3">
        <f t="shared" si="101"/>
        <v>-0.11449999999999999</v>
      </c>
      <c r="W173" s="3">
        <f t="shared" si="112"/>
        <v>-2.8999999999999998E-2</v>
      </c>
      <c r="X173" s="3">
        <f t="shared" si="108"/>
        <v>9.025E-3</v>
      </c>
      <c r="Y173" s="3">
        <f t="shared" si="109"/>
        <v>3.5820355191256828E-2</v>
      </c>
      <c r="Z173" s="3">
        <f t="shared" si="102"/>
        <v>2.679535519125683E-2</v>
      </c>
      <c r="AA173" s="3">
        <v>5.3369999999999997</v>
      </c>
      <c r="AB173" s="3">
        <v>4.8079999999999998</v>
      </c>
      <c r="AC173" s="3">
        <f t="shared" si="103"/>
        <v>-0.52899999999999991</v>
      </c>
      <c r="AD173" s="3">
        <f>-1388.858802*627.50956</f>
        <v>-871522.17574514705</v>
      </c>
      <c r="AE173" s="3">
        <f>-1396.071574*627.50956</f>
        <v>-876048.2591292474</v>
      </c>
      <c r="AF173" s="3">
        <f t="shared" si="104"/>
        <v>-4526.0833841003478</v>
      </c>
      <c r="AG173" s="3">
        <f>-1388.929784*627.50956</f>
        <v>-871566.717628735</v>
      </c>
      <c r="AH173" s="3">
        <f>-1396.14538*627.50956</f>
        <v>-876094.57309983275</v>
      </c>
      <c r="AI173" s="3">
        <f t="shared" si="105"/>
        <v>-4527.8554710977478</v>
      </c>
      <c r="AJ173" s="3">
        <v>-0.68400000000000005</v>
      </c>
      <c r="AK173" s="3">
        <v>-0.59599999999999997</v>
      </c>
      <c r="AL173" s="3">
        <f t="shared" si="106"/>
        <v>8.8000000000000078E-2</v>
      </c>
      <c r="AM173" s="3">
        <v>356.48329999999999</v>
      </c>
      <c r="AN173" s="3">
        <v>412.08640000000003</v>
      </c>
      <c r="AO173" s="3">
        <v>506.32837000000001</v>
      </c>
      <c r="AP173" s="3">
        <f t="shared" si="107"/>
        <v>1.3415989949595002</v>
      </c>
      <c r="AQ173" s="3">
        <v>15.936</v>
      </c>
      <c r="AR173" s="3">
        <v>4.0949947</v>
      </c>
      <c r="AS173" s="3">
        <v>-959.76900000000001</v>
      </c>
      <c r="AT173" s="3">
        <v>-958.05</v>
      </c>
      <c r="AU173" s="3">
        <f t="shared" si="82"/>
        <v>-1.7190000000000509</v>
      </c>
      <c r="AV173" s="3">
        <v>-0.317</v>
      </c>
      <c r="AW173" s="3">
        <v>-0.45</v>
      </c>
      <c r="AX173" s="3">
        <f t="shared" si="83"/>
        <v>0.13300000000000001</v>
      </c>
      <c r="AY173" s="3">
        <v>-2.4E-2</v>
      </c>
      <c r="AZ173" s="3">
        <v>0.13500000000000001</v>
      </c>
      <c r="BA173" s="3">
        <f t="shared" si="84"/>
        <v>-0.159</v>
      </c>
      <c r="BB173" s="3">
        <f t="shared" si="117"/>
        <v>0.17050000000000001</v>
      </c>
      <c r="BC173" s="3">
        <f t="shared" si="117"/>
        <v>0.1575</v>
      </c>
      <c r="BD173" s="3">
        <f t="shared" si="86"/>
        <v>1.3000000000000012E-2</v>
      </c>
      <c r="BE173" s="3">
        <f t="shared" si="118"/>
        <v>0.29299999999999998</v>
      </c>
      <c r="BF173" s="3">
        <f t="shared" si="118"/>
        <v>0.58499999999999996</v>
      </c>
      <c r="BG173" s="3">
        <f t="shared" si="88"/>
        <v>-0.29199999999999998</v>
      </c>
      <c r="BH173" s="3">
        <f t="shared" si="119"/>
        <v>-0.17050000000000001</v>
      </c>
      <c r="BI173" s="3">
        <f t="shared" si="119"/>
        <v>-0.1575</v>
      </c>
      <c r="BJ173" s="3">
        <f t="shared" si="113"/>
        <v>-1.3000000000000012E-2</v>
      </c>
      <c r="BK173" s="3">
        <f t="shared" si="110"/>
        <v>4.9607935153583631E-2</v>
      </c>
      <c r="BL173" s="3">
        <f t="shared" si="111"/>
        <v>2.120192307692308E-2</v>
      </c>
      <c r="BM173" s="3">
        <f t="shared" si="90"/>
        <v>2.8406012076660551E-2</v>
      </c>
      <c r="BN173" s="3">
        <v>2.2370000000000001</v>
      </c>
      <c r="BO173" s="3">
        <v>2.431</v>
      </c>
      <c r="BP173" s="3">
        <f t="shared" si="91"/>
        <v>-0.19399999999999995</v>
      </c>
      <c r="BQ173" s="3">
        <v>-602243.07700000005</v>
      </c>
      <c r="BR173" s="3">
        <v>-601163.24300000002</v>
      </c>
      <c r="BS173" s="3">
        <f t="shared" si="92"/>
        <v>-1079.8340000000317</v>
      </c>
      <c r="BT173" s="3">
        <v>-602262.36399999994</v>
      </c>
      <c r="BU173" s="3">
        <v>-601182.38500000001</v>
      </c>
      <c r="BV173" s="3">
        <f t="shared" si="93"/>
        <v>-1079.9789999999339</v>
      </c>
    </row>
    <row r="174" spans="1:74" x14ac:dyDescent="0.25">
      <c r="A174" t="s">
        <v>367</v>
      </c>
      <c r="B174" t="s">
        <v>514</v>
      </c>
      <c r="C174" t="s">
        <v>99</v>
      </c>
      <c r="D174" s="3">
        <v>15.39</v>
      </c>
      <c r="E174" s="3">
        <v>0.6</v>
      </c>
      <c r="F174" s="3">
        <v>-869.36599999999999</v>
      </c>
      <c r="G174" s="3">
        <v>-874.73599999999999</v>
      </c>
      <c r="H174" s="3">
        <f t="shared" si="94"/>
        <v>-5.3700000000000045</v>
      </c>
      <c r="I174" s="3">
        <v>-0.308</v>
      </c>
      <c r="J174" s="6">
        <v>-0.215</v>
      </c>
      <c r="K174" s="3">
        <f t="shared" si="95"/>
        <v>9.2999999999999999E-2</v>
      </c>
      <c r="L174" s="3">
        <v>0.121</v>
      </c>
      <c r="M174" s="6">
        <v>-0.03</v>
      </c>
      <c r="N174" s="3">
        <f t="shared" si="96"/>
        <v>-0.151</v>
      </c>
      <c r="O174" s="3">
        <f t="shared" si="97"/>
        <v>9.35E-2</v>
      </c>
      <c r="P174" s="3">
        <f t="shared" si="97"/>
        <v>0.1225</v>
      </c>
      <c r="Q174" s="3">
        <f t="shared" si="98"/>
        <v>2.8999999999999998E-2</v>
      </c>
      <c r="R174" s="3">
        <f t="shared" si="99"/>
        <v>0.42899999999999999</v>
      </c>
      <c r="S174" s="3">
        <f t="shared" si="99"/>
        <v>0.185</v>
      </c>
      <c r="T174" s="3">
        <f t="shared" si="100"/>
        <v>-0.24399999999999999</v>
      </c>
      <c r="U174" s="3">
        <f t="shared" si="101"/>
        <v>-9.35E-2</v>
      </c>
      <c r="V174" s="3">
        <f t="shared" si="101"/>
        <v>-0.1225</v>
      </c>
      <c r="W174" s="3">
        <f t="shared" si="112"/>
        <v>-2.8999999999999998E-2</v>
      </c>
      <c r="X174" s="3">
        <f t="shared" si="108"/>
        <v>1.0189102564102564E-2</v>
      </c>
      <c r="Y174" s="3">
        <f t="shared" si="109"/>
        <v>4.0557432432432428E-2</v>
      </c>
      <c r="Z174" s="3">
        <f t="shared" si="102"/>
        <v>3.0368329868329866E-2</v>
      </c>
      <c r="AA174" s="3">
        <v>2.133</v>
      </c>
      <c r="AB174" s="3">
        <v>3.2309999999999999</v>
      </c>
      <c r="AC174" s="3">
        <f t="shared" si="103"/>
        <v>1.0979999999999999</v>
      </c>
      <c r="AD174" s="3">
        <f>-869.042229*627.50956</f>
        <v>-545332.30674120924</v>
      </c>
      <c r="AE174" s="3">
        <f>-874.431749*627.50956</f>
        <v>-548714.28206502041</v>
      </c>
      <c r="AF174" s="3">
        <f t="shared" si="104"/>
        <v>-3381.9753238111734</v>
      </c>
      <c r="AG174" s="3">
        <f>-869.102347*627.50956</f>
        <v>-545370.03136093728</v>
      </c>
      <c r="AH174" s="3">
        <f>-874.493312*627.50956</f>
        <v>-548752.91343606263</v>
      </c>
      <c r="AI174" s="3">
        <f t="shared" si="105"/>
        <v>-3382.8820751253515</v>
      </c>
      <c r="AJ174" s="3">
        <v>-0.58199999999999996</v>
      </c>
      <c r="AK174" s="3">
        <v>-0.51300000000000001</v>
      </c>
      <c r="AL174" s="3">
        <f t="shared" si="106"/>
        <v>6.899999999999995E-2</v>
      </c>
      <c r="AM174" s="3">
        <v>260.29174</v>
      </c>
      <c r="AN174" s="3">
        <v>296.63619999999997</v>
      </c>
      <c r="AO174" s="3">
        <v>357.44164999999998</v>
      </c>
      <c r="AP174" s="3">
        <f t="shared" si="107"/>
        <v>1.2180823826898226</v>
      </c>
      <c r="AQ174" s="3">
        <v>12.087999999999999</v>
      </c>
      <c r="AR174" s="3">
        <v>3.0646591999999999</v>
      </c>
      <c r="AS174" s="3">
        <v>-132.80099999999999</v>
      </c>
      <c r="AT174" s="3">
        <v>-131.97</v>
      </c>
      <c r="AU174" s="3">
        <f t="shared" si="82"/>
        <v>-0.83099999999998886</v>
      </c>
      <c r="AV174" s="3">
        <v>-0.34100000000000003</v>
      </c>
      <c r="AW174" s="3">
        <v>-0.47499999999999998</v>
      </c>
      <c r="AX174" s="3">
        <f t="shared" si="83"/>
        <v>0.13399999999999995</v>
      </c>
      <c r="AY174" s="3">
        <v>2.9000000000000001E-2</v>
      </c>
      <c r="AZ174" s="3">
        <v>0.156</v>
      </c>
      <c r="BA174" s="3">
        <f t="shared" si="84"/>
        <v>-0.127</v>
      </c>
      <c r="BB174" s="3">
        <f t="shared" si="117"/>
        <v>0.156</v>
      </c>
      <c r="BC174" s="3">
        <f t="shared" si="117"/>
        <v>0.15949999999999998</v>
      </c>
      <c r="BD174" s="3">
        <f t="shared" si="86"/>
        <v>-3.4999999999999754E-3</v>
      </c>
      <c r="BE174" s="3">
        <f t="shared" si="118"/>
        <v>0.37000000000000005</v>
      </c>
      <c r="BF174" s="3">
        <f t="shared" si="118"/>
        <v>0.63100000000000001</v>
      </c>
      <c r="BG174" s="3">
        <f t="shared" si="88"/>
        <v>-0.26099999999999995</v>
      </c>
      <c r="BH174" s="3">
        <f t="shared" si="119"/>
        <v>-0.156</v>
      </c>
      <c r="BI174" s="3">
        <f t="shared" si="119"/>
        <v>-0.15949999999999998</v>
      </c>
      <c r="BJ174" s="3">
        <f t="shared" si="113"/>
        <v>3.4999999999999754E-3</v>
      </c>
      <c r="BK174" s="3">
        <f t="shared" si="110"/>
        <v>3.2886486486486483E-2</v>
      </c>
      <c r="BL174" s="3">
        <f t="shared" si="111"/>
        <v>2.0158676703645E-2</v>
      </c>
      <c r="BM174" s="3">
        <f t="shared" si="90"/>
        <v>1.2727809782841482E-2</v>
      </c>
      <c r="BN174" s="3">
        <v>4.7279999999999998</v>
      </c>
      <c r="BO174" s="3">
        <v>4.9340000000000002</v>
      </c>
      <c r="BP174" s="3">
        <f t="shared" si="91"/>
        <v>-0.20600000000000041</v>
      </c>
      <c r="BQ174" s="3">
        <v>-83302.89</v>
      </c>
      <c r="BR174" s="3">
        <v>-82779.224000000002</v>
      </c>
      <c r="BS174" s="3">
        <f t="shared" si="92"/>
        <v>-523.66599999999744</v>
      </c>
      <c r="BT174" s="3">
        <v>-83320.774999999994</v>
      </c>
      <c r="BU174" s="3">
        <v>-82796.997000000003</v>
      </c>
      <c r="BV174" s="3">
        <f t="shared" si="93"/>
        <v>-523.77799999999115</v>
      </c>
    </row>
    <row r="175" spans="1:74" x14ac:dyDescent="0.25">
      <c r="A175" t="s">
        <v>368</v>
      </c>
      <c r="B175" t="s">
        <v>514</v>
      </c>
      <c r="C175" t="s">
        <v>200</v>
      </c>
      <c r="D175" s="3">
        <v>15.47</v>
      </c>
      <c r="E175" s="3">
        <v>0.65</v>
      </c>
      <c r="F175" s="3">
        <v>-248.22200000000001</v>
      </c>
      <c r="G175" s="3">
        <v>-249.78700000000001</v>
      </c>
      <c r="H175" s="3">
        <f t="shared" si="94"/>
        <v>-1.5649999999999977</v>
      </c>
      <c r="I175" s="3">
        <v>-0.39200000000000002</v>
      </c>
      <c r="J175" s="6">
        <v>-0.24299999999999999</v>
      </c>
      <c r="K175" s="3">
        <f t="shared" si="95"/>
        <v>0.14900000000000002</v>
      </c>
      <c r="L175" s="3">
        <v>0.157</v>
      </c>
      <c r="M175" s="6">
        <v>3.7999999999999999E-2</v>
      </c>
      <c r="N175" s="3">
        <f t="shared" si="96"/>
        <v>-0.11899999999999999</v>
      </c>
      <c r="O175" s="3">
        <f t="shared" si="97"/>
        <v>0.11750000000000001</v>
      </c>
      <c r="P175" s="3">
        <f t="shared" si="97"/>
        <v>0.10249999999999999</v>
      </c>
      <c r="Q175" s="3">
        <f t="shared" si="98"/>
        <v>-1.5000000000000013E-2</v>
      </c>
      <c r="R175" s="3">
        <f t="shared" si="99"/>
        <v>0.54900000000000004</v>
      </c>
      <c r="S175" s="3">
        <f t="shared" si="99"/>
        <v>0.28099999999999997</v>
      </c>
      <c r="T175" s="3">
        <f t="shared" si="100"/>
        <v>-0.26800000000000007</v>
      </c>
      <c r="U175" s="3">
        <f t="shared" si="101"/>
        <v>-0.11750000000000001</v>
      </c>
      <c r="V175" s="3">
        <f t="shared" si="101"/>
        <v>-0.10249999999999999</v>
      </c>
      <c r="W175" s="3">
        <f t="shared" si="112"/>
        <v>1.5000000000000013E-2</v>
      </c>
      <c r="X175" s="3">
        <f t="shared" si="108"/>
        <v>1.2573998178506376E-2</v>
      </c>
      <c r="Y175" s="3">
        <f t="shared" si="109"/>
        <v>1.8694395017793592E-2</v>
      </c>
      <c r="Z175" s="3">
        <f t="shared" si="102"/>
        <v>6.1203968392872163E-3</v>
      </c>
      <c r="AA175" s="3">
        <v>1.4379999999999999</v>
      </c>
      <c r="AB175" s="3">
        <v>1.34</v>
      </c>
      <c r="AC175" s="3">
        <f t="shared" si="103"/>
        <v>-9.7999999999999865E-2</v>
      </c>
      <c r="AD175" s="3">
        <f>-248.080747*627.50956</f>
        <v>-155673.04039444131</v>
      </c>
      <c r="AE175" s="3">
        <f>-249.654528*627.50956</f>
        <v>-156660.60301728768</v>
      </c>
      <c r="AF175" s="3">
        <f t="shared" si="104"/>
        <v>-987.56262284636614</v>
      </c>
      <c r="AG175" s="3">
        <f>-248.117053*627.50956</f>
        <v>-155695.82275652667</v>
      </c>
      <c r="AH175" s="3">
        <f>-249.691462*627.50956</f>
        <v>-156683.7794553767</v>
      </c>
      <c r="AI175" s="3">
        <f t="shared" si="105"/>
        <v>-987.95669885003008</v>
      </c>
      <c r="AJ175" s="3">
        <v>-0.85799999999999998</v>
      </c>
      <c r="AK175" s="3">
        <v>-0.85499999999999998</v>
      </c>
      <c r="AL175" s="3">
        <f t="shared" si="106"/>
        <v>3.0000000000000027E-3</v>
      </c>
      <c r="AM175" s="3">
        <v>75.109660000000005</v>
      </c>
      <c r="AN175" s="3">
        <v>141.85310000000001</v>
      </c>
      <c r="AO175" s="3">
        <v>139.95061000000001</v>
      </c>
      <c r="AP175" s="3">
        <f t="shared" si="107"/>
        <v>1.0883742320002789</v>
      </c>
      <c r="AQ175" s="3">
        <v>7.8609999999999998</v>
      </c>
      <c r="AR175" s="3">
        <v>1.6099132</v>
      </c>
      <c r="AS175" s="3">
        <v>-553.27200000000005</v>
      </c>
      <c r="AT175" s="3">
        <v>-551.61699999999996</v>
      </c>
      <c r="AU175" s="3">
        <f t="shared" si="82"/>
        <v>-1.6550000000000864</v>
      </c>
      <c r="AV175" s="3">
        <v>-0.23699999999999999</v>
      </c>
      <c r="AW175" s="3">
        <v>-0.36899999999999999</v>
      </c>
      <c r="AX175" s="3">
        <f t="shared" si="83"/>
        <v>0.13200000000000001</v>
      </c>
      <c r="AY175" s="3">
        <v>2.8000000000000001E-2</v>
      </c>
      <c r="AZ175" s="3">
        <v>0.154</v>
      </c>
      <c r="BA175" s="3">
        <f t="shared" si="84"/>
        <v>-0.126</v>
      </c>
      <c r="BB175" s="3">
        <f t="shared" si="117"/>
        <v>0.1045</v>
      </c>
      <c r="BC175" s="3">
        <f t="shared" si="117"/>
        <v>0.1075</v>
      </c>
      <c r="BD175" s="3">
        <f t="shared" si="86"/>
        <v>-3.0000000000000027E-3</v>
      </c>
      <c r="BE175" s="3">
        <f t="shared" si="118"/>
        <v>0.26500000000000001</v>
      </c>
      <c r="BF175" s="3">
        <f t="shared" si="118"/>
        <v>0.52300000000000002</v>
      </c>
      <c r="BG175" s="3">
        <f t="shared" si="88"/>
        <v>-0.25800000000000001</v>
      </c>
      <c r="BH175" s="3">
        <f t="shared" si="119"/>
        <v>-0.1045</v>
      </c>
      <c r="BI175" s="3">
        <f t="shared" si="119"/>
        <v>-0.1075</v>
      </c>
      <c r="BJ175" s="3">
        <f t="shared" si="113"/>
        <v>3.0000000000000027E-3</v>
      </c>
      <c r="BK175" s="3">
        <f t="shared" si="110"/>
        <v>2.0604245283018865E-2</v>
      </c>
      <c r="BL175" s="3">
        <f t="shared" si="111"/>
        <v>1.104804015296367E-2</v>
      </c>
      <c r="BM175" s="3">
        <f t="shared" si="90"/>
        <v>9.5562051300551957E-3</v>
      </c>
      <c r="BN175" s="3">
        <v>5.4870000000000001</v>
      </c>
      <c r="BO175" s="3">
        <v>6.0839999999999996</v>
      </c>
      <c r="BP175" s="3">
        <f t="shared" si="91"/>
        <v>-0.59699999999999953</v>
      </c>
      <c r="BQ175" s="3">
        <v>-347129.96399999998</v>
      </c>
      <c r="BR175" s="3">
        <v>-346087.64600000001</v>
      </c>
      <c r="BS175" s="3">
        <f t="shared" si="92"/>
        <v>-1042.3179999999702</v>
      </c>
      <c r="BT175" s="3">
        <v>-347152.04599999997</v>
      </c>
      <c r="BU175" s="3">
        <v>-346109.22600000002</v>
      </c>
      <c r="BV175" s="3">
        <f t="shared" si="93"/>
        <v>-1042.8199999999488</v>
      </c>
    </row>
    <row r="176" spans="1:74" x14ac:dyDescent="0.25">
      <c r="A176" t="s">
        <v>369</v>
      </c>
      <c r="B176" t="s">
        <v>514</v>
      </c>
      <c r="C176" t="s">
        <v>103</v>
      </c>
      <c r="D176" s="3">
        <v>15.5</v>
      </c>
      <c r="E176" s="3">
        <v>0.55000000000000004</v>
      </c>
      <c r="F176" s="3">
        <v>-381.053</v>
      </c>
      <c r="G176" s="3">
        <v>-383.57400000000001</v>
      </c>
      <c r="H176" s="3">
        <f t="shared" si="94"/>
        <v>-2.521000000000015</v>
      </c>
      <c r="I176" s="3">
        <v>-0.32600000000000001</v>
      </c>
      <c r="J176" s="6">
        <v>-0.21</v>
      </c>
      <c r="K176" s="3">
        <f t="shared" si="95"/>
        <v>0.11600000000000002</v>
      </c>
      <c r="L176" s="3">
        <v>0.15</v>
      </c>
      <c r="M176" s="6">
        <v>2.5999999999999999E-2</v>
      </c>
      <c r="N176" s="3">
        <f t="shared" si="96"/>
        <v>-0.124</v>
      </c>
      <c r="O176" s="3">
        <f t="shared" si="97"/>
        <v>8.8000000000000009E-2</v>
      </c>
      <c r="P176" s="3">
        <f t="shared" si="97"/>
        <v>9.1999999999999998E-2</v>
      </c>
      <c r="Q176" s="3">
        <f t="shared" si="98"/>
        <v>3.9999999999999897E-3</v>
      </c>
      <c r="R176" s="3">
        <f t="shared" si="99"/>
        <v>0.47599999999999998</v>
      </c>
      <c r="S176" s="3">
        <f t="shared" si="99"/>
        <v>0.23599999999999999</v>
      </c>
      <c r="T176" s="3">
        <f t="shared" si="100"/>
        <v>-0.24</v>
      </c>
      <c r="U176" s="3">
        <f t="shared" si="101"/>
        <v>-8.8000000000000009E-2</v>
      </c>
      <c r="V176" s="3">
        <f t="shared" si="101"/>
        <v>-9.1999999999999998E-2</v>
      </c>
      <c r="W176" s="3">
        <f t="shared" si="112"/>
        <v>-3.9999999999999897E-3</v>
      </c>
      <c r="X176" s="3">
        <f t="shared" si="108"/>
        <v>8.1344537815126079E-3</v>
      </c>
      <c r="Y176" s="3">
        <f t="shared" si="109"/>
        <v>1.7932203389830509E-2</v>
      </c>
      <c r="Z176" s="3">
        <f t="shared" si="102"/>
        <v>9.797749608317901E-3</v>
      </c>
      <c r="AA176" s="3">
        <v>4.0460000000000003</v>
      </c>
      <c r="AB176" s="3">
        <v>4.0179999999999998</v>
      </c>
      <c r="AC176" s="3">
        <f t="shared" si="103"/>
        <v>-2.8000000000000469E-2</v>
      </c>
      <c r="AD176" s="3">
        <f>-380.844669*627.50956</f>
        <v>-238983.67067253563</v>
      </c>
      <c r="AE176" s="3">
        <f>-383.378331*627.50956</f>
        <v>-240573.56779934434</v>
      </c>
      <c r="AF176" s="3">
        <f t="shared" si="104"/>
        <v>-1589.8971268087043</v>
      </c>
      <c r="AG176" s="3">
        <f>-380.884901*627.50956</f>
        <v>-239008.91663715357</v>
      </c>
      <c r="AH176" s="3">
        <f>-383.419488*627.50956</f>
        <v>-240599.39421030527</v>
      </c>
      <c r="AI176" s="3">
        <f t="shared" si="105"/>
        <v>-1590.4775731517002</v>
      </c>
      <c r="AJ176" s="3">
        <v>-0.68899999999999995</v>
      </c>
      <c r="AK176" s="3">
        <v>-0.60899999999999999</v>
      </c>
      <c r="AL176" s="3">
        <f t="shared" si="106"/>
        <v>7.999999999999996E-2</v>
      </c>
      <c r="AM176" s="3">
        <v>124.18358000000001</v>
      </c>
      <c r="AN176" s="3">
        <v>191.26329999999999</v>
      </c>
      <c r="AO176" s="3">
        <v>209.12459000000001</v>
      </c>
      <c r="AP176" s="3">
        <f t="shared" si="107"/>
        <v>1.1227529204536815</v>
      </c>
      <c r="AQ176" s="3">
        <v>9.0380000000000003</v>
      </c>
      <c r="AR176" s="3">
        <v>1.9776396999999999</v>
      </c>
      <c r="AS176" s="3">
        <v>-959.76900000000001</v>
      </c>
      <c r="AT176" s="3">
        <v>-958.05</v>
      </c>
      <c r="AU176" s="3">
        <f t="shared" si="82"/>
        <v>-1.7190000000000509</v>
      </c>
      <c r="AV176" s="3">
        <v>-0.317</v>
      </c>
      <c r="AW176" s="3">
        <v>-0.45</v>
      </c>
      <c r="AX176" s="3">
        <f t="shared" si="83"/>
        <v>0.13300000000000001</v>
      </c>
      <c r="AY176" s="3">
        <v>-2.4E-2</v>
      </c>
      <c r="AZ176" s="3">
        <v>0.13500000000000001</v>
      </c>
      <c r="BA176" s="3">
        <f t="shared" si="84"/>
        <v>-0.159</v>
      </c>
      <c r="BB176" s="3">
        <f t="shared" ref="BB176:BC191" si="120">-(AV176+AY176)/2</f>
        <v>0.17050000000000001</v>
      </c>
      <c r="BC176" s="3">
        <f t="shared" si="120"/>
        <v>0.1575</v>
      </c>
      <c r="BD176" s="3">
        <f t="shared" si="86"/>
        <v>1.3000000000000012E-2</v>
      </c>
      <c r="BE176" s="3">
        <f t="shared" ref="BE176:BF191" si="121">AY176-AV176</f>
        <v>0.29299999999999998</v>
      </c>
      <c r="BF176" s="3">
        <f t="shared" si="121"/>
        <v>0.58499999999999996</v>
      </c>
      <c r="BG176" s="3">
        <f t="shared" si="88"/>
        <v>-0.29199999999999998</v>
      </c>
      <c r="BH176" s="3">
        <f t="shared" ref="BH176:BI191" si="122">(AV176+AY176)/2</f>
        <v>-0.17050000000000001</v>
      </c>
      <c r="BI176" s="3">
        <f t="shared" si="122"/>
        <v>-0.1575</v>
      </c>
      <c r="BJ176" s="3">
        <f t="shared" si="113"/>
        <v>-1.3000000000000012E-2</v>
      </c>
      <c r="BK176" s="3">
        <f t="shared" si="110"/>
        <v>4.9607935153583631E-2</v>
      </c>
      <c r="BL176" s="3">
        <f t="shared" si="111"/>
        <v>2.120192307692308E-2</v>
      </c>
      <c r="BM176" s="3">
        <f t="shared" si="90"/>
        <v>2.8406012076660551E-2</v>
      </c>
      <c r="BN176" s="3">
        <v>2.2370000000000001</v>
      </c>
      <c r="BO176" s="3">
        <v>2.431</v>
      </c>
      <c r="BP176" s="3">
        <f t="shared" si="91"/>
        <v>-0.19399999999999995</v>
      </c>
      <c r="BQ176" s="3">
        <v>-602243.07700000005</v>
      </c>
      <c r="BR176" s="3">
        <v>-601163.24300000002</v>
      </c>
      <c r="BS176" s="3">
        <f t="shared" si="92"/>
        <v>-1079.8340000000317</v>
      </c>
      <c r="BT176" s="3">
        <v>-602262.36399999994</v>
      </c>
      <c r="BU176" s="3">
        <v>-601182.38500000001</v>
      </c>
      <c r="BV176" s="3">
        <f t="shared" si="93"/>
        <v>-1079.9789999999339</v>
      </c>
    </row>
    <row r="177" spans="1:74" x14ac:dyDescent="0.25">
      <c r="A177" t="s">
        <v>503</v>
      </c>
      <c r="B177" t="s">
        <v>514</v>
      </c>
      <c r="C177" t="s">
        <v>99</v>
      </c>
      <c r="D177" s="3">
        <v>15.51</v>
      </c>
      <c r="E177" s="3">
        <v>0.62</v>
      </c>
      <c r="F177" s="3">
        <v>-379.875</v>
      </c>
      <c r="G177" s="3">
        <v>-382.36200000000002</v>
      </c>
      <c r="H177" s="3">
        <f t="shared" si="94"/>
        <v>-2.4870000000000232</v>
      </c>
      <c r="I177" s="3">
        <v>-0.311</v>
      </c>
      <c r="J177" s="6">
        <v>-0.215</v>
      </c>
      <c r="K177" s="3">
        <f t="shared" si="95"/>
        <v>9.6000000000000002E-2</v>
      </c>
      <c r="L177" s="3">
        <v>0.13200000000000001</v>
      </c>
      <c r="M177" s="6">
        <v>-1.2999999999999999E-2</v>
      </c>
      <c r="N177" s="3">
        <f t="shared" si="96"/>
        <v>-0.14500000000000002</v>
      </c>
      <c r="O177" s="3">
        <f t="shared" si="97"/>
        <v>8.9499999999999996E-2</v>
      </c>
      <c r="P177" s="3">
        <f t="shared" si="97"/>
        <v>0.114</v>
      </c>
      <c r="Q177" s="3">
        <f t="shared" si="98"/>
        <v>2.4500000000000008E-2</v>
      </c>
      <c r="R177" s="3">
        <f t="shared" si="99"/>
        <v>0.443</v>
      </c>
      <c r="S177" s="3">
        <f t="shared" si="99"/>
        <v>0.20199999999999999</v>
      </c>
      <c r="T177" s="3">
        <f t="shared" si="100"/>
        <v>-0.24100000000000002</v>
      </c>
      <c r="U177" s="3">
        <f t="shared" si="101"/>
        <v>-8.9499999999999996E-2</v>
      </c>
      <c r="V177" s="3">
        <f t="shared" si="101"/>
        <v>-0.114</v>
      </c>
      <c r="W177" s="3">
        <f t="shared" si="112"/>
        <v>-2.4500000000000008E-2</v>
      </c>
      <c r="X177" s="3">
        <f t="shared" si="108"/>
        <v>9.0409142212189621E-3</v>
      </c>
      <c r="Y177" s="3">
        <f t="shared" si="109"/>
        <v>3.2168316831683169E-2</v>
      </c>
      <c r="Z177" s="3">
        <f t="shared" si="102"/>
        <v>2.3127402610464205E-2</v>
      </c>
      <c r="AA177" s="3">
        <v>5.7110000000000003</v>
      </c>
      <c r="AB177" s="3">
        <v>6.3140000000000001</v>
      </c>
      <c r="AC177" s="3">
        <f t="shared" si="103"/>
        <v>0.60299999999999976</v>
      </c>
      <c r="AD177" s="3">
        <f>-379.69372*627.50956</f>
        <v>-238261.43917196317</v>
      </c>
      <c r="AE177" s="3">
        <f>-382.191405*627.50956</f>
        <v>-239828.76038733177</v>
      </c>
      <c r="AF177" s="3">
        <f t="shared" si="104"/>
        <v>-1567.3212153686036</v>
      </c>
      <c r="AG177" s="3">
        <f>-379.736235*627.50956</f>
        <v>-238288.1177409066</v>
      </c>
      <c r="AH177" s="3">
        <f>-382.235207*627.50956</f>
        <v>-239856.24656107891</v>
      </c>
      <c r="AI177" s="3">
        <f t="shared" si="105"/>
        <v>-1568.1288201723073</v>
      </c>
      <c r="AJ177" s="3">
        <v>-0.61299999999999999</v>
      </c>
      <c r="AK177" s="3">
        <v>-0.54200000000000004</v>
      </c>
      <c r="AL177" s="3">
        <f t="shared" si="106"/>
        <v>7.0999999999999952E-2</v>
      </c>
      <c r="AM177" s="3">
        <v>122.1677</v>
      </c>
      <c r="AN177" s="3">
        <v>187.5324</v>
      </c>
      <c r="AO177" s="3">
        <v>201.00427999999999</v>
      </c>
      <c r="AP177" s="3">
        <f t="shared" si="107"/>
        <v>1.1303043319574475</v>
      </c>
      <c r="AQ177" s="3">
        <v>9.0459999999999994</v>
      </c>
      <c r="AR177" s="3">
        <v>2.1250399999999998</v>
      </c>
      <c r="AS177" s="3">
        <v>-132.80099999999999</v>
      </c>
      <c r="AT177" s="3">
        <v>-131.97</v>
      </c>
      <c r="AU177" s="3">
        <f t="shared" si="82"/>
        <v>-0.83099999999998886</v>
      </c>
      <c r="AV177" s="3">
        <v>-0.34100000000000003</v>
      </c>
      <c r="AW177" s="3">
        <v>-0.47499999999999998</v>
      </c>
      <c r="AX177" s="3">
        <f t="shared" si="83"/>
        <v>0.13399999999999995</v>
      </c>
      <c r="AY177" s="3">
        <v>2.9000000000000001E-2</v>
      </c>
      <c r="AZ177" s="3">
        <v>0.156</v>
      </c>
      <c r="BA177" s="3">
        <f t="shared" si="84"/>
        <v>-0.127</v>
      </c>
      <c r="BB177" s="3">
        <f t="shared" si="120"/>
        <v>0.156</v>
      </c>
      <c r="BC177" s="3">
        <f t="shared" si="120"/>
        <v>0.15949999999999998</v>
      </c>
      <c r="BD177" s="3">
        <f t="shared" si="86"/>
        <v>-3.4999999999999754E-3</v>
      </c>
      <c r="BE177" s="3">
        <f t="shared" si="121"/>
        <v>0.37000000000000005</v>
      </c>
      <c r="BF177" s="3">
        <f t="shared" si="121"/>
        <v>0.63100000000000001</v>
      </c>
      <c r="BG177" s="3">
        <f t="shared" si="88"/>
        <v>-0.26099999999999995</v>
      </c>
      <c r="BH177" s="3">
        <f t="shared" si="122"/>
        <v>-0.156</v>
      </c>
      <c r="BI177" s="3">
        <f t="shared" si="122"/>
        <v>-0.15949999999999998</v>
      </c>
      <c r="BJ177" s="3">
        <f t="shared" si="113"/>
        <v>3.4999999999999754E-3</v>
      </c>
      <c r="BK177" s="3">
        <f t="shared" si="110"/>
        <v>3.2886486486486483E-2</v>
      </c>
      <c r="BL177" s="3">
        <f t="shared" si="111"/>
        <v>2.0158676703645E-2</v>
      </c>
      <c r="BM177" s="3">
        <f t="shared" si="90"/>
        <v>1.2727809782841482E-2</v>
      </c>
      <c r="BN177" s="3">
        <v>4.7279999999999998</v>
      </c>
      <c r="BO177" s="3">
        <v>4.9340000000000002</v>
      </c>
      <c r="BP177" s="3">
        <f t="shared" si="91"/>
        <v>-0.20600000000000041</v>
      </c>
      <c r="BQ177" s="3">
        <v>-83302.89</v>
      </c>
      <c r="BR177" s="3">
        <v>-82779.224000000002</v>
      </c>
      <c r="BS177" s="3">
        <f t="shared" si="92"/>
        <v>-523.66599999999744</v>
      </c>
      <c r="BT177" s="3">
        <v>-83320.774999999994</v>
      </c>
      <c r="BU177" s="3">
        <v>-82796.997000000003</v>
      </c>
      <c r="BV177" s="3">
        <f t="shared" si="93"/>
        <v>-523.77799999999115</v>
      </c>
    </row>
    <row r="178" spans="1:74" x14ac:dyDescent="0.25">
      <c r="A178" t="s">
        <v>504</v>
      </c>
      <c r="B178" t="s">
        <v>514</v>
      </c>
      <c r="C178" t="s">
        <v>200</v>
      </c>
      <c r="D178" s="3">
        <v>15.51</v>
      </c>
      <c r="E178" s="3">
        <v>0.7</v>
      </c>
      <c r="F178" s="3">
        <v>-362.12599999999998</v>
      </c>
      <c r="G178" s="3">
        <v>-364.33</v>
      </c>
      <c r="H178" s="3">
        <f t="shared" si="94"/>
        <v>-2.2040000000000077</v>
      </c>
      <c r="I178" s="3">
        <v>-0.36799999999999999</v>
      </c>
      <c r="J178" s="6">
        <v>-0.22800000000000001</v>
      </c>
      <c r="K178" s="3">
        <f t="shared" si="95"/>
        <v>0.13999999999999999</v>
      </c>
      <c r="L178" s="3">
        <v>0.158</v>
      </c>
      <c r="M178" s="6">
        <v>3.7999999999999999E-2</v>
      </c>
      <c r="N178" s="3">
        <f t="shared" si="96"/>
        <v>-0.12</v>
      </c>
      <c r="O178" s="3">
        <f t="shared" si="97"/>
        <v>0.105</v>
      </c>
      <c r="P178" s="3">
        <f t="shared" si="97"/>
        <v>9.5000000000000001E-2</v>
      </c>
      <c r="Q178" s="3">
        <f t="shared" si="98"/>
        <v>-9.999999999999995E-3</v>
      </c>
      <c r="R178" s="3">
        <f t="shared" si="99"/>
        <v>0.52600000000000002</v>
      </c>
      <c r="S178" s="3">
        <f t="shared" si="99"/>
        <v>0.26600000000000001</v>
      </c>
      <c r="T178" s="3">
        <f t="shared" si="100"/>
        <v>-0.26</v>
      </c>
      <c r="U178" s="3">
        <f t="shared" si="101"/>
        <v>-0.105</v>
      </c>
      <c r="V178" s="3">
        <f t="shared" si="101"/>
        <v>-9.5000000000000001E-2</v>
      </c>
      <c r="W178" s="3">
        <f t="shared" si="112"/>
        <v>9.999999999999995E-3</v>
      </c>
      <c r="X178" s="3">
        <f t="shared" si="108"/>
        <v>1.0480038022813686E-2</v>
      </c>
      <c r="Y178" s="3">
        <f t="shared" si="109"/>
        <v>1.6964285714285713E-2</v>
      </c>
      <c r="Z178" s="3">
        <f t="shared" si="102"/>
        <v>6.4842476914720275E-3</v>
      </c>
      <c r="AA178" s="3">
        <v>1.75</v>
      </c>
      <c r="AB178" s="3">
        <v>1.7430000000000001</v>
      </c>
      <c r="AC178" s="3">
        <f t="shared" si="103"/>
        <v>-6.9999999999998952E-3</v>
      </c>
      <c r="AD178" s="3">
        <f>-361.946036*627.50956</f>
        <v>-227124.59779410413</v>
      </c>
      <c r="AE178" s="3">
        <f>-364.160593*627.50956</f>
        <v>-228514.25348276907</v>
      </c>
      <c r="AF178" s="3">
        <f t="shared" si="104"/>
        <v>-1389.6556886649341</v>
      </c>
      <c r="AG178" s="3">
        <f>-361.989577*627.50956</f>
        <v>-227151.9201878561</v>
      </c>
      <c r="AH178" s="3">
        <f>-364.204583*627.50956</f>
        <v>-228541.85762831348</v>
      </c>
      <c r="AI178" s="3">
        <f t="shared" si="105"/>
        <v>-1389.9374404573755</v>
      </c>
      <c r="AJ178" s="3">
        <v>-0.72199999999999998</v>
      </c>
      <c r="AK178" s="3">
        <v>-0.69</v>
      </c>
      <c r="AL178" s="3">
        <f t="shared" si="106"/>
        <v>3.2000000000000028E-2</v>
      </c>
      <c r="AM178" s="3">
        <v>105.13564</v>
      </c>
      <c r="AN178" s="3">
        <v>172.16351</v>
      </c>
      <c r="AO178" s="3">
        <v>178.83337</v>
      </c>
      <c r="AP178" s="3">
        <f t="shared" si="107"/>
        <v>1.1217550110410415</v>
      </c>
      <c r="AQ178" s="3">
        <v>8.609</v>
      </c>
      <c r="AR178" s="3">
        <v>2.0825140000000002</v>
      </c>
      <c r="AS178" s="3">
        <v>-553.27200000000005</v>
      </c>
      <c r="AT178" s="3">
        <v>-551.61699999999996</v>
      </c>
      <c r="AU178" s="3">
        <f t="shared" si="82"/>
        <v>-1.6550000000000864</v>
      </c>
      <c r="AV178" s="3">
        <v>-0.23699999999999999</v>
      </c>
      <c r="AW178" s="3">
        <v>-0.36899999999999999</v>
      </c>
      <c r="AX178" s="3">
        <f t="shared" si="83"/>
        <v>0.13200000000000001</v>
      </c>
      <c r="AY178" s="3">
        <v>2.8000000000000001E-2</v>
      </c>
      <c r="AZ178" s="3">
        <v>0.154</v>
      </c>
      <c r="BA178" s="3">
        <f t="shared" si="84"/>
        <v>-0.126</v>
      </c>
      <c r="BB178" s="3">
        <f t="shared" si="120"/>
        <v>0.1045</v>
      </c>
      <c r="BC178" s="3">
        <f t="shared" si="120"/>
        <v>0.1075</v>
      </c>
      <c r="BD178" s="3">
        <f t="shared" si="86"/>
        <v>-3.0000000000000027E-3</v>
      </c>
      <c r="BE178" s="3">
        <f t="shared" si="121"/>
        <v>0.26500000000000001</v>
      </c>
      <c r="BF178" s="3">
        <f t="shared" si="121"/>
        <v>0.52300000000000002</v>
      </c>
      <c r="BG178" s="3">
        <f t="shared" si="88"/>
        <v>-0.25800000000000001</v>
      </c>
      <c r="BH178" s="3">
        <f t="shared" si="122"/>
        <v>-0.1045</v>
      </c>
      <c r="BI178" s="3">
        <f t="shared" si="122"/>
        <v>-0.1075</v>
      </c>
      <c r="BJ178" s="3">
        <f t="shared" si="113"/>
        <v>3.0000000000000027E-3</v>
      </c>
      <c r="BK178" s="3">
        <f t="shared" si="110"/>
        <v>2.0604245283018865E-2</v>
      </c>
      <c r="BL178" s="3">
        <f t="shared" si="111"/>
        <v>1.104804015296367E-2</v>
      </c>
      <c r="BM178" s="3">
        <f t="shared" si="90"/>
        <v>9.5562051300551957E-3</v>
      </c>
      <c r="BN178" s="3">
        <v>5.4870000000000001</v>
      </c>
      <c r="BO178" s="3">
        <v>6.0839999999999996</v>
      </c>
      <c r="BP178" s="3">
        <f t="shared" si="91"/>
        <v>-0.59699999999999953</v>
      </c>
      <c r="BQ178" s="3">
        <v>-347129.96399999998</v>
      </c>
      <c r="BR178" s="3">
        <v>-346087.64600000001</v>
      </c>
      <c r="BS178" s="3">
        <f t="shared" si="92"/>
        <v>-1042.3179999999702</v>
      </c>
      <c r="BT178" s="3">
        <v>-347152.04599999997</v>
      </c>
      <c r="BU178" s="3">
        <v>-346109.22600000002</v>
      </c>
      <c r="BV178" s="3">
        <f t="shared" si="93"/>
        <v>-1042.8199999999488</v>
      </c>
    </row>
    <row r="179" spans="1:74" x14ac:dyDescent="0.25">
      <c r="A179" t="s">
        <v>505</v>
      </c>
      <c r="B179" t="s">
        <v>514</v>
      </c>
      <c r="C179" t="s">
        <v>200</v>
      </c>
      <c r="D179" s="3">
        <v>15.52</v>
      </c>
      <c r="E179" s="3">
        <v>0.67</v>
      </c>
      <c r="F179" s="3">
        <v>-509.71600000000001</v>
      </c>
      <c r="G179" s="3">
        <v>-512.75</v>
      </c>
      <c r="H179" s="3">
        <f t="shared" si="94"/>
        <v>-3.0339999999999918</v>
      </c>
      <c r="I179" s="3">
        <v>-0.32500000000000001</v>
      </c>
      <c r="J179" s="6">
        <v>-0.221</v>
      </c>
      <c r="K179" s="3">
        <f t="shared" si="95"/>
        <v>0.10400000000000001</v>
      </c>
      <c r="L179" s="3">
        <v>9.0999999999999998E-2</v>
      </c>
      <c r="M179" s="6">
        <v>-0.05</v>
      </c>
      <c r="N179" s="3">
        <f t="shared" si="96"/>
        <v>-0.14100000000000001</v>
      </c>
      <c r="O179" s="3">
        <f t="shared" si="97"/>
        <v>0.11700000000000001</v>
      </c>
      <c r="P179" s="3">
        <f t="shared" si="97"/>
        <v>0.13550000000000001</v>
      </c>
      <c r="Q179" s="3">
        <f t="shared" si="98"/>
        <v>1.8500000000000003E-2</v>
      </c>
      <c r="R179" s="3">
        <f t="shared" si="99"/>
        <v>0.41600000000000004</v>
      </c>
      <c r="S179" s="3">
        <f t="shared" si="99"/>
        <v>0.17099999999999999</v>
      </c>
      <c r="T179" s="3">
        <f t="shared" si="100"/>
        <v>-0.24500000000000005</v>
      </c>
      <c r="U179" s="3">
        <f t="shared" si="101"/>
        <v>-0.11700000000000001</v>
      </c>
      <c r="V179" s="3">
        <f t="shared" si="101"/>
        <v>-0.13550000000000001</v>
      </c>
      <c r="W179" s="3">
        <f t="shared" si="112"/>
        <v>-1.8500000000000003E-2</v>
      </c>
      <c r="X179" s="3">
        <f t="shared" si="108"/>
        <v>1.6453124999999999E-2</v>
      </c>
      <c r="Y179" s="3">
        <f t="shared" si="109"/>
        <v>5.3684941520467842E-2</v>
      </c>
      <c r="Z179" s="3">
        <f t="shared" si="102"/>
        <v>3.7231816520467843E-2</v>
      </c>
      <c r="AA179" s="3">
        <v>12.519</v>
      </c>
      <c r="AB179" s="3">
        <v>11.343</v>
      </c>
      <c r="AC179" s="3">
        <f t="shared" si="103"/>
        <v>-1.1760000000000002</v>
      </c>
      <c r="AD179" s="3">
        <f>-509.597749*627.50956</f>
        <v>-319777.45925198041</v>
      </c>
      <c r="AE179" s="3">
        <f>-512.638558*627.50956</f>
        <v>-321685.59596961446</v>
      </c>
      <c r="AF179" s="3">
        <f t="shared" si="104"/>
        <v>-1908.1367176340427</v>
      </c>
      <c r="AG179" s="3">
        <f>-509.637296*627.50956</f>
        <v>-319802.27537254972</v>
      </c>
      <c r="AH179" s="3">
        <f>-512.679024*627.50956</f>
        <v>-321710.98877146945</v>
      </c>
      <c r="AI179" s="3">
        <f t="shared" si="105"/>
        <v>-1908.7133989197318</v>
      </c>
      <c r="AJ179" s="3">
        <v>-0.86299999999999999</v>
      </c>
      <c r="AK179" s="3">
        <v>-0.73</v>
      </c>
      <c r="AL179" s="3">
        <f t="shared" si="106"/>
        <v>0.13300000000000001</v>
      </c>
      <c r="AM179" s="3">
        <v>146.12286</v>
      </c>
      <c r="AN179" s="3">
        <v>177.19962000000001</v>
      </c>
      <c r="AO179" s="3">
        <v>184.46860000000001</v>
      </c>
      <c r="AP179" s="3">
        <f t="shared" si="107"/>
        <v>1.1309335868890837</v>
      </c>
      <c r="AQ179" s="3">
        <v>8.968</v>
      </c>
      <c r="AR179" s="3">
        <v>2.1936414000000002</v>
      </c>
      <c r="AS179" s="3">
        <v>-553.27200000000005</v>
      </c>
      <c r="AT179" s="3">
        <v>-551.61699999999996</v>
      </c>
      <c r="AU179" s="3">
        <f t="shared" si="82"/>
        <v>-1.6550000000000864</v>
      </c>
      <c r="AV179" s="3">
        <v>-0.23699999999999999</v>
      </c>
      <c r="AW179" s="3">
        <v>-0.36899999999999999</v>
      </c>
      <c r="AX179" s="3">
        <f t="shared" si="83"/>
        <v>0.13200000000000001</v>
      </c>
      <c r="AY179" s="3">
        <v>2.8000000000000001E-2</v>
      </c>
      <c r="AZ179" s="3">
        <v>0.154</v>
      </c>
      <c r="BA179" s="3">
        <f t="shared" si="84"/>
        <v>-0.126</v>
      </c>
      <c r="BB179" s="3">
        <f t="shared" si="120"/>
        <v>0.1045</v>
      </c>
      <c r="BC179" s="3">
        <f t="shared" si="120"/>
        <v>0.1075</v>
      </c>
      <c r="BD179" s="3">
        <f t="shared" si="86"/>
        <v>-3.0000000000000027E-3</v>
      </c>
      <c r="BE179" s="3">
        <f t="shared" si="121"/>
        <v>0.26500000000000001</v>
      </c>
      <c r="BF179" s="3">
        <f t="shared" si="121"/>
        <v>0.52300000000000002</v>
      </c>
      <c r="BG179" s="3">
        <f t="shared" si="88"/>
        <v>-0.25800000000000001</v>
      </c>
      <c r="BH179" s="3">
        <f t="shared" si="122"/>
        <v>-0.1045</v>
      </c>
      <c r="BI179" s="3">
        <f t="shared" si="122"/>
        <v>-0.1075</v>
      </c>
      <c r="BJ179" s="3">
        <f t="shared" si="113"/>
        <v>3.0000000000000027E-3</v>
      </c>
      <c r="BK179" s="3">
        <f t="shared" si="110"/>
        <v>2.0604245283018865E-2</v>
      </c>
      <c r="BL179" s="3">
        <f t="shared" si="111"/>
        <v>1.104804015296367E-2</v>
      </c>
      <c r="BM179" s="3">
        <f t="shared" si="90"/>
        <v>9.5562051300551957E-3</v>
      </c>
      <c r="BN179" s="3">
        <v>5.4870000000000001</v>
      </c>
      <c r="BO179" s="3">
        <v>6.0839999999999996</v>
      </c>
      <c r="BP179" s="3">
        <f t="shared" si="91"/>
        <v>-0.59699999999999953</v>
      </c>
      <c r="BQ179" s="3">
        <v>-347129.96399999998</v>
      </c>
      <c r="BR179" s="3">
        <v>-346087.64600000001</v>
      </c>
      <c r="BS179" s="3">
        <f t="shared" si="92"/>
        <v>-1042.3179999999702</v>
      </c>
      <c r="BT179" s="3">
        <v>-347152.04599999997</v>
      </c>
      <c r="BU179" s="3">
        <v>-346109.22600000002</v>
      </c>
      <c r="BV179" s="3">
        <f t="shared" si="93"/>
        <v>-1042.8199999999488</v>
      </c>
    </row>
    <row r="180" spans="1:74" x14ac:dyDescent="0.25">
      <c r="A180" t="s">
        <v>506</v>
      </c>
      <c r="B180" t="s">
        <v>514</v>
      </c>
      <c r="C180" t="s">
        <v>199</v>
      </c>
      <c r="D180" s="3">
        <v>15.62</v>
      </c>
      <c r="E180" s="3">
        <v>0.54</v>
      </c>
      <c r="F180" s="3">
        <v>-286.06700000000001</v>
      </c>
      <c r="G180" s="3">
        <v>-287.86799999999999</v>
      </c>
      <c r="H180" s="3">
        <f t="shared" si="94"/>
        <v>-1.8009999999999877</v>
      </c>
      <c r="I180" s="3">
        <v>-0.36499999999999999</v>
      </c>
      <c r="J180" s="6">
        <v>-0.22500000000000001</v>
      </c>
      <c r="K180" s="3">
        <f t="shared" si="95"/>
        <v>0.13999999999999999</v>
      </c>
      <c r="L180" s="3">
        <v>0.156</v>
      </c>
      <c r="M180" s="6">
        <v>0.04</v>
      </c>
      <c r="N180" s="3">
        <f t="shared" si="96"/>
        <v>-0.11599999999999999</v>
      </c>
      <c r="O180" s="3">
        <f t="shared" si="97"/>
        <v>0.1045</v>
      </c>
      <c r="P180" s="3">
        <f t="shared" si="97"/>
        <v>9.2499999999999999E-2</v>
      </c>
      <c r="Q180" s="3">
        <f t="shared" si="98"/>
        <v>-1.1999999999999997E-2</v>
      </c>
      <c r="R180" s="3">
        <f t="shared" si="99"/>
        <v>0.52100000000000002</v>
      </c>
      <c r="S180" s="3">
        <f t="shared" si="99"/>
        <v>0.26500000000000001</v>
      </c>
      <c r="T180" s="3">
        <f t="shared" si="100"/>
        <v>-0.25600000000000001</v>
      </c>
      <c r="U180" s="3">
        <f t="shared" si="101"/>
        <v>-0.1045</v>
      </c>
      <c r="V180" s="3">
        <f t="shared" si="101"/>
        <v>-9.2499999999999999E-2</v>
      </c>
      <c r="W180" s="3">
        <f t="shared" si="112"/>
        <v>1.1999999999999997E-2</v>
      </c>
      <c r="X180" s="3">
        <f t="shared" si="108"/>
        <v>1.0480086372360843E-2</v>
      </c>
      <c r="Y180" s="3">
        <f t="shared" si="109"/>
        <v>1.61438679245283E-2</v>
      </c>
      <c r="Z180" s="3">
        <f t="shared" si="102"/>
        <v>5.6637815521674573E-3</v>
      </c>
      <c r="AA180" s="3">
        <v>3.198</v>
      </c>
      <c r="AB180" s="3">
        <v>3.0329999999999999</v>
      </c>
      <c r="AC180" s="3">
        <f t="shared" si="103"/>
        <v>-0.16500000000000004</v>
      </c>
      <c r="AD180" s="3">
        <f>-285.916362*627.50956</f>
        <v>-179415.25051542072</v>
      </c>
      <c r="AE180" s="3">
        <f>-287.727427*627.50956</f>
        <v>-180551.71111670209</v>
      </c>
      <c r="AF180" s="3">
        <f t="shared" si="104"/>
        <v>-1136.4606012813747</v>
      </c>
      <c r="AG180" s="3">
        <f>-285.951445*627.50956</f>
        <v>-179437.26543331417</v>
      </c>
      <c r="AH180" s="3">
        <f>-287.763115*627.50956</f>
        <v>-180574.10567787942</v>
      </c>
      <c r="AI180" s="3">
        <f t="shared" si="105"/>
        <v>-1136.8402445652464</v>
      </c>
      <c r="AJ180" s="3">
        <v>-0.71599999999999997</v>
      </c>
      <c r="AK180" s="3">
        <v>-0.69</v>
      </c>
      <c r="AL180" s="3">
        <f t="shared" si="106"/>
        <v>2.6000000000000023E-2</v>
      </c>
      <c r="AM180" s="3">
        <v>87.120360000000005</v>
      </c>
      <c r="AN180" s="3">
        <v>145.17932999999999</v>
      </c>
      <c r="AO180" s="3">
        <v>148.53509</v>
      </c>
      <c r="AP180" s="3">
        <f t="shared" si="107"/>
        <v>1.0705526455890895</v>
      </c>
      <c r="AQ180" s="3">
        <v>7.1760000000000002</v>
      </c>
      <c r="AR180" s="3">
        <v>1.5130110999999999</v>
      </c>
      <c r="AS180" s="3">
        <v>-76.454999999999998</v>
      </c>
      <c r="AT180" s="3">
        <v>-76.055000000000007</v>
      </c>
      <c r="AU180" s="3">
        <f t="shared" si="82"/>
        <v>-0.39999999999999147</v>
      </c>
      <c r="AV180" s="3">
        <v>-0.30399999999999999</v>
      </c>
      <c r="AW180" s="3">
        <v>-0.505</v>
      </c>
      <c r="AX180" s="3">
        <f t="shared" si="83"/>
        <v>0.20100000000000001</v>
      </c>
      <c r="AY180" s="3">
        <v>0.04</v>
      </c>
      <c r="AZ180" s="3">
        <v>0.16400000000000001</v>
      </c>
      <c r="BA180" s="3">
        <f t="shared" si="84"/>
        <v>-0.124</v>
      </c>
      <c r="BB180" s="3">
        <f t="shared" si="120"/>
        <v>0.13200000000000001</v>
      </c>
      <c r="BC180" s="3">
        <f t="shared" si="120"/>
        <v>0.17049999999999998</v>
      </c>
      <c r="BD180" s="3">
        <f t="shared" si="86"/>
        <v>-3.8499999999999979E-2</v>
      </c>
      <c r="BE180" s="3">
        <f t="shared" si="121"/>
        <v>0.34399999999999997</v>
      </c>
      <c r="BF180" s="3">
        <f t="shared" si="121"/>
        <v>0.66900000000000004</v>
      </c>
      <c r="BG180" s="3">
        <f t="shared" si="88"/>
        <v>-0.32500000000000007</v>
      </c>
      <c r="BH180" s="3">
        <f t="shared" si="122"/>
        <v>-0.13200000000000001</v>
      </c>
      <c r="BI180" s="3">
        <f t="shared" si="122"/>
        <v>-0.17049999999999998</v>
      </c>
      <c r="BJ180" s="3">
        <f t="shared" si="113"/>
        <v>3.8499999999999979E-2</v>
      </c>
      <c r="BK180" s="3">
        <f t="shared" si="110"/>
        <v>2.5325581395348844E-2</v>
      </c>
      <c r="BL180" s="3">
        <f t="shared" si="111"/>
        <v>2.1726644245141997E-2</v>
      </c>
      <c r="BM180" s="3">
        <f t="shared" si="90"/>
        <v>3.5989371502068469E-3</v>
      </c>
      <c r="BN180" s="3">
        <v>2.3010000000000002</v>
      </c>
      <c r="BO180" s="3">
        <v>2.3559999999999999</v>
      </c>
      <c r="BP180" s="3">
        <f t="shared" si="91"/>
        <v>-5.4999999999999716E-2</v>
      </c>
      <c r="BQ180" s="3">
        <v>-47960.305999999997</v>
      </c>
      <c r="BR180" s="3">
        <v>-47708.290999999997</v>
      </c>
      <c r="BS180" s="3">
        <f t="shared" si="92"/>
        <v>-252.01499999999942</v>
      </c>
      <c r="BT180" s="3">
        <v>-47973.754999999997</v>
      </c>
      <c r="BU180" s="3">
        <v>-47721.697</v>
      </c>
      <c r="BV180" s="3">
        <f t="shared" si="93"/>
        <v>-252.05799999999726</v>
      </c>
    </row>
    <row r="181" spans="1:74" x14ac:dyDescent="0.25">
      <c r="A181" t="s">
        <v>507</v>
      </c>
      <c r="B181" t="s">
        <v>514</v>
      </c>
      <c r="C181" t="s">
        <v>99</v>
      </c>
      <c r="D181" s="3">
        <v>15.65</v>
      </c>
      <c r="E181" s="3">
        <v>0.74</v>
      </c>
      <c r="F181" s="3">
        <v>-286.06700000000001</v>
      </c>
      <c r="G181" s="3">
        <v>-287.86799999999999</v>
      </c>
      <c r="H181" s="3">
        <f t="shared" si="94"/>
        <v>-1.8009999999999877</v>
      </c>
      <c r="I181" s="3">
        <v>-0.36499999999999999</v>
      </c>
      <c r="J181" s="6">
        <v>-0.22500000000000001</v>
      </c>
      <c r="K181" s="3">
        <f t="shared" si="95"/>
        <v>0.13999999999999999</v>
      </c>
      <c r="L181" s="3">
        <v>0.156</v>
      </c>
      <c r="M181" s="6">
        <v>3.9E-2</v>
      </c>
      <c r="N181" s="3">
        <f t="shared" si="96"/>
        <v>-0.11699999999999999</v>
      </c>
      <c r="O181" s="3">
        <f t="shared" si="97"/>
        <v>0.1045</v>
      </c>
      <c r="P181" s="3">
        <f t="shared" si="97"/>
        <v>9.2999999999999999E-2</v>
      </c>
      <c r="Q181" s="3">
        <f t="shared" si="98"/>
        <v>-1.1499999999999996E-2</v>
      </c>
      <c r="R181" s="3">
        <f t="shared" si="99"/>
        <v>0.52100000000000002</v>
      </c>
      <c r="S181" s="3">
        <f t="shared" si="99"/>
        <v>0.26400000000000001</v>
      </c>
      <c r="T181" s="3">
        <f t="shared" si="100"/>
        <v>-0.25700000000000001</v>
      </c>
      <c r="U181" s="3">
        <f t="shared" si="101"/>
        <v>-0.1045</v>
      </c>
      <c r="V181" s="3">
        <f t="shared" si="101"/>
        <v>-9.2999999999999999E-2</v>
      </c>
      <c r="W181" s="3">
        <f t="shared" si="112"/>
        <v>1.1499999999999996E-2</v>
      </c>
      <c r="X181" s="3">
        <f t="shared" si="108"/>
        <v>1.0480086372360843E-2</v>
      </c>
      <c r="Y181" s="3">
        <f t="shared" si="109"/>
        <v>1.6380681818181819E-2</v>
      </c>
      <c r="Z181" s="3">
        <f t="shared" si="102"/>
        <v>5.9005954458209754E-3</v>
      </c>
      <c r="AA181" s="3">
        <v>3.1720000000000002</v>
      </c>
      <c r="AB181" s="3">
        <v>3.0070000000000001</v>
      </c>
      <c r="AC181" s="3">
        <f t="shared" si="103"/>
        <v>-0.16500000000000004</v>
      </c>
      <c r="AD181" s="3">
        <f>-285.916148*627.50956</f>
        <v>-179415.11622837489</v>
      </c>
      <c r="AE181" s="3">
        <f>-287.727236*627.50956</f>
        <v>-180551.59126237614</v>
      </c>
      <c r="AF181" s="3">
        <f t="shared" si="104"/>
        <v>-1136.4750340012542</v>
      </c>
      <c r="AG181" s="3">
        <f>-285.95124*627.50956</f>
        <v>-179437.13679385438</v>
      </c>
      <c r="AH181" s="3">
        <f>-287.762936*627.50956</f>
        <v>-180573.99335366816</v>
      </c>
      <c r="AI181" s="3">
        <f t="shared" si="105"/>
        <v>-1136.8565598137793</v>
      </c>
      <c r="AJ181" s="3">
        <v>-0.71499999999999997</v>
      </c>
      <c r="AK181" s="3">
        <v>-0.68899999999999995</v>
      </c>
      <c r="AL181" s="3">
        <f t="shared" si="106"/>
        <v>2.6000000000000023E-2</v>
      </c>
      <c r="AM181" s="3">
        <v>87.120360000000005</v>
      </c>
      <c r="AN181" s="3">
        <v>145.18266</v>
      </c>
      <c r="AO181" s="3">
        <v>148.52430000000001</v>
      </c>
      <c r="AP181" s="3">
        <f t="shared" si="107"/>
        <v>1.0706290506143847</v>
      </c>
      <c r="AQ181" s="3">
        <v>7.1760000000000002</v>
      </c>
      <c r="AR181" s="3">
        <v>1.51302168</v>
      </c>
      <c r="AS181" s="3">
        <v>-132.80099999999999</v>
      </c>
      <c r="AT181" s="3">
        <v>-131.97</v>
      </c>
      <c r="AU181" s="3">
        <f t="shared" si="82"/>
        <v>-0.83099999999998886</v>
      </c>
      <c r="AV181" s="3">
        <v>-0.34100000000000003</v>
      </c>
      <c r="AW181" s="3">
        <v>-0.47499999999999998</v>
      </c>
      <c r="AX181" s="3">
        <f t="shared" si="83"/>
        <v>0.13399999999999995</v>
      </c>
      <c r="AY181" s="3">
        <v>2.9000000000000001E-2</v>
      </c>
      <c r="AZ181" s="3">
        <v>0.156</v>
      </c>
      <c r="BA181" s="3">
        <f t="shared" si="84"/>
        <v>-0.127</v>
      </c>
      <c r="BB181" s="3">
        <f t="shared" si="120"/>
        <v>0.156</v>
      </c>
      <c r="BC181" s="3">
        <f t="shared" si="120"/>
        <v>0.15949999999999998</v>
      </c>
      <c r="BD181" s="3">
        <f t="shared" si="86"/>
        <v>-3.4999999999999754E-3</v>
      </c>
      <c r="BE181" s="3">
        <f t="shared" si="121"/>
        <v>0.37000000000000005</v>
      </c>
      <c r="BF181" s="3">
        <f t="shared" si="121"/>
        <v>0.63100000000000001</v>
      </c>
      <c r="BG181" s="3">
        <f t="shared" si="88"/>
        <v>-0.26099999999999995</v>
      </c>
      <c r="BH181" s="3">
        <f t="shared" si="122"/>
        <v>-0.156</v>
      </c>
      <c r="BI181" s="3">
        <f t="shared" si="122"/>
        <v>-0.15949999999999998</v>
      </c>
      <c r="BJ181" s="3">
        <f t="shared" si="113"/>
        <v>3.4999999999999754E-3</v>
      </c>
      <c r="BK181" s="3">
        <f t="shared" si="110"/>
        <v>3.2886486486486483E-2</v>
      </c>
      <c r="BL181" s="3">
        <f t="shared" si="111"/>
        <v>2.0158676703645E-2</v>
      </c>
      <c r="BM181" s="3">
        <f t="shared" si="90"/>
        <v>1.2727809782841482E-2</v>
      </c>
      <c r="BN181" s="3">
        <v>4.7279999999999998</v>
      </c>
      <c r="BO181" s="3">
        <v>4.9340000000000002</v>
      </c>
      <c r="BP181" s="3">
        <f t="shared" si="91"/>
        <v>-0.20600000000000041</v>
      </c>
      <c r="BQ181" s="3">
        <v>-83302.89</v>
      </c>
      <c r="BR181" s="3">
        <v>-82779.224000000002</v>
      </c>
      <c r="BS181" s="3">
        <f t="shared" si="92"/>
        <v>-523.66599999999744</v>
      </c>
      <c r="BT181" s="3">
        <v>-83320.774999999994</v>
      </c>
      <c r="BU181" s="3">
        <v>-82796.997000000003</v>
      </c>
      <c r="BV181" s="3">
        <f t="shared" si="93"/>
        <v>-523.77799999999115</v>
      </c>
    </row>
    <row r="182" spans="1:74" x14ac:dyDescent="0.25">
      <c r="A182" t="s">
        <v>508</v>
      </c>
      <c r="B182" t="s">
        <v>514</v>
      </c>
      <c r="C182" t="s">
        <v>99</v>
      </c>
      <c r="D182" s="3">
        <v>15.66</v>
      </c>
      <c r="E182" s="3">
        <v>0.62</v>
      </c>
      <c r="F182" s="3">
        <v>-747.27700000000004</v>
      </c>
      <c r="G182" s="3">
        <v>-752.26499999999999</v>
      </c>
      <c r="H182" s="3">
        <f t="shared" si="94"/>
        <v>-4.9879999999999427</v>
      </c>
      <c r="I182" s="3">
        <v>-0.29299999999999998</v>
      </c>
      <c r="J182" s="6">
        <v>-0.223</v>
      </c>
      <c r="K182" s="3">
        <f t="shared" si="95"/>
        <v>6.9999999999999979E-2</v>
      </c>
      <c r="L182" s="3">
        <v>8.6999999999999994E-2</v>
      </c>
      <c r="M182" s="6">
        <v>-5.0999999999999997E-2</v>
      </c>
      <c r="N182" s="3">
        <f t="shared" si="96"/>
        <v>-0.13799999999999998</v>
      </c>
      <c r="O182" s="3">
        <f t="shared" si="97"/>
        <v>0.10299999999999999</v>
      </c>
      <c r="P182" s="3">
        <f t="shared" si="97"/>
        <v>0.13700000000000001</v>
      </c>
      <c r="Q182" s="3">
        <f t="shared" si="98"/>
        <v>3.4000000000000016E-2</v>
      </c>
      <c r="R182" s="3">
        <f t="shared" si="99"/>
        <v>0.38</v>
      </c>
      <c r="S182" s="3">
        <f t="shared" si="99"/>
        <v>0.17200000000000001</v>
      </c>
      <c r="T182" s="3">
        <f t="shared" si="100"/>
        <v>-0.20799999999999999</v>
      </c>
      <c r="U182" s="3">
        <f t="shared" si="101"/>
        <v>-0.10299999999999999</v>
      </c>
      <c r="V182" s="3">
        <f t="shared" si="101"/>
        <v>-0.13700000000000001</v>
      </c>
      <c r="W182" s="3">
        <f t="shared" si="112"/>
        <v>-3.4000000000000016E-2</v>
      </c>
      <c r="X182" s="3">
        <f t="shared" si="108"/>
        <v>1.3959210526315788E-2</v>
      </c>
      <c r="Y182" s="3">
        <f t="shared" si="109"/>
        <v>5.4561046511627916E-2</v>
      </c>
      <c r="Z182" s="3">
        <f t="shared" si="102"/>
        <v>4.0601835985312126E-2</v>
      </c>
      <c r="AA182" s="3">
        <v>2.1659999999999999</v>
      </c>
      <c r="AB182" s="3">
        <v>2.0710000000000002</v>
      </c>
      <c r="AC182" s="3">
        <f t="shared" si="103"/>
        <v>-9.4999999999999751E-2</v>
      </c>
      <c r="AD182" s="3">
        <f>-746.913979*627.50956</f>
        <v>-468695.66232013924</v>
      </c>
      <c r="AE182" s="3">
        <f>-751.923908*627.50956</f>
        <v>-471839.44066256046</v>
      </c>
      <c r="AF182" s="3">
        <f t="shared" si="104"/>
        <v>-3143.7783424212248</v>
      </c>
      <c r="AG182" s="3">
        <f>-746.970414*627.50956</f>
        <v>-468731.07582215784</v>
      </c>
      <c r="AH182" s="3">
        <f>-751.981527*627.50956</f>
        <v>-471875.59713589813</v>
      </c>
      <c r="AI182" s="3">
        <f t="shared" si="105"/>
        <v>-3144.5213137402898</v>
      </c>
      <c r="AJ182" s="3">
        <v>-0.57499999999999996</v>
      </c>
      <c r="AK182" s="3">
        <v>-0.52300000000000002</v>
      </c>
      <c r="AL182" s="3">
        <f t="shared" si="106"/>
        <v>5.1999999999999935E-2</v>
      </c>
      <c r="AM182" s="3">
        <v>249.35015999999999</v>
      </c>
      <c r="AN182" s="3">
        <v>313.00484</v>
      </c>
      <c r="AO182" s="3">
        <v>385.65859999999998</v>
      </c>
      <c r="AP182" s="3">
        <f t="shared" si="107"/>
        <v>1.2218136983577959</v>
      </c>
      <c r="AQ182" s="3">
        <v>12.384</v>
      </c>
      <c r="AR182" s="3">
        <v>3.1746089999999998</v>
      </c>
      <c r="AS182" s="3">
        <v>-132.80099999999999</v>
      </c>
      <c r="AT182" s="3">
        <v>-131.97</v>
      </c>
      <c r="AU182" s="3">
        <f t="shared" si="82"/>
        <v>-0.83099999999998886</v>
      </c>
      <c r="AV182" s="3">
        <v>-0.34100000000000003</v>
      </c>
      <c r="AW182" s="3">
        <v>-0.47499999999999998</v>
      </c>
      <c r="AX182" s="3">
        <f t="shared" si="83"/>
        <v>0.13399999999999995</v>
      </c>
      <c r="AY182" s="3">
        <v>2.9000000000000001E-2</v>
      </c>
      <c r="AZ182" s="3">
        <v>0.156</v>
      </c>
      <c r="BA182" s="3">
        <f t="shared" si="84"/>
        <v>-0.127</v>
      </c>
      <c r="BB182" s="3">
        <f t="shared" si="120"/>
        <v>0.156</v>
      </c>
      <c r="BC182" s="3">
        <f t="shared" si="120"/>
        <v>0.15949999999999998</v>
      </c>
      <c r="BD182" s="3">
        <f t="shared" si="86"/>
        <v>-3.4999999999999754E-3</v>
      </c>
      <c r="BE182" s="3">
        <f t="shared" si="121"/>
        <v>0.37000000000000005</v>
      </c>
      <c r="BF182" s="3">
        <f t="shared" si="121"/>
        <v>0.63100000000000001</v>
      </c>
      <c r="BG182" s="3">
        <f t="shared" si="88"/>
        <v>-0.26099999999999995</v>
      </c>
      <c r="BH182" s="3">
        <f t="shared" si="122"/>
        <v>-0.156</v>
      </c>
      <c r="BI182" s="3">
        <f t="shared" si="122"/>
        <v>-0.15949999999999998</v>
      </c>
      <c r="BJ182" s="3">
        <f t="shared" si="113"/>
        <v>3.4999999999999754E-3</v>
      </c>
      <c r="BK182" s="3">
        <f t="shared" si="110"/>
        <v>3.2886486486486483E-2</v>
      </c>
      <c r="BL182" s="3">
        <f t="shared" si="111"/>
        <v>2.0158676703645E-2</v>
      </c>
      <c r="BM182" s="3">
        <f t="shared" si="90"/>
        <v>1.2727809782841482E-2</v>
      </c>
      <c r="BN182" s="3">
        <v>4.7279999999999998</v>
      </c>
      <c r="BO182" s="3">
        <v>4.9340000000000002</v>
      </c>
      <c r="BP182" s="3">
        <f t="shared" si="91"/>
        <v>-0.20600000000000041</v>
      </c>
      <c r="BQ182" s="3">
        <v>-83302.89</v>
      </c>
      <c r="BR182" s="3">
        <v>-82779.224000000002</v>
      </c>
      <c r="BS182" s="3">
        <f t="shared" si="92"/>
        <v>-523.66599999999744</v>
      </c>
      <c r="BT182" s="3">
        <v>-83320.774999999994</v>
      </c>
      <c r="BU182" s="3">
        <v>-82796.997000000003</v>
      </c>
      <c r="BV182" s="3">
        <f t="shared" si="93"/>
        <v>-523.77799999999115</v>
      </c>
    </row>
    <row r="183" spans="1:74" x14ac:dyDescent="0.25">
      <c r="A183" t="s">
        <v>509</v>
      </c>
      <c r="B183" t="s">
        <v>514</v>
      </c>
      <c r="C183" t="s">
        <v>99</v>
      </c>
      <c r="D183" s="3">
        <v>15.69</v>
      </c>
      <c r="E183" s="3">
        <v>0.51</v>
      </c>
      <c r="F183" s="3">
        <v>-302.07499999999999</v>
      </c>
      <c r="G183" s="3">
        <v>-303.92500000000001</v>
      </c>
      <c r="H183" s="3">
        <f t="shared" si="94"/>
        <v>-1.8500000000000227</v>
      </c>
      <c r="I183" s="3">
        <v>-0.39400000000000002</v>
      </c>
      <c r="J183" s="6">
        <v>-0.253</v>
      </c>
      <c r="K183" s="3">
        <f t="shared" si="95"/>
        <v>0.14100000000000001</v>
      </c>
      <c r="L183" s="3">
        <v>0.158</v>
      </c>
      <c r="M183" s="6">
        <v>1.4E-2</v>
      </c>
      <c r="N183" s="3">
        <f t="shared" si="96"/>
        <v>-0.14399999999999999</v>
      </c>
      <c r="O183" s="3">
        <f t="shared" si="97"/>
        <v>0.11800000000000001</v>
      </c>
      <c r="P183" s="3">
        <f t="shared" si="97"/>
        <v>0.1195</v>
      </c>
      <c r="Q183" s="3">
        <f t="shared" si="98"/>
        <v>1.4999999999999875E-3</v>
      </c>
      <c r="R183" s="3">
        <f t="shared" si="99"/>
        <v>0.55200000000000005</v>
      </c>
      <c r="S183" s="3">
        <f t="shared" si="99"/>
        <v>0.26700000000000002</v>
      </c>
      <c r="T183" s="3">
        <f t="shared" si="100"/>
        <v>-0.28500000000000003</v>
      </c>
      <c r="U183" s="3">
        <f t="shared" si="101"/>
        <v>-0.11800000000000001</v>
      </c>
      <c r="V183" s="3">
        <f t="shared" si="101"/>
        <v>-0.1195</v>
      </c>
      <c r="W183" s="3">
        <f t="shared" si="112"/>
        <v>-1.4999999999999875E-3</v>
      </c>
      <c r="X183" s="3">
        <f t="shared" si="108"/>
        <v>1.2612318840579711E-2</v>
      </c>
      <c r="Y183" s="3">
        <f t="shared" si="109"/>
        <v>2.6742041198501869E-2</v>
      </c>
      <c r="Z183" s="3">
        <f t="shared" si="102"/>
        <v>1.4129722357922158E-2</v>
      </c>
      <c r="AA183" s="3">
        <v>5.6260000000000003</v>
      </c>
      <c r="AB183" s="3">
        <v>5.4640000000000004</v>
      </c>
      <c r="AC183" s="3">
        <f t="shared" si="103"/>
        <v>-0.16199999999999992</v>
      </c>
      <c r="AD183" s="3">
        <f>-301.940643*627.50956</f>
        <v>-189470.64003504708</v>
      </c>
      <c r="AE183" s="3">
        <f>-303.799054*627.50956</f>
        <v>-190636.81070395623</v>
      </c>
      <c r="AF183" s="3">
        <f t="shared" si="104"/>
        <v>-1166.1706689091516</v>
      </c>
      <c r="AG183" s="3">
        <f>-301.979016*627.50956</f>
        <v>-189494.71945939295</v>
      </c>
      <c r="AH183" s="3">
        <f>-303.838087*627.50956</f>
        <v>-190661.30428461169</v>
      </c>
      <c r="AI183" s="3">
        <f t="shared" si="105"/>
        <v>-1166.5848252187425</v>
      </c>
      <c r="AJ183" s="3">
        <v>-0.51700000000000002</v>
      </c>
      <c r="AK183" s="3">
        <v>-0.45600000000000002</v>
      </c>
      <c r="AL183" s="3">
        <f t="shared" si="106"/>
        <v>6.0999999999999999E-2</v>
      </c>
      <c r="AM183" s="3">
        <v>88.108419999999995</v>
      </c>
      <c r="AN183" s="3">
        <v>151.98117999999999</v>
      </c>
      <c r="AO183" s="3">
        <v>148.65389999999999</v>
      </c>
      <c r="AP183" s="3">
        <f t="shared" si="107"/>
        <v>1.1201122771995877</v>
      </c>
      <c r="AQ183" s="3">
        <v>8.1020000000000003</v>
      </c>
      <c r="AR183" s="3">
        <v>1.8525510000000001</v>
      </c>
      <c r="AS183" s="3">
        <v>-132.80099999999999</v>
      </c>
      <c r="AT183" s="3">
        <v>-131.97</v>
      </c>
      <c r="AU183" s="3">
        <f t="shared" si="82"/>
        <v>-0.83099999999998886</v>
      </c>
      <c r="AV183" s="3">
        <v>-0.34100000000000003</v>
      </c>
      <c r="AW183" s="3">
        <v>-0.47499999999999998</v>
      </c>
      <c r="AX183" s="3">
        <f t="shared" si="83"/>
        <v>0.13399999999999995</v>
      </c>
      <c r="AY183" s="3">
        <v>2.9000000000000001E-2</v>
      </c>
      <c r="AZ183" s="3">
        <v>0.156</v>
      </c>
      <c r="BA183" s="3">
        <f t="shared" si="84"/>
        <v>-0.127</v>
      </c>
      <c r="BB183" s="3">
        <f t="shared" si="120"/>
        <v>0.156</v>
      </c>
      <c r="BC183" s="3">
        <f t="shared" si="120"/>
        <v>0.15949999999999998</v>
      </c>
      <c r="BD183" s="3">
        <f t="shared" si="86"/>
        <v>-3.4999999999999754E-3</v>
      </c>
      <c r="BE183" s="3">
        <f t="shared" si="121"/>
        <v>0.37000000000000005</v>
      </c>
      <c r="BF183" s="3">
        <f t="shared" si="121"/>
        <v>0.63100000000000001</v>
      </c>
      <c r="BG183" s="3">
        <f t="shared" si="88"/>
        <v>-0.26099999999999995</v>
      </c>
      <c r="BH183" s="3">
        <f t="shared" si="122"/>
        <v>-0.156</v>
      </c>
      <c r="BI183" s="3">
        <f t="shared" si="122"/>
        <v>-0.15949999999999998</v>
      </c>
      <c r="BJ183" s="3">
        <f t="shared" si="113"/>
        <v>3.4999999999999754E-3</v>
      </c>
      <c r="BK183" s="3">
        <f t="shared" si="110"/>
        <v>3.2886486486486483E-2</v>
      </c>
      <c r="BL183" s="3">
        <f t="shared" si="111"/>
        <v>2.0158676703645E-2</v>
      </c>
      <c r="BM183" s="3">
        <f t="shared" si="90"/>
        <v>1.2727809782841482E-2</v>
      </c>
      <c r="BN183" s="3">
        <v>4.7279999999999998</v>
      </c>
      <c r="BO183" s="3">
        <v>4.9340000000000002</v>
      </c>
      <c r="BP183" s="3">
        <f t="shared" si="91"/>
        <v>-0.20600000000000041</v>
      </c>
      <c r="BQ183" s="3">
        <v>-83302.89</v>
      </c>
      <c r="BR183" s="3">
        <v>-82779.224000000002</v>
      </c>
      <c r="BS183" s="3">
        <f t="shared" si="92"/>
        <v>-523.66599999999744</v>
      </c>
      <c r="BT183" s="3">
        <v>-83320.774999999994</v>
      </c>
      <c r="BU183" s="3">
        <v>-82796.997000000003</v>
      </c>
      <c r="BV183" s="3">
        <f t="shared" si="93"/>
        <v>-523.77799999999115</v>
      </c>
    </row>
    <row r="184" spans="1:74" x14ac:dyDescent="0.25">
      <c r="A184" t="s">
        <v>510</v>
      </c>
      <c r="B184" t="s">
        <v>514</v>
      </c>
      <c r="C184" t="s">
        <v>99</v>
      </c>
      <c r="D184" s="3">
        <v>15.7</v>
      </c>
      <c r="E184" s="3">
        <v>0.54</v>
      </c>
      <c r="F184" s="3">
        <v>-479.83</v>
      </c>
      <c r="G184" s="3">
        <v>-483.06700000000001</v>
      </c>
      <c r="H184" s="3">
        <f t="shared" si="94"/>
        <v>-3.2370000000000232</v>
      </c>
      <c r="I184" s="3">
        <v>-0.32500000000000001</v>
      </c>
      <c r="J184" s="6">
        <v>-0.20599999999999999</v>
      </c>
      <c r="K184" s="3">
        <f t="shared" si="95"/>
        <v>0.11900000000000002</v>
      </c>
      <c r="L184" s="3">
        <v>0.126</v>
      </c>
      <c r="M184" s="6">
        <v>-1.7000000000000001E-2</v>
      </c>
      <c r="N184" s="3">
        <f t="shared" si="96"/>
        <v>-0.14300000000000002</v>
      </c>
      <c r="O184" s="3">
        <f t="shared" si="97"/>
        <v>9.9500000000000005E-2</v>
      </c>
      <c r="P184" s="3">
        <f t="shared" si="97"/>
        <v>0.11149999999999999</v>
      </c>
      <c r="Q184" s="3">
        <f t="shared" si="98"/>
        <v>1.1999999999999983E-2</v>
      </c>
      <c r="R184" s="3">
        <f t="shared" si="99"/>
        <v>0.45100000000000001</v>
      </c>
      <c r="S184" s="3">
        <f t="shared" si="99"/>
        <v>0.189</v>
      </c>
      <c r="T184" s="3">
        <f t="shared" si="100"/>
        <v>-0.26200000000000001</v>
      </c>
      <c r="U184" s="3">
        <f t="shared" si="101"/>
        <v>-9.9500000000000005E-2</v>
      </c>
      <c r="V184" s="3">
        <f t="shared" si="101"/>
        <v>-0.11149999999999999</v>
      </c>
      <c r="W184" s="3">
        <f t="shared" si="112"/>
        <v>-1.1999999999999983E-2</v>
      </c>
      <c r="X184" s="3">
        <f t="shared" si="108"/>
        <v>1.0975886917960089E-2</v>
      </c>
      <c r="Y184" s="3">
        <f t="shared" si="109"/>
        <v>3.2889550264550253E-2</v>
      </c>
      <c r="Z184" s="3">
        <f t="shared" si="102"/>
        <v>2.1913663346590166E-2</v>
      </c>
      <c r="AA184" s="3">
        <v>0.65600000000000003</v>
      </c>
      <c r="AB184" s="3">
        <v>0.57799999999999996</v>
      </c>
      <c r="AC184" s="3">
        <f t="shared" si="103"/>
        <v>-7.8000000000000069E-2</v>
      </c>
      <c r="AD184" s="3">
        <f>-479.566073*627.50956</f>
        <v>-300932.29545915785</v>
      </c>
      <c r="AE184" s="3">
        <f>-482.818561*627.50956</f>
        <v>-302973.26277294313</v>
      </c>
      <c r="AF184" s="3">
        <f t="shared" si="104"/>
        <v>-2040.9673137852806</v>
      </c>
      <c r="AG184" s="3">
        <f>-479.61377*627.50956</f>
        <v>-300962.22578264115</v>
      </c>
      <c r="AH184" s="3">
        <f>-482.867543*627.50956</f>
        <v>-303003.99944621109</v>
      </c>
      <c r="AI184" s="3">
        <f t="shared" si="105"/>
        <v>-2041.7736635699403</v>
      </c>
      <c r="AJ184" s="3">
        <v>-0.58399999999999996</v>
      </c>
      <c r="AK184" s="3">
        <v>-0.52800000000000002</v>
      </c>
      <c r="AL184" s="3">
        <f t="shared" si="106"/>
        <v>5.5999999999999939E-2</v>
      </c>
      <c r="AM184" s="3">
        <v>161.24350000000001</v>
      </c>
      <c r="AN184" s="3">
        <v>236.25452000000001</v>
      </c>
      <c r="AO184" s="3">
        <v>274.10665</v>
      </c>
      <c r="AP184" s="3">
        <f t="shared" si="107"/>
        <v>1.1579497018582499</v>
      </c>
      <c r="AQ184" s="3">
        <v>10.602</v>
      </c>
      <c r="AR184" s="3">
        <v>2.4708779000000001</v>
      </c>
      <c r="AS184" s="3">
        <v>-132.80099999999999</v>
      </c>
      <c r="AT184" s="3">
        <v>-131.97</v>
      </c>
      <c r="AU184" s="3">
        <f t="shared" si="82"/>
        <v>-0.83099999999998886</v>
      </c>
      <c r="AV184" s="3">
        <v>-0.34100000000000003</v>
      </c>
      <c r="AW184" s="3">
        <v>-0.47499999999999998</v>
      </c>
      <c r="AX184" s="3">
        <f t="shared" si="83"/>
        <v>0.13399999999999995</v>
      </c>
      <c r="AY184" s="3">
        <v>2.9000000000000001E-2</v>
      </c>
      <c r="AZ184" s="3">
        <v>0.156</v>
      </c>
      <c r="BA184" s="3">
        <f t="shared" si="84"/>
        <v>-0.127</v>
      </c>
      <c r="BB184" s="3">
        <f t="shared" si="120"/>
        <v>0.156</v>
      </c>
      <c r="BC184" s="3">
        <f t="shared" si="120"/>
        <v>0.15949999999999998</v>
      </c>
      <c r="BD184" s="3">
        <f t="shared" si="86"/>
        <v>-3.4999999999999754E-3</v>
      </c>
      <c r="BE184" s="3">
        <f t="shared" si="121"/>
        <v>0.37000000000000005</v>
      </c>
      <c r="BF184" s="3">
        <f t="shared" si="121"/>
        <v>0.63100000000000001</v>
      </c>
      <c r="BG184" s="3">
        <f t="shared" si="88"/>
        <v>-0.26099999999999995</v>
      </c>
      <c r="BH184" s="3">
        <f t="shared" si="122"/>
        <v>-0.156</v>
      </c>
      <c r="BI184" s="3">
        <f t="shared" si="122"/>
        <v>-0.15949999999999998</v>
      </c>
      <c r="BJ184" s="3">
        <f t="shared" si="113"/>
        <v>3.4999999999999754E-3</v>
      </c>
      <c r="BK184" s="3">
        <f t="shared" si="110"/>
        <v>3.2886486486486483E-2</v>
      </c>
      <c r="BL184" s="3">
        <f t="shared" si="111"/>
        <v>2.0158676703645E-2</v>
      </c>
      <c r="BM184" s="3">
        <f t="shared" si="90"/>
        <v>1.2727809782841482E-2</v>
      </c>
      <c r="BN184" s="3">
        <v>4.7279999999999998</v>
      </c>
      <c r="BO184" s="3">
        <v>4.9340000000000002</v>
      </c>
      <c r="BP184" s="3">
        <f t="shared" si="91"/>
        <v>-0.20600000000000041</v>
      </c>
      <c r="BQ184" s="3">
        <v>-83302.89</v>
      </c>
      <c r="BR184" s="3">
        <v>-82779.224000000002</v>
      </c>
      <c r="BS184" s="3">
        <f t="shared" si="92"/>
        <v>-523.66599999999744</v>
      </c>
      <c r="BT184" s="3">
        <v>-83320.774999999994</v>
      </c>
      <c r="BU184" s="3">
        <v>-82796.997000000003</v>
      </c>
      <c r="BV184" s="3">
        <f t="shared" si="93"/>
        <v>-523.77799999999115</v>
      </c>
    </row>
    <row r="185" spans="1:74" x14ac:dyDescent="0.25">
      <c r="A185" t="s">
        <v>511</v>
      </c>
      <c r="B185" t="s">
        <v>514</v>
      </c>
      <c r="C185" t="s">
        <v>200</v>
      </c>
      <c r="D185" s="3">
        <v>15.7</v>
      </c>
      <c r="E185" s="3">
        <v>0.64</v>
      </c>
      <c r="F185" s="3">
        <v>-173.33799999999999</v>
      </c>
      <c r="G185" s="3">
        <v>-174.54499999999999</v>
      </c>
      <c r="H185" s="3">
        <f t="shared" si="94"/>
        <v>-1.2069999999999936</v>
      </c>
      <c r="I185" s="3">
        <v>-0.39</v>
      </c>
      <c r="J185" s="6">
        <v>-0.24199999999999999</v>
      </c>
      <c r="K185" s="3">
        <f t="shared" si="95"/>
        <v>0.14800000000000002</v>
      </c>
      <c r="L185" s="3">
        <v>0.16200000000000001</v>
      </c>
      <c r="M185" s="6">
        <v>4.5999999999999999E-2</v>
      </c>
      <c r="N185" s="3">
        <f t="shared" si="96"/>
        <v>-0.11600000000000001</v>
      </c>
      <c r="O185" s="3">
        <f t="shared" si="97"/>
        <v>0.114</v>
      </c>
      <c r="P185" s="3">
        <f t="shared" si="97"/>
        <v>9.8000000000000004E-2</v>
      </c>
      <c r="Q185" s="3">
        <f t="shared" si="98"/>
        <v>-1.6E-2</v>
      </c>
      <c r="R185" s="3">
        <f t="shared" si="99"/>
        <v>0.55200000000000005</v>
      </c>
      <c r="S185" s="3">
        <f t="shared" si="99"/>
        <v>0.28799999999999998</v>
      </c>
      <c r="T185" s="3">
        <f t="shared" si="100"/>
        <v>-0.26400000000000007</v>
      </c>
      <c r="U185" s="3">
        <f t="shared" si="101"/>
        <v>-0.114</v>
      </c>
      <c r="V185" s="3">
        <f t="shared" si="101"/>
        <v>-9.8000000000000004E-2</v>
      </c>
      <c r="W185" s="3">
        <f t="shared" si="112"/>
        <v>1.6E-2</v>
      </c>
      <c r="X185" s="3">
        <f t="shared" si="108"/>
        <v>1.1771739130434783E-2</v>
      </c>
      <c r="Y185" s="3">
        <f t="shared" si="109"/>
        <v>1.6673611111111115E-2</v>
      </c>
      <c r="Z185" s="3">
        <f t="shared" si="102"/>
        <v>4.9018719806763322E-3</v>
      </c>
      <c r="AA185" s="3">
        <v>1.6859999999999999</v>
      </c>
      <c r="AB185" s="3">
        <v>1.6519999999999999</v>
      </c>
      <c r="AC185" s="3">
        <f t="shared" si="103"/>
        <v>-3.400000000000003E-2</v>
      </c>
      <c r="AD185" s="3">
        <f>-173.203262*627.50956</f>
        <v>-108686.70272818471</v>
      </c>
      <c r="AE185" s="3">
        <f>-174.417339*627.50956</f>
        <v>-109448.54765226084</v>
      </c>
      <c r="AF185" s="3">
        <f t="shared" si="104"/>
        <v>-761.84492407612561</v>
      </c>
      <c r="AG185" s="3">
        <f>-173.237336*627.50956</f>
        <v>-108708.08448893216</v>
      </c>
      <c r="AH185" s="3">
        <f>-174.451845*627.50956</f>
        <v>-109470.20049713818</v>
      </c>
      <c r="AI185" s="3">
        <f t="shared" si="105"/>
        <v>-762.11600820602325</v>
      </c>
      <c r="AJ185" s="3">
        <v>-0.85699999999999998</v>
      </c>
      <c r="AK185" s="3">
        <v>-0.85399999999999998</v>
      </c>
      <c r="AL185" s="3">
        <f t="shared" si="106"/>
        <v>3.0000000000000027E-3</v>
      </c>
      <c r="AM185" s="3">
        <v>59.110259999999997</v>
      </c>
      <c r="AN185" s="3">
        <v>134.696</v>
      </c>
      <c r="AO185" s="3">
        <v>130.02549999999999</v>
      </c>
      <c r="AP185" s="3">
        <f t="shared" si="107"/>
        <v>1.0854045245414978</v>
      </c>
      <c r="AQ185" s="3">
        <v>7.8849999999999998</v>
      </c>
      <c r="AR185" s="3">
        <v>1.6009709999999999</v>
      </c>
      <c r="AS185" s="3">
        <v>-553.27200000000005</v>
      </c>
      <c r="AT185" s="3">
        <v>-551.61699999999996</v>
      </c>
      <c r="AU185" s="3">
        <f t="shared" si="82"/>
        <v>-1.6550000000000864</v>
      </c>
      <c r="AV185" s="3">
        <v>-0.23699999999999999</v>
      </c>
      <c r="AW185" s="3">
        <v>-0.36899999999999999</v>
      </c>
      <c r="AX185" s="3">
        <f t="shared" si="83"/>
        <v>0.13200000000000001</v>
      </c>
      <c r="AY185" s="3">
        <v>2.8000000000000001E-2</v>
      </c>
      <c r="AZ185" s="3">
        <v>0.154</v>
      </c>
      <c r="BA185" s="3">
        <f t="shared" si="84"/>
        <v>-0.126</v>
      </c>
      <c r="BB185" s="3">
        <f t="shared" si="120"/>
        <v>0.1045</v>
      </c>
      <c r="BC185" s="3">
        <f t="shared" si="120"/>
        <v>0.1075</v>
      </c>
      <c r="BD185" s="3">
        <f t="shared" si="86"/>
        <v>-3.0000000000000027E-3</v>
      </c>
      <c r="BE185" s="3">
        <f t="shared" si="121"/>
        <v>0.26500000000000001</v>
      </c>
      <c r="BF185" s="3">
        <f t="shared" si="121"/>
        <v>0.52300000000000002</v>
      </c>
      <c r="BG185" s="3">
        <f t="shared" si="88"/>
        <v>-0.25800000000000001</v>
      </c>
      <c r="BH185" s="3">
        <f t="shared" si="122"/>
        <v>-0.1045</v>
      </c>
      <c r="BI185" s="3">
        <f t="shared" si="122"/>
        <v>-0.1075</v>
      </c>
      <c r="BJ185" s="3">
        <f t="shared" si="113"/>
        <v>3.0000000000000027E-3</v>
      </c>
      <c r="BK185" s="3">
        <f t="shared" si="110"/>
        <v>2.0604245283018865E-2</v>
      </c>
      <c r="BL185" s="3">
        <f t="shared" si="111"/>
        <v>1.104804015296367E-2</v>
      </c>
      <c r="BM185" s="3">
        <f t="shared" si="90"/>
        <v>9.5562051300551957E-3</v>
      </c>
      <c r="BN185" s="3">
        <v>5.4870000000000001</v>
      </c>
      <c r="BO185" s="3">
        <v>6.0839999999999996</v>
      </c>
      <c r="BP185" s="3">
        <f t="shared" si="91"/>
        <v>-0.59699999999999953</v>
      </c>
      <c r="BQ185" s="3">
        <v>-347129.96399999998</v>
      </c>
      <c r="BR185" s="3">
        <v>-346087.64600000001</v>
      </c>
      <c r="BS185" s="3">
        <f t="shared" si="92"/>
        <v>-1042.3179999999702</v>
      </c>
      <c r="BT185" s="3">
        <v>-347152.04599999997</v>
      </c>
      <c r="BU185" s="3">
        <v>-346109.22600000002</v>
      </c>
      <c r="BV185" s="3">
        <f t="shared" si="93"/>
        <v>-1042.8199999999488</v>
      </c>
    </row>
    <row r="186" spans="1:74" x14ac:dyDescent="0.25">
      <c r="A186" t="s">
        <v>370</v>
      </c>
      <c r="B186" t="s">
        <v>514</v>
      </c>
      <c r="C186" t="s">
        <v>200</v>
      </c>
      <c r="D186" s="3">
        <v>15.7</v>
      </c>
      <c r="E186" s="3">
        <v>0.71</v>
      </c>
      <c r="F186" s="3">
        <v>-543.21600000000001</v>
      </c>
      <c r="G186" s="3">
        <v>-545.9</v>
      </c>
      <c r="H186" s="3">
        <f t="shared" si="94"/>
        <v>-2.6839999999999691</v>
      </c>
      <c r="I186" s="3">
        <v>-0.31</v>
      </c>
      <c r="J186" s="6">
        <v>-0.188</v>
      </c>
      <c r="K186" s="3">
        <f t="shared" si="95"/>
        <v>0.122</v>
      </c>
      <c r="L186" s="3">
        <v>0.19</v>
      </c>
      <c r="M186" s="6">
        <v>4.5999999999999999E-2</v>
      </c>
      <c r="N186" s="3">
        <f t="shared" si="96"/>
        <v>-0.14400000000000002</v>
      </c>
      <c r="O186" s="3">
        <f t="shared" si="97"/>
        <v>0.06</v>
      </c>
      <c r="P186" s="3">
        <f t="shared" si="97"/>
        <v>7.1000000000000008E-2</v>
      </c>
      <c r="Q186" s="3">
        <f t="shared" si="98"/>
        <v>1.100000000000001E-2</v>
      </c>
      <c r="R186" s="3">
        <f t="shared" si="99"/>
        <v>0.5</v>
      </c>
      <c r="S186" s="3">
        <f t="shared" si="99"/>
        <v>0.23399999999999999</v>
      </c>
      <c r="T186" s="3">
        <f t="shared" si="100"/>
        <v>-0.26600000000000001</v>
      </c>
      <c r="U186" s="3">
        <f t="shared" si="101"/>
        <v>-0.06</v>
      </c>
      <c r="V186" s="3">
        <f t="shared" si="101"/>
        <v>-7.1000000000000008E-2</v>
      </c>
      <c r="W186" s="3">
        <f t="shared" si="112"/>
        <v>-1.100000000000001E-2</v>
      </c>
      <c r="X186" s="3">
        <f t="shared" si="108"/>
        <v>3.5999999999999999E-3</v>
      </c>
      <c r="Y186" s="3">
        <f t="shared" si="109"/>
        <v>1.0771367521367524E-2</v>
      </c>
      <c r="Z186" s="3">
        <f t="shared" si="102"/>
        <v>7.1713675213675243E-3</v>
      </c>
      <c r="AA186" s="3">
        <v>7.0010000000000003</v>
      </c>
      <c r="AB186" s="3">
        <v>6.4080000000000004</v>
      </c>
      <c r="AC186" s="3">
        <f t="shared" si="103"/>
        <v>-0.59299999999999997</v>
      </c>
      <c r="AD186" s="3">
        <f>-543.137271*627.50956</f>
        <v>-340823.82994481077</v>
      </c>
      <c r="AE186" s="3">
        <f>-545.8265*627.50956</f>
        <v>-342511.34685133997</v>
      </c>
      <c r="AF186" s="3">
        <f t="shared" si="104"/>
        <v>-1687.5169065291993</v>
      </c>
      <c r="AG186" s="3">
        <f>-543.17752*627.50956</f>
        <v>-340849.08657709113</v>
      </c>
      <c r="AH186" s="3">
        <f>-545.867783*627.50956</f>
        <v>-342537.25232850551</v>
      </c>
      <c r="AI186" s="3">
        <f t="shared" si="105"/>
        <v>-1688.1657514143735</v>
      </c>
      <c r="AJ186" s="3">
        <v>-0.79300000000000004</v>
      </c>
      <c r="AK186" s="3">
        <v>-0.69199999999999995</v>
      </c>
      <c r="AL186" s="3">
        <f t="shared" si="106"/>
        <v>0.10100000000000009</v>
      </c>
      <c r="AM186" s="3">
        <v>126.05722</v>
      </c>
      <c r="AN186" s="3">
        <v>136.66104999999999</v>
      </c>
      <c r="AO186" s="3">
        <v>130.38521</v>
      </c>
      <c r="AP186" s="3">
        <f t="shared" si="107"/>
        <v>1.0992128997046537</v>
      </c>
      <c r="AQ186" s="3">
        <v>7.8840000000000003</v>
      </c>
      <c r="AR186" s="3">
        <v>1.7569220000000001</v>
      </c>
      <c r="AS186" s="3">
        <v>-553.27200000000005</v>
      </c>
      <c r="AT186" s="3">
        <v>-551.61699999999996</v>
      </c>
      <c r="AU186" s="3">
        <f t="shared" si="82"/>
        <v>-1.6550000000000864</v>
      </c>
      <c r="AV186" s="3">
        <v>-0.23699999999999999</v>
      </c>
      <c r="AW186" s="3">
        <v>-0.36899999999999999</v>
      </c>
      <c r="AX186" s="3">
        <f t="shared" si="83"/>
        <v>0.13200000000000001</v>
      </c>
      <c r="AY186" s="3">
        <v>2.8000000000000001E-2</v>
      </c>
      <c r="AZ186" s="3">
        <v>0.154</v>
      </c>
      <c r="BA186" s="3">
        <f t="shared" si="84"/>
        <v>-0.126</v>
      </c>
      <c r="BB186" s="3">
        <f t="shared" si="120"/>
        <v>0.1045</v>
      </c>
      <c r="BC186" s="3">
        <f t="shared" si="120"/>
        <v>0.1075</v>
      </c>
      <c r="BD186" s="3">
        <f t="shared" si="86"/>
        <v>-3.0000000000000027E-3</v>
      </c>
      <c r="BE186" s="3">
        <f t="shared" si="121"/>
        <v>0.26500000000000001</v>
      </c>
      <c r="BF186" s="3">
        <f t="shared" si="121"/>
        <v>0.52300000000000002</v>
      </c>
      <c r="BG186" s="3">
        <f t="shared" si="88"/>
        <v>-0.25800000000000001</v>
      </c>
      <c r="BH186" s="3">
        <f t="shared" si="122"/>
        <v>-0.1045</v>
      </c>
      <c r="BI186" s="3">
        <f t="shared" si="122"/>
        <v>-0.1075</v>
      </c>
      <c r="BJ186" s="3">
        <f t="shared" si="113"/>
        <v>3.0000000000000027E-3</v>
      </c>
      <c r="BK186" s="3">
        <f t="shared" si="110"/>
        <v>2.0604245283018865E-2</v>
      </c>
      <c r="BL186" s="3">
        <f t="shared" si="111"/>
        <v>1.104804015296367E-2</v>
      </c>
      <c r="BM186" s="3">
        <f t="shared" si="90"/>
        <v>9.5562051300551957E-3</v>
      </c>
      <c r="BN186" s="3">
        <v>5.4870000000000001</v>
      </c>
      <c r="BO186" s="3">
        <v>6.0839999999999996</v>
      </c>
      <c r="BP186" s="3">
        <f t="shared" si="91"/>
        <v>-0.59699999999999953</v>
      </c>
      <c r="BQ186" s="3">
        <v>-347129.96399999998</v>
      </c>
      <c r="BR186" s="3">
        <v>-346087.64600000001</v>
      </c>
      <c r="BS186" s="3">
        <f t="shared" si="92"/>
        <v>-1042.3179999999702</v>
      </c>
      <c r="BT186" s="3">
        <v>-347152.04599999997</v>
      </c>
      <c r="BU186" s="3">
        <v>-346109.22600000002</v>
      </c>
      <c r="BV186" s="3">
        <f t="shared" si="93"/>
        <v>-1042.8199999999488</v>
      </c>
    </row>
    <row r="187" spans="1:74" x14ac:dyDescent="0.25">
      <c r="A187" t="s">
        <v>371</v>
      </c>
      <c r="B187" t="s">
        <v>514</v>
      </c>
      <c r="C187" t="s">
        <v>103</v>
      </c>
      <c r="D187" s="3">
        <v>15.8</v>
      </c>
      <c r="E187" s="3">
        <v>0.66</v>
      </c>
      <c r="F187" s="3">
        <v>-379.87400000000002</v>
      </c>
      <c r="G187" s="3">
        <v>-382.36099999999999</v>
      </c>
      <c r="H187" s="3">
        <f t="shared" si="94"/>
        <v>-2.4869999999999663</v>
      </c>
      <c r="I187" s="3">
        <v>-0.311</v>
      </c>
      <c r="J187" s="6">
        <v>-0.214</v>
      </c>
      <c r="K187" s="3">
        <f t="shared" si="95"/>
        <v>9.7000000000000003E-2</v>
      </c>
      <c r="L187" s="3">
        <v>0.13400000000000001</v>
      </c>
      <c r="M187" s="6">
        <v>-1.2E-2</v>
      </c>
      <c r="N187" s="3">
        <f t="shared" si="96"/>
        <v>-0.14600000000000002</v>
      </c>
      <c r="O187" s="3">
        <f t="shared" si="97"/>
        <v>8.8499999999999995E-2</v>
      </c>
      <c r="P187" s="3">
        <f t="shared" si="97"/>
        <v>0.113</v>
      </c>
      <c r="Q187" s="3">
        <f t="shared" si="98"/>
        <v>2.4500000000000008E-2</v>
      </c>
      <c r="R187" s="3">
        <f t="shared" si="99"/>
        <v>0.44500000000000001</v>
      </c>
      <c r="S187" s="3">
        <f t="shared" si="99"/>
        <v>0.20199999999999999</v>
      </c>
      <c r="T187" s="3">
        <f t="shared" si="100"/>
        <v>-0.24300000000000002</v>
      </c>
      <c r="U187" s="3">
        <f t="shared" si="101"/>
        <v>-8.8499999999999995E-2</v>
      </c>
      <c r="V187" s="3">
        <f t="shared" si="101"/>
        <v>-0.113</v>
      </c>
      <c r="W187" s="3">
        <f t="shared" si="112"/>
        <v>-2.4500000000000008E-2</v>
      </c>
      <c r="X187" s="3">
        <f t="shared" si="108"/>
        <v>8.8002808988764027E-3</v>
      </c>
      <c r="Y187" s="3">
        <f t="shared" si="109"/>
        <v>3.1606435643564364E-2</v>
      </c>
      <c r="Z187" s="3">
        <f t="shared" si="102"/>
        <v>2.2806154744687959E-2</v>
      </c>
      <c r="AA187" s="3">
        <v>5.5129999999999999</v>
      </c>
      <c r="AB187" s="3">
        <v>6.0780000000000003</v>
      </c>
      <c r="AC187" s="3">
        <f t="shared" si="103"/>
        <v>0.56500000000000039</v>
      </c>
      <c r="AD187" s="3">
        <f>-379.6925*627.50956</f>
        <v>-238260.67361029997</v>
      </c>
      <c r="AE187" s="3">
        <f>-382.190223*627.50956</f>
        <v>-239828.01867103187</v>
      </c>
      <c r="AF187" s="3">
        <f t="shared" si="104"/>
        <v>-1567.3450607318955</v>
      </c>
      <c r="AG187" s="3">
        <f>-379.734978*627.50956</f>
        <v>-238287.32896138966</v>
      </c>
      <c r="AH187" s="3">
        <f>-382.233994*627.50956</f>
        <v>-239855.48539198263</v>
      </c>
      <c r="AI187" s="3">
        <f t="shared" si="105"/>
        <v>-1568.1564305929642</v>
      </c>
      <c r="AJ187" s="3">
        <v>-0.60599999999999998</v>
      </c>
      <c r="AK187" s="3">
        <v>-0.53500000000000003</v>
      </c>
      <c r="AL187" s="3">
        <f t="shared" si="106"/>
        <v>7.0999999999999952E-2</v>
      </c>
      <c r="AM187" s="3">
        <v>122.1677</v>
      </c>
      <c r="AN187" s="3">
        <v>187.52350000000001</v>
      </c>
      <c r="AO187" s="3">
        <v>200.9896</v>
      </c>
      <c r="AP187" s="3">
        <f t="shared" si="107"/>
        <v>1.1303057234004215</v>
      </c>
      <c r="AQ187" s="3">
        <v>9.0470000000000006</v>
      </c>
      <c r="AR187" s="3">
        <v>2.1249589000000002</v>
      </c>
      <c r="AS187" s="3">
        <v>-959.76900000000001</v>
      </c>
      <c r="AT187" s="3">
        <v>-958.05</v>
      </c>
      <c r="AU187" s="3">
        <f t="shared" si="82"/>
        <v>-1.7190000000000509</v>
      </c>
      <c r="AV187" s="3">
        <v>-0.317</v>
      </c>
      <c r="AW187" s="3">
        <v>-0.45</v>
      </c>
      <c r="AX187" s="3">
        <f t="shared" si="83"/>
        <v>0.13300000000000001</v>
      </c>
      <c r="AY187" s="3">
        <v>-2.4E-2</v>
      </c>
      <c r="AZ187" s="3">
        <v>0.13500000000000001</v>
      </c>
      <c r="BA187" s="3">
        <f t="shared" si="84"/>
        <v>-0.159</v>
      </c>
      <c r="BB187" s="3">
        <f t="shared" si="120"/>
        <v>0.17050000000000001</v>
      </c>
      <c r="BC187" s="3">
        <f t="shared" si="120"/>
        <v>0.1575</v>
      </c>
      <c r="BD187" s="3">
        <f t="shared" si="86"/>
        <v>1.3000000000000012E-2</v>
      </c>
      <c r="BE187" s="3">
        <f t="shared" si="121"/>
        <v>0.29299999999999998</v>
      </c>
      <c r="BF187" s="3">
        <f t="shared" si="121"/>
        <v>0.58499999999999996</v>
      </c>
      <c r="BG187" s="3">
        <f t="shared" si="88"/>
        <v>-0.29199999999999998</v>
      </c>
      <c r="BH187" s="3">
        <f t="shared" si="122"/>
        <v>-0.17050000000000001</v>
      </c>
      <c r="BI187" s="3">
        <f t="shared" si="122"/>
        <v>-0.1575</v>
      </c>
      <c r="BJ187" s="3">
        <f t="shared" si="113"/>
        <v>-1.3000000000000012E-2</v>
      </c>
      <c r="BK187" s="3">
        <f t="shared" si="110"/>
        <v>4.9607935153583631E-2</v>
      </c>
      <c r="BL187" s="3">
        <f t="shared" si="111"/>
        <v>2.120192307692308E-2</v>
      </c>
      <c r="BM187" s="3">
        <f t="shared" si="90"/>
        <v>2.8406012076660551E-2</v>
      </c>
      <c r="BN187" s="3">
        <v>2.2370000000000001</v>
      </c>
      <c r="BO187" s="3">
        <v>2.431</v>
      </c>
      <c r="BP187" s="3">
        <f t="shared" si="91"/>
        <v>-0.19399999999999995</v>
      </c>
      <c r="BQ187" s="3">
        <v>-602243.07700000005</v>
      </c>
      <c r="BR187" s="3">
        <v>-601163.24300000002</v>
      </c>
      <c r="BS187" s="3">
        <f t="shared" si="92"/>
        <v>-1079.8340000000317</v>
      </c>
      <c r="BT187" s="3">
        <v>-602262.36399999994</v>
      </c>
      <c r="BU187" s="3">
        <v>-601182.38500000001</v>
      </c>
      <c r="BV187" s="3">
        <f t="shared" si="93"/>
        <v>-1079.9789999999339</v>
      </c>
    </row>
    <row r="188" spans="1:74" x14ac:dyDescent="0.25">
      <c r="A188" t="s">
        <v>372</v>
      </c>
      <c r="B188" t="s">
        <v>514</v>
      </c>
      <c r="C188" t="s">
        <v>200</v>
      </c>
      <c r="D188" s="3">
        <v>15.81</v>
      </c>
      <c r="E188" s="3">
        <v>0.64</v>
      </c>
      <c r="F188" s="3">
        <v>-504.19499999999999</v>
      </c>
      <c r="G188" s="3">
        <v>-506.59399999999999</v>
      </c>
      <c r="H188" s="3">
        <f t="shared" si="94"/>
        <v>-2.3990000000000009</v>
      </c>
      <c r="I188" s="3">
        <v>-0.33200000000000002</v>
      </c>
      <c r="J188" s="6">
        <v>-0.20300000000000001</v>
      </c>
      <c r="K188" s="3">
        <f t="shared" si="95"/>
        <v>0.129</v>
      </c>
      <c r="L188" s="3">
        <v>0.22500000000000001</v>
      </c>
      <c r="M188" s="6">
        <v>5.2999999999999999E-2</v>
      </c>
      <c r="N188" s="3">
        <f t="shared" si="96"/>
        <v>-0.17200000000000001</v>
      </c>
      <c r="O188" s="3">
        <f t="shared" si="97"/>
        <v>5.3500000000000006E-2</v>
      </c>
      <c r="P188" s="3">
        <f t="shared" si="97"/>
        <v>7.5000000000000011E-2</v>
      </c>
      <c r="Q188" s="3">
        <f t="shared" si="98"/>
        <v>2.1500000000000005E-2</v>
      </c>
      <c r="R188" s="3">
        <f t="shared" si="99"/>
        <v>0.55700000000000005</v>
      </c>
      <c r="S188" s="3">
        <f t="shared" si="99"/>
        <v>0.25600000000000001</v>
      </c>
      <c r="T188" s="3">
        <f t="shared" si="100"/>
        <v>-0.30100000000000005</v>
      </c>
      <c r="U188" s="3">
        <f t="shared" si="101"/>
        <v>-5.3500000000000006E-2</v>
      </c>
      <c r="V188" s="3">
        <f t="shared" si="101"/>
        <v>-7.5000000000000011E-2</v>
      </c>
      <c r="W188" s="3">
        <f t="shared" si="112"/>
        <v>-2.1500000000000005E-2</v>
      </c>
      <c r="X188" s="3">
        <f t="shared" si="108"/>
        <v>2.5693447037701978E-3</v>
      </c>
      <c r="Y188" s="3">
        <f t="shared" si="109"/>
        <v>1.0986328125000003E-2</v>
      </c>
      <c r="Z188" s="3">
        <f t="shared" si="102"/>
        <v>8.4169834212298057E-3</v>
      </c>
      <c r="AA188" s="3">
        <v>7.2190000000000003</v>
      </c>
      <c r="AB188" s="3">
        <v>6.7489999999999997</v>
      </c>
      <c r="AC188" s="3">
        <f t="shared" si="103"/>
        <v>-0.47000000000000064</v>
      </c>
      <c r="AD188" s="3">
        <f>-504.146325*627.50956</f>
        <v>-316356.638576367</v>
      </c>
      <c r="AE188" s="3">
        <f>-506.548853*627.50956</f>
        <v>-317864.24786453467</v>
      </c>
      <c r="AF188" s="3">
        <f t="shared" si="104"/>
        <v>-1507.6092881676741</v>
      </c>
      <c r="AG188" s="3">
        <f>-504.183348*627.50956</f>
        <v>-316379.87086280686</v>
      </c>
      <c r="AH188" s="3">
        <f>-506.586801*627.50956</f>
        <v>-317888.06059731753</v>
      </c>
      <c r="AI188" s="3">
        <f t="shared" si="105"/>
        <v>-1508.18973451067</v>
      </c>
      <c r="AJ188" s="3">
        <v>-0.95299999999999996</v>
      </c>
      <c r="AK188" s="3">
        <v>-0.877</v>
      </c>
      <c r="AL188" s="3">
        <f t="shared" si="106"/>
        <v>7.5999999999999956E-2</v>
      </c>
      <c r="AM188" s="3">
        <v>112.03064000000001</v>
      </c>
      <c r="AN188" s="3">
        <v>114.4902</v>
      </c>
      <c r="AO188" s="3">
        <v>101.9723</v>
      </c>
      <c r="AP188" s="3">
        <f t="shared" si="107"/>
        <v>1.0848494032408809</v>
      </c>
      <c r="AQ188" s="3">
        <v>6.5359999999999996</v>
      </c>
      <c r="AR188" s="3">
        <v>1.604843</v>
      </c>
      <c r="AS188" s="3">
        <v>-553.27200000000005</v>
      </c>
      <c r="AT188" s="3">
        <v>-551.61699999999996</v>
      </c>
      <c r="AU188" s="3">
        <f t="shared" si="82"/>
        <v>-1.6550000000000864</v>
      </c>
      <c r="AV188" s="3">
        <v>-0.23699999999999999</v>
      </c>
      <c r="AW188" s="3">
        <v>-0.36899999999999999</v>
      </c>
      <c r="AX188" s="3">
        <f t="shared" si="83"/>
        <v>0.13200000000000001</v>
      </c>
      <c r="AY188" s="3">
        <v>2.8000000000000001E-2</v>
      </c>
      <c r="AZ188" s="3">
        <v>0.154</v>
      </c>
      <c r="BA188" s="3">
        <f t="shared" si="84"/>
        <v>-0.126</v>
      </c>
      <c r="BB188" s="3">
        <f t="shared" si="120"/>
        <v>0.1045</v>
      </c>
      <c r="BC188" s="3">
        <f t="shared" si="120"/>
        <v>0.1075</v>
      </c>
      <c r="BD188" s="3">
        <f t="shared" si="86"/>
        <v>-3.0000000000000027E-3</v>
      </c>
      <c r="BE188" s="3">
        <f t="shared" si="121"/>
        <v>0.26500000000000001</v>
      </c>
      <c r="BF188" s="3">
        <f t="shared" si="121"/>
        <v>0.52300000000000002</v>
      </c>
      <c r="BG188" s="3">
        <f t="shared" si="88"/>
        <v>-0.25800000000000001</v>
      </c>
      <c r="BH188" s="3">
        <f t="shared" si="122"/>
        <v>-0.1045</v>
      </c>
      <c r="BI188" s="3">
        <f t="shared" si="122"/>
        <v>-0.1075</v>
      </c>
      <c r="BJ188" s="3">
        <f t="shared" si="113"/>
        <v>3.0000000000000027E-3</v>
      </c>
      <c r="BK188" s="3">
        <f t="shared" si="110"/>
        <v>2.0604245283018865E-2</v>
      </c>
      <c r="BL188" s="3">
        <f t="shared" si="111"/>
        <v>1.104804015296367E-2</v>
      </c>
      <c r="BM188" s="3">
        <f t="shared" si="90"/>
        <v>9.5562051300551957E-3</v>
      </c>
      <c r="BN188" s="3">
        <v>5.4870000000000001</v>
      </c>
      <c r="BO188" s="3">
        <v>6.0839999999999996</v>
      </c>
      <c r="BP188" s="3">
        <f t="shared" si="91"/>
        <v>-0.59699999999999953</v>
      </c>
      <c r="BQ188" s="3">
        <v>-347129.96399999998</v>
      </c>
      <c r="BR188" s="3">
        <v>-346087.64600000001</v>
      </c>
      <c r="BS188" s="3">
        <f t="shared" si="92"/>
        <v>-1042.3179999999702</v>
      </c>
      <c r="BT188" s="3">
        <v>-347152.04599999997</v>
      </c>
      <c r="BU188" s="3">
        <v>-346109.22600000002</v>
      </c>
      <c r="BV188" s="3">
        <f t="shared" si="93"/>
        <v>-1042.8199999999488</v>
      </c>
    </row>
    <row r="189" spans="1:74" x14ac:dyDescent="0.25">
      <c r="A189" t="s">
        <v>374</v>
      </c>
      <c r="B189" t="s">
        <v>514</v>
      </c>
      <c r="C189" t="s">
        <v>218</v>
      </c>
      <c r="D189" s="3">
        <v>15.9</v>
      </c>
      <c r="E189" s="3">
        <v>0.66</v>
      </c>
      <c r="F189" s="3">
        <v>-379.87400000000002</v>
      </c>
      <c r="G189" s="3">
        <v>-382.36099999999999</v>
      </c>
      <c r="H189" s="3">
        <f t="shared" si="94"/>
        <v>-2.4869999999999663</v>
      </c>
      <c r="I189" s="3">
        <v>-0.31</v>
      </c>
      <c r="J189" s="6">
        <v>-0.214</v>
      </c>
      <c r="K189" s="3">
        <f t="shared" si="95"/>
        <v>9.6000000000000002E-2</v>
      </c>
      <c r="L189" s="3">
        <v>0.13400000000000001</v>
      </c>
      <c r="M189" s="6">
        <v>-1.2E-2</v>
      </c>
      <c r="N189" s="3">
        <f t="shared" si="96"/>
        <v>-0.14600000000000002</v>
      </c>
      <c r="O189" s="3">
        <f t="shared" si="97"/>
        <v>8.7999999999999995E-2</v>
      </c>
      <c r="P189" s="3">
        <f t="shared" si="97"/>
        <v>0.113</v>
      </c>
      <c r="Q189" s="3">
        <f t="shared" si="98"/>
        <v>2.5000000000000008E-2</v>
      </c>
      <c r="R189" s="3">
        <f t="shared" si="99"/>
        <v>0.44400000000000001</v>
      </c>
      <c r="S189" s="3">
        <f t="shared" si="99"/>
        <v>0.20199999999999999</v>
      </c>
      <c r="T189" s="3">
        <f t="shared" si="100"/>
        <v>-0.24200000000000002</v>
      </c>
      <c r="U189" s="3">
        <f t="shared" si="101"/>
        <v>-8.7999999999999995E-2</v>
      </c>
      <c r="V189" s="3">
        <f t="shared" si="101"/>
        <v>-0.113</v>
      </c>
      <c r="W189" s="3">
        <f t="shared" si="112"/>
        <v>-2.5000000000000008E-2</v>
      </c>
      <c r="X189" s="3">
        <f t="shared" si="108"/>
        <v>8.7207207207207205E-3</v>
      </c>
      <c r="Y189" s="3">
        <f t="shared" si="109"/>
        <v>3.1606435643564364E-2</v>
      </c>
      <c r="Z189" s="3">
        <f t="shared" si="102"/>
        <v>2.2885714922843643E-2</v>
      </c>
      <c r="AA189" s="3">
        <v>5.4640000000000004</v>
      </c>
      <c r="AB189" s="3">
        <v>6.0190000000000001</v>
      </c>
      <c r="AC189" s="3">
        <f t="shared" si="103"/>
        <v>0.55499999999999972</v>
      </c>
      <c r="AD189" s="3">
        <f>-379.692195*627.50956</f>
        <v>-238260.4822198842</v>
      </c>
      <c r="AE189" s="3">
        <f>-382.189928*627.50956</f>
        <v>-239827.83355571167</v>
      </c>
      <c r="AF189" s="3">
        <f t="shared" si="104"/>
        <v>-1567.3513358274649</v>
      </c>
      <c r="AG189" s="3">
        <f>-379.734662*627.50956</f>
        <v>-238287.13066836871</v>
      </c>
      <c r="AH189" s="3">
        <f>-382.233667*627.50956</f>
        <v>-239855.28019635653</v>
      </c>
      <c r="AI189" s="3">
        <f t="shared" si="105"/>
        <v>-1568.1495279878145</v>
      </c>
      <c r="AJ189" s="3">
        <v>-0.60499999999999998</v>
      </c>
      <c r="AK189" s="3">
        <v>-0.53400000000000003</v>
      </c>
      <c r="AL189" s="3">
        <f t="shared" si="106"/>
        <v>7.0999999999999952E-2</v>
      </c>
      <c r="AM189" s="3">
        <v>122.1677</v>
      </c>
      <c r="AN189" s="3">
        <v>187.5224</v>
      </c>
      <c r="AO189" s="3">
        <v>200.99359999999999</v>
      </c>
      <c r="AP189" s="3">
        <f t="shared" si="107"/>
        <v>1.1302840969010839</v>
      </c>
      <c r="AQ189" s="3">
        <v>9.0470000000000006</v>
      </c>
      <c r="AR189" s="3">
        <v>2.1249625399999998</v>
      </c>
      <c r="AS189" s="3">
        <v>-232.511</v>
      </c>
      <c r="AT189" s="3">
        <v>-231.03200000000001</v>
      </c>
      <c r="AU189" s="3">
        <f t="shared" si="82"/>
        <v>-1.478999999999985</v>
      </c>
      <c r="AV189" s="3">
        <v>-0.246</v>
      </c>
      <c r="AW189" s="3">
        <v>-0.40400000000000003</v>
      </c>
      <c r="AX189" s="3">
        <f t="shared" si="83"/>
        <v>0.15800000000000003</v>
      </c>
      <c r="AY189" s="3">
        <v>3.5999999999999997E-2</v>
      </c>
      <c r="AZ189" s="3">
        <v>0.15</v>
      </c>
      <c r="BA189" s="3">
        <f t="shared" si="84"/>
        <v>-0.11399999999999999</v>
      </c>
      <c r="BB189" s="3">
        <f t="shared" si="120"/>
        <v>0.105</v>
      </c>
      <c r="BC189" s="3">
        <f t="shared" si="120"/>
        <v>0.127</v>
      </c>
      <c r="BD189" s="3">
        <f t="shared" si="86"/>
        <v>-2.2000000000000006E-2</v>
      </c>
      <c r="BE189" s="3">
        <f t="shared" si="121"/>
        <v>0.28199999999999997</v>
      </c>
      <c r="BF189" s="3">
        <f t="shared" si="121"/>
        <v>0.55400000000000005</v>
      </c>
      <c r="BG189" s="3">
        <f t="shared" si="88"/>
        <v>-0.27200000000000008</v>
      </c>
      <c r="BH189" s="3">
        <f t="shared" si="122"/>
        <v>-0.105</v>
      </c>
      <c r="BI189" s="3">
        <f t="shared" si="122"/>
        <v>-0.127</v>
      </c>
      <c r="BJ189" s="3">
        <f t="shared" si="113"/>
        <v>2.2000000000000006E-2</v>
      </c>
      <c r="BK189" s="3">
        <f t="shared" si="110"/>
        <v>1.9547872340425532E-2</v>
      </c>
      <c r="BL189" s="3">
        <f t="shared" si="111"/>
        <v>1.4556859205776172E-2</v>
      </c>
      <c r="BM189" s="3">
        <f t="shared" si="90"/>
        <v>4.9910131346493601E-3</v>
      </c>
      <c r="BN189" s="3">
        <v>2.206</v>
      </c>
      <c r="BO189" s="3">
        <v>2.2749999999999999</v>
      </c>
      <c r="BP189" s="3">
        <f t="shared" si="91"/>
        <v>-6.899999999999995E-2</v>
      </c>
      <c r="BQ189" s="3">
        <v>-145827.45000000001</v>
      </c>
      <c r="BR189" s="3">
        <v>-144894.345</v>
      </c>
      <c r="BS189" s="3">
        <f t="shared" si="92"/>
        <v>-933.10500000001048</v>
      </c>
      <c r="BT189" s="3">
        <v>-145847.03599999999</v>
      </c>
      <c r="BU189" s="3">
        <v>-144913.766</v>
      </c>
      <c r="BV189" s="3">
        <f t="shared" si="93"/>
        <v>-933.26999999998952</v>
      </c>
    </row>
    <row r="190" spans="1:74" x14ac:dyDescent="0.25">
      <c r="A190" t="s">
        <v>373</v>
      </c>
      <c r="B190" t="s">
        <v>514</v>
      </c>
      <c r="C190" t="s">
        <v>103</v>
      </c>
      <c r="D190" s="3">
        <v>15.9</v>
      </c>
      <c r="E190" s="3">
        <v>0.67</v>
      </c>
      <c r="F190" s="3">
        <v>-456.80399999999997</v>
      </c>
      <c r="G190" s="3">
        <v>-459.80500000000001</v>
      </c>
      <c r="H190" s="3">
        <f t="shared" si="94"/>
        <v>-3.0010000000000332</v>
      </c>
      <c r="I190" s="3">
        <v>-0.30499999999999999</v>
      </c>
      <c r="J190" s="6">
        <v>-0.21099999999999999</v>
      </c>
      <c r="K190" s="3">
        <f t="shared" si="95"/>
        <v>9.4E-2</v>
      </c>
      <c r="L190" s="3">
        <v>0.13400000000000001</v>
      </c>
      <c r="M190" s="6">
        <v>-1.2E-2</v>
      </c>
      <c r="N190" s="3">
        <f t="shared" si="96"/>
        <v>-0.14600000000000002</v>
      </c>
      <c r="O190" s="3">
        <f t="shared" si="97"/>
        <v>8.5499999999999993E-2</v>
      </c>
      <c r="P190" s="3">
        <f t="shared" si="97"/>
        <v>0.1115</v>
      </c>
      <c r="Q190" s="3">
        <f t="shared" si="98"/>
        <v>2.6000000000000009E-2</v>
      </c>
      <c r="R190" s="3">
        <f t="shared" si="99"/>
        <v>0.439</v>
      </c>
      <c r="S190" s="3">
        <f t="shared" si="99"/>
        <v>0.19899999999999998</v>
      </c>
      <c r="T190" s="3">
        <f t="shared" si="100"/>
        <v>-0.24000000000000002</v>
      </c>
      <c r="U190" s="3">
        <f t="shared" si="101"/>
        <v>-8.5499999999999993E-2</v>
      </c>
      <c r="V190" s="3">
        <f t="shared" si="101"/>
        <v>-0.1115</v>
      </c>
      <c r="W190" s="3">
        <f t="shared" si="112"/>
        <v>-2.6000000000000009E-2</v>
      </c>
      <c r="X190" s="3">
        <f t="shared" si="108"/>
        <v>8.3260250569476071E-3</v>
      </c>
      <c r="Y190" s="3">
        <f t="shared" si="109"/>
        <v>3.1236809045226136E-2</v>
      </c>
      <c r="Z190" s="3">
        <f t="shared" si="102"/>
        <v>2.2910783988278529E-2</v>
      </c>
      <c r="AA190" s="3">
        <v>6.1070000000000002</v>
      </c>
      <c r="AB190" s="3">
        <v>6.601</v>
      </c>
      <c r="AC190" s="3">
        <f t="shared" si="103"/>
        <v>0.49399999999999977</v>
      </c>
      <c r="AD190" s="3">
        <f>-456.582319*627.50956</f>
        <v>-286509.77009946964</v>
      </c>
      <c r="AE190" s="3">
        <f>-459.596856*627.50956</f>
        <v>-288401.42088594334</v>
      </c>
      <c r="AF190" s="3">
        <f t="shared" si="104"/>
        <v>-1891.6507864737068</v>
      </c>
      <c r="AG190" s="3">
        <f>-456.626259*627.50956</f>
        <v>-286537.34286953602</v>
      </c>
      <c r="AH190" s="3">
        <f>-459.641594*627.50956</f>
        <v>-288429.49440863862</v>
      </c>
      <c r="AI190" s="3">
        <f t="shared" si="105"/>
        <v>-1892.1515391026041</v>
      </c>
      <c r="AJ190" s="3">
        <v>-0.61399999999999999</v>
      </c>
      <c r="AK190" s="3">
        <v>-0.53900000000000003</v>
      </c>
      <c r="AL190" s="3">
        <f t="shared" si="106"/>
        <v>7.4999999999999956E-2</v>
      </c>
      <c r="AM190" s="3">
        <v>148.20498000000001</v>
      </c>
      <c r="AN190" s="3">
        <v>213.73256000000001</v>
      </c>
      <c r="AO190" s="3">
        <v>238.1216</v>
      </c>
      <c r="AP190" s="3">
        <f t="shared" si="107"/>
        <v>1.1506081430895139</v>
      </c>
      <c r="AQ190" s="3">
        <v>10.250999999999999</v>
      </c>
      <c r="AR190" s="3">
        <v>2.4813214000000001</v>
      </c>
      <c r="AS190" s="3">
        <v>-959.76900000000001</v>
      </c>
      <c r="AT190" s="3">
        <v>-958.05</v>
      </c>
      <c r="AU190" s="3">
        <f t="shared" si="82"/>
        <v>-1.7190000000000509</v>
      </c>
      <c r="AV190" s="3">
        <v>-0.317</v>
      </c>
      <c r="AW190" s="3">
        <v>-0.45</v>
      </c>
      <c r="AX190" s="3">
        <f t="shared" si="83"/>
        <v>0.13300000000000001</v>
      </c>
      <c r="AY190" s="3">
        <v>-2.4E-2</v>
      </c>
      <c r="AZ190" s="3">
        <v>0.13500000000000001</v>
      </c>
      <c r="BA190" s="3">
        <f t="shared" si="84"/>
        <v>-0.159</v>
      </c>
      <c r="BB190" s="3">
        <f t="shared" si="120"/>
        <v>0.17050000000000001</v>
      </c>
      <c r="BC190" s="3">
        <f t="shared" si="120"/>
        <v>0.1575</v>
      </c>
      <c r="BD190" s="3">
        <f t="shared" si="86"/>
        <v>1.3000000000000012E-2</v>
      </c>
      <c r="BE190" s="3">
        <f t="shared" si="121"/>
        <v>0.29299999999999998</v>
      </c>
      <c r="BF190" s="3">
        <f t="shared" si="121"/>
        <v>0.58499999999999996</v>
      </c>
      <c r="BG190" s="3">
        <f t="shared" si="88"/>
        <v>-0.29199999999999998</v>
      </c>
      <c r="BH190" s="3">
        <f t="shared" si="122"/>
        <v>-0.17050000000000001</v>
      </c>
      <c r="BI190" s="3">
        <f t="shared" si="122"/>
        <v>-0.1575</v>
      </c>
      <c r="BJ190" s="3">
        <f t="shared" si="113"/>
        <v>-1.3000000000000012E-2</v>
      </c>
      <c r="BK190" s="3">
        <f t="shared" si="110"/>
        <v>4.9607935153583631E-2</v>
      </c>
      <c r="BL190" s="3">
        <f t="shared" si="111"/>
        <v>2.120192307692308E-2</v>
      </c>
      <c r="BM190" s="3">
        <f t="shared" si="90"/>
        <v>2.8406012076660551E-2</v>
      </c>
      <c r="BN190" s="3">
        <v>2.2370000000000001</v>
      </c>
      <c r="BO190" s="3">
        <v>2.431</v>
      </c>
      <c r="BP190" s="3">
        <f t="shared" si="91"/>
        <v>-0.19399999999999995</v>
      </c>
      <c r="BQ190" s="3">
        <v>-602243.07700000005</v>
      </c>
      <c r="BR190" s="3">
        <v>-601163.24300000002</v>
      </c>
      <c r="BS190" s="3">
        <f t="shared" si="92"/>
        <v>-1079.8340000000317</v>
      </c>
      <c r="BT190" s="3">
        <v>-602262.36399999994</v>
      </c>
      <c r="BU190" s="3">
        <v>-601182.38500000001</v>
      </c>
      <c r="BV190" s="3">
        <f t="shared" si="93"/>
        <v>-1079.9789999999339</v>
      </c>
    </row>
    <row r="191" spans="1:74" x14ac:dyDescent="0.25">
      <c r="A191" t="s">
        <v>375</v>
      </c>
      <c r="B191" t="s">
        <v>514</v>
      </c>
      <c r="C191" t="s">
        <v>200</v>
      </c>
      <c r="D191" s="3">
        <v>15.99</v>
      </c>
      <c r="E191" s="3">
        <v>0.7</v>
      </c>
      <c r="F191" s="3">
        <v>-473.29899999999998</v>
      </c>
      <c r="G191" s="3">
        <v>-476.065</v>
      </c>
      <c r="H191" s="3">
        <f t="shared" si="94"/>
        <v>-2.7660000000000196</v>
      </c>
      <c r="I191" s="3">
        <v>-0.34200000000000003</v>
      </c>
      <c r="J191" s="6">
        <v>-0.217</v>
      </c>
      <c r="K191" s="3">
        <f t="shared" si="95"/>
        <v>0.12500000000000003</v>
      </c>
      <c r="L191" s="3">
        <v>0.17100000000000001</v>
      </c>
      <c r="M191" s="6">
        <v>0.02</v>
      </c>
      <c r="N191" s="3">
        <f t="shared" si="96"/>
        <v>-0.15100000000000002</v>
      </c>
      <c r="O191" s="3">
        <f t="shared" si="97"/>
        <v>8.5500000000000007E-2</v>
      </c>
      <c r="P191" s="3">
        <f t="shared" si="97"/>
        <v>9.8500000000000004E-2</v>
      </c>
      <c r="Q191" s="3">
        <f t="shared" si="98"/>
        <v>1.2999999999999998E-2</v>
      </c>
      <c r="R191" s="3">
        <f t="shared" si="99"/>
        <v>0.51300000000000001</v>
      </c>
      <c r="S191" s="3">
        <f t="shared" si="99"/>
        <v>0.23699999999999999</v>
      </c>
      <c r="T191" s="3">
        <f t="shared" si="100"/>
        <v>-0.27600000000000002</v>
      </c>
      <c r="U191" s="3">
        <f t="shared" si="101"/>
        <v>-8.5500000000000007E-2</v>
      </c>
      <c r="V191" s="3">
        <f t="shared" si="101"/>
        <v>-9.8500000000000004E-2</v>
      </c>
      <c r="W191" s="3">
        <f t="shared" si="112"/>
        <v>-1.2999999999999998E-2</v>
      </c>
      <c r="X191" s="3">
        <f t="shared" si="108"/>
        <v>7.1250000000000003E-3</v>
      </c>
      <c r="Y191" s="3">
        <f t="shared" si="109"/>
        <v>2.0468881856540087E-2</v>
      </c>
      <c r="Z191" s="3">
        <f t="shared" si="102"/>
        <v>1.3343881856540087E-2</v>
      </c>
      <c r="AA191" s="3">
        <v>5.85</v>
      </c>
      <c r="AB191" s="3">
        <v>5.6609999999999996</v>
      </c>
      <c r="AC191" s="3">
        <f t="shared" si="103"/>
        <v>-0.18900000000000006</v>
      </c>
      <c r="AD191" s="3">
        <f>-473.148055*627.50956</f>
        <v>-296904.92780790577</v>
      </c>
      <c r="AE191" s="3">
        <f>-475.923419*627.50956</f>
        <v>-298646.49525038566</v>
      </c>
      <c r="AF191" s="3">
        <f t="shared" si="104"/>
        <v>-1741.5674424798926</v>
      </c>
      <c r="AG191" s="3">
        <f>-473.194246*627.50956</f>
        <v>-296933.91310199175</v>
      </c>
      <c r="AH191" s="3">
        <f>-475.972294*627.50956</f>
        <v>-298677.16478013061</v>
      </c>
      <c r="AI191" s="3">
        <f t="shared" si="105"/>
        <v>-1743.2516781388549</v>
      </c>
      <c r="AJ191" s="3">
        <v>-0.92100000000000004</v>
      </c>
      <c r="AK191" s="3">
        <v>-0.78700000000000003</v>
      </c>
      <c r="AL191" s="3">
        <f t="shared" si="106"/>
        <v>0.13400000000000001</v>
      </c>
      <c r="AM191" s="3">
        <v>130.12191999999999</v>
      </c>
      <c r="AN191" s="3">
        <v>188.1285</v>
      </c>
      <c r="AO191" s="3">
        <v>188.82383999999999</v>
      </c>
      <c r="AP191" s="3">
        <f t="shared" si="107"/>
        <v>1.1821501987028575</v>
      </c>
      <c r="AQ191" s="3">
        <v>10.348000000000001</v>
      </c>
      <c r="AR191" s="3">
        <v>2.3350179</v>
      </c>
      <c r="AS191" s="3">
        <v>-553.27200000000005</v>
      </c>
      <c r="AT191" s="3">
        <v>-551.61699999999996</v>
      </c>
      <c r="AU191" s="3">
        <f t="shared" si="82"/>
        <v>-1.6550000000000864</v>
      </c>
      <c r="AV191" s="3">
        <v>-0.23699999999999999</v>
      </c>
      <c r="AW191" s="3">
        <v>-0.36899999999999999</v>
      </c>
      <c r="AX191" s="3">
        <f t="shared" si="83"/>
        <v>0.13200000000000001</v>
      </c>
      <c r="AY191" s="3">
        <v>2.8000000000000001E-2</v>
      </c>
      <c r="AZ191" s="3">
        <v>0.154</v>
      </c>
      <c r="BA191" s="3">
        <f t="shared" si="84"/>
        <v>-0.126</v>
      </c>
      <c r="BB191" s="3">
        <f t="shared" si="120"/>
        <v>0.1045</v>
      </c>
      <c r="BC191" s="3">
        <f t="shared" si="120"/>
        <v>0.1075</v>
      </c>
      <c r="BD191" s="3">
        <f t="shared" si="86"/>
        <v>-3.0000000000000027E-3</v>
      </c>
      <c r="BE191" s="3">
        <f t="shared" si="121"/>
        <v>0.26500000000000001</v>
      </c>
      <c r="BF191" s="3">
        <f t="shared" si="121"/>
        <v>0.52300000000000002</v>
      </c>
      <c r="BG191" s="3">
        <f t="shared" si="88"/>
        <v>-0.25800000000000001</v>
      </c>
      <c r="BH191" s="3">
        <f t="shared" si="122"/>
        <v>-0.1045</v>
      </c>
      <c r="BI191" s="3">
        <f t="shared" si="122"/>
        <v>-0.1075</v>
      </c>
      <c r="BJ191" s="3">
        <f t="shared" si="113"/>
        <v>3.0000000000000027E-3</v>
      </c>
      <c r="BK191" s="3">
        <f t="shared" si="110"/>
        <v>2.0604245283018865E-2</v>
      </c>
      <c r="BL191" s="3">
        <f t="shared" si="111"/>
        <v>1.104804015296367E-2</v>
      </c>
      <c r="BM191" s="3">
        <f t="shared" si="90"/>
        <v>9.5562051300551957E-3</v>
      </c>
      <c r="BN191" s="3">
        <v>5.4870000000000001</v>
      </c>
      <c r="BO191" s="3">
        <v>6.0839999999999996</v>
      </c>
      <c r="BP191" s="3">
        <f t="shared" si="91"/>
        <v>-0.59699999999999953</v>
      </c>
      <c r="BQ191" s="3">
        <v>-347129.96399999998</v>
      </c>
      <c r="BR191" s="3">
        <v>-346087.64600000001</v>
      </c>
      <c r="BS191" s="3">
        <f t="shared" si="92"/>
        <v>-1042.3179999999702</v>
      </c>
      <c r="BT191" s="3">
        <v>-347152.04599999997</v>
      </c>
      <c r="BU191" s="3">
        <v>-346109.22600000002</v>
      </c>
      <c r="BV191" s="3">
        <f t="shared" si="93"/>
        <v>-1042.8199999999488</v>
      </c>
    </row>
    <row r="192" spans="1:74" x14ac:dyDescent="0.25">
      <c r="A192" t="s">
        <v>376</v>
      </c>
      <c r="B192" t="s">
        <v>514</v>
      </c>
      <c r="C192" t="s">
        <v>200</v>
      </c>
      <c r="D192" s="3">
        <v>16.03</v>
      </c>
      <c r="E192" s="3">
        <v>0.66</v>
      </c>
      <c r="F192" s="3">
        <v>-358.21199999999999</v>
      </c>
      <c r="G192" s="3">
        <v>-360.29</v>
      </c>
      <c r="H192" s="3">
        <f t="shared" si="94"/>
        <v>-2.0780000000000314</v>
      </c>
      <c r="I192" s="3">
        <v>-0.34</v>
      </c>
      <c r="J192" s="6">
        <v>-0.21199999999999999</v>
      </c>
      <c r="K192" s="3">
        <f t="shared" si="95"/>
        <v>0.12800000000000003</v>
      </c>
      <c r="L192" s="3">
        <v>0.17199999999999999</v>
      </c>
      <c r="M192" s="6">
        <v>2.1000000000000001E-2</v>
      </c>
      <c r="N192" s="3">
        <f t="shared" si="96"/>
        <v>-0.151</v>
      </c>
      <c r="O192" s="3">
        <f t="shared" si="97"/>
        <v>8.4000000000000019E-2</v>
      </c>
      <c r="P192" s="3">
        <f t="shared" si="97"/>
        <v>9.5500000000000002E-2</v>
      </c>
      <c r="Q192" s="3">
        <f t="shared" si="98"/>
        <v>1.1499999999999982E-2</v>
      </c>
      <c r="R192" s="3">
        <f t="shared" si="99"/>
        <v>0.51200000000000001</v>
      </c>
      <c r="S192" s="3">
        <f t="shared" si="99"/>
        <v>0.23299999999999998</v>
      </c>
      <c r="T192" s="3">
        <f t="shared" si="100"/>
        <v>-0.27900000000000003</v>
      </c>
      <c r="U192" s="3">
        <f t="shared" si="101"/>
        <v>-8.4000000000000019E-2</v>
      </c>
      <c r="V192" s="3">
        <f t="shared" si="101"/>
        <v>-9.5500000000000002E-2</v>
      </c>
      <c r="W192" s="3">
        <f t="shared" si="112"/>
        <v>-1.1499999999999982E-2</v>
      </c>
      <c r="X192" s="3">
        <f t="shared" si="108"/>
        <v>6.8906250000000027E-3</v>
      </c>
      <c r="Y192" s="3">
        <f t="shared" si="109"/>
        <v>1.9571351931330472E-2</v>
      </c>
      <c r="Z192" s="3">
        <f t="shared" si="102"/>
        <v>1.2680726931330469E-2</v>
      </c>
      <c r="AA192" s="3">
        <v>7.5129999999999999</v>
      </c>
      <c r="AB192" s="3">
        <v>6.5640000000000001</v>
      </c>
      <c r="AC192" s="3">
        <f t="shared" si="103"/>
        <v>-0.94899999999999984</v>
      </c>
      <c r="AD192" s="3">
        <f>-358.120911*627.50956</f>
        <v>-224724.29528840914</v>
      </c>
      <c r="AE192" s="3">
        <f>-360.205636*627.50956</f>
        <v>-226032.48015588016</v>
      </c>
      <c r="AF192" s="3">
        <f t="shared" si="104"/>
        <v>-1308.18486747102</v>
      </c>
      <c r="AG192" s="3">
        <f>-358.157031*627.50956</f>
        <v>-224746.96093371636</v>
      </c>
      <c r="AH192" s="3">
        <f>-360.242235*627.50956</f>
        <v>-226055.44637826658</v>
      </c>
      <c r="AI192" s="3">
        <f t="shared" si="105"/>
        <v>-1308.4854445502278</v>
      </c>
      <c r="AJ192" s="3">
        <v>-0.86099999999999999</v>
      </c>
      <c r="AK192" s="3">
        <v>-0.73799999999999999</v>
      </c>
      <c r="AL192" s="3">
        <f t="shared" si="106"/>
        <v>0.123</v>
      </c>
      <c r="AM192" s="3">
        <v>98.080060000000003</v>
      </c>
      <c r="AN192" s="3">
        <v>134.43800999999999</v>
      </c>
      <c r="AO192" s="3">
        <v>129.59970999999999</v>
      </c>
      <c r="AP192" s="3">
        <f t="shared" si="107"/>
        <v>1.0856970867629834</v>
      </c>
      <c r="AQ192" s="3">
        <v>7.5979999999999999</v>
      </c>
      <c r="AR192" s="3">
        <v>1.7447906</v>
      </c>
      <c r="AS192" s="3">
        <v>-553.27200000000005</v>
      </c>
      <c r="AT192" s="3">
        <v>-551.61699999999996</v>
      </c>
      <c r="AU192" s="3">
        <f t="shared" ref="AU192:AU254" si="123">AS192-AT192</f>
        <v>-1.6550000000000864</v>
      </c>
      <c r="AV192" s="3">
        <v>-0.23699999999999999</v>
      </c>
      <c r="AW192" s="3">
        <v>-0.36899999999999999</v>
      </c>
      <c r="AX192" s="3">
        <f t="shared" ref="AX192:AX254" si="124">AV192-AW192</f>
        <v>0.13200000000000001</v>
      </c>
      <c r="AY192" s="3">
        <v>2.8000000000000001E-2</v>
      </c>
      <c r="AZ192" s="3">
        <v>0.154</v>
      </c>
      <c r="BA192" s="3">
        <f t="shared" ref="BA192:BA254" si="125">AY192-AZ192</f>
        <v>-0.126</v>
      </c>
      <c r="BB192" s="3">
        <f t="shared" ref="BB192:BC206" si="126">-(AV192+AY192)/2</f>
        <v>0.1045</v>
      </c>
      <c r="BC192" s="3">
        <f t="shared" si="126"/>
        <v>0.1075</v>
      </c>
      <c r="BD192" s="3">
        <f t="shared" ref="BD192:BD254" si="127">BB192-BC192</f>
        <v>-3.0000000000000027E-3</v>
      </c>
      <c r="BE192" s="3">
        <f t="shared" ref="BE192:BF206" si="128">AY192-AV192</f>
        <v>0.26500000000000001</v>
      </c>
      <c r="BF192" s="3">
        <f t="shared" si="128"/>
        <v>0.52300000000000002</v>
      </c>
      <c r="BG192" s="3">
        <f t="shared" ref="BG192:BG254" si="129">BE192-BF192</f>
        <v>-0.25800000000000001</v>
      </c>
      <c r="BH192" s="3">
        <f t="shared" ref="BH192:BI206" si="130">(AV192+AY192)/2</f>
        <v>-0.1045</v>
      </c>
      <c r="BI192" s="3">
        <f t="shared" si="130"/>
        <v>-0.1075</v>
      </c>
      <c r="BJ192" s="3">
        <f t="shared" si="113"/>
        <v>3.0000000000000027E-3</v>
      </c>
      <c r="BK192" s="3">
        <f t="shared" si="110"/>
        <v>2.0604245283018865E-2</v>
      </c>
      <c r="BL192" s="3">
        <f t="shared" si="111"/>
        <v>1.104804015296367E-2</v>
      </c>
      <c r="BM192" s="3">
        <f t="shared" ref="BM192:BM254" si="131">BK192-BL192</f>
        <v>9.5562051300551957E-3</v>
      </c>
      <c r="BN192" s="3">
        <v>5.4870000000000001</v>
      </c>
      <c r="BO192" s="3">
        <v>6.0839999999999996</v>
      </c>
      <c r="BP192" s="3">
        <f t="shared" ref="BP192:BP254" si="132">BN192-BO192</f>
        <v>-0.59699999999999953</v>
      </c>
      <c r="BQ192" s="3">
        <v>-347129.96399999998</v>
      </c>
      <c r="BR192" s="3">
        <v>-346087.64600000001</v>
      </c>
      <c r="BS192" s="3">
        <f t="shared" ref="BS192:BS254" si="133">BQ192-BR192</f>
        <v>-1042.3179999999702</v>
      </c>
      <c r="BT192" s="3">
        <v>-347152.04599999997</v>
      </c>
      <c r="BU192" s="3">
        <v>-346109.22600000002</v>
      </c>
      <c r="BV192" s="3">
        <f t="shared" ref="BV192:BV254" si="134">BT192-BU192</f>
        <v>-1042.8199999999488</v>
      </c>
    </row>
    <row r="193" spans="1:74" x14ac:dyDescent="0.25">
      <c r="A193" t="s">
        <v>377</v>
      </c>
      <c r="B193" t="s">
        <v>514</v>
      </c>
      <c r="C193" t="s">
        <v>200</v>
      </c>
      <c r="D193" s="3">
        <v>16.05</v>
      </c>
      <c r="E193" s="3">
        <v>0.7</v>
      </c>
      <c r="F193" s="3">
        <v>-359.36</v>
      </c>
      <c r="G193" s="3">
        <v>-361.488</v>
      </c>
      <c r="H193" s="3">
        <f t="shared" ref="H193:H255" si="135">G193-F193</f>
        <v>-2.1279999999999859</v>
      </c>
      <c r="I193" s="3">
        <v>-0.33200000000000002</v>
      </c>
      <c r="J193" s="6">
        <v>-0.20899999999999999</v>
      </c>
      <c r="K193" s="3">
        <f t="shared" ref="K193:K255" si="136">J193-I193</f>
        <v>0.12300000000000003</v>
      </c>
      <c r="L193" s="3">
        <v>0.17499999999999999</v>
      </c>
      <c r="M193" s="6">
        <v>1.2E-2</v>
      </c>
      <c r="N193" s="3">
        <f t="shared" ref="N193:N255" si="137">M193-L193</f>
        <v>-0.16299999999999998</v>
      </c>
      <c r="O193" s="3">
        <f t="shared" ref="O193:P255" si="138">-(I193+L193)/2</f>
        <v>7.8500000000000014E-2</v>
      </c>
      <c r="P193" s="3">
        <f t="shared" si="138"/>
        <v>9.849999999999999E-2</v>
      </c>
      <c r="Q193" s="3">
        <f t="shared" ref="Q193:Q255" si="139">P193-O193</f>
        <v>1.9999999999999976E-2</v>
      </c>
      <c r="R193" s="3">
        <f t="shared" ref="R193:S255" si="140">L193-I193</f>
        <v>0.50700000000000001</v>
      </c>
      <c r="S193" s="3">
        <f t="shared" si="140"/>
        <v>0.221</v>
      </c>
      <c r="T193" s="3">
        <f t="shared" ref="T193:T255" si="141">S193-R193</f>
        <v>-0.28600000000000003</v>
      </c>
      <c r="U193" s="3">
        <f t="shared" ref="U193:V255" si="142">(I193+L193)/2</f>
        <v>-7.8500000000000014E-2</v>
      </c>
      <c r="V193" s="3">
        <f t="shared" si="142"/>
        <v>-9.849999999999999E-2</v>
      </c>
      <c r="W193" s="3">
        <f t="shared" si="112"/>
        <v>-1.9999999999999976E-2</v>
      </c>
      <c r="X193" s="3">
        <f t="shared" si="108"/>
        <v>6.0771696252465502E-3</v>
      </c>
      <c r="Y193" s="3">
        <f t="shared" si="109"/>
        <v>2.1950791855203614E-2</v>
      </c>
      <c r="Z193" s="3">
        <f t="shared" ref="Z193:Z255" si="143">Y193-X193</f>
        <v>1.5873622229957064E-2</v>
      </c>
      <c r="AA193" s="3">
        <v>3.9510000000000001</v>
      </c>
      <c r="AB193" s="3">
        <v>3.6760000000000002</v>
      </c>
      <c r="AC193" s="3">
        <f t="shared" ref="AC193:AC255" si="144">AB193-AA193</f>
        <v>-0.27499999999999991</v>
      </c>
      <c r="AD193" s="3">
        <f>-359.247318*627.50956</f>
        <v>-225431.12644936008</v>
      </c>
      <c r="AE193" s="3">
        <f>-361.381557*627.50956</f>
        <v>-226770.38182518489</v>
      </c>
      <c r="AF193" s="3">
        <f t="shared" ref="AF193:AF255" si="145">AE193-AD193</f>
        <v>-1339.2553758248105</v>
      </c>
      <c r="AG193" s="3">
        <f>-359.289091*627.50956</f>
        <v>-225457.33940620994</v>
      </c>
      <c r="AH193" s="3">
        <f>-361.423489*627.50956</f>
        <v>-226796.69455605483</v>
      </c>
      <c r="AI193" s="3">
        <f t="shared" ref="AI193:AI255" si="146">AH193-AG193</f>
        <v>-1339.3551498448942</v>
      </c>
      <c r="AJ193" s="3">
        <v>-0.90500000000000003</v>
      </c>
      <c r="AK193" s="3">
        <v>-0.75800000000000001</v>
      </c>
      <c r="AL193" s="3">
        <f t="shared" ref="AL193:AL255" si="147">AK193-AJ193</f>
        <v>0.14700000000000002</v>
      </c>
      <c r="AM193" s="3">
        <v>100.09594</v>
      </c>
      <c r="AN193" s="3">
        <v>153.7259</v>
      </c>
      <c r="AO193" s="3">
        <v>149.1499</v>
      </c>
      <c r="AP193" s="3">
        <f t="shared" ref="AP193:AP255" si="148">(AN193/(4*3.14*POWER(((3*AO193)/(4*3.14)),2/3)))</f>
        <v>1.1304577885683627</v>
      </c>
      <c r="AQ193" s="3">
        <v>8.5090000000000003</v>
      </c>
      <c r="AR193" s="3">
        <v>1.89169436</v>
      </c>
      <c r="AS193" s="3">
        <v>-553.27200000000005</v>
      </c>
      <c r="AT193" s="3">
        <v>-551.61699999999996</v>
      </c>
      <c r="AU193" s="3">
        <f t="shared" si="123"/>
        <v>-1.6550000000000864</v>
      </c>
      <c r="AV193" s="3">
        <v>-0.23699999999999999</v>
      </c>
      <c r="AW193" s="3">
        <v>-0.36899999999999999</v>
      </c>
      <c r="AX193" s="3">
        <f t="shared" si="124"/>
        <v>0.13200000000000001</v>
      </c>
      <c r="AY193" s="3">
        <v>2.8000000000000001E-2</v>
      </c>
      <c r="AZ193" s="3">
        <v>0.154</v>
      </c>
      <c r="BA193" s="3">
        <f t="shared" si="125"/>
        <v>-0.126</v>
      </c>
      <c r="BB193" s="3">
        <f t="shared" si="126"/>
        <v>0.1045</v>
      </c>
      <c r="BC193" s="3">
        <f t="shared" si="126"/>
        <v>0.1075</v>
      </c>
      <c r="BD193" s="3">
        <f t="shared" si="127"/>
        <v>-3.0000000000000027E-3</v>
      </c>
      <c r="BE193" s="3">
        <f t="shared" si="128"/>
        <v>0.26500000000000001</v>
      </c>
      <c r="BF193" s="3">
        <f t="shared" si="128"/>
        <v>0.52300000000000002</v>
      </c>
      <c r="BG193" s="3">
        <f t="shared" si="129"/>
        <v>-0.25800000000000001</v>
      </c>
      <c r="BH193" s="3">
        <f t="shared" si="130"/>
        <v>-0.1045</v>
      </c>
      <c r="BI193" s="3">
        <f t="shared" si="130"/>
        <v>-0.1075</v>
      </c>
      <c r="BJ193" s="3">
        <f t="shared" si="113"/>
        <v>3.0000000000000027E-3</v>
      </c>
      <c r="BK193" s="3">
        <f t="shared" si="110"/>
        <v>2.0604245283018865E-2</v>
      </c>
      <c r="BL193" s="3">
        <f t="shared" si="111"/>
        <v>1.104804015296367E-2</v>
      </c>
      <c r="BM193" s="3">
        <f t="shared" si="131"/>
        <v>9.5562051300551957E-3</v>
      </c>
      <c r="BN193" s="3">
        <v>5.4870000000000001</v>
      </c>
      <c r="BO193" s="3">
        <v>6.0839999999999996</v>
      </c>
      <c r="BP193" s="3">
        <f t="shared" si="132"/>
        <v>-0.59699999999999953</v>
      </c>
      <c r="BQ193" s="3">
        <v>-347129.96399999998</v>
      </c>
      <c r="BR193" s="3">
        <v>-346087.64600000001</v>
      </c>
      <c r="BS193" s="3">
        <f t="shared" si="133"/>
        <v>-1042.3179999999702</v>
      </c>
      <c r="BT193" s="3">
        <v>-347152.04599999997</v>
      </c>
      <c r="BU193" s="3">
        <v>-346109.22600000002</v>
      </c>
      <c r="BV193" s="3">
        <f t="shared" si="134"/>
        <v>-1042.8199999999488</v>
      </c>
    </row>
    <row r="194" spans="1:74" x14ac:dyDescent="0.25">
      <c r="A194" t="s">
        <v>378</v>
      </c>
      <c r="B194" t="s">
        <v>514</v>
      </c>
      <c r="C194" t="s">
        <v>200</v>
      </c>
      <c r="D194" s="3">
        <v>16.059999999999999</v>
      </c>
      <c r="E194" s="3">
        <v>0.68</v>
      </c>
      <c r="F194" s="3">
        <v>-337.15199999999999</v>
      </c>
      <c r="G194" s="3">
        <v>-339.16500000000002</v>
      </c>
      <c r="H194" s="3">
        <f t="shared" si="135"/>
        <v>-2.0130000000000337</v>
      </c>
      <c r="I194" s="3">
        <v>-0.27600000000000002</v>
      </c>
      <c r="J194" s="6">
        <v>-0.19900000000000001</v>
      </c>
      <c r="K194" s="3">
        <f t="shared" si="136"/>
        <v>7.7000000000000013E-2</v>
      </c>
      <c r="L194" s="3">
        <v>0.13300000000000001</v>
      </c>
      <c r="M194" s="6">
        <v>-2.3E-2</v>
      </c>
      <c r="N194" s="3">
        <f t="shared" si="137"/>
        <v>-0.156</v>
      </c>
      <c r="O194" s="3">
        <f t="shared" si="138"/>
        <v>7.1500000000000008E-2</v>
      </c>
      <c r="P194" s="3">
        <f t="shared" si="138"/>
        <v>0.111</v>
      </c>
      <c r="Q194" s="3">
        <f t="shared" si="139"/>
        <v>3.9499999999999993E-2</v>
      </c>
      <c r="R194" s="3">
        <f t="shared" si="140"/>
        <v>0.40900000000000003</v>
      </c>
      <c r="S194" s="3">
        <f t="shared" si="140"/>
        <v>0.17600000000000002</v>
      </c>
      <c r="T194" s="3">
        <f t="shared" si="141"/>
        <v>-0.23300000000000001</v>
      </c>
      <c r="U194" s="3">
        <f t="shared" si="142"/>
        <v>-7.1500000000000008E-2</v>
      </c>
      <c r="V194" s="3">
        <f t="shared" si="142"/>
        <v>-0.111</v>
      </c>
      <c r="W194" s="3">
        <f t="shared" si="112"/>
        <v>-3.9499999999999993E-2</v>
      </c>
      <c r="X194" s="3">
        <f t="shared" ref="X194:X257" si="149">(U194*U194)/(2*R194)</f>
        <v>6.2496943765281187E-3</v>
      </c>
      <c r="Y194" s="3">
        <f t="shared" ref="Y194:Y257" si="150">(V194*V194)/(2*S194)</f>
        <v>3.5002840909090907E-2</v>
      </c>
      <c r="Z194" s="3">
        <f t="shared" si="143"/>
        <v>2.8753146532562789E-2</v>
      </c>
      <c r="AA194" s="3">
        <v>2.9990000000000001</v>
      </c>
      <c r="AB194" s="3">
        <v>3.4289999999999998</v>
      </c>
      <c r="AC194" s="3">
        <f t="shared" si="144"/>
        <v>0.42999999999999972</v>
      </c>
      <c r="AD194" s="3">
        <f>-337.073526*627.50956</f>
        <v>-211516.85998790857</v>
      </c>
      <c r="AE194" s="3">
        <f>-339.091496*627.50956</f>
        <v>-212783.15545470174</v>
      </c>
      <c r="AF194" s="3">
        <f t="shared" si="145"/>
        <v>-1266.2954667931772</v>
      </c>
      <c r="AG194" s="3">
        <f>-337.108444*627.50956</f>
        <v>-211538.77136672463</v>
      </c>
      <c r="AH194" s="3">
        <f>-339.126759*627.50956</f>
        <v>-212805.28332431603</v>
      </c>
      <c r="AI194" s="3">
        <f t="shared" si="146"/>
        <v>-1266.5119575913996</v>
      </c>
      <c r="AJ194" s="3">
        <v>-0.61499999999999999</v>
      </c>
      <c r="AK194" s="3">
        <v>-0.56899999999999995</v>
      </c>
      <c r="AL194" s="3">
        <f t="shared" si="147"/>
        <v>4.6000000000000041E-2</v>
      </c>
      <c r="AM194" s="3">
        <v>95.079419999999999</v>
      </c>
      <c r="AN194" s="3">
        <v>134.90360000000001</v>
      </c>
      <c r="AO194" s="3">
        <v>126.6331</v>
      </c>
      <c r="AP194" s="3">
        <f t="shared" si="148"/>
        <v>1.106406360906371</v>
      </c>
      <c r="AQ194" s="3">
        <v>8.2850000000000001</v>
      </c>
      <c r="AR194" s="3">
        <v>1.76741042</v>
      </c>
      <c r="AS194" s="3">
        <v>-553.27200000000005</v>
      </c>
      <c r="AT194" s="3">
        <v>-551.61699999999996</v>
      </c>
      <c r="AU194" s="3">
        <f t="shared" si="123"/>
        <v>-1.6550000000000864</v>
      </c>
      <c r="AV194" s="3">
        <v>-0.23699999999999999</v>
      </c>
      <c r="AW194" s="3">
        <v>-0.36899999999999999</v>
      </c>
      <c r="AX194" s="3">
        <f t="shared" si="124"/>
        <v>0.13200000000000001</v>
      </c>
      <c r="AY194" s="3">
        <v>2.8000000000000001E-2</v>
      </c>
      <c r="AZ194" s="3">
        <v>0.154</v>
      </c>
      <c r="BA194" s="3">
        <f t="shared" si="125"/>
        <v>-0.126</v>
      </c>
      <c r="BB194" s="3">
        <f t="shared" si="126"/>
        <v>0.1045</v>
      </c>
      <c r="BC194" s="3">
        <f t="shared" si="126"/>
        <v>0.1075</v>
      </c>
      <c r="BD194" s="3">
        <f t="shared" si="127"/>
        <v>-3.0000000000000027E-3</v>
      </c>
      <c r="BE194" s="3">
        <f t="shared" si="128"/>
        <v>0.26500000000000001</v>
      </c>
      <c r="BF194" s="3">
        <f t="shared" si="128"/>
        <v>0.52300000000000002</v>
      </c>
      <c r="BG194" s="3">
        <f t="shared" si="129"/>
        <v>-0.25800000000000001</v>
      </c>
      <c r="BH194" s="3">
        <f t="shared" si="130"/>
        <v>-0.1045</v>
      </c>
      <c r="BI194" s="3">
        <f t="shared" si="130"/>
        <v>-0.1075</v>
      </c>
      <c r="BJ194" s="3">
        <f t="shared" si="113"/>
        <v>3.0000000000000027E-3</v>
      </c>
      <c r="BK194" s="3">
        <f t="shared" ref="BK194:BK257" si="151">(BH194*BH194)/(2*BE194)</f>
        <v>2.0604245283018865E-2</v>
      </c>
      <c r="BL194" s="3">
        <f t="shared" ref="BL194:BL257" si="152">(BI194*BI194)/(2*BF194)</f>
        <v>1.104804015296367E-2</v>
      </c>
      <c r="BM194" s="3">
        <f t="shared" si="131"/>
        <v>9.5562051300551957E-3</v>
      </c>
      <c r="BN194" s="3">
        <v>5.4870000000000001</v>
      </c>
      <c r="BO194" s="3">
        <v>6.0839999999999996</v>
      </c>
      <c r="BP194" s="3">
        <f t="shared" si="132"/>
        <v>-0.59699999999999953</v>
      </c>
      <c r="BQ194" s="3">
        <v>-347129.96399999998</v>
      </c>
      <c r="BR194" s="3">
        <v>-346087.64600000001</v>
      </c>
      <c r="BS194" s="3">
        <f t="shared" si="133"/>
        <v>-1042.3179999999702</v>
      </c>
      <c r="BT194" s="3">
        <v>-347152.04599999997</v>
      </c>
      <c r="BU194" s="3">
        <v>-346109.22600000002</v>
      </c>
      <c r="BV194" s="3">
        <f t="shared" si="134"/>
        <v>-1042.8199999999488</v>
      </c>
    </row>
    <row r="195" spans="1:74" x14ac:dyDescent="0.25">
      <c r="A195" t="s">
        <v>379</v>
      </c>
      <c r="B195" t="s">
        <v>514</v>
      </c>
      <c r="C195" t="s">
        <v>200</v>
      </c>
      <c r="D195" s="3">
        <v>16.07</v>
      </c>
      <c r="E195" s="3">
        <v>0.66</v>
      </c>
      <c r="F195" s="3">
        <v>-209.172</v>
      </c>
      <c r="G195" s="3">
        <v>-210.45599999999999</v>
      </c>
      <c r="H195" s="3">
        <f t="shared" si="135"/>
        <v>-1.2839999999999918</v>
      </c>
      <c r="I195" s="3">
        <v>-0.39600000000000002</v>
      </c>
      <c r="J195" s="6">
        <v>-0.246</v>
      </c>
      <c r="K195" s="3">
        <f t="shared" si="136"/>
        <v>0.15000000000000002</v>
      </c>
      <c r="L195" s="3">
        <v>0.16300000000000001</v>
      </c>
      <c r="M195" s="6">
        <v>4.3999999999999997E-2</v>
      </c>
      <c r="N195" s="3">
        <f t="shared" si="137"/>
        <v>-0.11900000000000001</v>
      </c>
      <c r="O195" s="3">
        <f t="shared" si="138"/>
        <v>0.11650000000000001</v>
      </c>
      <c r="P195" s="3">
        <f t="shared" si="138"/>
        <v>0.10100000000000001</v>
      </c>
      <c r="Q195" s="3">
        <f t="shared" si="139"/>
        <v>-1.55E-2</v>
      </c>
      <c r="R195" s="3">
        <f t="shared" si="140"/>
        <v>0.55900000000000005</v>
      </c>
      <c r="S195" s="3">
        <f t="shared" si="140"/>
        <v>0.28999999999999998</v>
      </c>
      <c r="T195" s="3">
        <f t="shared" si="141"/>
        <v>-0.26900000000000007</v>
      </c>
      <c r="U195" s="3">
        <f t="shared" si="142"/>
        <v>-0.11650000000000001</v>
      </c>
      <c r="V195" s="3">
        <f t="shared" si="142"/>
        <v>-0.10100000000000001</v>
      </c>
      <c r="W195" s="3">
        <f t="shared" ref="W195:W258" si="153">(V195-U195)</f>
        <v>1.55E-2</v>
      </c>
      <c r="X195" s="3">
        <f t="shared" si="149"/>
        <v>1.2139758497316636E-2</v>
      </c>
      <c r="Y195" s="3">
        <f t="shared" si="150"/>
        <v>1.7587931034482761E-2</v>
      </c>
      <c r="Z195" s="3">
        <f t="shared" si="143"/>
        <v>5.4481725371661252E-3</v>
      </c>
      <c r="AA195" s="3">
        <v>1.5309999999999999</v>
      </c>
      <c r="AB195" s="3">
        <v>1.478</v>
      </c>
      <c r="AC195" s="3">
        <f t="shared" si="144"/>
        <v>-5.2999999999999936E-2</v>
      </c>
      <c r="AD195" s="3">
        <f>-209.061491*627.50956</f>
        <v>-131188.08423035394</v>
      </c>
      <c r="AE195" s="3">
        <f>-210.351628*627.50956</f>
        <v>-131997.65753156369</v>
      </c>
      <c r="AF195" s="3">
        <f t="shared" si="145"/>
        <v>-809.57330120974802</v>
      </c>
      <c r="AG195" s="3">
        <f>-209.095197*627.50956</f>
        <v>-131209.23506758333</v>
      </c>
      <c r="AH195" s="3">
        <f>-210.385923*627.50956</f>
        <v>-132019.17797192387</v>
      </c>
      <c r="AI195" s="3">
        <f t="shared" si="146"/>
        <v>-809.94290434053983</v>
      </c>
      <c r="AJ195" s="3">
        <v>-0.86</v>
      </c>
      <c r="AK195" s="3">
        <v>-0.85499999999999998</v>
      </c>
      <c r="AL195" s="3">
        <f t="shared" si="147"/>
        <v>5.0000000000000044E-3</v>
      </c>
      <c r="AM195" s="3">
        <v>61.083080000000002</v>
      </c>
      <c r="AN195" s="3">
        <v>122.3203</v>
      </c>
      <c r="AO195" s="3">
        <v>113.04706</v>
      </c>
      <c r="AP195" s="3">
        <f t="shared" si="148"/>
        <v>1.0820524344735203</v>
      </c>
      <c r="AQ195" s="3">
        <v>7.6070000000000002</v>
      </c>
      <c r="AR195" s="3">
        <v>1.5351326999999999</v>
      </c>
      <c r="AS195" s="3">
        <v>-553.27200000000005</v>
      </c>
      <c r="AT195" s="3">
        <v>-551.61699999999996</v>
      </c>
      <c r="AU195" s="3">
        <f t="shared" si="123"/>
        <v>-1.6550000000000864</v>
      </c>
      <c r="AV195" s="3">
        <v>-0.23699999999999999</v>
      </c>
      <c r="AW195" s="3">
        <v>-0.36899999999999999</v>
      </c>
      <c r="AX195" s="3">
        <f t="shared" si="124"/>
        <v>0.13200000000000001</v>
      </c>
      <c r="AY195" s="3">
        <v>2.8000000000000001E-2</v>
      </c>
      <c r="AZ195" s="3">
        <v>0.154</v>
      </c>
      <c r="BA195" s="3">
        <f t="shared" si="125"/>
        <v>-0.126</v>
      </c>
      <c r="BB195" s="3">
        <f t="shared" si="126"/>
        <v>0.1045</v>
      </c>
      <c r="BC195" s="3">
        <f t="shared" si="126"/>
        <v>0.1075</v>
      </c>
      <c r="BD195" s="3">
        <f t="shared" si="127"/>
        <v>-3.0000000000000027E-3</v>
      </c>
      <c r="BE195" s="3">
        <f t="shared" si="128"/>
        <v>0.26500000000000001</v>
      </c>
      <c r="BF195" s="3">
        <f t="shared" si="128"/>
        <v>0.52300000000000002</v>
      </c>
      <c r="BG195" s="3">
        <f t="shared" si="129"/>
        <v>-0.25800000000000001</v>
      </c>
      <c r="BH195" s="3">
        <f t="shared" si="130"/>
        <v>-0.1045</v>
      </c>
      <c r="BI195" s="3">
        <f t="shared" si="130"/>
        <v>-0.1075</v>
      </c>
      <c r="BJ195" s="3">
        <f t="shared" ref="BJ195:BJ258" si="154">(BH195-BI195)</f>
        <v>3.0000000000000027E-3</v>
      </c>
      <c r="BK195" s="3">
        <f t="shared" si="151"/>
        <v>2.0604245283018865E-2</v>
      </c>
      <c r="BL195" s="3">
        <f t="shared" si="152"/>
        <v>1.104804015296367E-2</v>
      </c>
      <c r="BM195" s="3">
        <f t="shared" si="131"/>
        <v>9.5562051300551957E-3</v>
      </c>
      <c r="BN195" s="3">
        <v>5.4870000000000001</v>
      </c>
      <c r="BO195" s="3">
        <v>6.0839999999999996</v>
      </c>
      <c r="BP195" s="3">
        <f t="shared" si="132"/>
        <v>-0.59699999999999953</v>
      </c>
      <c r="BQ195" s="3">
        <v>-347129.96399999998</v>
      </c>
      <c r="BR195" s="3">
        <v>-346087.64600000001</v>
      </c>
      <c r="BS195" s="3">
        <f t="shared" si="133"/>
        <v>-1042.3179999999702</v>
      </c>
      <c r="BT195" s="3">
        <v>-347152.04599999997</v>
      </c>
      <c r="BU195" s="3">
        <v>-346109.22600000002</v>
      </c>
      <c r="BV195" s="3">
        <f t="shared" si="134"/>
        <v>-1042.8199999999488</v>
      </c>
    </row>
    <row r="196" spans="1:74" x14ac:dyDescent="0.25">
      <c r="A196" t="s">
        <v>380</v>
      </c>
      <c r="B196" t="s">
        <v>514</v>
      </c>
      <c r="C196" t="s">
        <v>218</v>
      </c>
      <c r="D196" s="3">
        <v>16.12</v>
      </c>
      <c r="E196" s="3">
        <v>0.67</v>
      </c>
      <c r="F196" s="3">
        <v>-459.13200000000001</v>
      </c>
      <c r="G196" s="3">
        <v>-462.21699999999998</v>
      </c>
      <c r="H196" s="3">
        <f t="shared" si="135"/>
        <v>-3.0849999999999795</v>
      </c>
      <c r="I196" s="3">
        <v>-0.32100000000000001</v>
      </c>
      <c r="J196" s="6">
        <v>-0.20699999999999999</v>
      </c>
      <c r="K196" s="3">
        <f t="shared" si="136"/>
        <v>0.11400000000000002</v>
      </c>
      <c r="L196" s="3">
        <v>0.152</v>
      </c>
      <c r="M196" s="6">
        <v>2.7E-2</v>
      </c>
      <c r="N196" s="3">
        <f t="shared" si="137"/>
        <v>-0.125</v>
      </c>
      <c r="O196" s="3">
        <f t="shared" si="138"/>
        <v>8.4500000000000006E-2</v>
      </c>
      <c r="P196" s="3">
        <f t="shared" si="138"/>
        <v>0.09</v>
      </c>
      <c r="Q196" s="3">
        <f t="shared" si="139"/>
        <v>5.499999999999991E-3</v>
      </c>
      <c r="R196" s="3">
        <f t="shared" si="140"/>
        <v>0.47299999999999998</v>
      </c>
      <c r="S196" s="3">
        <f t="shared" si="140"/>
        <v>0.23399999999999999</v>
      </c>
      <c r="T196" s="3">
        <f t="shared" si="141"/>
        <v>-0.23899999999999999</v>
      </c>
      <c r="U196" s="3">
        <f t="shared" si="142"/>
        <v>-8.4500000000000006E-2</v>
      </c>
      <c r="V196" s="3">
        <f t="shared" si="142"/>
        <v>-0.09</v>
      </c>
      <c r="W196" s="3">
        <f t="shared" si="153"/>
        <v>-5.499999999999991E-3</v>
      </c>
      <c r="X196" s="3">
        <f t="shared" si="149"/>
        <v>7.5478329809725167E-3</v>
      </c>
      <c r="Y196" s="3">
        <f t="shared" si="150"/>
        <v>1.7307692307692309E-2</v>
      </c>
      <c r="Z196" s="3">
        <f t="shared" si="143"/>
        <v>9.7598593267197928E-3</v>
      </c>
      <c r="AA196" s="3">
        <v>4.1559999999999997</v>
      </c>
      <c r="AB196" s="3">
        <v>4.1520000000000001</v>
      </c>
      <c r="AC196" s="3">
        <f t="shared" si="144"/>
        <v>-3.9999999999995595E-3</v>
      </c>
      <c r="AD196" s="3">
        <f>-458.860818*627.50956</f>
        <v>-287939.55000442005</v>
      </c>
      <c r="AE196" s="3">
        <f>-461.961756*627.50956</f>
        <v>-289885.41824438731</v>
      </c>
      <c r="AF196" s="3">
        <f t="shared" si="145"/>
        <v>-1945.8682399672689</v>
      </c>
      <c r="AG196" s="3">
        <f>-458.905801*627.50956</f>
        <v>-287967.77726695756</v>
      </c>
      <c r="AH196" s="3">
        <f>-462.007844*627.50956</f>
        <v>-289914.3389049886</v>
      </c>
      <c r="AI196" s="3">
        <f t="shared" si="146"/>
        <v>-1946.5616380310385</v>
      </c>
      <c r="AJ196" s="3">
        <v>-0.69199999999999995</v>
      </c>
      <c r="AK196" s="3">
        <v>-0.61</v>
      </c>
      <c r="AL196" s="3">
        <f t="shared" si="147"/>
        <v>8.1999999999999962E-2</v>
      </c>
      <c r="AM196" s="3">
        <v>152.23670000000001</v>
      </c>
      <c r="AN196" s="3">
        <v>221.78822</v>
      </c>
      <c r="AO196" s="3">
        <v>258.99939999999998</v>
      </c>
      <c r="AP196" s="3">
        <f t="shared" si="148"/>
        <v>1.1289167595344263</v>
      </c>
      <c r="AQ196" s="3">
        <v>9.5419999999999998</v>
      </c>
      <c r="AR196" s="3">
        <v>2.2631990000000002</v>
      </c>
      <c r="AS196" s="3">
        <v>-232.511</v>
      </c>
      <c r="AT196" s="3">
        <v>-231.03200000000001</v>
      </c>
      <c r="AU196" s="3">
        <f t="shared" si="123"/>
        <v>-1.478999999999985</v>
      </c>
      <c r="AV196" s="3">
        <v>-0.246</v>
      </c>
      <c r="AW196" s="3">
        <v>-0.40400000000000003</v>
      </c>
      <c r="AX196" s="3">
        <f t="shared" si="124"/>
        <v>0.15800000000000003</v>
      </c>
      <c r="AY196" s="3">
        <v>3.5999999999999997E-2</v>
      </c>
      <c r="AZ196" s="3">
        <v>0.15</v>
      </c>
      <c r="BA196" s="3">
        <f t="shared" si="125"/>
        <v>-0.11399999999999999</v>
      </c>
      <c r="BB196" s="3">
        <f t="shared" si="126"/>
        <v>0.105</v>
      </c>
      <c r="BC196" s="3">
        <f t="shared" si="126"/>
        <v>0.127</v>
      </c>
      <c r="BD196" s="3">
        <f t="shared" si="127"/>
        <v>-2.2000000000000006E-2</v>
      </c>
      <c r="BE196" s="3">
        <f t="shared" si="128"/>
        <v>0.28199999999999997</v>
      </c>
      <c r="BF196" s="3">
        <f t="shared" si="128"/>
        <v>0.55400000000000005</v>
      </c>
      <c r="BG196" s="3">
        <f t="shared" si="129"/>
        <v>-0.27200000000000008</v>
      </c>
      <c r="BH196" s="3">
        <f t="shared" si="130"/>
        <v>-0.105</v>
      </c>
      <c r="BI196" s="3">
        <f t="shared" si="130"/>
        <v>-0.127</v>
      </c>
      <c r="BJ196" s="3">
        <f t="shared" si="154"/>
        <v>2.2000000000000006E-2</v>
      </c>
      <c r="BK196" s="3">
        <f t="shared" si="151"/>
        <v>1.9547872340425532E-2</v>
      </c>
      <c r="BL196" s="3">
        <f t="shared" si="152"/>
        <v>1.4556859205776172E-2</v>
      </c>
      <c r="BM196" s="3">
        <f t="shared" si="131"/>
        <v>4.9910131346493601E-3</v>
      </c>
      <c r="BN196" s="3">
        <v>2.206</v>
      </c>
      <c r="BO196" s="3">
        <v>2.2749999999999999</v>
      </c>
      <c r="BP196" s="3">
        <f t="shared" si="132"/>
        <v>-6.899999999999995E-2</v>
      </c>
      <c r="BQ196" s="3">
        <v>-145827.45000000001</v>
      </c>
      <c r="BR196" s="3">
        <v>-144894.345</v>
      </c>
      <c r="BS196" s="3">
        <f t="shared" si="133"/>
        <v>-933.10500000001048</v>
      </c>
      <c r="BT196" s="3">
        <v>-145847.03599999999</v>
      </c>
      <c r="BU196" s="3">
        <v>-144913.766</v>
      </c>
      <c r="BV196" s="3">
        <f t="shared" si="134"/>
        <v>-933.26999999998952</v>
      </c>
    </row>
    <row r="197" spans="1:74" x14ac:dyDescent="0.25">
      <c r="A197" t="s">
        <v>381</v>
      </c>
      <c r="B197" t="s">
        <v>514</v>
      </c>
      <c r="C197" t="s">
        <v>99</v>
      </c>
      <c r="D197" s="3">
        <v>16.149999999999999</v>
      </c>
      <c r="E197" s="3">
        <v>0.68</v>
      </c>
      <c r="F197" s="3">
        <v>-188.28800000000001</v>
      </c>
      <c r="G197" s="3">
        <v>-190.541</v>
      </c>
      <c r="H197" s="3">
        <f t="shared" si="135"/>
        <v>-2.2529999999999859</v>
      </c>
      <c r="I197" s="3">
        <v>-0.33800000000000002</v>
      </c>
      <c r="J197" s="6">
        <v>-0.20100000000000001</v>
      </c>
      <c r="K197" s="3">
        <f t="shared" si="136"/>
        <v>0.13700000000000001</v>
      </c>
      <c r="L197" s="3">
        <v>0.16300000000000001</v>
      </c>
      <c r="M197" s="6">
        <v>4.4999999999999998E-2</v>
      </c>
      <c r="N197" s="3">
        <f t="shared" si="137"/>
        <v>-0.11800000000000001</v>
      </c>
      <c r="O197" s="3">
        <f t="shared" si="138"/>
        <v>8.7500000000000008E-2</v>
      </c>
      <c r="P197" s="3">
        <f t="shared" si="138"/>
        <v>7.8000000000000014E-2</v>
      </c>
      <c r="Q197" s="3">
        <f t="shared" si="139"/>
        <v>-9.4999999999999946E-3</v>
      </c>
      <c r="R197" s="3">
        <f t="shared" si="140"/>
        <v>0.501</v>
      </c>
      <c r="S197" s="3">
        <f t="shared" si="140"/>
        <v>0.246</v>
      </c>
      <c r="T197" s="3">
        <f t="shared" si="141"/>
        <v>-0.255</v>
      </c>
      <c r="U197" s="3">
        <f t="shared" si="142"/>
        <v>-8.7500000000000008E-2</v>
      </c>
      <c r="V197" s="3">
        <f t="shared" si="142"/>
        <v>-7.8000000000000014E-2</v>
      </c>
      <c r="W197" s="3">
        <f t="shared" si="153"/>
        <v>9.4999999999999946E-3</v>
      </c>
      <c r="X197" s="3">
        <f t="shared" si="149"/>
        <v>7.640968063872257E-3</v>
      </c>
      <c r="Y197" s="3">
        <f t="shared" si="150"/>
        <v>1.2365853658536589E-2</v>
      </c>
      <c r="Z197" s="3">
        <f t="shared" si="143"/>
        <v>4.7248855946643324E-3</v>
      </c>
      <c r="AA197" s="3">
        <v>0</v>
      </c>
      <c r="AB197" s="3">
        <v>0</v>
      </c>
      <c r="AC197" s="3">
        <f t="shared" si="144"/>
        <v>0</v>
      </c>
      <c r="AD197" s="3">
        <f>-189.164558*627.50956</f>
        <v>-118702.56855817448</v>
      </c>
      <c r="AE197" s="3">
        <f>-190.425535*627.50956</f>
        <v>-119493.84368061459</v>
      </c>
      <c r="AF197" s="3">
        <f t="shared" si="145"/>
        <v>-791.2751224401145</v>
      </c>
      <c r="AG197" s="3">
        <f>-189.198931*627.50956</f>
        <v>-118724.13794428034</v>
      </c>
      <c r="AH197" s="3">
        <f>-190.460361*627.50956</f>
        <v>-119515.69732855116</v>
      </c>
      <c r="AI197" s="3">
        <f t="shared" si="146"/>
        <v>-791.55938427081855</v>
      </c>
      <c r="AJ197" s="3">
        <v>-0.51500000000000001</v>
      </c>
      <c r="AK197" s="3">
        <v>-0.50900000000000001</v>
      </c>
      <c r="AL197" s="3">
        <f t="shared" si="147"/>
        <v>6.0000000000000053E-3</v>
      </c>
      <c r="AM197" s="3">
        <v>60.098320000000001</v>
      </c>
      <c r="AN197" s="3">
        <v>130.55661000000001</v>
      </c>
      <c r="AO197" s="3">
        <v>122.24832000000001</v>
      </c>
      <c r="AP197" s="3">
        <f t="shared" si="148"/>
        <v>1.0962077853464018</v>
      </c>
      <c r="AQ197" s="3">
        <v>7.7569999999999997</v>
      </c>
      <c r="AR197" s="3">
        <v>1.5027158</v>
      </c>
      <c r="AS197" s="3">
        <v>-132.80099999999999</v>
      </c>
      <c r="AT197" s="3">
        <v>-131.97</v>
      </c>
      <c r="AU197" s="3">
        <f t="shared" si="123"/>
        <v>-0.83099999999998886</v>
      </c>
      <c r="AV197" s="3">
        <v>-0.34100000000000003</v>
      </c>
      <c r="AW197" s="3">
        <v>-0.47499999999999998</v>
      </c>
      <c r="AX197" s="3">
        <f t="shared" si="124"/>
        <v>0.13399999999999995</v>
      </c>
      <c r="AY197" s="3">
        <v>2.9000000000000001E-2</v>
      </c>
      <c r="AZ197" s="3">
        <v>0.156</v>
      </c>
      <c r="BA197" s="3">
        <f t="shared" si="125"/>
        <v>-0.127</v>
      </c>
      <c r="BB197" s="3">
        <f t="shared" si="126"/>
        <v>0.156</v>
      </c>
      <c r="BC197" s="3">
        <f t="shared" si="126"/>
        <v>0.15949999999999998</v>
      </c>
      <c r="BD197" s="3">
        <f t="shared" si="127"/>
        <v>-3.4999999999999754E-3</v>
      </c>
      <c r="BE197" s="3">
        <f t="shared" si="128"/>
        <v>0.37000000000000005</v>
      </c>
      <c r="BF197" s="3">
        <f t="shared" si="128"/>
        <v>0.63100000000000001</v>
      </c>
      <c r="BG197" s="3">
        <f t="shared" si="129"/>
        <v>-0.26099999999999995</v>
      </c>
      <c r="BH197" s="3">
        <f t="shared" si="130"/>
        <v>-0.156</v>
      </c>
      <c r="BI197" s="3">
        <f t="shared" si="130"/>
        <v>-0.15949999999999998</v>
      </c>
      <c r="BJ197" s="3">
        <f t="shared" si="154"/>
        <v>3.4999999999999754E-3</v>
      </c>
      <c r="BK197" s="3">
        <f t="shared" si="151"/>
        <v>3.2886486486486483E-2</v>
      </c>
      <c r="BL197" s="3">
        <f t="shared" si="152"/>
        <v>2.0158676703645E-2</v>
      </c>
      <c r="BM197" s="3">
        <f t="shared" si="131"/>
        <v>1.2727809782841482E-2</v>
      </c>
      <c r="BN197" s="3">
        <v>4.7279999999999998</v>
      </c>
      <c r="BO197" s="3">
        <v>4.9340000000000002</v>
      </c>
      <c r="BP197" s="3">
        <f t="shared" si="132"/>
        <v>-0.20600000000000041</v>
      </c>
      <c r="BQ197" s="3">
        <v>-83302.89</v>
      </c>
      <c r="BR197" s="3">
        <v>-82779.224000000002</v>
      </c>
      <c r="BS197" s="3">
        <f t="shared" si="133"/>
        <v>-523.66599999999744</v>
      </c>
      <c r="BT197" s="3">
        <v>-83320.774999999994</v>
      </c>
      <c r="BU197" s="3">
        <v>-82796.997000000003</v>
      </c>
      <c r="BV197" s="3">
        <f t="shared" si="134"/>
        <v>-523.77799999999115</v>
      </c>
    </row>
    <row r="198" spans="1:74" x14ac:dyDescent="0.25">
      <c r="A198" t="s">
        <v>382</v>
      </c>
      <c r="B198" t="s">
        <v>514</v>
      </c>
      <c r="C198" t="s">
        <v>103</v>
      </c>
      <c r="D198" s="3">
        <v>16.149999999999999</v>
      </c>
      <c r="E198" s="3">
        <v>0.73</v>
      </c>
      <c r="F198" s="3">
        <v>-397.05799999999999</v>
      </c>
      <c r="G198" s="3">
        <v>-399.62</v>
      </c>
      <c r="H198" s="3">
        <f t="shared" si="135"/>
        <v>-2.5620000000000118</v>
      </c>
      <c r="I198" s="3">
        <v>-0.32800000000000001</v>
      </c>
      <c r="J198" s="6">
        <v>-0.21</v>
      </c>
      <c r="K198" s="3">
        <f t="shared" si="136"/>
        <v>0.11800000000000002</v>
      </c>
      <c r="L198" s="3">
        <v>0.153</v>
      </c>
      <c r="M198" s="6">
        <v>3.5000000000000003E-2</v>
      </c>
      <c r="N198" s="3">
        <f t="shared" si="137"/>
        <v>-0.11799999999999999</v>
      </c>
      <c r="O198" s="3">
        <f t="shared" si="138"/>
        <v>8.7500000000000008E-2</v>
      </c>
      <c r="P198" s="3">
        <f t="shared" si="138"/>
        <v>8.7499999999999994E-2</v>
      </c>
      <c r="Q198" s="3">
        <f t="shared" si="139"/>
        <v>0</v>
      </c>
      <c r="R198" s="3">
        <f t="shared" si="140"/>
        <v>0.48099999999999998</v>
      </c>
      <c r="S198" s="3">
        <f t="shared" si="140"/>
        <v>0.245</v>
      </c>
      <c r="T198" s="3">
        <f t="shared" si="141"/>
        <v>-0.23599999999999999</v>
      </c>
      <c r="U198" s="3">
        <f t="shared" si="142"/>
        <v>-8.7500000000000008E-2</v>
      </c>
      <c r="V198" s="3">
        <f t="shared" si="142"/>
        <v>-8.7499999999999994E-2</v>
      </c>
      <c r="W198" s="3">
        <f t="shared" si="153"/>
        <v>1.3877787807814457E-17</v>
      </c>
      <c r="X198" s="3">
        <f t="shared" si="149"/>
        <v>7.958679833679835E-3</v>
      </c>
      <c r="Y198" s="3">
        <f t="shared" si="150"/>
        <v>1.5624999999999998E-2</v>
      </c>
      <c r="Z198" s="3">
        <f t="shared" si="143"/>
        <v>7.6663201663201633E-3</v>
      </c>
      <c r="AA198" s="3">
        <v>4.3959999999999999</v>
      </c>
      <c r="AB198" s="3">
        <v>4.0990000000000002</v>
      </c>
      <c r="AC198" s="3">
        <f t="shared" si="144"/>
        <v>-0.29699999999999971</v>
      </c>
      <c r="AD198" s="3">
        <f>-396.861338*627.50956</f>
        <v>-249034.28358939127</v>
      </c>
      <c r="AE198" s="3">
        <f>-399.435252*627.50956</f>
        <v>-250649.43923100911</v>
      </c>
      <c r="AF198" s="3">
        <f t="shared" si="145"/>
        <v>-1615.1556416178355</v>
      </c>
      <c r="AG198" s="3">
        <f>-396.900918*627.50956</f>
        <v>-249059.12041777605</v>
      </c>
      <c r="AH198" s="3">
        <f>-399.475645*627.50956</f>
        <v>-250674.78622466617</v>
      </c>
      <c r="AI198" s="3">
        <f t="shared" si="146"/>
        <v>-1615.6658068901161</v>
      </c>
      <c r="AJ198" s="3">
        <v>-0.70299999999999996</v>
      </c>
      <c r="AK198" s="3">
        <v>-0.64900000000000002</v>
      </c>
      <c r="AL198" s="3">
        <f t="shared" si="147"/>
        <v>5.3999999999999937E-2</v>
      </c>
      <c r="AM198" s="3">
        <v>125.17164</v>
      </c>
      <c r="AN198" s="3">
        <v>185.47358</v>
      </c>
      <c r="AO198" s="3">
        <v>200.26458</v>
      </c>
      <c r="AP198" s="3">
        <f t="shared" si="148"/>
        <v>1.1206463365304096</v>
      </c>
      <c r="AQ198" s="3">
        <v>8.9890000000000008</v>
      </c>
      <c r="AR198" s="3">
        <v>1.946844</v>
      </c>
      <c r="AS198" s="3">
        <v>-959.76900000000001</v>
      </c>
      <c r="AT198" s="3">
        <v>-958.05</v>
      </c>
      <c r="AU198" s="3">
        <f t="shared" si="123"/>
        <v>-1.7190000000000509</v>
      </c>
      <c r="AV198" s="3">
        <v>-0.317</v>
      </c>
      <c r="AW198" s="3">
        <v>-0.45</v>
      </c>
      <c r="AX198" s="3">
        <f t="shared" si="124"/>
        <v>0.13300000000000001</v>
      </c>
      <c r="AY198" s="3">
        <v>-2.4E-2</v>
      </c>
      <c r="AZ198" s="3">
        <v>0.13500000000000001</v>
      </c>
      <c r="BA198" s="3">
        <f t="shared" si="125"/>
        <v>-0.159</v>
      </c>
      <c r="BB198" s="3">
        <f t="shared" si="126"/>
        <v>0.17050000000000001</v>
      </c>
      <c r="BC198" s="3">
        <f t="shared" si="126"/>
        <v>0.1575</v>
      </c>
      <c r="BD198" s="3">
        <f t="shared" si="127"/>
        <v>1.3000000000000012E-2</v>
      </c>
      <c r="BE198" s="3">
        <f t="shared" si="128"/>
        <v>0.29299999999999998</v>
      </c>
      <c r="BF198" s="3">
        <f t="shared" si="128"/>
        <v>0.58499999999999996</v>
      </c>
      <c r="BG198" s="3">
        <f t="shared" si="129"/>
        <v>-0.29199999999999998</v>
      </c>
      <c r="BH198" s="3">
        <f t="shared" si="130"/>
        <v>-0.17050000000000001</v>
      </c>
      <c r="BI198" s="3">
        <f t="shared" si="130"/>
        <v>-0.1575</v>
      </c>
      <c r="BJ198" s="3">
        <f t="shared" si="154"/>
        <v>-1.3000000000000012E-2</v>
      </c>
      <c r="BK198" s="3">
        <f t="shared" si="151"/>
        <v>4.9607935153583631E-2</v>
      </c>
      <c r="BL198" s="3">
        <f t="shared" si="152"/>
        <v>2.120192307692308E-2</v>
      </c>
      <c r="BM198" s="3">
        <f t="shared" si="131"/>
        <v>2.8406012076660551E-2</v>
      </c>
      <c r="BN198" s="3">
        <v>2.2370000000000001</v>
      </c>
      <c r="BO198" s="3">
        <v>2.431</v>
      </c>
      <c r="BP198" s="3">
        <f t="shared" si="132"/>
        <v>-0.19399999999999995</v>
      </c>
      <c r="BQ198" s="3">
        <v>-602243.07700000005</v>
      </c>
      <c r="BR198" s="3">
        <v>-601163.24300000002</v>
      </c>
      <c r="BS198" s="3">
        <f t="shared" si="133"/>
        <v>-1079.8340000000317</v>
      </c>
      <c r="BT198" s="3">
        <v>-602262.36399999994</v>
      </c>
      <c r="BU198" s="3">
        <v>-601182.38500000001</v>
      </c>
      <c r="BV198" s="3">
        <f t="shared" si="134"/>
        <v>-1079.9789999999339</v>
      </c>
    </row>
    <row r="199" spans="1:74" x14ac:dyDescent="0.25">
      <c r="A199" t="s">
        <v>383</v>
      </c>
      <c r="B199" t="s">
        <v>514</v>
      </c>
      <c r="C199" t="s">
        <v>103</v>
      </c>
      <c r="D199" s="3">
        <v>16.16</v>
      </c>
      <c r="E199" s="3">
        <v>0.75</v>
      </c>
      <c r="F199" s="3">
        <v>-436.09800000000001</v>
      </c>
      <c r="G199" s="3">
        <v>-438.94200000000001</v>
      </c>
      <c r="H199" s="3">
        <f t="shared" si="135"/>
        <v>-2.8439999999999941</v>
      </c>
      <c r="I199" s="3">
        <v>-0.32600000000000001</v>
      </c>
      <c r="J199" s="6">
        <v>-0.20799999999999999</v>
      </c>
      <c r="K199" s="3">
        <f t="shared" si="136"/>
        <v>0.11800000000000002</v>
      </c>
      <c r="L199" s="3">
        <v>0.152</v>
      </c>
      <c r="M199" s="6">
        <v>3.1E-2</v>
      </c>
      <c r="N199" s="3">
        <f t="shared" si="137"/>
        <v>-0.121</v>
      </c>
      <c r="O199" s="3">
        <f t="shared" si="138"/>
        <v>8.7000000000000008E-2</v>
      </c>
      <c r="P199" s="3">
        <f t="shared" si="138"/>
        <v>8.8499999999999995E-2</v>
      </c>
      <c r="Q199" s="3">
        <f t="shared" si="139"/>
        <v>1.4999999999999875E-3</v>
      </c>
      <c r="R199" s="3">
        <f t="shared" si="140"/>
        <v>0.47799999999999998</v>
      </c>
      <c r="S199" s="3">
        <f t="shared" si="140"/>
        <v>0.23899999999999999</v>
      </c>
      <c r="T199" s="3">
        <f t="shared" si="141"/>
        <v>-0.23899999999999999</v>
      </c>
      <c r="U199" s="3">
        <f t="shared" si="142"/>
        <v>-8.7000000000000008E-2</v>
      </c>
      <c r="V199" s="3">
        <f t="shared" si="142"/>
        <v>-8.8499999999999995E-2</v>
      </c>
      <c r="W199" s="3">
        <f t="shared" si="153"/>
        <v>-1.4999999999999875E-3</v>
      </c>
      <c r="X199" s="3">
        <f t="shared" si="149"/>
        <v>7.9173640167364036E-3</v>
      </c>
      <c r="Y199" s="3">
        <f t="shared" si="150"/>
        <v>1.6385460251046025E-2</v>
      </c>
      <c r="Z199" s="3">
        <f t="shared" si="143"/>
        <v>8.4680962343096217E-3</v>
      </c>
      <c r="AA199" s="3">
        <v>3.8279999999999998</v>
      </c>
      <c r="AB199" s="3">
        <v>3.6469999999999998</v>
      </c>
      <c r="AC199" s="3">
        <f t="shared" si="144"/>
        <v>-0.18100000000000005</v>
      </c>
      <c r="AD199" s="3">
        <f>-435.868705*627.50956</f>
        <v>-273511.77929231978</v>
      </c>
      <c r="AE199" s="3">
        <f>-438.726747*627.50956</f>
        <v>-275305.22797020129</v>
      </c>
      <c r="AF199" s="3">
        <f t="shared" si="145"/>
        <v>-1793.4486778815044</v>
      </c>
      <c r="AG199" s="3">
        <f>-435.911137*627.50956</f>
        <v>-273538.40577796969</v>
      </c>
      <c r="AH199" s="3">
        <f>-438.770407*627.50956</f>
        <v>-275332.62503759091</v>
      </c>
      <c r="AI199" s="3">
        <f t="shared" si="146"/>
        <v>-1794.2192596212262</v>
      </c>
      <c r="AJ199" s="3">
        <v>-0.71199999999999997</v>
      </c>
      <c r="AK199" s="3">
        <v>-0.65900000000000003</v>
      </c>
      <c r="AL199" s="3">
        <f t="shared" si="147"/>
        <v>5.2999999999999936E-2</v>
      </c>
      <c r="AM199" s="3">
        <v>139.19821999999999</v>
      </c>
      <c r="AN199" s="3">
        <v>202.24107000000001</v>
      </c>
      <c r="AO199" s="3">
        <v>225.38638</v>
      </c>
      <c r="AP199" s="3">
        <f t="shared" si="148"/>
        <v>1.1293802598332081</v>
      </c>
      <c r="AQ199" s="3">
        <v>9.3559999999999999</v>
      </c>
      <c r="AR199" s="3">
        <v>2.09885287</v>
      </c>
      <c r="AS199" s="3">
        <v>-959.76900000000001</v>
      </c>
      <c r="AT199" s="3">
        <v>-958.05</v>
      </c>
      <c r="AU199" s="3">
        <f t="shared" si="123"/>
        <v>-1.7190000000000509</v>
      </c>
      <c r="AV199" s="3">
        <v>-0.317</v>
      </c>
      <c r="AW199" s="3">
        <v>-0.45</v>
      </c>
      <c r="AX199" s="3">
        <f t="shared" si="124"/>
        <v>0.13300000000000001</v>
      </c>
      <c r="AY199" s="3">
        <v>-2.4E-2</v>
      </c>
      <c r="AZ199" s="3">
        <v>0.13500000000000001</v>
      </c>
      <c r="BA199" s="3">
        <f t="shared" si="125"/>
        <v>-0.159</v>
      </c>
      <c r="BB199" s="3">
        <f t="shared" si="126"/>
        <v>0.17050000000000001</v>
      </c>
      <c r="BC199" s="3">
        <f t="shared" si="126"/>
        <v>0.1575</v>
      </c>
      <c r="BD199" s="3">
        <f t="shared" si="127"/>
        <v>1.3000000000000012E-2</v>
      </c>
      <c r="BE199" s="3">
        <f t="shared" si="128"/>
        <v>0.29299999999999998</v>
      </c>
      <c r="BF199" s="3">
        <f t="shared" si="128"/>
        <v>0.58499999999999996</v>
      </c>
      <c r="BG199" s="3">
        <f t="shared" si="129"/>
        <v>-0.29199999999999998</v>
      </c>
      <c r="BH199" s="3">
        <f t="shared" si="130"/>
        <v>-0.17050000000000001</v>
      </c>
      <c r="BI199" s="3">
        <f t="shared" si="130"/>
        <v>-0.1575</v>
      </c>
      <c r="BJ199" s="3">
        <f t="shared" si="154"/>
        <v>-1.3000000000000012E-2</v>
      </c>
      <c r="BK199" s="3">
        <f t="shared" si="151"/>
        <v>4.9607935153583631E-2</v>
      </c>
      <c r="BL199" s="3">
        <f t="shared" si="152"/>
        <v>2.120192307692308E-2</v>
      </c>
      <c r="BM199" s="3">
        <f t="shared" si="131"/>
        <v>2.8406012076660551E-2</v>
      </c>
      <c r="BN199" s="3">
        <v>2.2370000000000001</v>
      </c>
      <c r="BO199" s="3">
        <v>2.431</v>
      </c>
      <c r="BP199" s="3">
        <f t="shared" si="132"/>
        <v>-0.19399999999999995</v>
      </c>
      <c r="BQ199" s="3">
        <v>-602243.07700000005</v>
      </c>
      <c r="BR199" s="3">
        <v>-601163.24300000002</v>
      </c>
      <c r="BS199" s="3">
        <f t="shared" si="133"/>
        <v>-1079.8340000000317</v>
      </c>
      <c r="BT199" s="3">
        <v>-602262.36399999994</v>
      </c>
      <c r="BU199" s="3">
        <v>-601182.38500000001</v>
      </c>
      <c r="BV199" s="3">
        <f t="shared" si="134"/>
        <v>-1079.9789999999339</v>
      </c>
    </row>
    <row r="200" spans="1:74" x14ac:dyDescent="0.25">
      <c r="A200" t="s">
        <v>384</v>
      </c>
      <c r="B200" t="s">
        <v>514</v>
      </c>
      <c r="C200" t="s">
        <v>99</v>
      </c>
      <c r="D200" s="3">
        <v>16.28</v>
      </c>
      <c r="E200" s="3">
        <v>0.67</v>
      </c>
      <c r="F200" s="3">
        <v>-381.05399999999997</v>
      </c>
      <c r="G200" s="3">
        <v>-383.57499999999999</v>
      </c>
      <c r="H200" s="3">
        <f t="shared" si="135"/>
        <v>-2.521000000000015</v>
      </c>
      <c r="I200" s="3">
        <v>-0.32700000000000001</v>
      </c>
      <c r="J200" s="6">
        <v>-0.21099999999999999</v>
      </c>
      <c r="K200" s="3">
        <f t="shared" si="136"/>
        <v>0.11600000000000002</v>
      </c>
      <c r="L200" s="3">
        <v>0.15</v>
      </c>
      <c r="M200" s="6">
        <v>2.5999999999999999E-2</v>
      </c>
      <c r="N200" s="3">
        <f t="shared" si="137"/>
        <v>-0.124</v>
      </c>
      <c r="O200" s="3">
        <f t="shared" si="138"/>
        <v>8.8500000000000009E-2</v>
      </c>
      <c r="P200" s="3">
        <f t="shared" si="138"/>
        <v>9.2499999999999999E-2</v>
      </c>
      <c r="Q200" s="3">
        <f t="shared" si="139"/>
        <v>3.9999999999999897E-3</v>
      </c>
      <c r="R200" s="3">
        <f t="shared" si="140"/>
        <v>0.47699999999999998</v>
      </c>
      <c r="S200" s="3">
        <f t="shared" si="140"/>
        <v>0.23699999999999999</v>
      </c>
      <c r="T200" s="3">
        <f t="shared" si="141"/>
        <v>-0.24</v>
      </c>
      <c r="U200" s="3">
        <f t="shared" si="142"/>
        <v>-8.8500000000000009E-2</v>
      </c>
      <c r="V200" s="3">
        <f t="shared" si="142"/>
        <v>-9.2499999999999999E-2</v>
      </c>
      <c r="W200" s="3">
        <f t="shared" si="153"/>
        <v>-3.9999999999999897E-3</v>
      </c>
      <c r="X200" s="3">
        <f t="shared" si="149"/>
        <v>8.2099056603773621E-3</v>
      </c>
      <c r="Y200" s="3">
        <f t="shared" si="150"/>
        <v>1.8051160337552743E-2</v>
      </c>
      <c r="Z200" s="3">
        <f t="shared" si="143"/>
        <v>9.8412546771753807E-3</v>
      </c>
      <c r="AA200" s="3">
        <v>4.2469999999999999</v>
      </c>
      <c r="AB200" s="3">
        <v>4.2249999999999996</v>
      </c>
      <c r="AC200" s="3">
        <f t="shared" si="144"/>
        <v>-2.2000000000000242E-2</v>
      </c>
      <c r="AD200" s="3">
        <f>-380.845827*627.50956</f>
        <v>-238984.39732860611</v>
      </c>
      <c r="AE200" s="3">
        <f>-383.379376*627.50956</f>
        <v>-240574.22354683455</v>
      </c>
      <c r="AF200" s="3">
        <f t="shared" si="145"/>
        <v>-1589.8262182284379</v>
      </c>
      <c r="AG200" s="3">
        <f>-380.886076*627.50956</f>
        <v>-239009.65396088656</v>
      </c>
      <c r="AH200" s="3">
        <f>-383.420534*627.50956</f>
        <v>-240600.050585305</v>
      </c>
      <c r="AI200" s="3">
        <f t="shared" si="146"/>
        <v>-1590.3966244184412</v>
      </c>
      <c r="AJ200" s="3">
        <v>-0.69899999999999995</v>
      </c>
      <c r="AK200" s="3">
        <v>-0.61699999999999999</v>
      </c>
      <c r="AL200" s="3">
        <f t="shared" si="147"/>
        <v>8.1999999999999962E-2</v>
      </c>
      <c r="AM200" s="3">
        <v>124.18358000000001</v>
      </c>
      <c r="AN200" s="3">
        <v>191.26639</v>
      </c>
      <c r="AO200" s="3">
        <v>209.10720000000001</v>
      </c>
      <c r="AP200" s="3">
        <f t="shared" si="148"/>
        <v>1.1228333072315637</v>
      </c>
      <c r="AQ200" s="3">
        <v>9.0380000000000003</v>
      </c>
      <c r="AR200" s="3">
        <v>1.9776851</v>
      </c>
      <c r="AS200" s="3">
        <v>-132.80099999999999</v>
      </c>
      <c r="AT200" s="3">
        <v>-131.97</v>
      </c>
      <c r="AU200" s="3">
        <f t="shared" si="123"/>
        <v>-0.83099999999998886</v>
      </c>
      <c r="AV200" s="3">
        <v>-0.34100000000000003</v>
      </c>
      <c r="AW200" s="3">
        <v>-0.47499999999999998</v>
      </c>
      <c r="AX200" s="3">
        <f t="shared" si="124"/>
        <v>0.13399999999999995</v>
      </c>
      <c r="AY200" s="3">
        <v>2.9000000000000001E-2</v>
      </c>
      <c r="AZ200" s="3">
        <v>0.156</v>
      </c>
      <c r="BA200" s="3">
        <f t="shared" si="125"/>
        <v>-0.127</v>
      </c>
      <c r="BB200" s="3">
        <f t="shared" si="126"/>
        <v>0.156</v>
      </c>
      <c r="BC200" s="3">
        <f t="shared" si="126"/>
        <v>0.15949999999999998</v>
      </c>
      <c r="BD200" s="3">
        <f t="shared" si="127"/>
        <v>-3.4999999999999754E-3</v>
      </c>
      <c r="BE200" s="3">
        <f t="shared" si="128"/>
        <v>0.37000000000000005</v>
      </c>
      <c r="BF200" s="3">
        <f t="shared" si="128"/>
        <v>0.63100000000000001</v>
      </c>
      <c r="BG200" s="3">
        <f t="shared" si="129"/>
        <v>-0.26099999999999995</v>
      </c>
      <c r="BH200" s="3">
        <f t="shared" si="130"/>
        <v>-0.156</v>
      </c>
      <c r="BI200" s="3">
        <f t="shared" si="130"/>
        <v>-0.15949999999999998</v>
      </c>
      <c r="BJ200" s="3">
        <f t="shared" si="154"/>
        <v>3.4999999999999754E-3</v>
      </c>
      <c r="BK200" s="3">
        <f t="shared" si="151"/>
        <v>3.2886486486486483E-2</v>
      </c>
      <c r="BL200" s="3">
        <f t="shared" si="152"/>
        <v>2.0158676703645E-2</v>
      </c>
      <c r="BM200" s="3">
        <f t="shared" si="131"/>
        <v>1.2727809782841482E-2</v>
      </c>
      <c r="BN200" s="3">
        <v>4.7279999999999998</v>
      </c>
      <c r="BO200" s="3">
        <v>4.9340000000000002</v>
      </c>
      <c r="BP200" s="3">
        <f t="shared" si="132"/>
        <v>-0.20600000000000041</v>
      </c>
      <c r="BQ200" s="3">
        <v>-83302.89</v>
      </c>
      <c r="BR200" s="3">
        <v>-82779.224000000002</v>
      </c>
      <c r="BS200" s="3">
        <f t="shared" si="133"/>
        <v>-523.66599999999744</v>
      </c>
      <c r="BT200" s="3">
        <v>-83320.774999999994</v>
      </c>
      <c r="BU200" s="3">
        <v>-82796.997000000003</v>
      </c>
      <c r="BV200" s="3">
        <f t="shared" si="134"/>
        <v>-523.77799999999115</v>
      </c>
    </row>
    <row r="201" spans="1:74" x14ac:dyDescent="0.25">
      <c r="A201" t="s">
        <v>385</v>
      </c>
      <c r="B201" t="s">
        <v>514</v>
      </c>
      <c r="C201" t="s">
        <v>200</v>
      </c>
      <c r="D201" s="3">
        <v>16.29</v>
      </c>
      <c r="E201" s="3">
        <v>0.65</v>
      </c>
      <c r="F201" s="3">
        <v>-393.03399999999999</v>
      </c>
      <c r="G201" s="3">
        <v>-395.495</v>
      </c>
      <c r="H201" s="3">
        <f t="shared" si="135"/>
        <v>-2.4610000000000127</v>
      </c>
      <c r="I201" s="3">
        <v>-0.28299999999999997</v>
      </c>
      <c r="J201" s="6">
        <v>-0.20200000000000001</v>
      </c>
      <c r="K201" s="3">
        <f t="shared" si="136"/>
        <v>8.0999999999999961E-2</v>
      </c>
      <c r="L201" s="3">
        <v>0.127</v>
      </c>
      <c r="M201" s="6">
        <v>-1.4999999999999999E-2</v>
      </c>
      <c r="N201" s="3">
        <f t="shared" si="137"/>
        <v>-0.14200000000000002</v>
      </c>
      <c r="O201" s="3">
        <f t="shared" si="138"/>
        <v>7.7999999999999986E-2</v>
      </c>
      <c r="P201" s="3">
        <f t="shared" si="138"/>
        <v>0.10850000000000001</v>
      </c>
      <c r="Q201" s="3">
        <f t="shared" si="139"/>
        <v>3.0500000000000027E-2</v>
      </c>
      <c r="R201" s="3">
        <f t="shared" si="140"/>
        <v>0.41</v>
      </c>
      <c r="S201" s="3">
        <f t="shared" si="140"/>
        <v>0.187</v>
      </c>
      <c r="T201" s="3">
        <f t="shared" si="141"/>
        <v>-0.22299999999999998</v>
      </c>
      <c r="U201" s="3">
        <f t="shared" si="142"/>
        <v>-7.7999999999999986E-2</v>
      </c>
      <c r="V201" s="3">
        <f t="shared" si="142"/>
        <v>-0.10850000000000001</v>
      </c>
      <c r="W201" s="3">
        <f t="shared" si="153"/>
        <v>-3.0500000000000027E-2</v>
      </c>
      <c r="X201" s="3">
        <f t="shared" si="149"/>
        <v>7.4195121951219486E-3</v>
      </c>
      <c r="Y201" s="3">
        <f t="shared" si="150"/>
        <v>3.1476604278074874E-2</v>
      </c>
      <c r="Z201" s="3">
        <f t="shared" si="143"/>
        <v>2.4057092082952924E-2</v>
      </c>
      <c r="AA201" s="3">
        <v>8.8559999999999999</v>
      </c>
      <c r="AB201" s="3">
        <v>8.4819999999999993</v>
      </c>
      <c r="AC201" s="3">
        <f t="shared" si="144"/>
        <v>-0.37400000000000055</v>
      </c>
      <c r="AD201" s="3">
        <f>-392.927962*627.50956</f>
        <v>-246566.0525463167</v>
      </c>
      <c r="AE201" s="3">
        <f>-395.395877*627.50956</f>
        <v>-248114.69280208409</v>
      </c>
      <c r="AF201" s="3">
        <f t="shared" si="145"/>
        <v>-1548.6402557673864</v>
      </c>
      <c r="AG201" s="3">
        <f>-392.963785*627.50956</f>
        <v>-246588.53182128456</v>
      </c>
      <c r="AH201" s="3">
        <f>-395.432365*627.50956</f>
        <v>-248137.58937090938</v>
      </c>
      <c r="AI201" s="3">
        <f t="shared" si="146"/>
        <v>-1549.0575496248202</v>
      </c>
      <c r="AJ201" s="3">
        <v>-0.45200000000000001</v>
      </c>
      <c r="AK201" s="3">
        <v>-0.41</v>
      </c>
      <c r="AL201" s="3">
        <f t="shared" si="147"/>
        <v>4.2000000000000037E-2</v>
      </c>
      <c r="AM201" s="3">
        <v>118.11606</v>
      </c>
      <c r="AN201" s="3">
        <v>155.3707</v>
      </c>
      <c r="AO201" s="3">
        <v>157.7227</v>
      </c>
      <c r="AP201" s="3">
        <f t="shared" si="148"/>
        <v>1.1007675139711088</v>
      </c>
      <c r="AQ201" s="3">
        <v>8.2720000000000002</v>
      </c>
      <c r="AR201" s="3">
        <v>1.8856198</v>
      </c>
      <c r="AS201" s="3">
        <v>-553.27200000000005</v>
      </c>
      <c r="AT201" s="3">
        <v>-551.61699999999996</v>
      </c>
      <c r="AU201" s="3">
        <f t="shared" si="123"/>
        <v>-1.6550000000000864</v>
      </c>
      <c r="AV201" s="3">
        <v>-0.23699999999999999</v>
      </c>
      <c r="AW201" s="3">
        <v>-0.36899999999999999</v>
      </c>
      <c r="AX201" s="3">
        <f t="shared" si="124"/>
        <v>0.13200000000000001</v>
      </c>
      <c r="AY201" s="3">
        <v>2.8000000000000001E-2</v>
      </c>
      <c r="AZ201" s="3">
        <v>0.154</v>
      </c>
      <c r="BA201" s="3">
        <f t="shared" si="125"/>
        <v>-0.126</v>
      </c>
      <c r="BB201" s="3">
        <f t="shared" si="126"/>
        <v>0.1045</v>
      </c>
      <c r="BC201" s="3">
        <f t="shared" si="126"/>
        <v>0.1075</v>
      </c>
      <c r="BD201" s="3">
        <f t="shared" si="127"/>
        <v>-3.0000000000000027E-3</v>
      </c>
      <c r="BE201" s="3">
        <f t="shared" si="128"/>
        <v>0.26500000000000001</v>
      </c>
      <c r="BF201" s="3">
        <f t="shared" si="128"/>
        <v>0.52300000000000002</v>
      </c>
      <c r="BG201" s="3">
        <f t="shared" si="129"/>
        <v>-0.25800000000000001</v>
      </c>
      <c r="BH201" s="3">
        <f t="shared" si="130"/>
        <v>-0.1045</v>
      </c>
      <c r="BI201" s="3">
        <f t="shared" si="130"/>
        <v>-0.1075</v>
      </c>
      <c r="BJ201" s="3">
        <f t="shared" si="154"/>
        <v>3.0000000000000027E-3</v>
      </c>
      <c r="BK201" s="3">
        <f t="shared" si="151"/>
        <v>2.0604245283018865E-2</v>
      </c>
      <c r="BL201" s="3">
        <f t="shared" si="152"/>
        <v>1.104804015296367E-2</v>
      </c>
      <c r="BM201" s="3">
        <f t="shared" si="131"/>
        <v>9.5562051300551957E-3</v>
      </c>
      <c r="BN201" s="3">
        <v>5.4870000000000001</v>
      </c>
      <c r="BO201" s="3">
        <v>6.0839999999999996</v>
      </c>
      <c r="BP201" s="3">
        <f t="shared" si="132"/>
        <v>-0.59699999999999953</v>
      </c>
      <c r="BQ201" s="3">
        <v>-347129.96399999998</v>
      </c>
      <c r="BR201" s="3">
        <v>-346087.64600000001</v>
      </c>
      <c r="BS201" s="3">
        <f t="shared" si="133"/>
        <v>-1042.3179999999702</v>
      </c>
      <c r="BT201" s="3">
        <v>-347152.04599999997</v>
      </c>
      <c r="BU201" s="3">
        <v>-346109.22600000002</v>
      </c>
      <c r="BV201" s="3">
        <f t="shared" si="134"/>
        <v>-1042.8199999999488</v>
      </c>
    </row>
    <row r="202" spans="1:74" x14ac:dyDescent="0.25">
      <c r="A202" t="s">
        <v>386</v>
      </c>
      <c r="B202" t="s">
        <v>514</v>
      </c>
      <c r="C202" t="s">
        <v>200</v>
      </c>
      <c r="D202" s="3">
        <v>16.36</v>
      </c>
      <c r="E202" s="3">
        <v>0.69</v>
      </c>
      <c r="F202" s="3">
        <v>-451.12700000000001</v>
      </c>
      <c r="G202" s="3">
        <v>-453.77199999999999</v>
      </c>
      <c r="H202" s="3">
        <f t="shared" si="135"/>
        <v>-2.6449999999999818</v>
      </c>
      <c r="I202" s="3">
        <v>-0.312</v>
      </c>
      <c r="J202" s="6">
        <v>-0.20599999999999999</v>
      </c>
      <c r="K202" s="3">
        <f t="shared" si="136"/>
        <v>0.10600000000000001</v>
      </c>
      <c r="L202" s="3">
        <v>0.155</v>
      </c>
      <c r="M202" s="6">
        <v>3.0000000000000001E-3</v>
      </c>
      <c r="N202" s="3">
        <f t="shared" si="137"/>
        <v>-0.152</v>
      </c>
      <c r="O202" s="3">
        <f t="shared" si="138"/>
        <v>7.85E-2</v>
      </c>
      <c r="P202" s="3">
        <f t="shared" si="138"/>
        <v>0.10149999999999999</v>
      </c>
      <c r="Q202" s="3">
        <f t="shared" si="139"/>
        <v>2.2999999999999993E-2</v>
      </c>
      <c r="R202" s="3">
        <f t="shared" si="140"/>
        <v>0.46699999999999997</v>
      </c>
      <c r="S202" s="3">
        <f t="shared" si="140"/>
        <v>0.20899999999999999</v>
      </c>
      <c r="T202" s="3">
        <f t="shared" si="141"/>
        <v>-0.25800000000000001</v>
      </c>
      <c r="U202" s="3">
        <f t="shared" si="142"/>
        <v>-7.85E-2</v>
      </c>
      <c r="V202" s="3">
        <f t="shared" si="142"/>
        <v>-0.10149999999999999</v>
      </c>
      <c r="W202" s="3">
        <f t="shared" si="153"/>
        <v>-2.2999999999999993E-2</v>
      </c>
      <c r="X202" s="3">
        <f t="shared" si="149"/>
        <v>6.5976980728051395E-3</v>
      </c>
      <c r="Y202" s="3">
        <f t="shared" si="150"/>
        <v>2.4646531100478469E-2</v>
      </c>
      <c r="Z202" s="3">
        <f t="shared" si="143"/>
        <v>1.8048833027673329E-2</v>
      </c>
      <c r="AA202" s="3">
        <v>12.4</v>
      </c>
      <c r="AB202" s="3">
        <v>11.379</v>
      </c>
      <c r="AC202" s="3">
        <f t="shared" si="144"/>
        <v>-1.0210000000000008</v>
      </c>
      <c r="AD202" s="3">
        <f>-451.010358*627.50956</f>
        <v>-283013.31130402244</v>
      </c>
      <c r="AE202" s="3">
        <f>-453.662964*627.50956</f>
        <v>-284677.84692793584</v>
      </c>
      <c r="AF202" s="3">
        <f t="shared" si="145"/>
        <v>-1664.535623913398</v>
      </c>
      <c r="AG202" s="3">
        <f>-451.050477*627.50956</f>
        <v>-283038.48636006011</v>
      </c>
      <c r="AH202" s="3">
        <f>-453.704427*627.50956</f>
        <v>-284703.86535682209</v>
      </c>
      <c r="AI202" s="3">
        <f t="shared" si="146"/>
        <v>-1665.3789967619814</v>
      </c>
      <c r="AJ202" s="3">
        <v>-0.85199999999999998</v>
      </c>
      <c r="AK202" s="3">
        <v>-0.72499999999999998</v>
      </c>
      <c r="AL202" s="3">
        <f t="shared" si="147"/>
        <v>0.127</v>
      </c>
      <c r="AM202" s="3">
        <v>125.1054</v>
      </c>
      <c r="AN202" s="3">
        <v>161.01678000000001</v>
      </c>
      <c r="AO202" s="3">
        <v>162.70006000000001</v>
      </c>
      <c r="AP202" s="3">
        <f t="shared" si="148"/>
        <v>1.1173827068638669</v>
      </c>
      <c r="AQ202" s="3">
        <v>8.6739999999999995</v>
      </c>
      <c r="AR202" s="3">
        <v>1.9944006999999999</v>
      </c>
      <c r="AS202" s="3">
        <v>-553.27200000000005</v>
      </c>
      <c r="AT202" s="3">
        <v>-551.61699999999996</v>
      </c>
      <c r="AU202" s="3">
        <f t="shared" si="123"/>
        <v>-1.6550000000000864</v>
      </c>
      <c r="AV202" s="3">
        <v>-0.23699999999999999</v>
      </c>
      <c r="AW202" s="3">
        <v>-0.36899999999999999</v>
      </c>
      <c r="AX202" s="3">
        <f t="shared" si="124"/>
        <v>0.13200000000000001</v>
      </c>
      <c r="AY202" s="3">
        <v>2.8000000000000001E-2</v>
      </c>
      <c r="AZ202" s="3">
        <v>0.154</v>
      </c>
      <c r="BA202" s="3">
        <f t="shared" si="125"/>
        <v>-0.126</v>
      </c>
      <c r="BB202" s="3">
        <f t="shared" si="126"/>
        <v>0.1045</v>
      </c>
      <c r="BC202" s="3">
        <f t="shared" si="126"/>
        <v>0.1075</v>
      </c>
      <c r="BD202" s="3">
        <f t="shared" si="127"/>
        <v>-3.0000000000000027E-3</v>
      </c>
      <c r="BE202" s="3">
        <f t="shared" si="128"/>
        <v>0.26500000000000001</v>
      </c>
      <c r="BF202" s="3">
        <f t="shared" si="128"/>
        <v>0.52300000000000002</v>
      </c>
      <c r="BG202" s="3">
        <f t="shared" si="129"/>
        <v>-0.25800000000000001</v>
      </c>
      <c r="BH202" s="3">
        <f t="shared" si="130"/>
        <v>-0.1045</v>
      </c>
      <c r="BI202" s="3">
        <f t="shared" si="130"/>
        <v>-0.1075</v>
      </c>
      <c r="BJ202" s="3">
        <f t="shared" si="154"/>
        <v>3.0000000000000027E-3</v>
      </c>
      <c r="BK202" s="3">
        <f t="shared" si="151"/>
        <v>2.0604245283018865E-2</v>
      </c>
      <c r="BL202" s="3">
        <f t="shared" si="152"/>
        <v>1.104804015296367E-2</v>
      </c>
      <c r="BM202" s="3">
        <f t="shared" si="131"/>
        <v>9.5562051300551957E-3</v>
      </c>
      <c r="BN202" s="3">
        <v>5.4870000000000001</v>
      </c>
      <c r="BO202" s="3">
        <v>6.0839999999999996</v>
      </c>
      <c r="BP202" s="3">
        <f t="shared" si="132"/>
        <v>-0.59699999999999953</v>
      </c>
      <c r="BQ202" s="3">
        <v>-347129.96399999998</v>
      </c>
      <c r="BR202" s="3">
        <v>-346087.64600000001</v>
      </c>
      <c r="BS202" s="3">
        <f t="shared" si="133"/>
        <v>-1042.3179999999702</v>
      </c>
      <c r="BT202" s="3">
        <v>-347152.04599999997</v>
      </c>
      <c r="BU202" s="3">
        <v>-346109.22600000002</v>
      </c>
      <c r="BV202" s="3">
        <f t="shared" si="134"/>
        <v>-1042.8199999999488</v>
      </c>
    </row>
    <row r="203" spans="1:74" x14ac:dyDescent="0.25">
      <c r="A203" t="s">
        <v>387</v>
      </c>
      <c r="B203" t="s">
        <v>514</v>
      </c>
      <c r="C203" t="s">
        <v>200</v>
      </c>
      <c r="D203" s="3">
        <v>16.399999999999999</v>
      </c>
      <c r="E203" s="3">
        <v>0.67</v>
      </c>
      <c r="F203" s="3">
        <v>-337.15499999999997</v>
      </c>
      <c r="G203" s="3">
        <v>-339.166</v>
      </c>
      <c r="H203" s="3">
        <f t="shared" si="135"/>
        <v>-2.0110000000000241</v>
      </c>
      <c r="I203" s="3">
        <v>-0.28399999999999997</v>
      </c>
      <c r="J203" s="6">
        <v>-0.20399999999999999</v>
      </c>
      <c r="K203" s="3">
        <f t="shared" si="136"/>
        <v>7.9999999999999988E-2</v>
      </c>
      <c r="L203" s="3">
        <v>0.13800000000000001</v>
      </c>
      <c r="M203" s="6">
        <v>-1.9E-2</v>
      </c>
      <c r="N203" s="3">
        <f t="shared" si="137"/>
        <v>-0.157</v>
      </c>
      <c r="O203" s="3">
        <f t="shared" si="138"/>
        <v>7.2999999999999982E-2</v>
      </c>
      <c r="P203" s="3">
        <f t="shared" si="138"/>
        <v>0.11149999999999999</v>
      </c>
      <c r="Q203" s="3">
        <f t="shared" si="139"/>
        <v>3.8500000000000006E-2</v>
      </c>
      <c r="R203" s="3">
        <f t="shared" si="140"/>
        <v>0.42199999999999999</v>
      </c>
      <c r="S203" s="3">
        <f t="shared" si="140"/>
        <v>0.185</v>
      </c>
      <c r="T203" s="3">
        <f t="shared" si="141"/>
        <v>-0.23699999999999999</v>
      </c>
      <c r="U203" s="3">
        <f t="shared" si="142"/>
        <v>-7.2999999999999982E-2</v>
      </c>
      <c r="V203" s="3">
        <f t="shared" si="142"/>
        <v>-0.11149999999999999</v>
      </c>
      <c r="W203" s="3">
        <f t="shared" si="153"/>
        <v>-3.8500000000000006E-2</v>
      </c>
      <c r="X203" s="3">
        <f t="shared" si="149"/>
        <v>6.313981042654025E-3</v>
      </c>
      <c r="Y203" s="3">
        <f t="shared" si="150"/>
        <v>3.3600675675675672E-2</v>
      </c>
      <c r="Z203" s="3">
        <f t="shared" si="143"/>
        <v>2.7286694633021646E-2</v>
      </c>
      <c r="AA203" s="3">
        <v>3.4420000000000002</v>
      </c>
      <c r="AB203" s="3">
        <v>2.8780000000000001</v>
      </c>
      <c r="AC203" s="3">
        <f t="shared" si="144"/>
        <v>-0.56400000000000006</v>
      </c>
      <c r="AD203" s="3">
        <f>-337.076287*627.50956</f>
        <v>-211518.59254180369</v>
      </c>
      <c r="AE203" s="3">
        <f>-339.091906*627.50956</f>
        <v>-212783.41273362134</v>
      </c>
      <c r="AF203" s="3">
        <f t="shared" si="145"/>
        <v>-1264.8201918176492</v>
      </c>
      <c r="AG203" s="3">
        <f>-337.111275*627.50956</f>
        <v>-211540.54784628897</v>
      </c>
      <c r="AH203" s="3">
        <f>-339.127317*627.50956</f>
        <v>-212805.6334746505</v>
      </c>
      <c r="AI203" s="3">
        <f t="shared" si="146"/>
        <v>-1265.0856283615285</v>
      </c>
      <c r="AJ203" s="3">
        <v>-0.68400000000000005</v>
      </c>
      <c r="AK203" s="3">
        <v>-0.58499999999999996</v>
      </c>
      <c r="AL203" s="3">
        <f t="shared" si="147"/>
        <v>9.9000000000000088E-2</v>
      </c>
      <c r="AM203" s="3">
        <v>95.079419999999999</v>
      </c>
      <c r="AN203" s="3">
        <v>133.92310000000001</v>
      </c>
      <c r="AO203" s="3">
        <v>126.4289</v>
      </c>
      <c r="AP203" s="3">
        <f t="shared" si="148"/>
        <v>1.0995471852527943</v>
      </c>
      <c r="AQ203" s="3">
        <v>7.6920000000000002</v>
      </c>
      <c r="AR203" s="3">
        <v>1.7886314999999999</v>
      </c>
      <c r="AS203" s="3">
        <v>-553.27200000000005</v>
      </c>
      <c r="AT203" s="3">
        <v>-551.61699999999996</v>
      </c>
      <c r="AU203" s="3">
        <f t="shared" si="123"/>
        <v>-1.6550000000000864</v>
      </c>
      <c r="AV203" s="3">
        <v>-0.23699999999999999</v>
      </c>
      <c r="AW203" s="3">
        <v>-0.36899999999999999</v>
      </c>
      <c r="AX203" s="3">
        <f t="shared" si="124"/>
        <v>0.13200000000000001</v>
      </c>
      <c r="AY203" s="3">
        <v>2.8000000000000001E-2</v>
      </c>
      <c r="AZ203" s="3">
        <v>0.154</v>
      </c>
      <c r="BA203" s="3">
        <f t="shared" si="125"/>
        <v>-0.126</v>
      </c>
      <c r="BB203" s="3">
        <f t="shared" si="126"/>
        <v>0.1045</v>
      </c>
      <c r="BC203" s="3">
        <f t="shared" si="126"/>
        <v>0.1075</v>
      </c>
      <c r="BD203" s="3">
        <f t="shared" si="127"/>
        <v>-3.0000000000000027E-3</v>
      </c>
      <c r="BE203" s="3">
        <f t="shared" si="128"/>
        <v>0.26500000000000001</v>
      </c>
      <c r="BF203" s="3">
        <f t="shared" si="128"/>
        <v>0.52300000000000002</v>
      </c>
      <c r="BG203" s="3">
        <f t="shared" si="129"/>
        <v>-0.25800000000000001</v>
      </c>
      <c r="BH203" s="3">
        <f t="shared" si="130"/>
        <v>-0.1045</v>
      </c>
      <c r="BI203" s="3">
        <f t="shared" si="130"/>
        <v>-0.1075</v>
      </c>
      <c r="BJ203" s="3">
        <f t="shared" si="154"/>
        <v>3.0000000000000027E-3</v>
      </c>
      <c r="BK203" s="3">
        <f t="shared" si="151"/>
        <v>2.0604245283018865E-2</v>
      </c>
      <c r="BL203" s="3">
        <f t="shared" si="152"/>
        <v>1.104804015296367E-2</v>
      </c>
      <c r="BM203" s="3">
        <f t="shared" si="131"/>
        <v>9.5562051300551957E-3</v>
      </c>
      <c r="BN203" s="3">
        <v>5.4870000000000001</v>
      </c>
      <c r="BO203" s="3">
        <v>6.0839999999999996</v>
      </c>
      <c r="BP203" s="3">
        <f t="shared" si="132"/>
        <v>-0.59699999999999953</v>
      </c>
      <c r="BQ203" s="3">
        <v>-347129.96399999998</v>
      </c>
      <c r="BR203" s="3">
        <v>-346087.64600000001</v>
      </c>
      <c r="BS203" s="3">
        <f t="shared" si="133"/>
        <v>-1042.3179999999702</v>
      </c>
      <c r="BT203" s="3">
        <v>-347152.04599999997</v>
      </c>
      <c r="BU203" s="3">
        <v>-346109.22600000002</v>
      </c>
      <c r="BV203" s="3">
        <f t="shared" si="134"/>
        <v>-1042.8199999999488</v>
      </c>
    </row>
    <row r="204" spans="1:74" x14ac:dyDescent="0.25">
      <c r="A204" t="s">
        <v>388</v>
      </c>
      <c r="B204" t="s">
        <v>514</v>
      </c>
      <c r="C204" t="s">
        <v>103</v>
      </c>
      <c r="D204" s="3">
        <v>16.5</v>
      </c>
      <c r="E204" s="3">
        <v>0.48</v>
      </c>
      <c r="F204" s="3">
        <v>-1008.181</v>
      </c>
      <c r="G204" s="3">
        <v>-1012.9059999999999</v>
      </c>
      <c r="H204" s="3">
        <f t="shared" si="135"/>
        <v>-4.7249999999999091</v>
      </c>
      <c r="I204" s="3">
        <v>-0.28699999999999998</v>
      </c>
      <c r="J204" s="6">
        <v>-0.20499999999999999</v>
      </c>
      <c r="K204" s="3">
        <f t="shared" si="136"/>
        <v>8.199999999999999E-2</v>
      </c>
      <c r="L204" s="3">
        <v>0.11799999999999999</v>
      </c>
      <c r="M204" s="6">
        <v>-2.1000000000000001E-2</v>
      </c>
      <c r="N204" s="3">
        <f t="shared" si="137"/>
        <v>-0.13899999999999998</v>
      </c>
      <c r="O204" s="3">
        <f t="shared" si="138"/>
        <v>8.4499999999999992E-2</v>
      </c>
      <c r="P204" s="3">
        <f t="shared" si="138"/>
        <v>0.11299999999999999</v>
      </c>
      <c r="Q204" s="3">
        <f t="shared" si="139"/>
        <v>2.8499999999999998E-2</v>
      </c>
      <c r="R204" s="3">
        <f t="shared" si="140"/>
        <v>0.40499999999999997</v>
      </c>
      <c r="S204" s="3">
        <f t="shared" si="140"/>
        <v>0.184</v>
      </c>
      <c r="T204" s="3">
        <f t="shared" si="141"/>
        <v>-0.22099999999999997</v>
      </c>
      <c r="U204" s="3">
        <f t="shared" si="142"/>
        <v>-8.4499999999999992E-2</v>
      </c>
      <c r="V204" s="3">
        <f t="shared" si="142"/>
        <v>-0.11299999999999999</v>
      </c>
      <c r="W204" s="3">
        <f t="shared" si="153"/>
        <v>-2.8499999999999998E-2</v>
      </c>
      <c r="X204" s="3">
        <f t="shared" si="149"/>
        <v>8.8151234567901224E-3</v>
      </c>
      <c r="Y204" s="3">
        <f t="shared" si="150"/>
        <v>3.4698369565217387E-2</v>
      </c>
      <c r="Z204" s="3">
        <f t="shared" si="143"/>
        <v>2.5883246108427266E-2</v>
      </c>
      <c r="AA204" s="3">
        <v>5.0069999999999997</v>
      </c>
      <c r="AB204" s="3">
        <v>4.5880000000000001</v>
      </c>
      <c r="AC204" s="3">
        <f t="shared" si="144"/>
        <v>-0.41899999999999959</v>
      </c>
      <c r="AD204" s="3">
        <f>-1007.881024*627.50956</f>
        <v>-632454.97790258937</v>
      </c>
      <c r="AE204" s="3">
        <f>-1012.624011*627.50956</f>
        <v>-635431.24758804508</v>
      </c>
      <c r="AF204" s="3">
        <f t="shared" si="145"/>
        <v>-2976.2696854557144</v>
      </c>
      <c r="AG204" s="3">
        <f>-1007.935877*627.50956</f>
        <v>-632489.39868448407</v>
      </c>
      <c r="AH204" s="3">
        <f>-1012.680822*627.50956</f>
        <v>-635466.89703365834</v>
      </c>
      <c r="AI204" s="3">
        <f t="shared" si="146"/>
        <v>-2977.4983491742751</v>
      </c>
      <c r="AJ204" s="3">
        <v>-0.67700000000000005</v>
      </c>
      <c r="AK204" s="3">
        <v>-0.59099999999999997</v>
      </c>
      <c r="AL204" s="3">
        <f t="shared" si="147"/>
        <v>8.6000000000000076E-2</v>
      </c>
      <c r="AM204" s="3">
        <v>232.34453999999999</v>
      </c>
      <c r="AN204" s="3">
        <v>286.04899999999998</v>
      </c>
      <c r="AO204" s="3">
        <v>341.78282999999999</v>
      </c>
      <c r="AP204" s="3">
        <f t="shared" si="148"/>
        <v>1.210215998838553</v>
      </c>
      <c r="AQ204" s="3">
        <v>12.936</v>
      </c>
      <c r="AR204" s="3">
        <v>3.0063922999999999</v>
      </c>
      <c r="AS204" s="3">
        <v>-959.76900000000001</v>
      </c>
      <c r="AT204" s="3">
        <v>-958.05</v>
      </c>
      <c r="AU204" s="3">
        <f t="shared" si="123"/>
        <v>-1.7190000000000509</v>
      </c>
      <c r="AV204" s="3">
        <v>-0.317</v>
      </c>
      <c r="AW204" s="3">
        <v>-0.45</v>
      </c>
      <c r="AX204" s="3">
        <f t="shared" si="124"/>
        <v>0.13300000000000001</v>
      </c>
      <c r="AY204" s="3">
        <v>-2.4E-2</v>
      </c>
      <c r="AZ204" s="3">
        <v>0.13500000000000001</v>
      </c>
      <c r="BA204" s="3">
        <f t="shared" si="125"/>
        <v>-0.159</v>
      </c>
      <c r="BB204" s="3">
        <f t="shared" si="126"/>
        <v>0.17050000000000001</v>
      </c>
      <c r="BC204" s="3">
        <f t="shared" si="126"/>
        <v>0.1575</v>
      </c>
      <c r="BD204" s="3">
        <f t="shared" si="127"/>
        <v>1.3000000000000012E-2</v>
      </c>
      <c r="BE204" s="3">
        <f t="shared" si="128"/>
        <v>0.29299999999999998</v>
      </c>
      <c r="BF204" s="3">
        <f t="shared" si="128"/>
        <v>0.58499999999999996</v>
      </c>
      <c r="BG204" s="3">
        <f t="shared" si="129"/>
        <v>-0.29199999999999998</v>
      </c>
      <c r="BH204" s="3">
        <f t="shared" si="130"/>
        <v>-0.17050000000000001</v>
      </c>
      <c r="BI204" s="3">
        <f t="shared" si="130"/>
        <v>-0.1575</v>
      </c>
      <c r="BJ204" s="3">
        <f t="shared" si="154"/>
        <v>-1.3000000000000012E-2</v>
      </c>
      <c r="BK204" s="3">
        <f t="shared" si="151"/>
        <v>4.9607935153583631E-2</v>
      </c>
      <c r="BL204" s="3">
        <f t="shared" si="152"/>
        <v>2.120192307692308E-2</v>
      </c>
      <c r="BM204" s="3">
        <f t="shared" si="131"/>
        <v>2.8406012076660551E-2</v>
      </c>
      <c r="BN204" s="3">
        <v>2.2370000000000001</v>
      </c>
      <c r="BO204" s="3">
        <v>2.431</v>
      </c>
      <c r="BP204" s="3">
        <f t="shared" si="132"/>
        <v>-0.19399999999999995</v>
      </c>
      <c r="BQ204" s="3">
        <v>-602243.07700000005</v>
      </c>
      <c r="BR204" s="3">
        <v>-601163.24300000002</v>
      </c>
      <c r="BS204" s="3">
        <f t="shared" si="133"/>
        <v>-1079.8340000000317</v>
      </c>
      <c r="BT204" s="3">
        <v>-602262.36399999994</v>
      </c>
      <c r="BU204" s="3">
        <v>-601182.38500000001</v>
      </c>
      <c r="BV204" s="3">
        <f t="shared" si="134"/>
        <v>-1079.9789999999339</v>
      </c>
    </row>
    <row r="205" spans="1:74" x14ac:dyDescent="0.25">
      <c r="A205" t="s">
        <v>389</v>
      </c>
      <c r="B205" t="s">
        <v>514</v>
      </c>
      <c r="C205" t="s">
        <v>103</v>
      </c>
      <c r="D205" s="3">
        <v>16.5</v>
      </c>
      <c r="E205" s="3">
        <v>0.52</v>
      </c>
      <c r="F205" s="3">
        <v>-325.101</v>
      </c>
      <c r="G205" s="3">
        <v>-327.18400000000003</v>
      </c>
      <c r="H205" s="3">
        <f t="shared" si="135"/>
        <v>-2.0830000000000268</v>
      </c>
      <c r="I205" s="3">
        <v>-0.34599999999999997</v>
      </c>
      <c r="J205" s="6">
        <v>-0.21299999999999999</v>
      </c>
      <c r="K205" s="3">
        <f t="shared" si="136"/>
        <v>0.13299999999999998</v>
      </c>
      <c r="L205" s="3">
        <v>0.154</v>
      </c>
      <c r="M205" s="6">
        <v>3.9E-2</v>
      </c>
      <c r="N205" s="3">
        <f t="shared" si="137"/>
        <v>-0.11499999999999999</v>
      </c>
      <c r="O205" s="3">
        <f t="shared" si="138"/>
        <v>9.5999999999999988E-2</v>
      </c>
      <c r="P205" s="3">
        <f t="shared" si="138"/>
        <v>8.6999999999999994E-2</v>
      </c>
      <c r="Q205" s="3">
        <f t="shared" si="139"/>
        <v>-8.9999999999999941E-3</v>
      </c>
      <c r="R205" s="3">
        <f t="shared" si="140"/>
        <v>0.5</v>
      </c>
      <c r="S205" s="3">
        <f t="shared" si="140"/>
        <v>0.252</v>
      </c>
      <c r="T205" s="3">
        <f t="shared" si="141"/>
        <v>-0.248</v>
      </c>
      <c r="U205" s="3">
        <f t="shared" si="142"/>
        <v>-9.5999999999999988E-2</v>
      </c>
      <c r="V205" s="3">
        <f t="shared" si="142"/>
        <v>-8.6999999999999994E-2</v>
      </c>
      <c r="W205" s="3">
        <f t="shared" si="153"/>
        <v>8.9999999999999941E-3</v>
      </c>
      <c r="X205" s="3">
        <f t="shared" si="149"/>
        <v>9.2159999999999985E-3</v>
      </c>
      <c r="Y205" s="3">
        <f t="shared" si="150"/>
        <v>1.5017857142857142E-2</v>
      </c>
      <c r="Z205" s="3">
        <f t="shared" si="143"/>
        <v>5.8018571428571433E-3</v>
      </c>
      <c r="AA205" s="3">
        <v>1.819</v>
      </c>
      <c r="AB205" s="3">
        <v>1.7050000000000001</v>
      </c>
      <c r="AC205" s="3">
        <f t="shared" si="144"/>
        <v>-0.11399999999999988</v>
      </c>
      <c r="AD205" s="3">
        <f>-324.920069*627.50956</f>
        <v>-203890.44953335964</v>
      </c>
      <c r="AE205" s="3">
        <f>-327.014677*627.50956</f>
        <v>-205204.8360778121</v>
      </c>
      <c r="AF205" s="3">
        <f t="shared" si="145"/>
        <v>-1314.3865444524563</v>
      </c>
      <c r="AG205" s="3">
        <f>-324.95836*627.50956</f>
        <v>-203914.47750192162</v>
      </c>
      <c r="AH205" s="3">
        <f>-327.05361*627.50956</f>
        <v>-205229.26690751157</v>
      </c>
      <c r="AI205" s="3">
        <f t="shared" si="146"/>
        <v>-1314.7894055899524</v>
      </c>
      <c r="AJ205" s="3">
        <v>-0.57899999999999996</v>
      </c>
      <c r="AK205" s="3">
        <v>-0.52900000000000003</v>
      </c>
      <c r="AL205" s="3">
        <f t="shared" si="147"/>
        <v>4.9999999999999933E-2</v>
      </c>
      <c r="AM205" s="3">
        <v>101.14694</v>
      </c>
      <c r="AN205" s="3">
        <v>163.90549999999999</v>
      </c>
      <c r="AO205" s="3">
        <v>175.40870000000001</v>
      </c>
      <c r="AP205" s="3">
        <f t="shared" si="148"/>
        <v>1.0818043516282159</v>
      </c>
      <c r="AQ205" s="3">
        <v>7.851</v>
      </c>
      <c r="AR205" s="3">
        <v>1.7286897999999999</v>
      </c>
      <c r="AS205" s="3">
        <v>-959.76900000000001</v>
      </c>
      <c r="AT205" s="3">
        <v>-958.05</v>
      </c>
      <c r="AU205" s="3">
        <f t="shared" si="123"/>
        <v>-1.7190000000000509</v>
      </c>
      <c r="AV205" s="3">
        <v>-0.317</v>
      </c>
      <c r="AW205" s="3">
        <v>-0.45</v>
      </c>
      <c r="AX205" s="3">
        <f t="shared" si="124"/>
        <v>0.13300000000000001</v>
      </c>
      <c r="AY205" s="3">
        <v>-2.4E-2</v>
      </c>
      <c r="AZ205" s="3">
        <v>0.13500000000000001</v>
      </c>
      <c r="BA205" s="3">
        <f t="shared" si="125"/>
        <v>-0.159</v>
      </c>
      <c r="BB205" s="3">
        <f t="shared" si="126"/>
        <v>0.17050000000000001</v>
      </c>
      <c r="BC205" s="3">
        <f t="shared" si="126"/>
        <v>0.1575</v>
      </c>
      <c r="BD205" s="3">
        <f t="shared" si="127"/>
        <v>1.3000000000000012E-2</v>
      </c>
      <c r="BE205" s="3">
        <f t="shared" si="128"/>
        <v>0.29299999999999998</v>
      </c>
      <c r="BF205" s="3">
        <f t="shared" si="128"/>
        <v>0.58499999999999996</v>
      </c>
      <c r="BG205" s="3">
        <f t="shared" si="129"/>
        <v>-0.29199999999999998</v>
      </c>
      <c r="BH205" s="3">
        <f t="shared" si="130"/>
        <v>-0.17050000000000001</v>
      </c>
      <c r="BI205" s="3">
        <f t="shared" si="130"/>
        <v>-0.1575</v>
      </c>
      <c r="BJ205" s="3">
        <f t="shared" si="154"/>
        <v>-1.3000000000000012E-2</v>
      </c>
      <c r="BK205" s="3">
        <f t="shared" si="151"/>
        <v>4.9607935153583631E-2</v>
      </c>
      <c r="BL205" s="3">
        <f t="shared" si="152"/>
        <v>2.120192307692308E-2</v>
      </c>
      <c r="BM205" s="3">
        <f t="shared" si="131"/>
        <v>2.8406012076660551E-2</v>
      </c>
      <c r="BN205" s="3">
        <v>2.2370000000000001</v>
      </c>
      <c r="BO205" s="3">
        <v>2.431</v>
      </c>
      <c r="BP205" s="3">
        <f t="shared" si="132"/>
        <v>-0.19399999999999995</v>
      </c>
      <c r="BQ205" s="3">
        <v>-602243.07700000005</v>
      </c>
      <c r="BR205" s="3">
        <v>-601163.24300000002</v>
      </c>
      <c r="BS205" s="3">
        <f t="shared" si="133"/>
        <v>-1079.8340000000317</v>
      </c>
      <c r="BT205" s="3">
        <v>-602262.36399999994</v>
      </c>
      <c r="BU205" s="3">
        <v>-601182.38500000001</v>
      </c>
      <c r="BV205" s="3">
        <f t="shared" si="134"/>
        <v>-1079.9789999999339</v>
      </c>
    </row>
    <row r="206" spans="1:74" x14ac:dyDescent="0.25">
      <c r="A206" t="s">
        <v>390</v>
      </c>
      <c r="B206" t="s">
        <v>514</v>
      </c>
      <c r="C206" t="s">
        <v>99</v>
      </c>
      <c r="D206" s="3">
        <v>16.649999999999999</v>
      </c>
      <c r="E206" s="3">
        <v>0.57999999999999996</v>
      </c>
      <c r="F206" s="3">
        <v>-643.78599999999994</v>
      </c>
      <c r="G206" s="3">
        <v>-647.96299999999997</v>
      </c>
      <c r="H206" s="3">
        <f t="shared" si="135"/>
        <v>-4.1770000000000209</v>
      </c>
      <c r="I206" s="3">
        <v>-0.27900000000000003</v>
      </c>
      <c r="J206" s="6">
        <v>-0.18099999999999999</v>
      </c>
      <c r="K206" s="3">
        <f t="shared" si="136"/>
        <v>9.8000000000000032E-2</v>
      </c>
      <c r="L206" s="3">
        <v>0.127</v>
      </c>
      <c r="M206" s="6">
        <v>-7.0000000000000001E-3</v>
      </c>
      <c r="N206" s="3">
        <f t="shared" si="137"/>
        <v>-0.13400000000000001</v>
      </c>
      <c r="O206" s="3">
        <f t="shared" si="138"/>
        <v>7.6000000000000012E-2</v>
      </c>
      <c r="P206" s="3">
        <f t="shared" si="138"/>
        <v>9.4E-2</v>
      </c>
      <c r="Q206" s="3">
        <f t="shared" si="139"/>
        <v>1.7999999999999988E-2</v>
      </c>
      <c r="R206" s="3">
        <f t="shared" si="140"/>
        <v>0.40600000000000003</v>
      </c>
      <c r="S206" s="3">
        <f t="shared" si="140"/>
        <v>0.17399999999999999</v>
      </c>
      <c r="T206" s="3">
        <f t="shared" si="141"/>
        <v>-0.23200000000000004</v>
      </c>
      <c r="U206" s="3">
        <f t="shared" si="142"/>
        <v>-7.6000000000000012E-2</v>
      </c>
      <c r="V206" s="3">
        <f t="shared" si="142"/>
        <v>-9.4E-2</v>
      </c>
      <c r="W206" s="3">
        <f t="shared" si="153"/>
        <v>-1.7999999999999988E-2</v>
      </c>
      <c r="X206" s="3">
        <f t="shared" si="149"/>
        <v>7.1133004926108388E-3</v>
      </c>
      <c r="Y206" s="3">
        <f t="shared" si="150"/>
        <v>2.5390804597701152E-2</v>
      </c>
      <c r="Z206" s="3">
        <f t="shared" si="143"/>
        <v>1.8277504105090311E-2</v>
      </c>
      <c r="AA206" s="3">
        <v>5.98</v>
      </c>
      <c r="AB206" s="3">
        <v>6.9249999999999998</v>
      </c>
      <c r="AC206" s="3">
        <f t="shared" si="144"/>
        <v>0.9449999999999994</v>
      </c>
      <c r="AD206" s="3">
        <f>-643.487314*627.50956</f>
        <v>-403794.44127372181</v>
      </c>
      <c r="AE206" s="3">
        <f>-647.682714*627.50956</f>
        <v>-406427.09488174581</v>
      </c>
      <c r="AF206" s="3">
        <f t="shared" si="145"/>
        <v>-2632.6536080240039</v>
      </c>
      <c r="AG206" s="3">
        <f>-643.538378*627.50956</f>
        <v>-403826.48442189366</v>
      </c>
      <c r="AH206" s="3">
        <f>-647.73535*627.50956</f>
        <v>-406460.124474946</v>
      </c>
      <c r="AI206" s="3">
        <f t="shared" si="146"/>
        <v>-2633.6400530523388</v>
      </c>
      <c r="AJ206" s="3">
        <v>-0.53200000000000003</v>
      </c>
      <c r="AK206" s="3">
        <v>-0.50700000000000001</v>
      </c>
      <c r="AL206" s="3">
        <f t="shared" si="147"/>
        <v>2.5000000000000022E-2</v>
      </c>
      <c r="AM206" s="3">
        <v>204.27153999999999</v>
      </c>
      <c r="AN206" s="3">
        <v>258.04180000000002</v>
      </c>
      <c r="AO206" s="3">
        <v>306.89350000000002</v>
      </c>
      <c r="AP206" s="3">
        <f t="shared" si="148"/>
        <v>1.1729717508985562</v>
      </c>
      <c r="AQ206" s="3">
        <v>11.411</v>
      </c>
      <c r="AR206" s="3">
        <v>2.5964144</v>
      </c>
      <c r="AS206" s="3">
        <v>-132.80099999999999</v>
      </c>
      <c r="AT206" s="3">
        <v>-131.97</v>
      </c>
      <c r="AU206" s="3">
        <f t="shared" si="123"/>
        <v>-0.83099999999998886</v>
      </c>
      <c r="AV206" s="3">
        <v>-0.34100000000000003</v>
      </c>
      <c r="AW206" s="3">
        <v>-0.47499999999999998</v>
      </c>
      <c r="AX206" s="3">
        <f t="shared" si="124"/>
        <v>0.13399999999999995</v>
      </c>
      <c r="AY206" s="3">
        <v>2.9000000000000001E-2</v>
      </c>
      <c r="AZ206" s="3">
        <v>0.156</v>
      </c>
      <c r="BA206" s="3">
        <f t="shared" si="125"/>
        <v>-0.127</v>
      </c>
      <c r="BB206" s="3">
        <f t="shared" si="126"/>
        <v>0.156</v>
      </c>
      <c r="BC206" s="3">
        <f t="shared" si="126"/>
        <v>0.15949999999999998</v>
      </c>
      <c r="BD206" s="3">
        <f t="shared" si="127"/>
        <v>-3.4999999999999754E-3</v>
      </c>
      <c r="BE206" s="3">
        <f t="shared" si="128"/>
        <v>0.37000000000000005</v>
      </c>
      <c r="BF206" s="3">
        <f t="shared" si="128"/>
        <v>0.63100000000000001</v>
      </c>
      <c r="BG206" s="3">
        <f t="shared" si="129"/>
        <v>-0.26099999999999995</v>
      </c>
      <c r="BH206" s="3">
        <f t="shared" si="130"/>
        <v>-0.156</v>
      </c>
      <c r="BI206" s="3">
        <f t="shared" si="130"/>
        <v>-0.15949999999999998</v>
      </c>
      <c r="BJ206" s="3">
        <f t="shared" si="154"/>
        <v>3.4999999999999754E-3</v>
      </c>
      <c r="BK206" s="3">
        <f t="shared" si="151"/>
        <v>3.2886486486486483E-2</v>
      </c>
      <c r="BL206" s="3">
        <f t="shared" si="152"/>
        <v>2.0158676703645E-2</v>
      </c>
      <c r="BM206" s="3">
        <f t="shared" si="131"/>
        <v>1.2727809782841482E-2</v>
      </c>
      <c r="BN206" s="3">
        <v>4.7279999999999998</v>
      </c>
      <c r="BO206" s="3">
        <v>4.9340000000000002</v>
      </c>
      <c r="BP206" s="3">
        <f t="shared" si="132"/>
        <v>-0.20600000000000041</v>
      </c>
      <c r="BQ206" s="3">
        <v>-83302.89</v>
      </c>
      <c r="BR206" s="3">
        <v>-82779.224000000002</v>
      </c>
      <c r="BS206" s="3">
        <f t="shared" si="133"/>
        <v>-523.66599999999744</v>
      </c>
      <c r="BT206" s="3">
        <v>-83320.774999999994</v>
      </c>
      <c r="BU206" s="3">
        <v>-82796.997000000003</v>
      </c>
      <c r="BV206" s="3">
        <f t="shared" si="134"/>
        <v>-523.77799999999115</v>
      </c>
    </row>
    <row r="207" spans="1:74" x14ac:dyDescent="0.25">
      <c r="A207" t="s">
        <v>391</v>
      </c>
      <c r="B207" t="s">
        <v>514</v>
      </c>
      <c r="C207" t="s">
        <v>103</v>
      </c>
      <c r="D207" s="3">
        <v>16.8</v>
      </c>
      <c r="E207" s="3">
        <v>0.49</v>
      </c>
      <c r="F207" s="3">
        <v>-325.10199999999998</v>
      </c>
      <c r="G207" s="3">
        <v>-327.185</v>
      </c>
      <c r="H207" s="3">
        <f t="shared" si="135"/>
        <v>-2.0830000000000268</v>
      </c>
      <c r="I207" s="3">
        <v>-0.34699999999999998</v>
      </c>
      <c r="J207" s="6">
        <v>-0.21299999999999999</v>
      </c>
      <c r="K207" s="3">
        <f t="shared" si="136"/>
        <v>0.13399999999999998</v>
      </c>
      <c r="L207" s="3">
        <v>0.154</v>
      </c>
      <c r="M207" s="6">
        <v>3.9E-2</v>
      </c>
      <c r="N207" s="3">
        <f t="shared" si="137"/>
        <v>-0.11499999999999999</v>
      </c>
      <c r="O207" s="3">
        <f t="shared" si="138"/>
        <v>9.6499999999999989E-2</v>
      </c>
      <c r="P207" s="3">
        <f t="shared" si="138"/>
        <v>8.6999999999999994E-2</v>
      </c>
      <c r="Q207" s="3">
        <f t="shared" si="139"/>
        <v>-9.4999999999999946E-3</v>
      </c>
      <c r="R207" s="3">
        <f t="shared" si="140"/>
        <v>0.501</v>
      </c>
      <c r="S207" s="3">
        <f t="shared" si="140"/>
        <v>0.252</v>
      </c>
      <c r="T207" s="3">
        <f t="shared" si="141"/>
        <v>-0.249</v>
      </c>
      <c r="U207" s="3">
        <f t="shared" si="142"/>
        <v>-9.6499999999999989E-2</v>
      </c>
      <c r="V207" s="3">
        <f t="shared" si="142"/>
        <v>-8.6999999999999994E-2</v>
      </c>
      <c r="W207" s="3">
        <f t="shared" si="153"/>
        <v>9.4999999999999946E-3</v>
      </c>
      <c r="X207" s="3">
        <f t="shared" si="149"/>
        <v>9.2936626746506958E-3</v>
      </c>
      <c r="Y207" s="3">
        <f t="shared" si="150"/>
        <v>1.5017857142857142E-2</v>
      </c>
      <c r="Z207" s="3">
        <f t="shared" si="143"/>
        <v>5.724194468206446E-3</v>
      </c>
      <c r="AA207" s="3">
        <v>1.8759999999999999</v>
      </c>
      <c r="AB207" s="3">
        <v>1.7629999999999999</v>
      </c>
      <c r="AC207" s="3">
        <f t="shared" si="144"/>
        <v>-0.11299999999999999</v>
      </c>
      <c r="AD207" s="3">
        <f>-324.920847*627.50956</f>
        <v>-203890.93773579728</v>
      </c>
      <c r="AE207" s="3">
        <f>-327.015365*627.50956</f>
        <v>-205205.26780438938</v>
      </c>
      <c r="AF207" s="3">
        <f t="shared" si="145"/>
        <v>-1314.3300685920985</v>
      </c>
      <c r="AG207" s="3">
        <f>-324.95912*627.50956</f>
        <v>-203914.95440918716</v>
      </c>
      <c r="AH207" s="3">
        <f>-327.054282*627.50956</f>
        <v>-205229.68859393592</v>
      </c>
      <c r="AI207" s="3">
        <f t="shared" si="146"/>
        <v>-1314.7341847487551</v>
      </c>
      <c r="AJ207" s="3">
        <v>-0.58099999999999996</v>
      </c>
      <c r="AK207" s="3">
        <v>-0.53</v>
      </c>
      <c r="AL207" s="3">
        <f t="shared" si="147"/>
        <v>5.0999999999999934E-2</v>
      </c>
      <c r="AM207" s="3">
        <v>101.14694</v>
      </c>
      <c r="AN207" s="3">
        <v>163.8869</v>
      </c>
      <c r="AO207" s="3">
        <v>175.40577999999999</v>
      </c>
      <c r="AP207" s="3">
        <f t="shared" si="148"/>
        <v>1.0816935929960205</v>
      </c>
      <c r="AQ207" s="3">
        <v>7.851</v>
      </c>
      <c r="AR207" s="3">
        <v>1.7286961999999999</v>
      </c>
      <c r="AS207" s="3">
        <v>-959.76900000000001</v>
      </c>
      <c r="AT207" s="3">
        <v>-958.05</v>
      </c>
      <c r="AU207" s="3">
        <f t="shared" si="123"/>
        <v>-1.7190000000000509</v>
      </c>
      <c r="AV207" s="3">
        <v>-0.317</v>
      </c>
      <c r="AW207" s="3">
        <v>-0.45</v>
      </c>
      <c r="AX207" s="3">
        <f t="shared" si="124"/>
        <v>0.13300000000000001</v>
      </c>
      <c r="AY207" s="3">
        <v>-2.4E-2</v>
      </c>
      <c r="AZ207" s="3">
        <v>0.13500000000000001</v>
      </c>
      <c r="BA207" s="3">
        <f t="shared" si="125"/>
        <v>-0.159</v>
      </c>
      <c r="BB207" s="3">
        <f t="shared" ref="BB207:BC222" si="155">-(AV207+AY207)/2</f>
        <v>0.17050000000000001</v>
      </c>
      <c r="BC207" s="3">
        <f t="shared" si="155"/>
        <v>0.1575</v>
      </c>
      <c r="BD207" s="3">
        <f t="shared" si="127"/>
        <v>1.3000000000000012E-2</v>
      </c>
      <c r="BE207" s="3">
        <f t="shared" ref="BE207:BF222" si="156">AY207-AV207</f>
        <v>0.29299999999999998</v>
      </c>
      <c r="BF207" s="3">
        <f t="shared" si="156"/>
        <v>0.58499999999999996</v>
      </c>
      <c r="BG207" s="3">
        <f t="shared" si="129"/>
        <v>-0.29199999999999998</v>
      </c>
      <c r="BH207" s="3">
        <f t="shared" ref="BH207:BI222" si="157">(AV207+AY207)/2</f>
        <v>-0.17050000000000001</v>
      </c>
      <c r="BI207" s="3">
        <f t="shared" si="157"/>
        <v>-0.1575</v>
      </c>
      <c r="BJ207" s="3">
        <f t="shared" si="154"/>
        <v>-1.3000000000000012E-2</v>
      </c>
      <c r="BK207" s="3">
        <f t="shared" si="151"/>
        <v>4.9607935153583631E-2</v>
      </c>
      <c r="BL207" s="3">
        <f t="shared" si="152"/>
        <v>2.120192307692308E-2</v>
      </c>
      <c r="BM207" s="3">
        <f t="shared" si="131"/>
        <v>2.8406012076660551E-2</v>
      </c>
      <c r="BN207" s="3">
        <v>2.2370000000000001</v>
      </c>
      <c r="BO207" s="3">
        <v>2.431</v>
      </c>
      <c r="BP207" s="3">
        <f t="shared" si="132"/>
        <v>-0.19399999999999995</v>
      </c>
      <c r="BQ207" s="3">
        <v>-602243.07700000005</v>
      </c>
      <c r="BR207" s="3">
        <v>-601163.24300000002</v>
      </c>
      <c r="BS207" s="3">
        <f t="shared" si="133"/>
        <v>-1079.8340000000317</v>
      </c>
      <c r="BT207" s="3">
        <v>-602262.36399999994</v>
      </c>
      <c r="BU207" s="3">
        <v>-601182.38500000001</v>
      </c>
      <c r="BV207" s="3">
        <f t="shared" si="134"/>
        <v>-1079.9789999999339</v>
      </c>
    </row>
    <row r="208" spans="1:74" x14ac:dyDescent="0.25">
      <c r="A208" t="s">
        <v>392</v>
      </c>
      <c r="B208" t="s">
        <v>514</v>
      </c>
      <c r="C208" t="s">
        <v>99</v>
      </c>
      <c r="D208" s="3">
        <v>16.8</v>
      </c>
      <c r="E208" s="3">
        <v>0.52</v>
      </c>
      <c r="F208" s="3">
        <v>-479.83699999999999</v>
      </c>
      <c r="G208" s="3">
        <v>-483.07299999999998</v>
      </c>
      <c r="H208" s="3">
        <f t="shared" si="135"/>
        <v>-3.23599999999999</v>
      </c>
      <c r="I208" s="3">
        <v>-0.32800000000000001</v>
      </c>
      <c r="J208" s="6">
        <v>-0.222</v>
      </c>
      <c r="K208" s="3">
        <f t="shared" si="136"/>
        <v>0.10600000000000001</v>
      </c>
      <c r="L208" s="3">
        <v>0.13</v>
      </c>
      <c r="M208" s="6">
        <v>-1.2999999999999999E-2</v>
      </c>
      <c r="N208" s="3">
        <f t="shared" si="137"/>
        <v>-0.14300000000000002</v>
      </c>
      <c r="O208" s="3">
        <f t="shared" si="138"/>
        <v>9.9000000000000005E-2</v>
      </c>
      <c r="P208" s="3">
        <f t="shared" si="138"/>
        <v>0.11750000000000001</v>
      </c>
      <c r="Q208" s="3">
        <f t="shared" si="139"/>
        <v>1.8500000000000003E-2</v>
      </c>
      <c r="R208" s="3">
        <f t="shared" si="140"/>
        <v>0.45800000000000002</v>
      </c>
      <c r="S208" s="3">
        <f t="shared" si="140"/>
        <v>0.20899999999999999</v>
      </c>
      <c r="T208" s="3">
        <f t="shared" si="141"/>
        <v>-0.24900000000000003</v>
      </c>
      <c r="U208" s="3">
        <f t="shared" si="142"/>
        <v>-9.9000000000000005E-2</v>
      </c>
      <c r="V208" s="3">
        <f t="shared" si="142"/>
        <v>-0.11750000000000001</v>
      </c>
      <c r="W208" s="3">
        <f t="shared" si="153"/>
        <v>-1.8500000000000003E-2</v>
      </c>
      <c r="X208" s="3">
        <f t="shared" si="149"/>
        <v>1.0699781659388646E-2</v>
      </c>
      <c r="Y208" s="3">
        <f t="shared" si="150"/>
        <v>3.30293062200957E-2</v>
      </c>
      <c r="Z208" s="3">
        <f t="shared" si="143"/>
        <v>2.2329524560707054E-2</v>
      </c>
      <c r="AA208" s="3">
        <v>1.1020000000000001</v>
      </c>
      <c r="AB208" s="3">
        <v>0.97099999999999997</v>
      </c>
      <c r="AC208" s="3">
        <f t="shared" si="144"/>
        <v>-0.13100000000000012</v>
      </c>
      <c r="AD208" s="3">
        <f>-479.572415*627.50956</f>
        <v>-300936.27512478735</v>
      </c>
      <c r="AE208" s="3">
        <f>-482.824394*627.50956</f>
        <v>-302976.92303620663</v>
      </c>
      <c r="AF208" s="3">
        <f t="shared" si="145"/>
        <v>-2040.6479114192771</v>
      </c>
      <c r="AG208" s="3">
        <f>-479.6205*627.50956</f>
        <v>-300966.44892197999</v>
      </c>
      <c r="AH208" s="3">
        <f>-482.873462*627.50956</f>
        <v>-303007.71367529669</v>
      </c>
      <c r="AI208" s="3">
        <f t="shared" si="146"/>
        <v>-2041.2647533167037</v>
      </c>
      <c r="AJ208" s="3">
        <v>-0.57999999999999996</v>
      </c>
      <c r="AK208" s="3">
        <v>-0.52800000000000002</v>
      </c>
      <c r="AL208" s="3">
        <f t="shared" si="147"/>
        <v>5.1999999999999935E-2</v>
      </c>
      <c r="AM208" s="3">
        <v>161.24350000000001</v>
      </c>
      <c r="AN208" s="3">
        <v>240.20849999999999</v>
      </c>
      <c r="AO208" s="3">
        <v>275.37169999999998</v>
      </c>
      <c r="AP208" s="3">
        <f t="shared" si="148"/>
        <v>1.1737207555262312</v>
      </c>
      <c r="AQ208" s="3">
        <v>10.760999999999999</v>
      </c>
      <c r="AR208" s="3">
        <v>2.5305065400000002</v>
      </c>
      <c r="AS208" s="3">
        <v>-132.80099999999999</v>
      </c>
      <c r="AT208" s="3">
        <v>-131.97</v>
      </c>
      <c r="AU208" s="3">
        <f t="shared" si="123"/>
        <v>-0.83099999999998886</v>
      </c>
      <c r="AV208" s="3">
        <v>-0.34100000000000003</v>
      </c>
      <c r="AW208" s="3">
        <v>-0.47499999999999998</v>
      </c>
      <c r="AX208" s="3">
        <f t="shared" si="124"/>
        <v>0.13399999999999995</v>
      </c>
      <c r="AY208" s="3">
        <v>2.9000000000000001E-2</v>
      </c>
      <c r="AZ208" s="3">
        <v>0.156</v>
      </c>
      <c r="BA208" s="3">
        <f t="shared" si="125"/>
        <v>-0.127</v>
      </c>
      <c r="BB208" s="3">
        <f t="shared" si="155"/>
        <v>0.156</v>
      </c>
      <c r="BC208" s="3">
        <f t="shared" si="155"/>
        <v>0.15949999999999998</v>
      </c>
      <c r="BD208" s="3">
        <f t="shared" si="127"/>
        <v>-3.4999999999999754E-3</v>
      </c>
      <c r="BE208" s="3">
        <f t="shared" si="156"/>
        <v>0.37000000000000005</v>
      </c>
      <c r="BF208" s="3">
        <f t="shared" si="156"/>
        <v>0.63100000000000001</v>
      </c>
      <c r="BG208" s="3">
        <f t="shared" si="129"/>
        <v>-0.26099999999999995</v>
      </c>
      <c r="BH208" s="3">
        <f t="shared" si="157"/>
        <v>-0.156</v>
      </c>
      <c r="BI208" s="3">
        <f t="shared" si="157"/>
        <v>-0.15949999999999998</v>
      </c>
      <c r="BJ208" s="3">
        <f t="shared" si="154"/>
        <v>3.4999999999999754E-3</v>
      </c>
      <c r="BK208" s="3">
        <f t="shared" si="151"/>
        <v>3.2886486486486483E-2</v>
      </c>
      <c r="BL208" s="3">
        <f t="shared" si="152"/>
        <v>2.0158676703645E-2</v>
      </c>
      <c r="BM208" s="3">
        <f t="shared" si="131"/>
        <v>1.2727809782841482E-2</v>
      </c>
      <c r="BN208" s="3">
        <v>4.7279999999999998</v>
      </c>
      <c r="BO208" s="3">
        <v>4.9340000000000002</v>
      </c>
      <c r="BP208" s="3">
        <f t="shared" si="132"/>
        <v>-0.20600000000000041</v>
      </c>
      <c r="BQ208" s="3">
        <v>-83302.89</v>
      </c>
      <c r="BR208" s="3">
        <v>-82779.224000000002</v>
      </c>
      <c r="BS208" s="3">
        <f t="shared" si="133"/>
        <v>-523.66599999999744</v>
      </c>
      <c r="BT208" s="3">
        <v>-83320.774999999994</v>
      </c>
      <c r="BU208" s="3">
        <v>-82796.997000000003</v>
      </c>
      <c r="BV208" s="3">
        <f t="shared" si="134"/>
        <v>-523.77799999999115</v>
      </c>
    </row>
    <row r="209" spans="1:74" x14ac:dyDescent="0.25">
      <c r="A209" t="s">
        <v>393</v>
      </c>
      <c r="B209" t="s">
        <v>514</v>
      </c>
      <c r="C209" t="s">
        <v>99</v>
      </c>
      <c r="D209" s="3">
        <v>16.809999999999999</v>
      </c>
      <c r="E209" s="3">
        <v>0.6</v>
      </c>
      <c r="F209" s="3">
        <v>-721.87099999999998</v>
      </c>
      <c r="G209" s="3">
        <v>-726.61099999999999</v>
      </c>
      <c r="H209" s="3">
        <f t="shared" si="135"/>
        <v>-4.7400000000000091</v>
      </c>
      <c r="I209" s="3">
        <v>-0.27600000000000002</v>
      </c>
      <c r="J209" s="6">
        <v>-0.17899999999999999</v>
      </c>
      <c r="K209" s="3">
        <f t="shared" si="136"/>
        <v>9.7000000000000031E-2</v>
      </c>
      <c r="L209" s="3">
        <v>0.127</v>
      </c>
      <c r="M209" s="6">
        <v>-6.0000000000000001E-3</v>
      </c>
      <c r="N209" s="3">
        <f t="shared" si="137"/>
        <v>-0.13300000000000001</v>
      </c>
      <c r="O209" s="3">
        <f t="shared" si="138"/>
        <v>7.4500000000000011E-2</v>
      </c>
      <c r="P209" s="3">
        <f t="shared" si="138"/>
        <v>9.2499999999999999E-2</v>
      </c>
      <c r="Q209" s="3">
        <f t="shared" si="139"/>
        <v>1.7999999999999988E-2</v>
      </c>
      <c r="R209" s="3">
        <f t="shared" si="140"/>
        <v>0.40300000000000002</v>
      </c>
      <c r="S209" s="3">
        <f t="shared" si="140"/>
        <v>0.17299999999999999</v>
      </c>
      <c r="T209" s="3">
        <f t="shared" si="141"/>
        <v>-0.23000000000000004</v>
      </c>
      <c r="U209" s="3">
        <f t="shared" si="142"/>
        <v>-7.4500000000000011E-2</v>
      </c>
      <c r="V209" s="3">
        <f t="shared" si="142"/>
        <v>-9.2499999999999999E-2</v>
      </c>
      <c r="W209" s="3">
        <f t="shared" si="153"/>
        <v>-1.7999999999999988E-2</v>
      </c>
      <c r="X209" s="3">
        <f t="shared" si="149"/>
        <v>6.8861662531017383E-3</v>
      </c>
      <c r="Y209" s="3">
        <f t="shared" si="150"/>
        <v>2.4729046242774569E-2</v>
      </c>
      <c r="Z209" s="3">
        <f t="shared" si="143"/>
        <v>1.7842879989672829E-2</v>
      </c>
      <c r="AA209" s="3">
        <v>5.81</v>
      </c>
      <c r="AB209" s="3">
        <v>6.7309999999999999</v>
      </c>
      <c r="AC209" s="3">
        <f t="shared" si="144"/>
        <v>0.92100000000000026</v>
      </c>
      <c r="AD209" s="3">
        <f>-721.509951*627.50956</f>
        <v>-452754.39188763156</v>
      </c>
      <c r="AE209" s="3">
        <f>-726.271333*627.50956</f>
        <v>-455742.20461144345</v>
      </c>
      <c r="AF209" s="3">
        <f t="shared" si="145"/>
        <v>-2987.8127238118905</v>
      </c>
      <c r="AG209" s="3">
        <f>-721.567299*627.50956</f>
        <v>-452790.37830587843</v>
      </c>
      <c r="AH209" s="3">
        <f>-726.330862*627.50956</f>
        <v>-455779.5596280407</v>
      </c>
      <c r="AI209" s="3">
        <f t="shared" si="146"/>
        <v>-2989.1813221622724</v>
      </c>
      <c r="AJ209" s="3">
        <v>-0.52800000000000002</v>
      </c>
      <c r="AK209" s="3">
        <v>-0.505</v>
      </c>
      <c r="AL209" s="3">
        <f t="shared" si="147"/>
        <v>2.300000000000002E-2</v>
      </c>
      <c r="AM209" s="3">
        <v>232.32470000000001</v>
      </c>
      <c r="AN209" s="3">
        <v>296.24149999999997</v>
      </c>
      <c r="AO209" s="3">
        <v>360.58188999999999</v>
      </c>
      <c r="AP209" s="3">
        <f t="shared" si="148"/>
        <v>1.2093887042186195</v>
      </c>
      <c r="AQ209" s="3">
        <v>13.423999999999999</v>
      </c>
      <c r="AR209" s="3">
        <v>2.9571724000000001</v>
      </c>
      <c r="AS209" s="3">
        <v>-132.80099999999999</v>
      </c>
      <c r="AT209" s="3">
        <v>-131.97</v>
      </c>
      <c r="AU209" s="3">
        <f t="shared" si="123"/>
        <v>-0.83099999999998886</v>
      </c>
      <c r="AV209" s="3">
        <v>-0.34100000000000003</v>
      </c>
      <c r="AW209" s="3">
        <v>-0.47499999999999998</v>
      </c>
      <c r="AX209" s="3">
        <f t="shared" si="124"/>
        <v>0.13399999999999995</v>
      </c>
      <c r="AY209" s="3">
        <v>2.9000000000000001E-2</v>
      </c>
      <c r="AZ209" s="3">
        <v>0.156</v>
      </c>
      <c r="BA209" s="3">
        <f t="shared" si="125"/>
        <v>-0.127</v>
      </c>
      <c r="BB209" s="3">
        <f t="shared" si="155"/>
        <v>0.156</v>
      </c>
      <c r="BC209" s="3">
        <f t="shared" si="155"/>
        <v>0.15949999999999998</v>
      </c>
      <c r="BD209" s="3">
        <f t="shared" si="127"/>
        <v>-3.4999999999999754E-3</v>
      </c>
      <c r="BE209" s="3">
        <f t="shared" si="156"/>
        <v>0.37000000000000005</v>
      </c>
      <c r="BF209" s="3">
        <f t="shared" si="156"/>
        <v>0.63100000000000001</v>
      </c>
      <c r="BG209" s="3">
        <f t="shared" si="129"/>
        <v>-0.26099999999999995</v>
      </c>
      <c r="BH209" s="3">
        <f t="shared" si="157"/>
        <v>-0.156</v>
      </c>
      <c r="BI209" s="3">
        <f t="shared" si="157"/>
        <v>-0.15949999999999998</v>
      </c>
      <c r="BJ209" s="3">
        <f t="shared" si="154"/>
        <v>3.4999999999999754E-3</v>
      </c>
      <c r="BK209" s="3">
        <f t="shared" si="151"/>
        <v>3.2886486486486483E-2</v>
      </c>
      <c r="BL209" s="3">
        <f t="shared" si="152"/>
        <v>2.0158676703645E-2</v>
      </c>
      <c r="BM209" s="3">
        <f t="shared" si="131"/>
        <v>1.2727809782841482E-2</v>
      </c>
      <c r="BN209" s="3">
        <v>4.7279999999999998</v>
      </c>
      <c r="BO209" s="3">
        <v>4.9340000000000002</v>
      </c>
      <c r="BP209" s="3">
        <f t="shared" si="132"/>
        <v>-0.20600000000000041</v>
      </c>
      <c r="BQ209" s="3">
        <v>-83302.89</v>
      </c>
      <c r="BR209" s="3">
        <v>-82779.224000000002</v>
      </c>
      <c r="BS209" s="3">
        <f t="shared" si="133"/>
        <v>-523.66599999999744</v>
      </c>
      <c r="BT209" s="3">
        <v>-83320.774999999994</v>
      </c>
      <c r="BU209" s="3">
        <v>-82796.997000000003</v>
      </c>
      <c r="BV209" s="3">
        <f t="shared" si="134"/>
        <v>-523.77799999999115</v>
      </c>
    </row>
    <row r="210" spans="1:74" x14ac:dyDescent="0.25">
      <c r="A210" t="s">
        <v>394</v>
      </c>
      <c r="B210" t="s">
        <v>514</v>
      </c>
      <c r="C210" t="s">
        <v>200</v>
      </c>
      <c r="D210" s="3">
        <v>16.96</v>
      </c>
      <c r="E210" s="3">
        <v>0.67</v>
      </c>
      <c r="F210" s="3">
        <v>-286.07799999999997</v>
      </c>
      <c r="G210" s="3">
        <v>-287.88</v>
      </c>
      <c r="H210" s="3">
        <f t="shared" si="135"/>
        <v>-1.8020000000000209</v>
      </c>
      <c r="I210" s="3">
        <v>-0.372</v>
      </c>
      <c r="J210" s="6">
        <v>-0.23200000000000001</v>
      </c>
      <c r="K210" s="3">
        <f t="shared" si="136"/>
        <v>0.13999999999999999</v>
      </c>
      <c r="L210" s="3">
        <v>0.161</v>
      </c>
      <c r="M210" s="6">
        <v>4.4999999999999998E-2</v>
      </c>
      <c r="N210" s="3">
        <f t="shared" si="137"/>
        <v>-0.11600000000000001</v>
      </c>
      <c r="O210" s="3">
        <f t="shared" si="138"/>
        <v>0.1055</v>
      </c>
      <c r="P210" s="3">
        <f t="shared" si="138"/>
        <v>9.35E-2</v>
      </c>
      <c r="Q210" s="3">
        <f t="shared" si="139"/>
        <v>-1.1999999999999997E-2</v>
      </c>
      <c r="R210" s="3">
        <f t="shared" si="140"/>
        <v>0.53300000000000003</v>
      </c>
      <c r="S210" s="3">
        <f t="shared" si="140"/>
        <v>0.27700000000000002</v>
      </c>
      <c r="T210" s="3">
        <f t="shared" si="141"/>
        <v>-0.25600000000000001</v>
      </c>
      <c r="U210" s="3">
        <f t="shared" si="142"/>
        <v>-0.1055</v>
      </c>
      <c r="V210" s="3">
        <f t="shared" si="142"/>
        <v>-9.35E-2</v>
      </c>
      <c r="W210" s="3">
        <f t="shared" si="153"/>
        <v>1.1999999999999997E-2</v>
      </c>
      <c r="X210" s="3">
        <f t="shared" si="149"/>
        <v>1.0441135084427766E-2</v>
      </c>
      <c r="Y210" s="3">
        <f t="shared" si="150"/>
        <v>1.5780234657039711E-2</v>
      </c>
      <c r="Z210" s="3">
        <f t="shared" si="143"/>
        <v>5.3390995726119456E-3</v>
      </c>
      <c r="AA210" s="3">
        <v>1.946</v>
      </c>
      <c r="AB210" s="3">
        <v>1.9510000000000001</v>
      </c>
      <c r="AC210" s="3">
        <f t="shared" si="144"/>
        <v>5.0000000000001155E-3</v>
      </c>
      <c r="AD210" s="3">
        <f>-285.927639*627.50956</f>
        <v>-179422.32694072882</v>
      </c>
      <c r="AE210" s="3">
        <f>-287.738898*627.50956</f>
        <v>-180558.90927886488</v>
      </c>
      <c r="AF210" s="3">
        <f t="shared" si="145"/>
        <v>-1136.5823381360678</v>
      </c>
      <c r="AG210" s="3">
        <f>-285.961874*627.50956</f>
        <v>-179443.80973051544</v>
      </c>
      <c r="AH210" s="3">
        <f>-287.77361*627.50956</f>
        <v>-180580.69139071161</v>
      </c>
      <c r="AI210" s="3">
        <f t="shared" si="146"/>
        <v>-1136.8816601961735</v>
      </c>
      <c r="AJ210" s="3">
        <v>-0.71599999999999997</v>
      </c>
      <c r="AK210" s="3">
        <v>-0.68899999999999995</v>
      </c>
      <c r="AL210" s="3">
        <f t="shared" si="147"/>
        <v>2.7000000000000024E-2</v>
      </c>
      <c r="AM210" s="3">
        <v>87.120360000000005</v>
      </c>
      <c r="AN210" s="3">
        <v>144.9605</v>
      </c>
      <c r="AO210" s="3">
        <v>148.3785</v>
      </c>
      <c r="AP210" s="3">
        <f t="shared" si="148"/>
        <v>1.0696909243898756</v>
      </c>
      <c r="AQ210" s="3">
        <v>7.2329999999999997</v>
      </c>
      <c r="AR210" s="3">
        <v>1.5203846000000001</v>
      </c>
      <c r="AS210" s="3">
        <v>-553.27200000000005</v>
      </c>
      <c r="AT210" s="3">
        <v>-551.61699999999996</v>
      </c>
      <c r="AU210" s="3">
        <f t="shared" si="123"/>
        <v>-1.6550000000000864</v>
      </c>
      <c r="AV210" s="3">
        <v>-0.23699999999999999</v>
      </c>
      <c r="AW210" s="3">
        <v>-0.36899999999999999</v>
      </c>
      <c r="AX210" s="3">
        <f t="shared" si="124"/>
        <v>0.13200000000000001</v>
      </c>
      <c r="AY210" s="3">
        <v>2.8000000000000001E-2</v>
      </c>
      <c r="AZ210" s="3">
        <v>0.154</v>
      </c>
      <c r="BA210" s="3">
        <f t="shared" si="125"/>
        <v>-0.126</v>
      </c>
      <c r="BB210" s="3">
        <f t="shared" si="155"/>
        <v>0.1045</v>
      </c>
      <c r="BC210" s="3">
        <f t="shared" si="155"/>
        <v>0.1075</v>
      </c>
      <c r="BD210" s="3">
        <f t="shared" si="127"/>
        <v>-3.0000000000000027E-3</v>
      </c>
      <c r="BE210" s="3">
        <f t="shared" si="156"/>
        <v>0.26500000000000001</v>
      </c>
      <c r="BF210" s="3">
        <f t="shared" si="156"/>
        <v>0.52300000000000002</v>
      </c>
      <c r="BG210" s="3">
        <f t="shared" si="129"/>
        <v>-0.25800000000000001</v>
      </c>
      <c r="BH210" s="3">
        <f t="shared" si="157"/>
        <v>-0.1045</v>
      </c>
      <c r="BI210" s="3">
        <f t="shared" si="157"/>
        <v>-0.1075</v>
      </c>
      <c r="BJ210" s="3">
        <f t="shared" si="154"/>
        <v>3.0000000000000027E-3</v>
      </c>
      <c r="BK210" s="3">
        <f t="shared" si="151"/>
        <v>2.0604245283018865E-2</v>
      </c>
      <c r="BL210" s="3">
        <f t="shared" si="152"/>
        <v>1.104804015296367E-2</v>
      </c>
      <c r="BM210" s="3">
        <f t="shared" si="131"/>
        <v>9.5562051300551957E-3</v>
      </c>
      <c r="BN210" s="3">
        <v>5.4870000000000001</v>
      </c>
      <c r="BO210" s="3">
        <v>6.0839999999999996</v>
      </c>
      <c r="BP210" s="3">
        <f t="shared" si="132"/>
        <v>-0.59699999999999953</v>
      </c>
      <c r="BQ210" s="3">
        <v>-347129.96399999998</v>
      </c>
      <c r="BR210" s="3">
        <v>-346087.64600000001</v>
      </c>
      <c r="BS210" s="3">
        <f t="shared" si="133"/>
        <v>-1042.3179999999702</v>
      </c>
      <c r="BT210" s="3">
        <v>-347152.04599999997</v>
      </c>
      <c r="BU210" s="3">
        <v>-346109.22600000002</v>
      </c>
      <c r="BV210" s="3">
        <f t="shared" si="134"/>
        <v>-1042.8199999999488</v>
      </c>
    </row>
    <row r="211" spans="1:74" x14ac:dyDescent="0.25">
      <c r="A211" t="s">
        <v>395</v>
      </c>
      <c r="B211" t="s">
        <v>514</v>
      </c>
      <c r="C211" t="s">
        <v>200</v>
      </c>
      <c r="D211" s="3">
        <v>17.04</v>
      </c>
      <c r="E211" s="3">
        <v>0.63</v>
      </c>
      <c r="F211" s="3">
        <v>-412.10199999999998</v>
      </c>
      <c r="G211" s="3">
        <v>-414.46600000000001</v>
      </c>
      <c r="H211" s="3">
        <f t="shared" si="135"/>
        <v>-2.3640000000000327</v>
      </c>
      <c r="I211" s="3">
        <v>-0.29099999999999998</v>
      </c>
      <c r="J211" s="6">
        <v>-0.19400000000000001</v>
      </c>
      <c r="K211" s="3">
        <f t="shared" si="136"/>
        <v>9.6999999999999975E-2</v>
      </c>
      <c r="L211" s="3">
        <v>0.152</v>
      </c>
      <c r="M211" s="6">
        <v>-1E-3</v>
      </c>
      <c r="N211" s="3">
        <f t="shared" si="137"/>
        <v>-0.153</v>
      </c>
      <c r="O211" s="3">
        <f t="shared" si="138"/>
        <v>6.9499999999999992E-2</v>
      </c>
      <c r="P211" s="3">
        <f t="shared" si="138"/>
        <v>9.7500000000000003E-2</v>
      </c>
      <c r="Q211" s="3">
        <f t="shared" si="139"/>
        <v>2.8000000000000011E-2</v>
      </c>
      <c r="R211" s="3">
        <f t="shared" si="140"/>
        <v>0.44299999999999995</v>
      </c>
      <c r="S211" s="3">
        <f t="shared" si="140"/>
        <v>0.193</v>
      </c>
      <c r="T211" s="3">
        <f t="shared" si="141"/>
        <v>-0.24999999999999994</v>
      </c>
      <c r="U211" s="3">
        <f t="shared" si="142"/>
        <v>-6.9499999999999992E-2</v>
      </c>
      <c r="V211" s="3">
        <f t="shared" si="142"/>
        <v>-9.7500000000000003E-2</v>
      </c>
      <c r="W211" s="3">
        <f t="shared" si="153"/>
        <v>-2.8000000000000011E-2</v>
      </c>
      <c r="X211" s="3">
        <f t="shared" si="149"/>
        <v>5.4517494356659136E-3</v>
      </c>
      <c r="Y211" s="3">
        <f t="shared" si="150"/>
        <v>2.4627590673575131E-2</v>
      </c>
      <c r="Z211" s="3">
        <f t="shared" si="143"/>
        <v>1.9175841237909219E-2</v>
      </c>
      <c r="AA211" s="3">
        <v>3.3290000000000002</v>
      </c>
      <c r="AB211" s="3">
        <v>2.8879999999999999</v>
      </c>
      <c r="AC211" s="3">
        <f t="shared" si="144"/>
        <v>-0.44100000000000028</v>
      </c>
      <c r="AD211" s="3">
        <f>-412.016687*627.50956</f>
        <v>-258544.4099720277</v>
      </c>
      <c r="AE211" s="3">
        <f>-414.38594*627.50956</f>
        <v>-260031.13887958639</v>
      </c>
      <c r="AF211" s="3">
        <f t="shared" si="145"/>
        <v>-1486.7289075586887</v>
      </c>
      <c r="AG211" s="3">
        <f>-412.052927*627.50956</f>
        <v>-258567.1509184821</v>
      </c>
      <c r="AH211" s="3">
        <f>-414.422856*627.50956</f>
        <v>-260054.30402250335</v>
      </c>
      <c r="AI211" s="3">
        <f t="shared" si="146"/>
        <v>-1487.1531040212431</v>
      </c>
      <c r="AJ211" s="3">
        <v>-0.73099999999999998</v>
      </c>
      <c r="AK211" s="3">
        <v>-0.65700000000000003</v>
      </c>
      <c r="AL211" s="3">
        <f t="shared" si="147"/>
        <v>7.3999999999999955E-2</v>
      </c>
      <c r="AM211" s="3">
        <v>111.07881999999999</v>
      </c>
      <c r="AN211" s="3">
        <v>139.45496</v>
      </c>
      <c r="AO211" s="3">
        <v>134.83455000000001</v>
      </c>
      <c r="AP211" s="3">
        <f t="shared" si="148"/>
        <v>1.0968715928524837</v>
      </c>
      <c r="AQ211" s="3">
        <v>7.8380000000000001</v>
      </c>
      <c r="AR211" s="3">
        <v>1.834856</v>
      </c>
      <c r="AS211" s="3">
        <v>-553.27200000000005</v>
      </c>
      <c r="AT211" s="3">
        <v>-551.61699999999996</v>
      </c>
      <c r="AU211" s="3">
        <f t="shared" si="123"/>
        <v>-1.6550000000000864</v>
      </c>
      <c r="AV211" s="3">
        <v>-0.23699999999999999</v>
      </c>
      <c r="AW211" s="3">
        <v>-0.36899999999999999</v>
      </c>
      <c r="AX211" s="3">
        <f t="shared" si="124"/>
        <v>0.13200000000000001</v>
      </c>
      <c r="AY211" s="3">
        <v>2.8000000000000001E-2</v>
      </c>
      <c r="AZ211" s="3">
        <v>0.154</v>
      </c>
      <c r="BA211" s="3">
        <f t="shared" si="125"/>
        <v>-0.126</v>
      </c>
      <c r="BB211" s="3">
        <f t="shared" si="155"/>
        <v>0.1045</v>
      </c>
      <c r="BC211" s="3">
        <f t="shared" si="155"/>
        <v>0.1075</v>
      </c>
      <c r="BD211" s="3">
        <f t="shared" si="127"/>
        <v>-3.0000000000000027E-3</v>
      </c>
      <c r="BE211" s="3">
        <f t="shared" si="156"/>
        <v>0.26500000000000001</v>
      </c>
      <c r="BF211" s="3">
        <f t="shared" si="156"/>
        <v>0.52300000000000002</v>
      </c>
      <c r="BG211" s="3">
        <f t="shared" si="129"/>
        <v>-0.25800000000000001</v>
      </c>
      <c r="BH211" s="3">
        <f t="shared" si="157"/>
        <v>-0.1045</v>
      </c>
      <c r="BI211" s="3">
        <f t="shared" si="157"/>
        <v>-0.1075</v>
      </c>
      <c r="BJ211" s="3">
        <f t="shared" si="154"/>
        <v>3.0000000000000027E-3</v>
      </c>
      <c r="BK211" s="3">
        <f t="shared" si="151"/>
        <v>2.0604245283018865E-2</v>
      </c>
      <c r="BL211" s="3">
        <f t="shared" si="152"/>
        <v>1.104804015296367E-2</v>
      </c>
      <c r="BM211" s="3">
        <f t="shared" si="131"/>
        <v>9.5562051300551957E-3</v>
      </c>
      <c r="BN211" s="3">
        <v>5.4870000000000001</v>
      </c>
      <c r="BO211" s="3">
        <v>6.0839999999999996</v>
      </c>
      <c r="BP211" s="3">
        <f t="shared" si="132"/>
        <v>-0.59699999999999953</v>
      </c>
      <c r="BQ211" s="3">
        <v>-347129.96399999998</v>
      </c>
      <c r="BR211" s="3">
        <v>-346087.64600000001</v>
      </c>
      <c r="BS211" s="3">
        <f t="shared" si="133"/>
        <v>-1042.3179999999702</v>
      </c>
      <c r="BT211" s="3">
        <v>-347152.04599999997</v>
      </c>
      <c r="BU211" s="3">
        <v>-346109.22600000002</v>
      </c>
      <c r="BV211" s="3">
        <f t="shared" si="134"/>
        <v>-1042.8199999999488</v>
      </c>
    </row>
    <row r="212" spans="1:74" x14ac:dyDescent="0.25">
      <c r="A212" t="s">
        <v>396</v>
      </c>
      <c r="B212" t="s">
        <v>514</v>
      </c>
      <c r="C212" t="s">
        <v>99</v>
      </c>
      <c r="D212" s="3">
        <v>17.100000000000001</v>
      </c>
      <c r="E212" s="3">
        <v>0.52</v>
      </c>
      <c r="F212" s="3">
        <v>-290.44900000000001</v>
      </c>
      <c r="G212" s="3">
        <v>-292.50099999999998</v>
      </c>
      <c r="H212" s="3">
        <f t="shared" si="135"/>
        <v>-2.0519999999999641</v>
      </c>
      <c r="I212" s="3">
        <v>-0.34799999999999998</v>
      </c>
      <c r="J212" s="6">
        <v>-0.216</v>
      </c>
      <c r="K212" s="3">
        <f t="shared" si="136"/>
        <v>0.13199999999999998</v>
      </c>
      <c r="L212" s="3">
        <v>0.16</v>
      </c>
      <c r="M212" s="6">
        <v>4.7E-2</v>
      </c>
      <c r="N212" s="3">
        <f t="shared" si="137"/>
        <v>-0.113</v>
      </c>
      <c r="O212" s="3">
        <f t="shared" si="138"/>
        <v>9.3999999999999986E-2</v>
      </c>
      <c r="P212" s="3">
        <f t="shared" si="138"/>
        <v>8.4499999999999992E-2</v>
      </c>
      <c r="Q212" s="3">
        <f t="shared" si="139"/>
        <v>-9.4999999999999946E-3</v>
      </c>
      <c r="R212" s="3">
        <f t="shared" si="140"/>
        <v>0.50800000000000001</v>
      </c>
      <c r="S212" s="3">
        <f t="shared" si="140"/>
        <v>0.26300000000000001</v>
      </c>
      <c r="T212" s="3">
        <f t="shared" si="141"/>
        <v>-0.245</v>
      </c>
      <c r="U212" s="3">
        <f t="shared" si="142"/>
        <v>-9.3999999999999986E-2</v>
      </c>
      <c r="V212" s="3">
        <f t="shared" si="142"/>
        <v>-8.4499999999999992E-2</v>
      </c>
      <c r="W212" s="3">
        <f t="shared" si="153"/>
        <v>9.4999999999999946E-3</v>
      </c>
      <c r="X212" s="3">
        <f t="shared" si="149"/>
        <v>8.6968503937007845E-3</v>
      </c>
      <c r="Y212" s="3">
        <f t="shared" si="150"/>
        <v>1.3574619771863115E-2</v>
      </c>
      <c r="Z212" s="3">
        <f t="shared" si="143"/>
        <v>4.8777693781623301E-3</v>
      </c>
      <c r="AA212" s="3">
        <v>1.07</v>
      </c>
      <c r="AB212" s="3">
        <v>0.91700000000000004</v>
      </c>
      <c r="AC212" s="3">
        <f t="shared" si="144"/>
        <v>-0.15300000000000002</v>
      </c>
      <c r="AD212" s="3">
        <f>-290.221884*627.50956</f>
        <v>-182117.00673121103</v>
      </c>
      <c r="AE212" s="3">
        <f>-292.286082*627.50956</f>
        <v>-183412.31070994394</v>
      </c>
      <c r="AF212" s="3">
        <f t="shared" si="145"/>
        <v>-1295.3039787329035</v>
      </c>
      <c r="AG212" s="3">
        <f>-290.264237*627.50956</f>
        <v>-182143.5836436057</v>
      </c>
      <c r="AH212" s="3">
        <f>-292.329438*627.50956</f>
        <v>-183439.51701442726</v>
      </c>
      <c r="AI212" s="3">
        <f t="shared" si="146"/>
        <v>-1295.9333708215563</v>
      </c>
      <c r="AJ212" s="3">
        <v>-0.60399999999999998</v>
      </c>
      <c r="AK212" s="3">
        <v>-0.55000000000000004</v>
      </c>
      <c r="AL212" s="3">
        <f t="shared" si="147"/>
        <v>5.3999999999999937E-2</v>
      </c>
      <c r="AM212" s="3">
        <v>101.19</v>
      </c>
      <c r="AN212" s="3">
        <v>195.50190000000001</v>
      </c>
      <c r="AO212" s="3">
        <v>211.7217</v>
      </c>
      <c r="AP212" s="3">
        <f t="shared" si="148"/>
        <v>1.1382299735057095</v>
      </c>
      <c r="AQ212" s="3">
        <v>8.4179999999999993</v>
      </c>
      <c r="AR212" s="3">
        <v>2.0218600000000002</v>
      </c>
      <c r="AS212" s="3">
        <v>-132.80099999999999</v>
      </c>
      <c r="AT212" s="3">
        <v>-131.97</v>
      </c>
      <c r="AU212" s="3">
        <f t="shared" si="123"/>
        <v>-0.83099999999998886</v>
      </c>
      <c r="AV212" s="3">
        <v>-0.34100000000000003</v>
      </c>
      <c r="AW212" s="3">
        <v>-0.47499999999999998</v>
      </c>
      <c r="AX212" s="3">
        <f t="shared" si="124"/>
        <v>0.13399999999999995</v>
      </c>
      <c r="AY212" s="3">
        <v>2.9000000000000001E-2</v>
      </c>
      <c r="AZ212" s="3">
        <v>0.156</v>
      </c>
      <c r="BA212" s="3">
        <f t="shared" si="125"/>
        <v>-0.127</v>
      </c>
      <c r="BB212" s="3">
        <f t="shared" si="155"/>
        <v>0.156</v>
      </c>
      <c r="BC212" s="3">
        <f t="shared" si="155"/>
        <v>0.15949999999999998</v>
      </c>
      <c r="BD212" s="3">
        <f t="shared" si="127"/>
        <v>-3.4999999999999754E-3</v>
      </c>
      <c r="BE212" s="3">
        <f t="shared" si="156"/>
        <v>0.37000000000000005</v>
      </c>
      <c r="BF212" s="3">
        <f t="shared" si="156"/>
        <v>0.63100000000000001</v>
      </c>
      <c r="BG212" s="3">
        <f t="shared" si="129"/>
        <v>-0.26099999999999995</v>
      </c>
      <c r="BH212" s="3">
        <f t="shared" si="157"/>
        <v>-0.156</v>
      </c>
      <c r="BI212" s="3">
        <f t="shared" si="157"/>
        <v>-0.15949999999999998</v>
      </c>
      <c r="BJ212" s="3">
        <f t="shared" si="154"/>
        <v>3.4999999999999754E-3</v>
      </c>
      <c r="BK212" s="3">
        <f t="shared" si="151"/>
        <v>3.2886486486486483E-2</v>
      </c>
      <c r="BL212" s="3">
        <f t="shared" si="152"/>
        <v>2.0158676703645E-2</v>
      </c>
      <c r="BM212" s="3">
        <f t="shared" si="131"/>
        <v>1.2727809782841482E-2</v>
      </c>
      <c r="BN212" s="3">
        <v>4.7279999999999998</v>
      </c>
      <c r="BO212" s="3">
        <v>4.9340000000000002</v>
      </c>
      <c r="BP212" s="3">
        <f t="shared" si="132"/>
        <v>-0.20600000000000041</v>
      </c>
      <c r="BQ212" s="3">
        <v>-83302.89</v>
      </c>
      <c r="BR212" s="3">
        <v>-82779.224000000002</v>
      </c>
      <c r="BS212" s="3">
        <f t="shared" si="133"/>
        <v>-523.66599999999744</v>
      </c>
      <c r="BT212" s="3">
        <v>-83320.774999999994</v>
      </c>
      <c r="BU212" s="3">
        <v>-82796.997000000003</v>
      </c>
      <c r="BV212" s="3">
        <f t="shared" si="134"/>
        <v>-523.77799999999115</v>
      </c>
    </row>
    <row r="213" spans="1:74" x14ac:dyDescent="0.25">
      <c r="A213" t="s">
        <v>397</v>
      </c>
      <c r="B213" t="s">
        <v>514</v>
      </c>
      <c r="C213" t="s">
        <v>199</v>
      </c>
      <c r="D213" s="3">
        <v>17.12</v>
      </c>
      <c r="E213" s="3">
        <v>0.5</v>
      </c>
      <c r="F213" s="3">
        <v>-134.28200000000001</v>
      </c>
      <c r="G213" s="3">
        <v>-135.209</v>
      </c>
      <c r="H213" s="3">
        <f t="shared" si="135"/>
        <v>-0.9269999999999925</v>
      </c>
      <c r="I213" s="3">
        <v>-0.37</v>
      </c>
      <c r="J213" s="6">
        <v>-0.22700000000000001</v>
      </c>
      <c r="K213" s="3">
        <f t="shared" si="136"/>
        <v>0.14299999999999999</v>
      </c>
      <c r="L213" s="3">
        <v>0.16</v>
      </c>
      <c r="M213" s="6">
        <v>4.4999999999999998E-2</v>
      </c>
      <c r="N213" s="3">
        <f t="shared" si="137"/>
        <v>-0.115</v>
      </c>
      <c r="O213" s="3">
        <f t="shared" si="138"/>
        <v>0.105</v>
      </c>
      <c r="P213" s="3">
        <f t="shared" si="138"/>
        <v>9.0999999999999998E-2</v>
      </c>
      <c r="Q213" s="3">
        <f t="shared" si="139"/>
        <v>-1.3999999999999999E-2</v>
      </c>
      <c r="R213" s="3">
        <f t="shared" si="140"/>
        <v>0.53</v>
      </c>
      <c r="S213" s="3">
        <f t="shared" si="140"/>
        <v>0.27200000000000002</v>
      </c>
      <c r="T213" s="3">
        <f t="shared" si="141"/>
        <v>-0.25800000000000001</v>
      </c>
      <c r="U213" s="3">
        <f t="shared" si="142"/>
        <v>-0.105</v>
      </c>
      <c r="V213" s="3">
        <f t="shared" si="142"/>
        <v>-9.0999999999999998E-2</v>
      </c>
      <c r="W213" s="3">
        <f t="shared" si="153"/>
        <v>1.3999999999999999E-2</v>
      </c>
      <c r="X213" s="3">
        <f t="shared" si="149"/>
        <v>1.0400943396226414E-2</v>
      </c>
      <c r="Y213" s="3">
        <f t="shared" si="150"/>
        <v>1.5222426470588234E-2</v>
      </c>
      <c r="Z213" s="3">
        <f t="shared" si="143"/>
        <v>4.8214830743618202E-3</v>
      </c>
      <c r="AA213" s="3">
        <v>1.3879999999999999</v>
      </c>
      <c r="AB213" s="3">
        <v>1.2809999999999999</v>
      </c>
      <c r="AC213" s="3">
        <f t="shared" si="144"/>
        <v>-0.10699999999999998</v>
      </c>
      <c r="AD213" s="3">
        <f>-134.178429*627.50956</f>
        <v>-84198.246943281236</v>
      </c>
      <c r="AE213" s="3">
        <f>-135.1113*627.50956</f>
        <v>-84783.63241402799</v>
      </c>
      <c r="AF213" s="3">
        <f t="shared" si="145"/>
        <v>-585.38547074675444</v>
      </c>
      <c r="AG213" s="3">
        <f>-134.209031*627.50956</f>
        <v>-84217.449990836365</v>
      </c>
      <c r="AH213" s="3">
        <f>-135.142122*627.50956</f>
        <v>-84802.973513686316</v>
      </c>
      <c r="AI213" s="3">
        <f t="shared" si="146"/>
        <v>-585.52352284995141</v>
      </c>
      <c r="AJ213" s="3">
        <v>-0.69399999999999995</v>
      </c>
      <c r="AK213" s="3">
        <v>-0.66700000000000004</v>
      </c>
      <c r="AL213" s="3">
        <f t="shared" si="147"/>
        <v>2.6999999999999913E-2</v>
      </c>
      <c r="AM213" s="3">
        <v>45.083680000000001</v>
      </c>
      <c r="AN213" s="3">
        <v>112.54340000000001</v>
      </c>
      <c r="AO213" s="3">
        <v>102.40560000000001</v>
      </c>
      <c r="AP213" s="3">
        <f t="shared" si="148"/>
        <v>1.0633922986109565</v>
      </c>
      <c r="AQ213" s="3">
        <v>6.585</v>
      </c>
      <c r="AR213" s="3">
        <v>1.20532858</v>
      </c>
      <c r="AS213" s="3">
        <v>-76.454999999999998</v>
      </c>
      <c r="AT213" s="3">
        <v>-76.055000000000007</v>
      </c>
      <c r="AU213" s="3">
        <f t="shared" si="123"/>
        <v>-0.39999999999999147</v>
      </c>
      <c r="AV213" s="3">
        <v>-0.30399999999999999</v>
      </c>
      <c r="AW213" s="3">
        <v>-0.505</v>
      </c>
      <c r="AX213" s="3">
        <f t="shared" si="124"/>
        <v>0.20100000000000001</v>
      </c>
      <c r="AY213" s="3">
        <v>0.04</v>
      </c>
      <c r="AZ213" s="3">
        <v>0.16400000000000001</v>
      </c>
      <c r="BA213" s="3">
        <f t="shared" si="125"/>
        <v>-0.124</v>
      </c>
      <c r="BB213" s="3">
        <f t="shared" si="155"/>
        <v>0.13200000000000001</v>
      </c>
      <c r="BC213" s="3">
        <f t="shared" si="155"/>
        <v>0.17049999999999998</v>
      </c>
      <c r="BD213" s="3">
        <f t="shared" si="127"/>
        <v>-3.8499999999999979E-2</v>
      </c>
      <c r="BE213" s="3">
        <f t="shared" si="156"/>
        <v>0.34399999999999997</v>
      </c>
      <c r="BF213" s="3">
        <f t="shared" si="156"/>
        <v>0.66900000000000004</v>
      </c>
      <c r="BG213" s="3">
        <f t="shared" si="129"/>
        <v>-0.32500000000000007</v>
      </c>
      <c r="BH213" s="3">
        <f t="shared" si="157"/>
        <v>-0.13200000000000001</v>
      </c>
      <c r="BI213" s="3">
        <f t="shared" si="157"/>
        <v>-0.17049999999999998</v>
      </c>
      <c r="BJ213" s="3">
        <f t="shared" si="154"/>
        <v>3.8499999999999979E-2</v>
      </c>
      <c r="BK213" s="3">
        <f t="shared" si="151"/>
        <v>2.5325581395348844E-2</v>
      </c>
      <c r="BL213" s="3">
        <f t="shared" si="152"/>
        <v>2.1726644245141997E-2</v>
      </c>
      <c r="BM213" s="3">
        <f t="shared" si="131"/>
        <v>3.5989371502068469E-3</v>
      </c>
      <c r="BN213" s="3">
        <v>2.3010000000000002</v>
      </c>
      <c r="BO213" s="3">
        <v>2.3559999999999999</v>
      </c>
      <c r="BP213" s="3">
        <f t="shared" si="132"/>
        <v>-5.4999999999999716E-2</v>
      </c>
      <c r="BQ213" s="3">
        <v>-47960.305999999997</v>
      </c>
      <c r="BR213" s="3">
        <v>-47708.290999999997</v>
      </c>
      <c r="BS213" s="3">
        <f t="shared" si="133"/>
        <v>-252.01499999999942</v>
      </c>
      <c r="BT213" s="3">
        <v>-47973.754999999997</v>
      </c>
      <c r="BU213" s="3">
        <v>-47721.697</v>
      </c>
      <c r="BV213" s="3">
        <f t="shared" si="134"/>
        <v>-252.05799999999726</v>
      </c>
    </row>
    <row r="214" spans="1:74" x14ac:dyDescent="0.25">
      <c r="A214" t="s">
        <v>398</v>
      </c>
      <c r="B214" t="s">
        <v>514</v>
      </c>
      <c r="C214" t="s">
        <v>200</v>
      </c>
      <c r="D214" s="3">
        <v>17.14</v>
      </c>
      <c r="E214" s="3">
        <v>0.6</v>
      </c>
      <c r="F214" s="3">
        <v>-871.59400000000005</v>
      </c>
      <c r="G214" s="3">
        <v>-875.17600000000004</v>
      </c>
      <c r="H214" s="3">
        <f t="shared" si="135"/>
        <v>-3.5819999999999936</v>
      </c>
      <c r="I214" s="3">
        <v>-0.32200000000000001</v>
      </c>
      <c r="J214" s="6">
        <v>-0.21299999999999999</v>
      </c>
      <c r="K214" s="3">
        <f t="shared" si="136"/>
        <v>0.10900000000000001</v>
      </c>
      <c r="L214" s="3">
        <v>0.121</v>
      </c>
      <c r="M214" s="6">
        <v>-1.7999999999999999E-2</v>
      </c>
      <c r="N214" s="3">
        <f t="shared" si="137"/>
        <v>-0.13899999999999998</v>
      </c>
      <c r="O214" s="3">
        <f t="shared" si="138"/>
        <v>0.10050000000000001</v>
      </c>
      <c r="P214" s="3">
        <f t="shared" si="138"/>
        <v>0.11549999999999999</v>
      </c>
      <c r="Q214" s="3">
        <f t="shared" si="139"/>
        <v>1.4999999999999986E-2</v>
      </c>
      <c r="R214" s="3">
        <f t="shared" si="140"/>
        <v>0.443</v>
      </c>
      <c r="S214" s="3">
        <f t="shared" si="140"/>
        <v>0.19500000000000001</v>
      </c>
      <c r="T214" s="3">
        <f t="shared" si="141"/>
        <v>-0.248</v>
      </c>
      <c r="U214" s="3">
        <f t="shared" si="142"/>
        <v>-0.10050000000000001</v>
      </c>
      <c r="V214" s="3">
        <f t="shared" si="142"/>
        <v>-0.11549999999999999</v>
      </c>
      <c r="W214" s="3">
        <f t="shared" si="153"/>
        <v>-1.4999999999999986E-2</v>
      </c>
      <c r="X214" s="3">
        <f t="shared" si="149"/>
        <v>1.1399830699774268E-2</v>
      </c>
      <c r="Y214" s="3">
        <f t="shared" si="150"/>
        <v>3.4205769230769227E-2</v>
      </c>
      <c r="Z214" s="3">
        <f t="shared" si="143"/>
        <v>2.2805938530994961E-2</v>
      </c>
      <c r="AA214" s="3">
        <v>15.760999999999999</v>
      </c>
      <c r="AB214" s="3">
        <v>14.957000000000001</v>
      </c>
      <c r="AC214" s="3">
        <f t="shared" si="144"/>
        <v>-0.80399999999999849</v>
      </c>
      <c r="AD214" s="3">
        <f>-871.431822*627.50956</f>
        <v>-546831.79919321835</v>
      </c>
      <c r="AE214" s="3">
        <f>-875.023967*627.50956</f>
        <v>-549085.90452162444</v>
      </c>
      <c r="AF214" s="3">
        <f t="shared" si="145"/>
        <v>-2254.1053284060908</v>
      </c>
      <c r="AG214" s="3">
        <f>-871.479359*627.50956</f>
        <v>-546861.62911517208</v>
      </c>
      <c r="AH214" s="3">
        <f>-875.074056*627.50956</f>
        <v>-549117.33584797534</v>
      </c>
      <c r="AI214" s="3">
        <f t="shared" si="146"/>
        <v>-2255.7067328032572</v>
      </c>
      <c r="AJ214" s="3">
        <v>-1.321</v>
      </c>
      <c r="AK214" s="3">
        <v>-1.2270000000000001</v>
      </c>
      <c r="AL214" s="3">
        <f t="shared" si="147"/>
        <v>9.3999999999999861E-2</v>
      </c>
      <c r="AM214" s="3">
        <v>170.20892000000001</v>
      </c>
      <c r="AN214" s="3">
        <v>209.25619</v>
      </c>
      <c r="AO214" s="3">
        <v>224.47508999999999</v>
      </c>
      <c r="AP214" s="3">
        <f t="shared" si="148"/>
        <v>1.171715462706296</v>
      </c>
      <c r="AQ214" s="3">
        <v>9.8759999999999994</v>
      </c>
      <c r="AR214" s="3">
        <v>2.4860796000000001</v>
      </c>
      <c r="AS214" s="3">
        <v>-553.27200000000005</v>
      </c>
      <c r="AT214" s="3">
        <v>-551.61699999999996</v>
      </c>
      <c r="AU214" s="3">
        <f t="shared" si="123"/>
        <v>-1.6550000000000864</v>
      </c>
      <c r="AV214" s="3">
        <v>-0.23699999999999999</v>
      </c>
      <c r="AW214" s="3">
        <v>-0.36899999999999999</v>
      </c>
      <c r="AX214" s="3">
        <f t="shared" si="124"/>
        <v>0.13200000000000001</v>
      </c>
      <c r="AY214" s="3">
        <v>2.8000000000000001E-2</v>
      </c>
      <c r="AZ214" s="3">
        <v>0.154</v>
      </c>
      <c r="BA214" s="3">
        <f t="shared" si="125"/>
        <v>-0.126</v>
      </c>
      <c r="BB214" s="3">
        <f t="shared" si="155"/>
        <v>0.1045</v>
      </c>
      <c r="BC214" s="3">
        <f t="shared" si="155"/>
        <v>0.1075</v>
      </c>
      <c r="BD214" s="3">
        <f t="shared" si="127"/>
        <v>-3.0000000000000027E-3</v>
      </c>
      <c r="BE214" s="3">
        <f t="shared" si="156"/>
        <v>0.26500000000000001</v>
      </c>
      <c r="BF214" s="3">
        <f t="shared" si="156"/>
        <v>0.52300000000000002</v>
      </c>
      <c r="BG214" s="3">
        <f t="shared" si="129"/>
        <v>-0.25800000000000001</v>
      </c>
      <c r="BH214" s="3">
        <f t="shared" si="157"/>
        <v>-0.1045</v>
      </c>
      <c r="BI214" s="3">
        <f t="shared" si="157"/>
        <v>-0.1075</v>
      </c>
      <c r="BJ214" s="3">
        <f t="shared" si="154"/>
        <v>3.0000000000000027E-3</v>
      </c>
      <c r="BK214" s="3">
        <f t="shared" si="151"/>
        <v>2.0604245283018865E-2</v>
      </c>
      <c r="BL214" s="3">
        <f t="shared" si="152"/>
        <v>1.104804015296367E-2</v>
      </c>
      <c r="BM214" s="3">
        <f t="shared" si="131"/>
        <v>9.5562051300551957E-3</v>
      </c>
      <c r="BN214" s="3">
        <v>5.4870000000000001</v>
      </c>
      <c r="BO214" s="3">
        <v>6.0839999999999996</v>
      </c>
      <c r="BP214" s="3">
        <f t="shared" si="132"/>
        <v>-0.59699999999999953</v>
      </c>
      <c r="BQ214" s="3">
        <v>-347129.96399999998</v>
      </c>
      <c r="BR214" s="3">
        <v>-346087.64600000001</v>
      </c>
      <c r="BS214" s="3">
        <f t="shared" si="133"/>
        <v>-1042.3179999999702</v>
      </c>
      <c r="BT214" s="3">
        <v>-347152.04599999997</v>
      </c>
      <c r="BU214" s="3">
        <v>-346109.22600000002</v>
      </c>
      <c r="BV214" s="3">
        <f t="shared" si="134"/>
        <v>-1042.8199999999488</v>
      </c>
    </row>
    <row r="215" spans="1:74" x14ac:dyDescent="0.25">
      <c r="A215" t="s">
        <v>399</v>
      </c>
      <c r="B215" t="s">
        <v>514</v>
      </c>
      <c r="C215" t="s">
        <v>200</v>
      </c>
      <c r="D215" s="3">
        <v>17.190000000000001</v>
      </c>
      <c r="E215" s="3">
        <v>0.71</v>
      </c>
      <c r="F215" s="3">
        <v>-250.255</v>
      </c>
      <c r="G215" s="3">
        <v>-251.97800000000001</v>
      </c>
      <c r="H215" s="3">
        <f t="shared" si="135"/>
        <v>-1.7230000000000132</v>
      </c>
      <c r="I215" s="3">
        <v>-0.36599999999999999</v>
      </c>
      <c r="J215" s="6">
        <v>-0.22700000000000001</v>
      </c>
      <c r="K215" s="3">
        <f t="shared" si="136"/>
        <v>0.13899999999999998</v>
      </c>
      <c r="L215" s="3">
        <v>0.157</v>
      </c>
      <c r="M215" s="6">
        <v>4.2000000000000003E-2</v>
      </c>
      <c r="N215" s="3">
        <f t="shared" si="137"/>
        <v>-0.11499999999999999</v>
      </c>
      <c r="O215" s="3">
        <f t="shared" si="138"/>
        <v>0.1045</v>
      </c>
      <c r="P215" s="3">
        <f t="shared" si="138"/>
        <v>9.2499999999999999E-2</v>
      </c>
      <c r="Q215" s="3">
        <f t="shared" si="139"/>
        <v>-1.1999999999999997E-2</v>
      </c>
      <c r="R215" s="3">
        <f t="shared" si="140"/>
        <v>0.52300000000000002</v>
      </c>
      <c r="S215" s="3">
        <f t="shared" si="140"/>
        <v>0.26900000000000002</v>
      </c>
      <c r="T215" s="3">
        <f t="shared" si="141"/>
        <v>-0.254</v>
      </c>
      <c r="U215" s="3">
        <f t="shared" si="142"/>
        <v>-0.1045</v>
      </c>
      <c r="V215" s="3">
        <f t="shared" si="142"/>
        <v>-9.2499999999999999E-2</v>
      </c>
      <c r="W215" s="3">
        <f t="shared" si="153"/>
        <v>1.1999999999999997E-2</v>
      </c>
      <c r="X215" s="3">
        <f t="shared" si="149"/>
        <v>1.0440009560229445E-2</v>
      </c>
      <c r="Y215" s="3">
        <f t="shared" si="150"/>
        <v>1.5903810408921932E-2</v>
      </c>
      <c r="Z215" s="3">
        <f t="shared" si="143"/>
        <v>5.4638008486924874E-3</v>
      </c>
      <c r="AA215" s="3">
        <v>1.3120000000000001</v>
      </c>
      <c r="AB215" s="3">
        <v>1.212</v>
      </c>
      <c r="AC215" s="3">
        <f t="shared" si="144"/>
        <v>-0.10000000000000009</v>
      </c>
      <c r="AD215" s="3">
        <f>-250.079688*627.50956</f>
        <v>-156927.39498181728</v>
      </c>
      <c r="AE215" s="3">
        <f>-251.812929*627.50956</f>
        <v>-158015.02027910124</v>
      </c>
      <c r="AF215" s="3">
        <f t="shared" si="145"/>
        <v>-1087.6252972839575</v>
      </c>
      <c r="AG215" s="3">
        <f>-250.114331*627.50956</f>
        <v>-156949.13379550434</v>
      </c>
      <c r="AH215" s="3">
        <f>-251.848088*627.50956</f>
        <v>-158037.08288772128</v>
      </c>
      <c r="AI215" s="3">
        <f t="shared" si="146"/>
        <v>-1087.9490922169352</v>
      </c>
      <c r="AJ215" s="3">
        <v>-0.71899999999999997</v>
      </c>
      <c r="AK215" s="3">
        <v>-0.69199999999999995</v>
      </c>
      <c r="AL215" s="3">
        <f t="shared" si="147"/>
        <v>2.7000000000000024E-2</v>
      </c>
      <c r="AM215" s="3">
        <v>85.147540000000006</v>
      </c>
      <c r="AN215" s="3">
        <v>154.64572999999999</v>
      </c>
      <c r="AO215" s="3">
        <v>163.8288</v>
      </c>
      <c r="AP215" s="3">
        <f t="shared" si="148"/>
        <v>1.0682356067694418</v>
      </c>
      <c r="AQ215" s="3">
        <v>7.3330000000000002</v>
      </c>
      <c r="AR215" s="3">
        <v>1.5833245</v>
      </c>
      <c r="AS215" s="3">
        <v>-553.27200000000005</v>
      </c>
      <c r="AT215" s="3">
        <v>-551.61699999999996</v>
      </c>
      <c r="AU215" s="3">
        <f t="shared" si="123"/>
        <v>-1.6550000000000864</v>
      </c>
      <c r="AV215" s="3">
        <v>-0.23699999999999999</v>
      </c>
      <c r="AW215" s="3">
        <v>-0.36899999999999999</v>
      </c>
      <c r="AX215" s="3">
        <f t="shared" si="124"/>
        <v>0.13200000000000001</v>
      </c>
      <c r="AY215" s="3">
        <v>2.8000000000000001E-2</v>
      </c>
      <c r="AZ215" s="3">
        <v>0.154</v>
      </c>
      <c r="BA215" s="3">
        <f t="shared" si="125"/>
        <v>-0.126</v>
      </c>
      <c r="BB215" s="3">
        <f t="shared" si="155"/>
        <v>0.1045</v>
      </c>
      <c r="BC215" s="3">
        <f t="shared" si="155"/>
        <v>0.1075</v>
      </c>
      <c r="BD215" s="3">
        <f t="shared" si="127"/>
        <v>-3.0000000000000027E-3</v>
      </c>
      <c r="BE215" s="3">
        <f t="shared" si="156"/>
        <v>0.26500000000000001</v>
      </c>
      <c r="BF215" s="3">
        <f t="shared" si="156"/>
        <v>0.52300000000000002</v>
      </c>
      <c r="BG215" s="3">
        <f t="shared" si="129"/>
        <v>-0.25800000000000001</v>
      </c>
      <c r="BH215" s="3">
        <f t="shared" si="157"/>
        <v>-0.1045</v>
      </c>
      <c r="BI215" s="3">
        <f t="shared" si="157"/>
        <v>-0.1075</v>
      </c>
      <c r="BJ215" s="3">
        <f t="shared" si="154"/>
        <v>3.0000000000000027E-3</v>
      </c>
      <c r="BK215" s="3">
        <f t="shared" si="151"/>
        <v>2.0604245283018865E-2</v>
      </c>
      <c r="BL215" s="3">
        <f t="shared" si="152"/>
        <v>1.104804015296367E-2</v>
      </c>
      <c r="BM215" s="3">
        <f t="shared" si="131"/>
        <v>9.5562051300551957E-3</v>
      </c>
      <c r="BN215" s="3">
        <v>5.4870000000000001</v>
      </c>
      <c r="BO215" s="3">
        <v>6.0839999999999996</v>
      </c>
      <c r="BP215" s="3">
        <f t="shared" si="132"/>
        <v>-0.59699999999999953</v>
      </c>
      <c r="BQ215" s="3">
        <v>-347129.96399999998</v>
      </c>
      <c r="BR215" s="3">
        <v>-346087.64600000001</v>
      </c>
      <c r="BS215" s="3">
        <f t="shared" si="133"/>
        <v>-1042.3179999999702</v>
      </c>
      <c r="BT215" s="3">
        <v>-347152.04599999997</v>
      </c>
      <c r="BU215" s="3">
        <v>-346109.22600000002</v>
      </c>
      <c r="BV215" s="3">
        <f t="shared" si="134"/>
        <v>-1042.8199999999488</v>
      </c>
    </row>
    <row r="216" spans="1:74" x14ac:dyDescent="0.25">
      <c r="A216" t="s">
        <v>400</v>
      </c>
      <c r="B216" t="s">
        <v>514</v>
      </c>
      <c r="C216" t="s">
        <v>99</v>
      </c>
      <c r="D216" s="3">
        <v>17.2</v>
      </c>
      <c r="E216" s="3">
        <v>0.72</v>
      </c>
      <c r="F216" s="3">
        <v>-204.22900000000001</v>
      </c>
      <c r="G216" s="3">
        <v>-205.292</v>
      </c>
      <c r="H216" s="3">
        <f t="shared" si="135"/>
        <v>-1.0629999999999882</v>
      </c>
      <c r="I216" s="3">
        <v>-0.33300000000000002</v>
      </c>
      <c r="J216" s="6">
        <v>-0.16300000000000001</v>
      </c>
      <c r="K216" s="3">
        <f t="shared" si="136"/>
        <v>0.17</v>
      </c>
      <c r="L216" s="3">
        <v>0.22</v>
      </c>
      <c r="M216" s="6">
        <v>2.5000000000000001E-2</v>
      </c>
      <c r="N216" s="3">
        <f t="shared" si="137"/>
        <v>-0.19500000000000001</v>
      </c>
      <c r="O216" s="3">
        <f t="shared" si="138"/>
        <v>5.6500000000000009E-2</v>
      </c>
      <c r="P216" s="3">
        <f t="shared" si="138"/>
        <v>6.9000000000000006E-2</v>
      </c>
      <c r="Q216" s="3">
        <f t="shared" si="139"/>
        <v>1.2499999999999997E-2</v>
      </c>
      <c r="R216" s="3">
        <f t="shared" si="140"/>
        <v>0.55300000000000005</v>
      </c>
      <c r="S216" s="3">
        <f t="shared" si="140"/>
        <v>0.188</v>
      </c>
      <c r="T216" s="3">
        <f t="shared" si="141"/>
        <v>-0.36500000000000005</v>
      </c>
      <c r="U216" s="3">
        <f t="shared" si="142"/>
        <v>-5.6500000000000009E-2</v>
      </c>
      <c r="V216" s="3">
        <f t="shared" si="142"/>
        <v>-6.9000000000000006E-2</v>
      </c>
      <c r="W216" s="3">
        <f t="shared" si="153"/>
        <v>-1.2499999999999997E-2</v>
      </c>
      <c r="X216" s="3">
        <f t="shared" si="149"/>
        <v>2.8863019891500912E-3</v>
      </c>
      <c r="Y216" s="3">
        <f t="shared" si="150"/>
        <v>1.2662234042553193E-2</v>
      </c>
      <c r="Z216" s="3">
        <f t="shared" si="143"/>
        <v>9.7759320534031025E-3</v>
      </c>
      <c r="AA216" s="3">
        <v>0.69599999999999995</v>
      </c>
      <c r="AB216" s="3">
        <v>0.32600000000000001</v>
      </c>
      <c r="AC216" s="3">
        <f t="shared" si="144"/>
        <v>-0.36999999999999994</v>
      </c>
      <c r="AD216" s="3">
        <f>-204.215615*627.50956</f>
        <v>-128147.2507137794</v>
      </c>
      <c r="AE216" s="3">
        <f>-205.280001*627.50956</f>
        <v>-128815.16310430955</v>
      </c>
      <c r="AF216" s="3">
        <f t="shared" si="145"/>
        <v>-667.91239053015306</v>
      </c>
      <c r="AG216" s="3">
        <f>-204.24302*627.50956</f>
        <v>-128164.4476132712</v>
      </c>
      <c r="AH216" s="3">
        <f>-205.307552*627.50956</f>
        <v>-128832.4516201971</v>
      </c>
      <c r="AI216" s="3">
        <f t="shared" si="146"/>
        <v>-668.00400692589756</v>
      </c>
      <c r="AJ216" s="3">
        <v>0.372</v>
      </c>
      <c r="AK216" s="3">
        <v>0.2</v>
      </c>
      <c r="AL216" s="3">
        <f t="shared" si="147"/>
        <v>-0.17199999999999999</v>
      </c>
      <c r="AM216" s="3">
        <v>46.005499999999998</v>
      </c>
      <c r="AN216" s="3">
        <v>65.522890000000004</v>
      </c>
      <c r="AO216" s="3">
        <v>47.372599999999998</v>
      </c>
      <c r="AP216" s="3">
        <f t="shared" si="148"/>
        <v>1.0350567948433509</v>
      </c>
      <c r="AQ216" s="3">
        <v>5.1779999999999999</v>
      </c>
      <c r="AR216" s="3">
        <v>0.9435981</v>
      </c>
      <c r="AS216" s="3">
        <v>-132.80099999999999</v>
      </c>
      <c r="AT216" s="3">
        <v>-131.97</v>
      </c>
      <c r="AU216" s="3">
        <f t="shared" si="123"/>
        <v>-0.83099999999998886</v>
      </c>
      <c r="AV216" s="3">
        <v>-0.34100000000000003</v>
      </c>
      <c r="AW216" s="3">
        <v>-0.47499999999999998</v>
      </c>
      <c r="AX216" s="3">
        <f t="shared" si="124"/>
        <v>0.13399999999999995</v>
      </c>
      <c r="AY216" s="3">
        <v>2.9000000000000001E-2</v>
      </c>
      <c r="AZ216" s="3">
        <v>0.156</v>
      </c>
      <c r="BA216" s="3">
        <f t="shared" si="125"/>
        <v>-0.127</v>
      </c>
      <c r="BB216" s="3">
        <f t="shared" si="155"/>
        <v>0.156</v>
      </c>
      <c r="BC216" s="3">
        <f t="shared" si="155"/>
        <v>0.15949999999999998</v>
      </c>
      <c r="BD216" s="3">
        <f t="shared" si="127"/>
        <v>-3.4999999999999754E-3</v>
      </c>
      <c r="BE216" s="3">
        <f t="shared" si="156"/>
        <v>0.37000000000000005</v>
      </c>
      <c r="BF216" s="3">
        <f t="shared" si="156"/>
        <v>0.63100000000000001</v>
      </c>
      <c r="BG216" s="3">
        <f t="shared" si="129"/>
        <v>-0.26099999999999995</v>
      </c>
      <c r="BH216" s="3">
        <f t="shared" si="157"/>
        <v>-0.156</v>
      </c>
      <c r="BI216" s="3">
        <f t="shared" si="157"/>
        <v>-0.15949999999999998</v>
      </c>
      <c r="BJ216" s="3">
        <f t="shared" si="154"/>
        <v>3.4999999999999754E-3</v>
      </c>
      <c r="BK216" s="3">
        <f t="shared" si="151"/>
        <v>3.2886486486486483E-2</v>
      </c>
      <c r="BL216" s="3">
        <f t="shared" si="152"/>
        <v>2.0158676703645E-2</v>
      </c>
      <c r="BM216" s="3">
        <f t="shared" si="131"/>
        <v>1.2727809782841482E-2</v>
      </c>
      <c r="BN216" s="3">
        <v>4.7279999999999998</v>
      </c>
      <c r="BO216" s="3">
        <v>4.9340000000000002</v>
      </c>
      <c r="BP216" s="3">
        <f t="shared" si="132"/>
        <v>-0.20600000000000041</v>
      </c>
      <c r="BQ216" s="3">
        <v>-83302.89</v>
      </c>
      <c r="BR216" s="3">
        <v>-82779.224000000002</v>
      </c>
      <c r="BS216" s="3">
        <f t="shared" si="133"/>
        <v>-523.66599999999744</v>
      </c>
      <c r="BT216" s="3">
        <v>-83320.774999999994</v>
      </c>
      <c r="BU216" s="3">
        <v>-82796.997000000003</v>
      </c>
      <c r="BV216" s="3">
        <f t="shared" si="134"/>
        <v>-523.77799999999115</v>
      </c>
    </row>
    <row r="217" spans="1:74" x14ac:dyDescent="0.25">
      <c r="A217" t="s">
        <v>401</v>
      </c>
      <c r="B217" t="s">
        <v>514</v>
      </c>
      <c r="C217" t="s">
        <v>199</v>
      </c>
      <c r="D217" s="3">
        <v>17.21</v>
      </c>
      <c r="E217" s="3">
        <v>0.49</v>
      </c>
      <c r="F217" s="3">
        <v>-211.202</v>
      </c>
      <c r="G217" s="3">
        <v>-212.64500000000001</v>
      </c>
      <c r="H217" s="3">
        <f t="shared" si="135"/>
        <v>-1.4430000000000121</v>
      </c>
      <c r="I217" s="3">
        <v>-0.36899999999999999</v>
      </c>
      <c r="J217" s="6">
        <v>-0.22800000000000001</v>
      </c>
      <c r="K217" s="3">
        <f t="shared" si="136"/>
        <v>0.14099999999999999</v>
      </c>
      <c r="L217" s="3">
        <v>0.154</v>
      </c>
      <c r="M217" s="6">
        <v>3.9E-2</v>
      </c>
      <c r="N217" s="3">
        <f t="shared" si="137"/>
        <v>-0.11499999999999999</v>
      </c>
      <c r="O217" s="3">
        <f t="shared" si="138"/>
        <v>0.1075</v>
      </c>
      <c r="P217" s="3">
        <f t="shared" si="138"/>
        <v>9.4500000000000001E-2</v>
      </c>
      <c r="Q217" s="3">
        <f t="shared" si="139"/>
        <v>-1.2999999999999998E-2</v>
      </c>
      <c r="R217" s="3">
        <f t="shared" si="140"/>
        <v>0.52300000000000002</v>
      </c>
      <c r="S217" s="3">
        <f t="shared" si="140"/>
        <v>0.26700000000000002</v>
      </c>
      <c r="T217" s="3">
        <f t="shared" si="141"/>
        <v>-0.25600000000000001</v>
      </c>
      <c r="U217" s="3">
        <f t="shared" si="142"/>
        <v>-0.1075</v>
      </c>
      <c r="V217" s="3">
        <f t="shared" si="142"/>
        <v>-9.4500000000000001E-2</v>
      </c>
      <c r="W217" s="3">
        <f t="shared" si="153"/>
        <v>1.2999999999999998E-2</v>
      </c>
      <c r="X217" s="3">
        <f t="shared" si="149"/>
        <v>1.104804015296367E-2</v>
      </c>
      <c r="Y217" s="3">
        <f t="shared" si="150"/>
        <v>1.6723314606741573E-2</v>
      </c>
      <c r="Z217" s="3">
        <f t="shared" si="143"/>
        <v>5.6752744537779034E-3</v>
      </c>
      <c r="AA217" s="3">
        <v>1.425</v>
      </c>
      <c r="AB217" s="3">
        <v>1.302</v>
      </c>
      <c r="AC217" s="3">
        <f t="shared" si="144"/>
        <v>-0.123</v>
      </c>
      <c r="AD217" s="3">
        <f>-211.059088*627.50956</f>
        <v>-132441.59544488127</v>
      </c>
      <c r="AE217" s="3">
        <f>-212.510182*627.50956</f>
        <v>-133352.17080233991</v>
      </c>
      <c r="AF217" s="3">
        <f t="shared" si="145"/>
        <v>-910.57535745864152</v>
      </c>
      <c r="AG217" s="3">
        <f>-211.092979*627.50956</f>
        <v>-132462.86237137925</v>
      </c>
      <c r="AH217" s="3">
        <f>-212.54421*627.50956</f>
        <v>-133373.52369764759</v>
      </c>
      <c r="AI217" s="3">
        <f t="shared" si="146"/>
        <v>-910.6613262683386</v>
      </c>
      <c r="AJ217" s="3">
        <v>-0.71699999999999997</v>
      </c>
      <c r="AK217" s="3">
        <v>-0.69099999999999995</v>
      </c>
      <c r="AL217" s="3">
        <f t="shared" si="147"/>
        <v>2.6000000000000023E-2</v>
      </c>
      <c r="AM217" s="3">
        <v>71.120959999999997</v>
      </c>
      <c r="AN217" s="3">
        <v>138.10389000000001</v>
      </c>
      <c r="AO217" s="3">
        <v>138.66949</v>
      </c>
      <c r="AP217" s="3">
        <f t="shared" si="148"/>
        <v>1.0661244821352169</v>
      </c>
      <c r="AQ217" s="3">
        <v>6.6040000000000001</v>
      </c>
      <c r="AR217" s="3">
        <v>1.4001535000000001</v>
      </c>
      <c r="AS217" s="3">
        <v>-76.454999999999998</v>
      </c>
      <c r="AT217" s="3">
        <v>-76.055000000000007</v>
      </c>
      <c r="AU217" s="3">
        <f t="shared" si="123"/>
        <v>-0.39999999999999147</v>
      </c>
      <c r="AV217" s="3">
        <v>-0.30399999999999999</v>
      </c>
      <c r="AW217" s="3">
        <v>-0.505</v>
      </c>
      <c r="AX217" s="3">
        <f t="shared" si="124"/>
        <v>0.20100000000000001</v>
      </c>
      <c r="AY217" s="3">
        <v>0.04</v>
      </c>
      <c r="AZ217" s="3">
        <v>0.16400000000000001</v>
      </c>
      <c r="BA217" s="3">
        <f t="shared" si="125"/>
        <v>-0.124</v>
      </c>
      <c r="BB217" s="3">
        <f t="shared" si="155"/>
        <v>0.13200000000000001</v>
      </c>
      <c r="BC217" s="3">
        <f t="shared" si="155"/>
        <v>0.17049999999999998</v>
      </c>
      <c r="BD217" s="3">
        <f t="shared" si="127"/>
        <v>-3.8499999999999979E-2</v>
      </c>
      <c r="BE217" s="3">
        <f t="shared" si="156"/>
        <v>0.34399999999999997</v>
      </c>
      <c r="BF217" s="3">
        <f t="shared" si="156"/>
        <v>0.66900000000000004</v>
      </c>
      <c r="BG217" s="3">
        <f t="shared" si="129"/>
        <v>-0.32500000000000007</v>
      </c>
      <c r="BH217" s="3">
        <f t="shared" si="157"/>
        <v>-0.13200000000000001</v>
      </c>
      <c r="BI217" s="3">
        <f t="shared" si="157"/>
        <v>-0.17049999999999998</v>
      </c>
      <c r="BJ217" s="3">
        <f t="shared" si="154"/>
        <v>3.8499999999999979E-2</v>
      </c>
      <c r="BK217" s="3">
        <f t="shared" si="151"/>
        <v>2.5325581395348844E-2</v>
      </c>
      <c r="BL217" s="3">
        <f t="shared" si="152"/>
        <v>2.1726644245141997E-2</v>
      </c>
      <c r="BM217" s="3">
        <f t="shared" si="131"/>
        <v>3.5989371502068469E-3</v>
      </c>
      <c r="BN217" s="3">
        <v>2.3010000000000002</v>
      </c>
      <c r="BO217" s="3">
        <v>2.3559999999999999</v>
      </c>
      <c r="BP217" s="3">
        <f t="shared" si="132"/>
        <v>-5.4999999999999716E-2</v>
      </c>
      <c r="BQ217" s="3">
        <v>-47960.305999999997</v>
      </c>
      <c r="BR217" s="3">
        <v>-47708.290999999997</v>
      </c>
      <c r="BS217" s="3">
        <f t="shared" si="133"/>
        <v>-252.01499999999942</v>
      </c>
      <c r="BT217" s="3">
        <v>-47973.754999999997</v>
      </c>
      <c r="BU217" s="3">
        <v>-47721.697</v>
      </c>
      <c r="BV217" s="3">
        <f t="shared" si="134"/>
        <v>-252.05799999999726</v>
      </c>
    </row>
    <row r="218" spans="1:74" x14ac:dyDescent="0.25">
      <c r="A218" t="s">
        <v>402</v>
      </c>
      <c r="B218" t="s">
        <v>514</v>
      </c>
      <c r="C218" t="s">
        <v>199</v>
      </c>
      <c r="D218" s="3">
        <v>17.22</v>
      </c>
      <c r="E218" s="3">
        <v>0.5</v>
      </c>
      <c r="F218" s="3">
        <v>-266.245</v>
      </c>
      <c r="G218" s="3">
        <v>-268.01</v>
      </c>
      <c r="H218" s="3">
        <f t="shared" si="135"/>
        <v>-1.7649999999999864</v>
      </c>
      <c r="I218" s="3">
        <v>-0.36499999999999999</v>
      </c>
      <c r="J218" s="6">
        <v>-0.22700000000000001</v>
      </c>
      <c r="K218" s="3">
        <f t="shared" si="136"/>
        <v>0.13799999999999998</v>
      </c>
      <c r="L218" s="3">
        <v>0.158</v>
      </c>
      <c r="M218" s="6">
        <v>4.2000000000000003E-2</v>
      </c>
      <c r="N218" s="3">
        <f t="shared" si="137"/>
        <v>-0.11599999999999999</v>
      </c>
      <c r="O218" s="3">
        <f t="shared" si="138"/>
        <v>0.10349999999999999</v>
      </c>
      <c r="P218" s="3">
        <f t="shared" si="138"/>
        <v>9.2499999999999999E-2</v>
      </c>
      <c r="Q218" s="3">
        <f t="shared" si="139"/>
        <v>-1.0999999999999996E-2</v>
      </c>
      <c r="R218" s="3">
        <f t="shared" si="140"/>
        <v>0.52300000000000002</v>
      </c>
      <c r="S218" s="3">
        <f t="shared" si="140"/>
        <v>0.26900000000000002</v>
      </c>
      <c r="T218" s="3">
        <f t="shared" si="141"/>
        <v>-0.254</v>
      </c>
      <c r="U218" s="3">
        <f t="shared" si="142"/>
        <v>-0.10349999999999999</v>
      </c>
      <c r="V218" s="3">
        <f t="shared" si="142"/>
        <v>-9.2499999999999999E-2</v>
      </c>
      <c r="W218" s="3">
        <f t="shared" si="153"/>
        <v>1.0999999999999996E-2</v>
      </c>
      <c r="X218" s="3">
        <f t="shared" si="149"/>
        <v>1.0241156787762905E-2</v>
      </c>
      <c r="Y218" s="3">
        <f t="shared" si="150"/>
        <v>1.5903810408921932E-2</v>
      </c>
      <c r="Z218" s="3">
        <f t="shared" si="143"/>
        <v>5.6626536211590271E-3</v>
      </c>
      <c r="AA218" s="3">
        <v>0</v>
      </c>
      <c r="AB218" s="3">
        <v>0</v>
      </c>
      <c r="AC218" s="3">
        <f t="shared" si="144"/>
        <v>0</v>
      </c>
      <c r="AD218" s="3">
        <f>-266.081257*627.50956</f>
        <v>-166968.53250431691</v>
      </c>
      <c r="AE218" s="3">
        <f>-267.856662*627.50956</f>
        <v>-168082.61611468869</v>
      </c>
      <c r="AF218" s="3">
        <f t="shared" si="145"/>
        <v>-1114.0836103717738</v>
      </c>
      <c r="AG218" s="3">
        <f>-266.114927*627.50956</f>
        <v>-166989.66075120211</v>
      </c>
      <c r="AH218" s="3">
        <f>-267.890804*627.50956</f>
        <v>-168104.04054608624</v>
      </c>
      <c r="AI218" s="3">
        <f t="shared" si="146"/>
        <v>-1114.3797948841238</v>
      </c>
      <c r="AJ218" s="3">
        <v>-0.71799999999999997</v>
      </c>
      <c r="AK218" s="3">
        <v>-0.69099999999999995</v>
      </c>
      <c r="AL218" s="3">
        <f t="shared" si="147"/>
        <v>2.7000000000000024E-2</v>
      </c>
      <c r="AM218" s="3">
        <v>86.135599999999997</v>
      </c>
      <c r="AN218" s="3">
        <v>149.82017999999999</v>
      </c>
      <c r="AO218" s="3">
        <v>155.5378</v>
      </c>
      <c r="AP218" s="3">
        <f t="shared" si="148"/>
        <v>1.0713605001106001</v>
      </c>
      <c r="AQ218" s="3">
        <v>7.274</v>
      </c>
      <c r="AR218" s="3">
        <v>1.5456523</v>
      </c>
      <c r="AS218" s="3">
        <v>-76.454999999999998</v>
      </c>
      <c r="AT218" s="3">
        <v>-76.055000000000007</v>
      </c>
      <c r="AU218" s="3">
        <f t="shared" si="123"/>
        <v>-0.39999999999999147</v>
      </c>
      <c r="AV218" s="3">
        <v>-0.30399999999999999</v>
      </c>
      <c r="AW218" s="3">
        <v>-0.505</v>
      </c>
      <c r="AX218" s="3">
        <f t="shared" si="124"/>
        <v>0.20100000000000001</v>
      </c>
      <c r="AY218" s="3">
        <v>0.04</v>
      </c>
      <c r="AZ218" s="3">
        <v>0.16400000000000001</v>
      </c>
      <c r="BA218" s="3">
        <f t="shared" si="125"/>
        <v>-0.124</v>
      </c>
      <c r="BB218" s="3">
        <f t="shared" si="155"/>
        <v>0.13200000000000001</v>
      </c>
      <c r="BC218" s="3">
        <f t="shared" si="155"/>
        <v>0.17049999999999998</v>
      </c>
      <c r="BD218" s="3">
        <f t="shared" si="127"/>
        <v>-3.8499999999999979E-2</v>
      </c>
      <c r="BE218" s="3">
        <f t="shared" si="156"/>
        <v>0.34399999999999997</v>
      </c>
      <c r="BF218" s="3">
        <f t="shared" si="156"/>
        <v>0.66900000000000004</v>
      </c>
      <c r="BG218" s="3">
        <f t="shared" si="129"/>
        <v>-0.32500000000000007</v>
      </c>
      <c r="BH218" s="3">
        <f t="shared" si="157"/>
        <v>-0.13200000000000001</v>
      </c>
      <c r="BI218" s="3">
        <f t="shared" si="157"/>
        <v>-0.17049999999999998</v>
      </c>
      <c r="BJ218" s="3">
        <f t="shared" si="154"/>
        <v>3.8499999999999979E-2</v>
      </c>
      <c r="BK218" s="3">
        <f t="shared" si="151"/>
        <v>2.5325581395348844E-2</v>
      </c>
      <c r="BL218" s="3">
        <f t="shared" si="152"/>
        <v>2.1726644245141997E-2</v>
      </c>
      <c r="BM218" s="3">
        <f t="shared" si="131"/>
        <v>3.5989371502068469E-3</v>
      </c>
      <c r="BN218" s="3">
        <v>2.3010000000000002</v>
      </c>
      <c r="BO218" s="3">
        <v>2.3559999999999999</v>
      </c>
      <c r="BP218" s="3">
        <f t="shared" si="132"/>
        <v>-5.4999999999999716E-2</v>
      </c>
      <c r="BQ218" s="3">
        <v>-47960.305999999997</v>
      </c>
      <c r="BR218" s="3">
        <v>-47708.290999999997</v>
      </c>
      <c r="BS218" s="3">
        <f t="shared" si="133"/>
        <v>-252.01499999999942</v>
      </c>
      <c r="BT218" s="3">
        <v>-47973.754999999997</v>
      </c>
      <c r="BU218" s="3">
        <v>-47721.697</v>
      </c>
      <c r="BV218" s="3">
        <f t="shared" si="134"/>
        <v>-252.05799999999726</v>
      </c>
    </row>
    <row r="219" spans="1:74" x14ac:dyDescent="0.25">
      <c r="A219" t="s">
        <v>403</v>
      </c>
      <c r="B219" t="s">
        <v>514</v>
      </c>
      <c r="C219" t="s">
        <v>199</v>
      </c>
      <c r="D219" s="3">
        <v>17.23</v>
      </c>
      <c r="E219" s="3">
        <v>0.45</v>
      </c>
      <c r="F219" s="3">
        <v>-150.251</v>
      </c>
      <c r="G219" s="3">
        <v>-151.22300000000001</v>
      </c>
      <c r="H219" s="3">
        <f t="shared" si="135"/>
        <v>-0.97200000000000841</v>
      </c>
      <c r="I219" s="3">
        <v>-0.34599999999999997</v>
      </c>
      <c r="J219" s="6">
        <v>-0.20499999999999999</v>
      </c>
      <c r="K219" s="3">
        <f t="shared" si="136"/>
        <v>0.14099999999999999</v>
      </c>
      <c r="L219" s="3">
        <v>0.16200000000000001</v>
      </c>
      <c r="M219" s="6">
        <v>4.3999999999999997E-2</v>
      </c>
      <c r="N219" s="3">
        <f t="shared" si="137"/>
        <v>-0.11800000000000001</v>
      </c>
      <c r="O219" s="3">
        <f t="shared" si="138"/>
        <v>9.1999999999999985E-2</v>
      </c>
      <c r="P219" s="3">
        <f t="shared" si="138"/>
        <v>8.0499999999999988E-2</v>
      </c>
      <c r="Q219" s="3">
        <f t="shared" si="139"/>
        <v>-1.1499999999999996E-2</v>
      </c>
      <c r="R219" s="3">
        <f t="shared" si="140"/>
        <v>0.50800000000000001</v>
      </c>
      <c r="S219" s="3">
        <f t="shared" si="140"/>
        <v>0.249</v>
      </c>
      <c r="T219" s="3">
        <f t="shared" si="141"/>
        <v>-0.25900000000000001</v>
      </c>
      <c r="U219" s="3">
        <f t="shared" si="142"/>
        <v>-9.1999999999999985E-2</v>
      </c>
      <c r="V219" s="3">
        <f t="shared" si="142"/>
        <v>-8.0499999999999988E-2</v>
      </c>
      <c r="W219" s="3">
        <f t="shared" si="153"/>
        <v>1.1499999999999996E-2</v>
      </c>
      <c r="X219" s="3">
        <f t="shared" si="149"/>
        <v>8.3307086614173211E-3</v>
      </c>
      <c r="Y219" s="3">
        <f t="shared" si="150"/>
        <v>1.3012550200803209E-2</v>
      </c>
      <c r="Z219" s="3">
        <f t="shared" si="143"/>
        <v>4.6818415393858875E-3</v>
      </c>
      <c r="AA219" s="3">
        <v>0.46400000000000002</v>
      </c>
      <c r="AB219" s="3">
        <v>0.371</v>
      </c>
      <c r="AC219" s="3">
        <f t="shared" si="144"/>
        <v>-9.3000000000000027E-2</v>
      </c>
      <c r="AD219" s="3">
        <f>-150.15889*627.50956</f>
        <v>-94226.13899398841</v>
      </c>
      <c r="AE219" s="3">
        <f>-151.136923*627.50956</f>
        <v>-94839.864051483877</v>
      </c>
      <c r="AF219" s="3">
        <f t="shared" si="145"/>
        <v>-613.7250574954669</v>
      </c>
      <c r="AG219" s="3">
        <f>-150.190621*627.50956</f>
        <v>-94246.050499836754</v>
      </c>
      <c r="AH219" s="3">
        <f>-151.168007*627.50956</f>
        <v>-94859.369558646911</v>
      </c>
      <c r="AI219" s="3">
        <f t="shared" si="146"/>
        <v>-613.319058810157</v>
      </c>
      <c r="AJ219" s="3">
        <v>-0.505</v>
      </c>
      <c r="AK219" s="3">
        <v>-0.68100000000000005</v>
      </c>
      <c r="AL219" s="3">
        <f t="shared" si="147"/>
        <v>-0.17600000000000005</v>
      </c>
      <c r="AM219" s="3">
        <v>46.071739999999998</v>
      </c>
      <c r="AN219" s="3">
        <v>105.72969999999999</v>
      </c>
      <c r="AO219" s="3">
        <v>93.298829999999995</v>
      </c>
      <c r="AP219" s="3">
        <f t="shared" si="148"/>
        <v>1.0630054356126148</v>
      </c>
      <c r="AQ219" s="3">
        <v>6.4530000000000003</v>
      </c>
      <c r="AR219" s="3">
        <v>1.1718985</v>
      </c>
      <c r="AS219" s="3">
        <v>-76.454999999999998</v>
      </c>
      <c r="AT219" s="3">
        <v>-76.055000000000007</v>
      </c>
      <c r="AU219" s="3">
        <f t="shared" si="123"/>
        <v>-0.39999999999999147</v>
      </c>
      <c r="AV219" s="3">
        <v>-0.30399999999999999</v>
      </c>
      <c r="AW219" s="3">
        <v>-0.505</v>
      </c>
      <c r="AX219" s="3">
        <f t="shared" si="124"/>
        <v>0.20100000000000001</v>
      </c>
      <c r="AY219" s="3">
        <v>0.04</v>
      </c>
      <c r="AZ219" s="3">
        <v>0.16400000000000001</v>
      </c>
      <c r="BA219" s="3">
        <f t="shared" si="125"/>
        <v>-0.124</v>
      </c>
      <c r="BB219" s="3">
        <f t="shared" si="155"/>
        <v>0.13200000000000001</v>
      </c>
      <c r="BC219" s="3">
        <f t="shared" si="155"/>
        <v>0.17049999999999998</v>
      </c>
      <c r="BD219" s="3">
        <f t="shared" si="127"/>
        <v>-3.8499999999999979E-2</v>
      </c>
      <c r="BE219" s="3">
        <f t="shared" si="156"/>
        <v>0.34399999999999997</v>
      </c>
      <c r="BF219" s="3">
        <f t="shared" si="156"/>
        <v>0.66900000000000004</v>
      </c>
      <c r="BG219" s="3">
        <f t="shared" si="129"/>
        <v>-0.32500000000000007</v>
      </c>
      <c r="BH219" s="3">
        <f t="shared" si="157"/>
        <v>-0.13200000000000001</v>
      </c>
      <c r="BI219" s="3">
        <f t="shared" si="157"/>
        <v>-0.17049999999999998</v>
      </c>
      <c r="BJ219" s="3">
        <f t="shared" si="154"/>
        <v>3.8499999999999979E-2</v>
      </c>
      <c r="BK219" s="3">
        <f t="shared" si="151"/>
        <v>2.5325581395348844E-2</v>
      </c>
      <c r="BL219" s="3">
        <f t="shared" si="152"/>
        <v>2.1726644245141997E-2</v>
      </c>
      <c r="BM219" s="3">
        <f t="shared" si="131"/>
        <v>3.5989371502068469E-3</v>
      </c>
      <c r="BN219" s="3">
        <v>2.3010000000000002</v>
      </c>
      <c r="BO219" s="3">
        <v>2.3559999999999999</v>
      </c>
      <c r="BP219" s="3">
        <f t="shared" si="132"/>
        <v>-5.4999999999999716E-2</v>
      </c>
      <c r="BQ219" s="3">
        <v>-47960.305999999997</v>
      </c>
      <c r="BR219" s="3">
        <v>-47708.290999999997</v>
      </c>
      <c r="BS219" s="3">
        <f t="shared" si="133"/>
        <v>-252.01499999999942</v>
      </c>
      <c r="BT219" s="3">
        <v>-47973.754999999997</v>
      </c>
      <c r="BU219" s="3">
        <v>-47721.697</v>
      </c>
      <c r="BV219" s="3">
        <f t="shared" si="134"/>
        <v>-252.05799999999726</v>
      </c>
    </row>
    <row r="220" spans="1:74" x14ac:dyDescent="0.25">
      <c r="A220" t="s">
        <v>404</v>
      </c>
      <c r="B220" t="s">
        <v>514</v>
      </c>
      <c r="C220" t="s">
        <v>103</v>
      </c>
      <c r="D220" s="3">
        <v>17.3</v>
      </c>
      <c r="E220" s="3">
        <v>0.52</v>
      </c>
      <c r="F220" s="3">
        <v>-290.44900000000001</v>
      </c>
      <c r="G220" s="3">
        <v>-292.50099999999998</v>
      </c>
      <c r="H220" s="3">
        <f t="shared" si="135"/>
        <v>-2.0519999999999641</v>
      </c>
      <c r="I220" s="3">
        <v>-0.34699999999999998</v>
      </c>
      <c r="J220" s="6">
        <v>-0.216</v>
      </c>
      <c r="K220" s="3">
        <f t="shared" si="136"/>
        <v>0.13099999999999998</v>
      </c>
      <c r="L220" s="3">
        <v>0.16</v>
      </c>
      <c r="M220" s="6">
        <v>4.7E-2</v>
      </c>
      <c r="N220" s="3">
        <f t="shared" si="137"/>
        <v>-0.113</v>
      </c>
      <c r="O220" s="3">
        <f t="shared" si="138"/>
        <v>9.3499999999999986E-2</v>
      </c>
      <c r="P220" s="3">
        <f t="shared" si="138"/>
        <v>8.4499999999999992E-2</v>
      </c>
      <c r="Q220" s="3">
        <f t="shared" si="139"/>
        <v>-8.9999999999999941E-3</v>
      </c>
      <c r="R220" s="3">
        <f t="shared" si="140"/>
        <v>0.50700000000000001</v>
      </c>
      <c r="S220" s="3">
        <f t="shared" si="140"/>
        <v>0.26300000000000001</v>
      </c>
      <c r="T220" s="3">
        <f t="shared" si="141"/>
        <v>-0.24399999999999999</v>
      </c>
      <c r="U220" s="3">
        <f t="shared" si="142"/>
        <v>-9.3499999999999986E-2</v>
      </c>
      <c r="V220" s="3">
        <f t="shared" si="142"/>
        <v>-8.4499999999999992E-2</v>
      </c>
      <c r="W220" s="3">
        <f t="shared" si="153"/>
        <v>8.9999999999999941E-3</v>
      </c>
      <c r="X220" s="3">
        <f t="shared" si="149"/>
        <v>8.6215483234713969E-3</v>
      </c>
      <c r="Y220" s="3">
        <f t="shared" si="150"/>
        <v>1.3574619771863115E-2</v>
      </c>
      <c r="Z220" s="3">
        <f t="shared" si="143"/>
        <v>4.9530714483917177E-3</v>
      </c>
      <c r="AA220" s="3">
        <v>0.98799999999999999</v>
      </c>
      <c r="AB220" s="3">
        <v>0.83699999999999997</v>
      </c>
      <c r="AC220" s="3">
        <f t="shared" si="144"/>
        <v>-0.15100000000000002</v>
      </c>
      <c r="AD220" s="3">
        <f>-290.221449*627.50956</f>
        <v>-182116.73376455242</v>
      </c>
      <c r="AE220" s="3">
        <f>-292.285731*627.50956</f>
        <v>-183412.09045408835</v>
      </c>
      <c r="AF220" s="3">
        <f t="shared" si="145"/>
        <v>-1295.3566895359254</v>
      </c>
      <c r="AG220" s="3">
        <f>-290.263806*627.50956</f>
        <v>-182143.31318698535</v>
      </c>
      <c r="AH220" s="3">
        <f>-292.329137*627.50956</f>
        <v>-183439.32813404972</v>
      </c>
      <c r="AI220" s="3">
        <f t="shared" si="146"/>
        <v>-1296.0149470643664</v>
      </c>
      <c r="AJ220" s="3">
        <v>-0.60199999999999998</v>
      </c>
      <c r="AK220" s="3">
        <v>-0.54800000000000004</v>
      </c>
      <c r="AL220" s="3">
        <f t="shared" si="147"/>
        <v>5.3999999999999937E-2</v>
      </c>
      <c r="AM220" s="3">
        <v>101.19</v>
      </c>
      <c r="AN220" s="3">
        <v>195.48219</v>
      </c>
      <c r="AO220" s="3">
        <v>211.71</v>
      </c>
      <c r="AP220" s="3">
        <f t="shared" si="148"/>
        <v>1.138157151103242</v>
      </c>
      <c r="AQ220" s="3">
        <v>8.4179999999999993</v>
      </c>
      <c r="AR220" s="3">
        <v>2.0214091000000001</v>
      </c>
      <c r="AS220" s="3">
        <v>-959.76900000000001</v>
      </c>
      <c r="AT220" s="3">
        <v>-958.05</v>
      </c>
      <c r="AU220" s="3">
        <f t="shared" si="123"/>
        <v>-1.7190000000000509</v>
      </c>
      <c r="AV220" s="3">
        <v>-0.317</v>
      </c>
      <c r="AW220" s="3">
        <v>-0.45</v>
      </c>
      <c r="AX220" s="3">
        <f t="shared" si="124"/>
        <v>0.13300000000000001</v>
      </c>
      <c r="AY220" s="3">
        <v>-2.4E-2</v>
      </c>
      <c r="AZ220" s="3">
        <v>0.13500000000000001</v>
      </c>
      <c r="BA220" s="3">
        <f t="shared" si="125"/>
        <v>-0.159</v>
      </c>
      <c r="BB220" s="3">
        <f t="shared" si="155"/>
        <v>0.17050000000000001</v>
      </c>
      <c r="BC220" s="3">
        <f t="shared" si="155"/>
        <v>0.1575</v>
      </c>
      <c r="BD220" s="3">
        <f t="shared" si="127"/>
        <v>1.3000000000000012E-2</v>
      </c>
      <c r="BE220" s="3">
        <f t="shared" si="156"/>
        <v>0.29299999999999998</v>
      </c>
      <c r="BF220" s="3">
        <f t="shared" si="156"/>
        <v>0.58499999999999996</v>
      </c>
      <c r="BG220" s="3">
        <f t="shared" si="129"/>
        <v>-0.29199999999999998</v>
      </c>
      <c r="BH220" s="3">
        <f t="shared" si="157"/>
        <v>-0.17050000000000001</v>
      </c>
      <c r="BI220" s="3">
        <f t="shared" si="157"/>
        <v>-0.1575</v>
      </c>
      <c r="BJ220" s="3">
        <f t="shared" si="154"/>
        <v>-1.3000000000000012E-2</v>
      </c>
      <c r="BK220" s="3">
        <f t="shared" si="151"/>
        <v>4.9607935153583631E-2</v>
      </c>
      <c r="BL220" s="3">
        <f t="shared" si="152"/>
        <v>2.120192307692308E-2</v>
      </c>
      <c r="BM220" s="3">
        <f t="shared" si="131"/>
        <v>2.8406012076660551E-2</v>
      </c>
      <c r="BN220" s="3">
        <v>2.2370000000000001</v>
      </c>
      <c r="BO220" s="3">
        <v>2.431</v>
      </c>
      <c r="BP220" s="3">
        <f t="shared" si="132"/>
        <v>-0.19399999999999995</v>
      </c>
      <c r="BQ220" s="3">
        <v>-602243.07700000005</v>
      </c>
      <c r="BR220" s="3">
        <v>-601163.24300000002</v>
      </c>
      <c r="BS220" s="3">
        <f t="shared" si="133"/>
        <v>-1079.8340000000317</v>
      </c>
      <c r="BT220" s="3">
        <v>-602262.36399999994</v>
      </c>
      <c r="BU220" s="3">
        <v>-601182.38500000001</v>
      </c>
      <c r="BV220" s="3">
        <f t="shared" si="134"/>
        <v>-1079.9789999999339</v>
      </c>
    </row>
    <row r="221" spans="1:74" x14ac:dyDescent="0.25">
      <c r="A221" t="s">
        <v>405</v>
      </c>
      <c r="B221" t="s">
        <v>514</v>
      </c>
      <c r="C221" t="s">
        <v>99</v>
      </c>
      <c r="D221" s="3">
        <v>17.350000000000001</v>
      </c>
      <c r="E221" s="3">
        <v>0.68</v>
      </c>
      <c r="F221" s="3">
        <v>-250.255</v>
      </c>
      <c r="G221" s="3">
        <v>-251.97800000000001</v>
      </c>
      <c r="H221" s="3">
        <f t="shared" si="135"/>
        <v>-1.7230000000000132</v>
      </c>
      <c r="I221" s="3">
        <v>-0.36599999999999999</v>
      </c>
      <c r="J221" s="6">
        <v>-0.22700000000000001</v>
      </c>
      <c r="K221" s="3">
        <f t="shared" si="136"/>
        <v>0.13899999999999998</v>
      </c>
      <c r="L221" s="3">
        <v>0.157</v>
      </c>
      <c r="M221" s="6">
        <v>4.2000000000000003E-2</v>
      </c>
      <c r="N221" s="3">
        <f t="shared" si="137"/>
        <v>-0.11499999999999999</v>
      </c>
      <c r="O221" s="3">
        <f t="shared" si="138"/>
        <v>0.1045</v>
      </c>
      <c r="P221" s="3">
        <f t="shared" si="138"/>
        <v>9.2499999999999999E-2</v>
      </c>
      <c r="Q221" s="3">
        <f t="shared" si="139"/>
        <v>-1.1999999999999997E-2</v>
      </c>
      <c r="R221" s="3">
        <f t="shared" si="140"/>
        <v>0.52300000000000002</v>
      </c>
      <c r="S221" s="3">
        <f t="shared" si="140"/>
        <v>0.26900000000000002</v>
      </c>
      <c r="T221" s="3">
        <f t="shared" si="141"/>
        <v>-0.254</v>
      </c>
      <c r="U221" s="3">
        <f t="shared" si="142"/>
        <v>-0.1045</v>
      </c>
      <c r="V221" s="3">
        <f t="shared" si="142"/>
        <v>-9.2499999999999999E-2</v>
      </c>
      <c r="W221" s="3">
        <f t="shared" si="153"/>
        <v>1.1999999999999997E-2</v>
      </c>
      <c r="X221" s="3">
        <f t="shared" si="149"/>
        <v>1.0440009560229445E-2</v>
      </c>
      <c r="Y221" s="3">
        <f t="shared" si="150"/>
        <v>1.5903810408921932E-2</v>
      </c>
      <c r="Z221" s="3">
        <f t="shared" si="143"/>
        <v>5.4638008486924874E-3</v>
      </c>
      <c r="AA221" s="3">
        <v>1.306</v>
      </c>
      <c r="AB221" s="3">
        <v>1.2050000000000001</v>
      </c>
      <c r="AC221" s="3">
        <f t="shared" si="144"/>
        <v>-0.10099999999999998</v>
      </c>
      <c r="AD221" s="3">
        <f>-250.079645*627.50956</f>
        <v>-156927.36799890618</v>
      </c>
      <c r="AE221" s="3">
        <f>-251.812888*627.50956</f>
        <v>-158014.99455120927</v>
      </c>
      <c r="AF221" s="3">
        <f t="shared" si="145"/>
        <v>-1087.6265523030888</v>
      </c>
      <c r="AG221" s="3">
        <f>-250.114287*627.50956</f>
        <v>-156949.10618508371</v>
      </c>
      <c r="AH221" s="3">
        <f>-251.848047*627.50956</f>
        <v>-158037.0571598293</v>
      </c>
      <c r="AI221" s="3">
        <f t="shared" si="146"/>
        <v>-1087.9509747455886</v>
      </c>
      <c r="AJ221" s="3">
        <v>-0.71899999999999997</v>
      </c>
      <c r="AK221" s="3">
        <v>-0.69199999999999995</v>
      </c>
      <c r="AL221" s="3">
        <f t="shared" si="147"/>
        <v>2.7000000000000024E-2</v>
      </c>
      <c r="AM221" s="3">
        <v>85.147540000000006</v>
      </c>
      <c r="AN221" s="3">
        <v>154.64590000000001</v>
      </c>
      <c r="AO221" s="3">
        <v>163.82563999999999</v>
      </c>
      <c r="AP221" s="3">
        <f t="shared" si="148"/>
        <v>1.0682505176929109</v>
      </c>
      <c r="AQ221" s="3">
        <v>7.3330000000000002</v>
      </c>
      <c r="AR221" s="3">
        <v>1.5833101000000001</v>
      </c>
      <c r="AS221" s="3">
        <v>-132.80099999999999</v>
      </c>
      <c r="AT221" s="3">
        <v>-131.97</v>
      </c>
      <c r="AU221" s="3">
        <f t="shared" si="123"/>
        <v>-0.83099999999998886</v>
      </c>
      <c r="AV221" s="3">
        <v>-0.34100000000000003</v>
      </c>
      <c r="AW221" s="3">
        <v>-0.47499999999999998</v>
      </c>
      <c r="AX221" s="3">
        <f t="shared" si="124"/>
        <v>0.13399999999999995</v>
      </c>
      <c r="AY221" s="3">
        <v>2.9000000000000001E-2</v>
      </c>
      <c r="AZ221" s="3">
        <v>0.156</v>
      </c>
      <c r="BA221" s="3">
        <f t="shared" si="125"/>
        <v>-0.127</v>
      </c>
      <c r="BB221" s="3">
        <f t="shared" si="155"/>
        <v>0.156</v>
      </c>
      <c r="BC221" s="3">
        <f t="shared" si="155"/>
        <v>0.15949999999999998</v>
      </c>
      <c r="BD221" s="3">
        <f t="shared" si="127"/>
        <v>-3.4999999999999754E-3</v>
      </c>
      <c r="BE221" s="3">
        <f t="shared" si="156"/>
        <v>0.37000000000000005</v>
      </c>
      <c r="BF221" s="3">
        <f t="shared" si="156"/>
        <v>0.63100000000000001</v>
      </c>
      <c r="BG221" s="3">
        <f t="shared" si="129"/>
        <v>-0.26099999999999995</v>
      </c>
      <c r="BH221" s="3">
        <f t="shared" si="157"/>
        <v>-0.156</v>
      </c>
      <c r="BI221" s="3">
        <f t="shared" si="157"/>
        <v>-0.15949999999999998</v>
      </c>
      <c r="BJ221" s="3">
        <f t="shared" si="154"/>
        <v>3.4999999999999754E-3</v>
      </c>
      <c r="BK221" s="3">
        <f t="shared" si="151"/>
        <v>3.2886486486486483E-2</v>
      </c>
      <c r="BL221" s="3">
        <f t="shared" si="152"/>
        <v>2.0158676703645E-2</v>
      </c>
      <c r="BM221" s="3">
        <f t="shared" si="131"/>
        <v>1.2727809782841482E-2</v>
      </c>
      <c r="BN221" s="3">
        <v>4.7279999999999998</v>
      </c>
      <c r="BO221" s="3">
        <v>4.9340000000000002</v>
      </c>
      <c r="BP221" s="3">
        <f t="shared" si="132"/>
        <v>-0.20600000000000041</v>
      </c>
      <c r="BQ221" s="3">
        <v>-83302.89</v>
      </c>
      <c r="BR221" s="3">
        <v>-82779.224000000002</v>
      </c>
      <c r="BS221" s="3">
        <f t="shared" si="133"/>
        <v>-523.66599999999744</v>
      </c>
      <c r="BT221" s="3">
        <v>-83320.774999999994</v>
      </c>
      <c r="BU221" s="3">
        <v>-82796.997000000003</v>
      </c>
      <c r="BV221" s="3">
        <f t="shared" si="134"/>
        <v>-523.77799999999115</v>
      </c>
    </row>
    <row r="222" spans="1:74" x14ac:dyDescent="0.25">
      <c r="A222" t="s">
        <v>406</v>
      </c>
      <c r="B222" t="s">
        <v>514</v>
      </c>
      <c r="C222" t="s">
        <v>200</v>
      </c>
      <c r="D222" s="3">
        <v>17.52</v>
      </c>
      <c r="E222" s="3">
        <v>0.55000000000000004</v>
      </c>
      <c r="F222" s="3">
        <v>-374.226</v>
      </c>
      <c r="G222" s="3">
        <v>-376.34500000000003</v>
      </c>
      <c r="H222" s="3">
        <f t="shared" si="135"/>
        <v>-2.1190000000000282</v>
      </c>
      <c r="I222" s="3">
        <v>-0.34200000000000003</v>
      </c>
      <c r="J222" s="6">
        <v>-0.214</v>
      </c>
      <c r="K222" s="3">
        <f t="shared" si="136"/>
        <v>0.12800000000000003</v>
      </c>
      <c r="L222" s="3">
        <v>0.17599999999999999</v>
      </c>
      <c r="M222" s="6">
        <v>0.03</v>
      </c>
      <c r="N222" s="3">
        <f t="shared" si="137"/>
        <v>-0.14599999999999999</v>
      </c>
      <c r="O222" s="3">
        <f t="shared" si="138"/>
        <v>8.3000000000000018E-2</v>
      </c>
      <c r="P222" s="3">
        <f t="shared" si="138"/>
        <v>9.1999999999999998E-2</v>
      </c>
      <c r="Q222" s="3">
        <f t="shared" si="139"/>
        <v>8.9999999999999802E-3</v>
      </c>
      <c r="R222" s="3">
        <f t="shared" si="140"/>
        <v>0.51800000000000002</v>
      </c>
      <c r="S222" s="3">
        <f t="shared" si="140"/>
        <v>0.24399999999999999</v>
      </c>
      <c r="T222" s="3">
        <f t="shared" si="141"/>
        <v>-0.27400000000000002</v>
      </c>
      <c r="U222" s="3">
        <f t="shared" si="142"/>
        <v>-8.3000000000000018E-2</v>
      </c>
      <c r="V222" s="3">
        <f t="shared" si="142"/>
        <v>-9.1999999999999998E-2</v>
      </c>
      <c r="W222" s="3">
        <f t="shared" si="153"/>
        <v>-8.9999999999999802E-3</v>
      </c>
      <c r="X222" s="3">
        <f t="shared" si="149"/>
        <v>6.649613899613902E-3</v>
      </c>
      <c r="Y222" s="3">
        <f t="shared" si="150"/>
        <v>1.7344262295081965E-2</v>
      </c>
      <c r="Z222" s="3">
        <f t="shared" si="143"/>
        <v>1.0694648395468062E-2</v>
      </c>
      <c r="AA222" s="3">
        <v>7.7169999999999996</v>
      </c>
      <c r="AB222" s="3">
        <v>7.03</v>
      </c>
      <c r="AC222" s="3">
        <f t="shared" si="144"/>
        <v>-0.68699999999999939</v>
      </c>
      <c r="AD222" s="3">
        <f>-374.146593*627.50956</f>
        <v>-234780.56394892908</v>
      </c>
      <c r="AE222" s="3">
        <f>-376.27166*627.50956</f>
        <v>-236114.06380706959</v>
      </c>
      <c r="AF222" s="3">
        <f t="shared" si="145"/>
        <v>-1333.4998581405089</v>
      </c>
      <c r="AG222" s="3">
        <f>-374.181574*627.50956</f>
        <v>-234802.51486084744</v>
      </c>
      <c r="AH222" s="3">
        <f>-376.307217*627.50956</f>
        <v>-236136.37616449449</v>
      </c>
      <c r="AI222" s="3">
        <f t="shared" si="146"/>
        <v>-1333.8613036470488</v>
      </c>
      <c r="AJ222" s="3">
        <v>-0.746</v>
      </c>
      <c r="AK222" s="3">
        <v>-0.69399999999999995</v>
      </c>
      <c r="AL222" s="3">
        <f t="shared" si="147"/>
        <v>5.2000000000000046E-2</v>
      </c>
      <c r="AM222" s="3">
        <v>99.068119999999993</v>
      </c>
      <c r="AN222" s="3">
        <v>128.29186000000001</v>
      </c>
      <c r="AO222" s="3">
        <v>120.63163</v>
      </c>
      <c r="AP222" s="3">
        <f t="shared" si="148"/>
        <v>1.0867948905412284</v>
      </c>
      <c r="AQ222" s="3">
        <v>7.6079999999999997</v>
      </c>
      <c r="AR222" s="3">
        <v>1.7087779999999999</v>
      </c>
      <c r="AS222" s="3">
        <v>-553.27200000000005</v>
      </c>
      <c r="AT222" s="3">
        <v>-551.61699999999996</v>
      </c>
      <c r="AU222" s="3">
        <f t="shared" si="123"/>
        <v>-1.6550000000000864</v>
      </c>
      <c r="AV222" s="3">
        <v>-0.23699999999999999</v>
      </c>
      <c r="AW222" s="3">
        <v>-0.36899999999999999</v>
      </c>
      <c r="AX222" s="3">
        <f t="shared" si="124"/>
        <v>0.13200000000000001</v>
      </c>
      <c r="AY222" s="3">
        <v>2.8000000000000001E-2</v>
      </c>
      <c r="AZ222" s="3">
        <v>0.154</v>
      </c>
      <c r="BA222" s="3">
        <f t="shared" si="125"/>
        <v>-0.126</v>
      </c>
      <c r="BB222" s="3">
        <f t="shared" si="155"/>
        <v>0.1045</v>
      </c>
      <c r="BC222" s="3">
        <f t="shared" si="155"/>
        <v>0.1075</v>
      </c>
      <c r="BD222" s="3">
        <f t="shared" si="127"/>
        <v>-3.0000000000000027E-3</v>
      </c>
      <c r="BE222" s="3">
        <f t="shared" si="156"/>
        <v>0.26500000000000001</v>
      </c>
      <c r="BF222" s="3">
        <f t="shared" si="156"/>
        <v>0.52300000000000002</v>
      </c>
      <c r="BG222" s="3">
        <f t="shared" si="129"/>
        <v>-0.25800000000000001</v>
      </c>
      <c r="BH222" s="3">
        <f t="shared" si="157"/>
        <v>-0.1045</v>
      </c>
      <c r="BI222" s="3">
        <f t="shared" si="157"/>
        <v>-0.1075</v>
      </c>
      <c r="BJ222" s="3">
        <f t="shared" si="154"/>
        <v>3.0000000000000027E-3</v>
      </c>
      <c r="BK222" s="3">
        <f t="shared" si="151"/>
        <v>2.0604245283018865E-2</v>
      </c>
      <c r="BL222" s="3">
        <f t="shared" si="152"/>
        <v>1.104804015296367E-2</v>
      </c>
      <c r="BM222" s="3">
        <f t="shared" si="131"/>
        <v>9.5562051300551957E-3</v>
      </c>
      <c r="BN222" s="3">
        <v>5.4870000000000001</v>
      </c>
      <c r="BO222" s="3">
        <v>6.0839999999999996</v>
      </c>
      <c r="BP222" s="3">
        <f t="shared" si="132"/>
        <v>-0.59699999999999953</v>
      </c>
      <c r="BQ222" s="3">
        <v>-347129.96399999998</v>
      </c>
      <c r="BR222" s="3">
        <v>-346087.64600000001</v>
      </c>
      <c r="BS222" s="3">
        <f t="shared" si="133"/>
        <v>-1042.3179999999702</v>
      </c>
      <c r="BT222" s="3">
        <v>-347152.04599999997</v>
      </c>
      <c r="BU222" s="3">
        <v>-346109.22600000002</v>
      </c>
      <c r="BV222" s="3">
        <f t="shared" si="134"/>
        <v>-1042.8199999999488</v>
      </c>
    </row>
    <row r="223" spans="1:74" x14ac:dyDescent="0.25">
      <c r="A223" t="s">
        <v>407</v>
      </c>
      <c r="B223" t="s">
        <v>514</v>
      </c>
      <c r="C223" t="s">
        <v>200</v>
      </c>
      <c r="D223" s="3">
        <v>17.52</v>
      </c>
      <c r="E223" s="3">
        <v>0.63</v>
      </c>
      <c r="F223" s="3">
        <v>-475.33499999999998</v>
      </c>
      <c r="G223" s="3">
        <v>-478.25799999999998</v>
      </c>
      <c r="H223" s="3">
        <f t="shared" si="135"/>
        <v>-2.9230000000000018</v>
      </c>
      <c r="I223" s="3">
        <v>-0.33300000000000002</v>
      </c>
      <c r="J223" s="6">
        <v>-0.21299999999999999</v>
      </c>
      <c r="K223" s="3">
        <f t="shared" si="136"/>
        <v>0.12000000000000002</v>
      </c>
      <c r="L223" s="3">
        <v>0.158</v>
      </c>
      <c r="M223" s="6">
        <v>0.11799999999999999</v>
      </c>
      <c r="N223" s="3">
        <f t="shared" si="137"/>
        <v>-4.0000000000000008E-2</v>
      </c>
      <c r="O223" s="3">
        <f t="shared" si="138"/>
        <v>8.7500000000000008E-2</v>
      </c>
      <c r="P223" s="3">
        <f t="shared" si="138"/>
        <v>4.7500000000000001E-2</v>
      </c>
      <c r="Q223" s="3">
        <f t="shared" si="139"/>
        <v>-4.0000000000000008E-2</v>
      </c>
      <c r="R223" s="3">
        <f t="shared" si="140"/>
        <v>0.49099999999999999</v>
      </c>
      <c r="S223" s="3">
        <f t="shared" si="140"/>
        <v>0.33099999999999996</v>
      </c>
      <c r="T223" s="3">
        <f t="shared" si="141"/>
        <v>-0.16000000000000003</v>
      </c>
      <c r="U223" s="3">
        <f t="shared" si="142"/>
        <v>-8.7500000000000008E-2</v>
      </c>
      <c r="V223" s="3">
        <f t="shared" si="142"/>
        <v>-4.7500000000000001E-2</v>
      </c>
      <c r="W223" s="3">
        <f t="shared" si="153"/>
        <v>4.0000000000000008E-2</v>
      </c>
      <c r="X223" s="3">
        <f t="shared" si="149"/>
        <v>7.7965885947046858E-3</v>
      </c>
      <c r="Y223" s="3">
        <f t="shared" si="150"/>
        <v>3.408232628398792E-3</v>
      </c>
      <c r="Z223" s="3">
        <f t="shared" si="143"/>
        <v>-4.3883559663058938E-3</v>
      </c>
      <c r="AA223" s="3">
        <v>12.324999999999999</v>
      </c>
      <c r="AB223" s="3">
        <v>11.159000000000001</v>
      </c>
      <c r="AC223" s="3">
        <f t="shared" si="144"/>
        <v>-1.1659999999999986</v>
      </c>
      <c r="AD223" s="3">
        <f>-475.151705*627.50956</f>
        <v>-298162.2373377998</v>
      </c>
      <c r="AE223" s="3">
        <f>-478.08491*627.50956</f>
        <v>-300002.85151673958</v>
      </c>
      <c r="AF223" s="3">
        <f t="shared" si="145"/>
        <v>-1840.6141789397807</v>
      </c>
      <c r="AG223" s="3">
        <f>-475.19539*627.50956</f>
        <v>-298189.65009292838</v>
      </c>
      <c r="AH223" s="3">
        <f>-478.129773*627.50956</f>
        <v>-300031.00347812986</v>
      </c>
      <c r="AI223" s="3">
        <f t="shared" si="146"/>
        <v>-1841.3533852014807</v>
      </c>
      <c r="AJ223" s="3">
        <v>-0.88100000000000001</v>
      </c>
      <c r="AK223" s="3">
        <v>-0.748</v>
      </c>
      <c r="AL223" s="3">
        <f t="shared" si="147"/>
        <v>0.13300000000000001</v>
      </c>
      <c r="AM223" s="3">
        <v>140.15979999999999</v>
      </c>
      <c r="AN223" s="3">
        <v>186.42680999999999</v>
      </c>
      <c r="AO223" s="3">
        <v>207.28564</v>
      </c>
      <c r="AP223" s="3">
        <f t="shared" si="148"/>
        <v>1.1008247217744114</v>
      </c>
      <c r="AQ223" s="3">
        <v>8.5150000000000006</v>
      </c>
      <c r="AR223" s="3">
        <v>2.1149334999999998</v>
      </c>
      <c r="AS223" s="3">
        <v>-553.27200000000005</v>
      </c>
      <c r="AT223" s="3">
        <v>-551.61699999999996</v>
      </c>
      <c r="AU223" s="3">
        <f t="shared" si="123"/>
        <v>-1.6550000000000864</v>
      </c>
      <c r="AV223" s="3">
        <v>-0.23699999999999999</v>
      </c>
      <c r="AW223" s="3">
        <v>-0.36899999999999999</v>
      </c>
      <c r="AX223" s="3">
        <f t="shared" si="124"/>
        <v>0.13200000000000001</v>
      </c>
      <c r="AY223" s="3">
        <v>2.8000000000000001E-2</v>
      </c>
      <c r="AZ223" s="3">
        <v>0.154</v>
      </c>
      <c r="BA223" s="3">
        <f t="shared" si="125"/>
        <v>-0.126</v>
      </c>
      <c r="BB223" s="3">
        <f t="shared" ref="BB223:BC238" si="158">-(AV223+AY223)/2</f>
        <v>0.1045</v>
      </c>
      <c r="BC223" s="3">
        <f t="shared" si="158"/>
        <v>0.1075</v>
      </c>
      <c r="BD223" s="3">
        <f t="shared" si="127"/>
        <v>-3.0000000000000027E-3</v>
      </c>
      <c r="BE223" s="3">
        <f t="shared" ref="BE223:BF238" si="159">AY223-AV223</f>
        <v>0.26500000000000001</v>
      </c>
      <c r="BF223" s="3">
        <f t="shared" si="159"/>
        <v>0.52300000000000002</v>
      </c>
      <c r="BG223" s="3">
        <f t="shared" si="129"/>
        <v>-0.25800000000000001</v>
      </c>
      <c r="BH223" s="3">
        <f t="shared" ref="BH223:BI238" si="160">(AV223+AY223)/2</f>
        <v>-0.1045</v>
      </c>
      <c r="BI223" s="3">
        <f t="shared" si="160"/>
        <v>-0.1075</v>
      </c>
      <c r="BJ223" s="3">
        <f t="shared" si="154"/>
        <v>3.0000000000000027E-3</v>
      </c>
      <c r="BK223" s="3">
        <f t="shared" si="151"/>
        <v>2.0604245283018865E-2</v>
      </c>
      <c r="BL223" s="3">
        <f t="shared" si="152"/>
        <v>1.104804015296367E-2</v>
      </c>
      <c r="BM223" s="3">
        <f t="shared" si="131"/>
        <v>9.5562051300551957E-3</v>
      </c>
      <c r="BN223" s="3">
        <v>5.4870000000000001</v>
      </c>
      <c r="BO223" s="3">
        <v>6.0839999999999996</v>
      </c>
      <c r="BP223" s="3">
        <f t="shared" si="132"/>
        <v>-0.59699999999999953</v>
      </c>
      <c r="BQ223" s="3">
        <v>-347129.96399999998</v>
      </c>
      <c r="BR223" s="3">
        <v>-346087.64600000001</v>
      </c>
      <c r="BS223" s="3">
        <f t="shared" si="133"/>
        <v>-1042.3179999999702</v>
      </c>
      <c r="BT223" s="3">
        <v>-347152.04599999997</v>
      </c>
      <c r="BU223" s="3">
        <v>-346109.22600000002</v>
      </c>
      <c r="BV223" s="3">
        <f t="shared" si="134"/>
        <v>-1042.8199999999488</v>
      </c>
    </row>
    <row r="224" spans="1:74" x14ac:dyDescent="0.25">
      <c r="A224" t="s">
        <v>408</v>
      </c>
      <c r="B224" t="s">
        <v>514</v>
      </c>
      <c r="C224" t="s">
        <v>200</v>
      </c>
      <c r="D224" s="3">
        <v>17.63</v>
      </c>
      <c r="E224" s="3">
        <v>0.62</v>
      </c>
      <c r="F224" s="3">
        <v>-451.14699999999999</v>
      </c>
      <c r="G224" s="3">
        <v>-453.79300000000001</v>
      </c>
      <c r="H224" s="3">
        <f t="shared" si="135"/>
        <v>-2.646000000000015</v>
      </c>
      <c r="I224" s="3">
        <v>-0.28000000000000003</v>
      </c>
      <c r="J224" s="6">
        <v>-0.186</v>
      </c>
      <c r="K224" s="3">
        <f t="shared" si="136"/>
        <v>9.4000000000000028E-2</v>
      </c>
      <c r="L224" s="3">
        <v>0.155</v>
      </c>
      <c r="M224" s="6">
        <v>2E-3</v>
      </c>
      <c r="N224" s="3">
        <f t="shared" si="137"/>
        <v>-0.153</v>
      </c>
      <c r="O224" s="3">
        <f t="shared" si="138"/>
        <v>6.2500000000000014E-2</v>
      </c>
      <c r="P224" s="3">
        <f t="shared" si="138"/>
        <v>9.1999999999999998E-2</v>
      </c>
      <c r="Q224" s="3">
        <f t="shared" si="139"/>
        <v>2.9499999999999985E-2</v>
      </c>
      <c r="R224" s="3">
        <f t="shared" si="140"/>
        <v>0.43500000000000005</v>
      </c>
      <c r="S224" s="3">
        <f t="shared" si="140"/>
        <v>0.188</v>
      </c>
      <c r="T224" s="3">
        <f t="shared" si="141"/>
        <v>-0.24700000000000005</v>
      </c>
      <c r="U224" s="3">
        <f t="shared" si="142"/>
        <v>-6.2500000000000014E-2</v>
      </c>
      <c r="V224" s="3">
        <f t="shared" si="142"/>
        <v>-9.1999999999999998E-2</v>
      </c>
      <c r="W224" s="3">
        <f t="shared" si="153"/>
        <v>-2.9499999999999985E-2</v>
      </c>
      <c r="X224" s="3">
        <f t="shared" si="149"/>
        <v>4.4899425287356336E-3</v>
      </c>
      <c r="Y224" s="3">
        <f t="shared" si="150"/>
        <v>2.2510638297872337E-2</v>
      </c>
      <c r="Z224" s="3">
        <f t="shared" si="143"/>
        <v>1.8020695769136702E-2</v>
      </c>
      <c r="AA224" s="3">
        <v>5.6849999999999996</v>
      </c>
      <c r="AB224" s="3">
        <v>5.125</v>
      </c>
      <c r="AC224" s="3">
        <f t="shared" si="144"/>
        <v>-0.55999999999999961</v>
      </c>
      <c r="AD224" s="3">
        <f>-451.030406*627.50956</f>
        <v>-283025.89161568135</v>
      </c>
      <c r="AE224" s="3">
        <f>-453.684133*627.50956</f>
        <v>-284691.13067781145</v>
      </c>
      <c r="AF224" s="3">
        <f t="shared" si="145"/>
        <v>-1665.239062130102</v>
      </c>
      <c r="AG224" s="3">
        <f>-451.070205*627.50956</f>
        <v>-283050.86586865975</v>
      </c>
      <c r="AH224" s="3">
        <f>-453.725032*627.50956</f>
        <v>-284716.79519130592</v>
      </c>
      <c r="AI224" s="3">
        <f t="shared" si="146"/>
        <v>-1665.9293226461741</v>
      </c>
      <c r="AJ224" s="3">
        <v>-0.72499999999999998</v>
      </c>
      <c r="AK224" s="3">
        <v>-0.65100000000000002</v>
      </c>
      <c r="AL224" s="3">
        <f t="shared" si="147"/>
        <v>7.3999999999999955E-2</v>
      </c>
      <c r="AM224" s="3">
        <v>125.1054</v>
      </c>
      <c r="AN224" s="3">
        <v>161.42429999999999</v>
      </c>
      <c r="AO224" s="3">
        <v>162.72190000000001</v>
      </c>
      <c r="AP224" s="3">
        <f t="shared" si="148"/>
        <v>1.1201104727696081</v>
      </c>
      <c r="AQ224" s="3">
        <v>8.7810000000000006</v>
      </c>
      <c r="AR224" s="3">
        <v>2.0179844</v>
      </c>
      <c r="AS224" s="3">
        <v>-553.27200000000005</v>
      </c>
      <c r="AT224" s="3">
        <v>-551.61699999999996</v>
      </c>
      <c r="AU224" s="3">
        <f t="shared" si="123"/>
        <v>-1.6550000000000864</v>
      </c>
      <c r="AV224" s="3">
        <v>-0.23699999999999999</v>
      </c>
      <c r="AW224" s="3">
        <v>-0.36899999999999999</v>
      </c>
      <c r="AX224" s="3">
        <f t="shared" si="124"/>
        <v>0.13200000000000001</v>
      </c>
      <c r="AY224" s="3">
        <v>2.8000000000000001E-2</v>
      </c>
      <c r="AZ224" s="3">
        <v>0.154</v>
      </c>
      <c r="BA224" s="3">
        <f t="shared" si="125"/>
        <v>-0.126</v>
      </c>
      <c r="BB224" s="3">
        <f t="shared" si="158"/>
        <v>0.1045</v>
      </c>
      <c r="BC224" s="3">
        <f t="shared" si="158"/>
        <v>0.1075</v>
      </c>
      <c r="BD224" s="3">
        <f t="shared" si="127"/>
        <v>-3.0000000000000027E-3</v>
      </c>
      <c r="BE224" s="3">
        <f t="shared" si="159"/>
        <v>0.26500000000000001</v>
      </c>
      <c r="BF224" s="3">
        <f t="shared" si="159"/>
        <v>0.52300000000000002</v>
      </c>
      <c r="BG224" s="3">
        <f t="shared" si="129"/>
        <v>-0.25800000000000001</v>
      </c>
      <c r="BH224" s="3">
        <f t="shared" si="160"/>
        <v>-0.1045</v>
      </c>
      <c r="BI224" s="3">
        <f t="shared" si="160"/>
        <v>-0.1075</v>
      </c>
      <c r="BJ224" s="3">
        <f t="shared" si="154"/>
        <v>3.0000000000000027E-3</v>
      </c>
      <c r="BK224" s="3">
        <f t="shared" si="151"/>
        <v>2.0604245283018865E-2</v>
      </c>
      <c r="BL224" s="3">
        <f t="shared" si="152"/>
        <v>1.104804015296367E-2</v>
      </c>
      <c r="BM224" s="3">
        <f t="shared" si="131"/>
        <v>9.5562051300551957E-3</v>
      </c>
      <c r="BN224" s="3">
        <v>5.4870000000000001</v>
      </c>
      <c r="BO224" s="3">
        <v>6.0839999999999996</v>
      </c>
      <c r="BP224" s="3">
        <f t="shared" si="132"/>
        <v>-0.59699999999999953</v>
      </c>
      <c r="BQ224" s="3">
        <v>-347129.96399999998</v>
      </c>
      <c r="BR224" s="3">
        <v>-346087.64600000001</v>
      </c>
      <c r="BS224" s="3">
        <f t="shared" si="133"/>
        <v>-1042.3179999999702</v>
      </c>
      <c r="BT224" s="3">
        <v>-347152.04599999997</v>
      </c>
      <c r="BU224" s="3">
        <v>-346109.22600000002</v>
      </c>
      <c r="BV224" s="3">
        <f t="shared" si="134"/>
        <v>-1042.8199999999488</v>
      </c>
    </row>
    <row r="225" spans="1:74" x14ac:dyDescent="0.25">
      <c r="A225" t="s">
        <v>409</v>
      </c>
      <c r="B225" t="s">
        <v>514</v>
      </c>
      <c r="C225" t="s">
        <v>99</v>
      </c>
      <c r="D225" s="3">
        <v>17.690000000000001</v>
      </c>
      <c r="E225" s="3">
        <v>0.56999999999999995</v>
      </c>
      <c r="F225" s="3">
        <v>-1102.97</v>
      </c>
      <c r="G225" s="3">
        <v>-1110.173</v>
      </c>
      <c r="H225" s="3">
        <f t="shared" si="135"/>
        <v>-7.2029999999999745</v>
      </c>
      <c r="I225" s="3">
        <v>-0.27800000000000002</v>
      </c>
      <c r="J225" s="6">
        <v>-0.182</v>
      </c>
      <c r="K225" s="3">
        <f t="shared" si="136"/>
        <v>9.600000000000003E-2</v>
      </c>
      <c r="L225" s="3">
        <v>0.11799999999999999</v>
      </c>
      <c r="M225" s="6">
        <v>-2.1000000000000001E-2</v>
      </c>
      <c r="N225" s="3">
        <f t="shared" si="137"/>
        <v>-0.13899999999999998</v>
      </c>
      <c r="O225" s="3">
        <f t="shared" si="138"/>
        <v>8.0000000000000016E-2</v>
      </c>
      <c r="P225" s="3">
        <f t="shared" si="138"/>
        <v>0.10149999999999999</v>
      </c>
      <c r="Q225" s="3">
        <f t="shared" si="139"/>
        <v>2.1499999999999977E-2</v>
      </c>
      <c r="R225" s="3">
        <f t="shared" si="140"/>
        <v>0.39600000000000002</v>
      </c>
      <c r="S225" s="3">
        <f t="shared" si="140"/>
        <v>0.161</v>
      </c>
      <c r="T225" s="3">
        <f t="shared" si="141"/>
        <v>-0.23500000000000001</v>
      </c>
      <c r="U225" s="3">
        <f t="shared" si="142"/>
        <v>-8.0000000000000016E-2</v>
      </c>
      <c r="V225" s="3">
        <f t="shared" si="142"/>
        <v>-0.10149999999999999</v>
      </c>
      <c r="W225" s="3">
        <f t="shared" si="153"/>
        <v>-2.1499999999999977E-2</v>
      </c>
      <c r="X225" s="3">
        <f t="shared" si="149"/>
        <v>8.0808080808080843E-3</v>
      </c>
      <c r="Y225" s="3">
        <f t="shared" si="150"/>
        <v>3.1994565217391302E-2</v>
      </c>
      <c r="Z225" s="3">
        <f t="shared" si="143"/>
        <v>2.3913757136583218E-2</v>
      </c>
      <c r="AA225" s="3">
        <v>5.9939999999999998</v>
      </c>
      <c r="AB225" s="3">
        <v>6.931</v>
      </c>
      <c r="AC225" s="3">
        <f t="shared" si="144"/>
        <v>0.93700000000000028</v>
      </c>
      <c r="AD225" s="3">
        <f>-1102.490028*627.50956</f>
        <v>-691823.03237466759</v>
      </c>
      <c r="AE225" s="3">
        <f>-1109.721087*627.50956</f>
        <v>-696360.5910260916</v>
      </c>
      <c r="AF225" s="3">
        <f t="shared" si="145"/>
        <v>-4537.5586514240131</v>
      </c>
      <c r="AG225" s="3">
        <f>-1102.564622*627.50956</f>
        <v>-691869.84082278633</v>
      </c>
      <c r="AH225" s="3">
        <f>-1109.79818*627.50956</f>
        <v>-696408.96762060071</v>
      </c>
      <c r="AI225" s="3">
        <f t="shared" si="146"/>
        <v>-4539.1267978143878</v>
      </c>
      <c r="AJ225" s="3">
        <v>-0.52500000000000002</v>
      </c>
      <c r="AK225" s="3">
        <v>-0.503</v>
      </c>
      <c r="AL225" s="3">
        <f t="shared" si="147"/>
        <v>2.200000000000002E-2</v>
      </c>
      <c r="AM225" s="3">
        <v>356.46346</v>
      </c>
      <c r="AN225" s="3">
        <v>422.30990000000003</v>
      </c>
      <c r="AO225" s="3">
        <v>525.84379999999999</v>
      </c>
      <c r="AP225" s="3">
        <f t="shared" si="148"/>
        <v>1.3406519403276846</v>
      </c>
      <c r="AQ225" s="3">
        <v>18.850000000000001</v>
      </c>
      <c r="AR225" s="3">
        <v>4.4744409999999997</v>
      </c>
      <c r="AS225" s="3">
        <v>-132.80099999999999</v>
      </c>
      <c r="AT225" s="3">
        <v>-131.97</v>
      </c>
      <c r="AU225" s="3">
        <f t="shared" si="123"/>
        <v>-0.83099999999998886</v>
      </c>
      <c r="AV225" s="3">
        <v>-0.34100000000000003</v>
      </c>
      <c r="AW225" s="3">
        <v>-0.47499999999999998</v>
      </c>
      <c r="AX225" s="3">
        <f t="shared" si="124"/>
        <v>0.13399999999999995</v>
      </c>
      <c r="AY225" s="3">
        <v>2.9000000000000001E-2</v>
      </c>
      <c r="AZ225" s="3">
        <v>0.156</v>
      </c>
      <c r="BA225" s="3">
        <f t="shared" si="125"/>
        <v>-0.127</v>
      </c>
      <c r="BB225" s="3">
        <f t="shared" si="158"/>
        <v>0.156</v>
      </c>
      <c r="BC225" s="3">
        <f t="shared" si="158"/>
        <v>0.15949999999999998</v>
      </c>
      <c r="BD225" s="3">
        <f t="shared" si="127"/>
        <v>-3.4999999999999754E-3</v>
      </c>
      <c r="BE225" s="3">
        <f t="shared" si="159"/>
        <v>0.37000000000000005</v>
      </c>
      <c r="BF225" s="3">
        <f t="shared" si="159"/>
        <v>0.63100000000000001</v>
      </c>
      <c r="BG225" s="3">
        <f t="shared" si="129"/>
        <v>-0.26099999999999995</v>
      </c>
      <c r="BH225" s="3">
        <f t="shared" si="160"/>
        <v>-0.156</v>
      </c>
      <c r="BI225" s="3">
        <f t="shared" si="160"/>
        <v>-0.15949999999999998</v>
      </c>
      <c r="BJ225" s="3">
        <f t="shared" si="154"/>
        <v>3.4999999999999754E-3</v>
      </c>
      <c r="BK225" s="3">
        <f t="shared" si="151"/>
        <v>3.2886486486486483E-2</v>
      </c>
      <c r="BL225" s="3">
        <f t="shared" si="152"/>
        <v>2.0158676703645E-2</v>
      </c>
      <c r="BM225" s="3">
        <f t="shared" si="131"/>
        <v>1.2727809782841482E-2</v>
      </c>
      <c r="BN225" s="3">
        <v>4.7279999999999998</v>
      </c>
      <c r="BO225" s="3">
        <v>4.9340000000000002</v>
      </c>
      <c r="BP225" s="3">
        <f t="shared" si="132"/>
        <v>-0.20600000000000041</v>
      </c>
      <c r="BQ225" s="3">
        <v>-83302.89</v>
      </c>
      <c r="BR225" s="3">
        <v>-82779.224000000002</v>
      </c>
      <c r="BS225" s="3">
        <f t="shared" si="133"/>
        <v>-523.66599999999744</v>
      </c>
      <c r="BT225" s="3">
        <v>-83320.774999999994</v>
      </c>
      <c r="BU225" s="3">
        <v>-82796.997000000003</v>
      </c>
      <c r="BV225" s="3">
        <f t="shared" si="134"/>
        <v>-523.77799999999115</v>
      </c>
    </row>
    <row r="226" spans="1:74" x14ac:dyDescent="0.25">
      <c r="A226" t="s">
        <v>410</v>
      </c>
      <c r="B226" t="s">
        <v>514</v>
      </c>
      <c r="C226" t="s">
        <v>99</v>
      </c>
      <c r="D226" s="3">
        <v>17.73</v>
      </c>
      <c r="E226" s="3">
        <v>0.57999999999999996</v>
      </c>
      <c r="F226" s="3">
        <v>-150.251</v>
      </c>
      <c r="G226" s="3">
        <v>-151.22300000000001</v>
      </c>
      <c r="H226" s="3">
        <f t="shared" si="135"/>
        <v>-0.97200000000000841</v>
      </c>
      <c r="I226" s="3">
        <v>-0.34599999999999997</v>
      </c>
      <c r="J226" s="6">
        <v>-0.20499999999999999</v>
      </c>
      <c r="K226" s="3">
        <f t="shared" si="136"/>
        <v>0.14099999999999999</v>
      </c>
      <c r="L226" s="3">
        <v>0.16200000000000001</v>
      </c>
      <c r="M226" s="6">
        <v>4.3999999999999997E-2</v>
      </c>
      <c r="N226" s="3">
        <f t="shared" si="137"/>
        <v>-0.11800000000000001</v>
      </c>
      <c r="O226" s="3">
        <f t="shared" si="138"/>
        <v>9.1999999999999985E-2</v>
      </c>
      <c r="P226" s="3">
        <f t="shared" si="138"/>
        <v>8.0499999999999988E-2</v>
      </c>
      <c r="Q226" s="3">
        <f t="shared" si="139"/>
        <v>-1.1499999999999996E-2</v>
      </c>
      <c r="R226" s="3">
        <f t="shared" si="140"/>
        <v>0.50800000000000001</v>
      </c>
      <c r="S226" s="3">
        <f t="shared" si="140"/>
        <v>0.249</v>
      </c>
      <c r="T226" s="3">
        <f t="shared" si="141"/>
        <v>-0.25900000000000001</v>
      </c>
      <c r="U226" s="3">
        <f t="shared" si="142"/>
        <v>-9.1999999999999985E-2</v>
      </c>
      <c r="V226" s="3">
        <f t="shared" si="142"/>
        <v>-8.0499999999999988E-2</v>
      </c>
      <c r="W226" s="3">
        <f t="shared" si="153"/>
        <v>1.1499999999999996E-2</v>
      </c>
      <c r="X226" s="3">
        <f t="shared" si="149"/>
        <v>8.3307086614173211E-3</v>
      </c>
      <c r="Y226" s="3">
        <f t="shared" si="150"/>
        <v>1.3012550200803209E-2</v>
      </c>
      <c r="Z226" s="3">
        <f t="shared" si="143"/>
        <v>4.6818415393858875E-3</v>
      </c>
      <c r="AA226" s="3">
        <v>0.438</v>
      </c>
      <c r="AB226" s="3">
        <v>0.36699999999999999</v>
      </c>
      <c r="AC226" s="3">
        <f t="shared" si="144"/>
        <v>-7.1000000000000008E-2</v>
      </c>
      <c r="AD226" s="3">
        <f>-150.158701*627.50956</f>
        <v>-94226.02039468156</v>
      </c>
      <c r="AE226" s="3">
        <f>-151.136753*627.50956</f>
        <v>-94839.757374858673</v>
      </c>
      <c r="AF226" s="3">
        <f t="shared" si="145"/>
        <v>-613.73698017711286</v>
      </c>
      <c r="AG226" s="3">
        <f>-150.190188*627.50956</f>
        <v>-94245.778788197276</v>
      </c>
      <c r="AH226" s="3">
        <f>-151.167836*627.50956</f>
        <v>-94859.262254512156</v>
      </c>
      <c r="AI226" s="3">
        <f t="shared" si="146"/>
        <v>-613.48346631487948</v>
      </c>
      <c r="AJ226" s="3">
        <v>-0.66600000000000004</v>
      </c>
      <c r="AK226" s="3">
        <v>-0.68</v>
      </c>
      <c r="AL226" s="3">
        <f t="shared" si="147"/>
        <v>-1.4000000000000012E-2</v>
      </c>
      <c r="AM226" s="3">
        <v>46.0717</v>
      </c>
      <c r="AN226" s="3">
        <v>105.72563</v>
      </c>
      <c r="AO226" s="3">
        <v>93.294899999999998</v>
      </c>
      <c r="AP226" s="3">
        <f t="shared" si="148"/>
        <v>1.0629943668850996</v>
      </c>
      <c r="AQ226" s="3">
        <v>6.4530000000000003</v>
      </c>
      <c r="AR226" s="3">
        <v>1.171851</v>
      </c>
      <c r="AS226" s="3">
        <v>-132.80099999999999</v>
      </c>
      <c r="AT226" s="3">
        <v>-131.97</v>
      </c>
      <c r="AU226" s="3">
        <f t="shared" si="123"/>
        <v>-0.83099999999998886</v>
      </c>
      <c r="AV226" s="3">
        <v>-0.34100000000000003</v>
      </c>
      <c r="AW226" s="3">
        <v>-0.47499999999999998</v>
      </c>
      <c r="AX226" s="3">
        <f t="shared" si="124"/>
        <v>0.13399999999999995</v>
      </c>
      <c r="AY226" s="3">
        <v>2.9000000000000001E-2</v>
      </c>
      <c r="AZ226" s="3">
        <v>0.156</v>
      </c>
      <c r="BA226" s="3">
        <f t="shared" si="125"/>
        <v>-0.127</v>
      </c>
      <c r="BB226" s="3">
        <f t="shared" si="158"/>
        <v>0.156</v>
      </c>
      <c r="BC226" s="3">
        <f t="shared" si="158"/>
        <v>0.15949999999999998</v>
      </c>
      <c r="BD226" s="3">
        <f t="shared" si="127"/>
        <v>-3.4999999999999754E-3</v>
      </c>
      <c r="BE226" s="3">
        <f t="shared" si="159"/>
        <v>0.37000000000000005</v>
      </c>
      <c r="BF226" s="3">
        <f t="shared" si="159"/>
        <v>0.63100000000000001</v>
      </c>
      <c r="BG226" s="3">
        <f t="shared" si="129"/>
        <v>-0.26099999999999995</v>
      </c>
      <c r="BH226" s="3">
        <f t="shared" si="160"/>
        <v>-0.156</v>
      </c>
      <c r="BI226" s="3">
        <f t="shared" si="160"/>
        <v>-0.15949999999999998</v>
      </c>
      <c r="BJ226" s="3">
        <f t="shared" si="154"/>
        <v>3.4999999999999754E-3</v>
      </c>
      <c r="BK226" s="3">
        <f t="shared" si="151"/>
        <v>3.2886486486486483E-2</v>
      </c>
      <c r="BL226" s="3">
        <f t="shared" si="152"/>
        <v>2.0158676703645E-2</v>
      </c>
      <c r="BM226" s="3">
        <f t="shared" si="131"/>
        <v>1.2727809782841482E-2</v>
      </c>
      <c r="BN226" s="3">
        <v>4.7279999999999998</v>
      </c>
      <c r="BO226" s="3">
        <v>4.9340000000000002</v>
      </c>
      <c r="BP226" s="3">
        <f t="shared" si="132"/>
        <v>-0.20600000000000041</v>
      </c>
      <c r="BQ226" s="3">
        <v>-83302.89</v>
      </c>
      <c r="BR226" s="3">
        <v>-82779.224000000002</v>
      </c>
      <c r="BS226" s="3">
        <f t="shared" si="133"/>
        <v>-523.66599999999744</v>
      </c>
      <c r="BT226" s="3">
        <v>-83320.774999999994</v>
      </c>
      <c r="BU226" s="3">
        <v>-82796.997000000003</v>
      </c>
      <c r="BV226" s="3">
        <f t="shared" si="134"/>
        <v>-523.77799999999115</v>
      </c>
    </row>
    <row r="227" spans="1:74" x14ac:dyDescent="0.25">
      <c r="A227" t="s">
        <v>286</v>
      </c>
      <c r="B227" t="s">
        <v>514</v>
      </c>
      <c r="C227" t="s">
        <v>99</v>
      </c>
      <c r="D227" s="3">
        <v>17.75</v>
      </c>
      <c r="E227" s="3">
        <v>0.53</v>
      </c>
      <c r="F227" s="3">
        <v>-228.33</v>
      </c>
      <c r="G227" s="3">
        <v>-229.864</v>
      </c>
      <c r="H227" s="3">
        <f t="shared" si="135"/>
        <v>-1.5339999999999918</v>
      </c>
      <c r="I227" s="3">
        <v>-0.36799999999999999</v>
      </c>
      <c r="J227" s="6">
        <v>-0.23</v>
      </c>
      <c r="K227" s="3">
        <f t="shared" si="136"/>
        <v>0.13799999999999998</v>
      </c>
      <c r="L227" s="3">
        <v>0.158</v>
      </c>
      <c r="M227" s="6">
        <v>4.2000000000000003E-2</v>
      </c>
      <c r="N227" s="3">
        <f t="shared" si="137"/>
        <v>-0.11599999999999999</v>
      </c>
      <c r="O227" s="3">
        <f t="shared" si="138"/>
        <v>0.105</v>
      </c>
      <c r="P227" s="3">
        <f t="shared" si="138"/>
        <v>9.4E-2</v>
      </c>
      <c r="Q227" s="3">
        <f t="shared" si="139"/>
        <v>-1.0999999999999996E-2</v>
      </c>
      <c r="R227" s="3">
        <f t="shared" si="140"/>
        <v>0.52600000000000002</v>
      </c>
      <c r="S227" s="3">
        <f t="shared" si="140"/>
        <v>0.27200000000000002</v>
      </c>
      <c r="T227" s="3">
        <f t="shared" si="141"/>
        <v>-0.254</v>
      </c>
      <c r="U227" s="3">
        <f t="shared" si="142"/>
        <v>-0.105</v>
      </c>
      <c r="V227" s="3">
        <f t="shared" si="142"/>
        <v>-9.4E-2</v>
      </c>
      <c r="W227" s="3">
        <f t="shared" si="153"/>
        <v>1.0999999999999996E-2</v>
      </c>
      <c r="X227" s="3">
        <f t="shared" si="149"/>
        <v>1.0480038022813686E-2</v>
      </c>
      <c r="Y227" s="3">
        <f t="shared" si="150"/>
        <v>1.6242647058823528E-2</v>
      </c>
      <c r="Z227" s="3">
        <f t="shared" si="143"/>
        <v>5.7626090360098428E-3</v>
      </c>
      <c r="AA227" s="3">
        <v>1.889</v>
      </c>
      <c r="AB227" s="3">
        <v>1.81</v>
      </c>
      <c r="AC227" s="3">
        <f t="shared" si="144"/>
        <v>-7.8999999999999959E-2</v>
      </c>
      <c r="AD227" s="3">
        <f>-228.176329*627.50956</f>
        <v>-143182.82781320525</v>
      </c>
      <c r="AE227" s="3">
        <f>-229.720072*627.50956</f>
        <v>-144151.54130388831</v>
      </c>
      <c r="AF227" s="3">
        <f t="shared" si="145"/>
        <v>-968.71349068306154</v>
      </c>
      <c r="AG227" s="3">
        <f>-228.212778*627.50956</f>
        <v>-143205.69990915767</v>
      </c>
      <c r="AH227" s="3">
        <f>-229.757068*627.50956</f>
        <v>-144174.75664757009</v>
      </c>
      <c r="AI227" s="3">
        <f t="shared" si="146"/>
        <v>-969.05673841241514</v>
      </c>
      <c r="AJ227" s="3">
        <v>-0.51200000000000001</v>
      </c>
      <c r="AK227" s="3">
        <v>-0.502</v>
      </c>
      <c r="AL227" s="3">
        <f t="shared" si="147"/>
        <v>1.0000000000000009E-2</v>
      </c>
      <c r="AM227" s="3">
        <v>74.124899999999997</v>
      </c>
      <c r="AN227" s="3">
        <v>149.5891</v>
      </c>
      <c r="AO227" s="3">
        <v>149.2568</v>
      </c>
      <c r="AP227" s="3">
        <f t="shared" si="148"/>
        <v>1.0995115996424933</v>
      </c>
      <c r="AQ227" s="3">
        <v>7.7110000000000003</v>
      </c>
      <c r="AR227" s="3">
        <v>1.5866690000000001</v>
      </c>
      <c r="AS227" s="3">
        <v>-132.80099999999999</v>
      </c>
      <c r="AT227" s="3">
        <v>-131.97</v>
      </c>
      <c r="AU227" s="3">
        <f t="shared" si="123"/>
        <v>-0.83099999999998886</v>
      </c>
      <c r="AV227" s="3">
        <v>-0.34100000000000003</v>
      </c>
      <c r="AW227" s="3">
        <v>-0.47499999999999998</v>
      </c>
      <c r="AX227" s="3">
        <f t="shared" si="124"/>
        <v>0.13399999999999995</v>
      </c>
      <c r="AY227" s="3">
        <v>2.9000000000000001E-2</v>
      </c>
      <c r="AZ227" s="3">
        <v>0.156</v>
      </c>
      <c r="BA227" s="3">
        <f t="shared" si="125"/>
        <v>-0.127</v>
      </c>
      <c r="BB227" s="3">
        <f t="shared" si="158"/>
        <v>0.156</v>
      </c>
      <c r="BC227" s="3">
        <f t="shared" si="158"/>
        <v>0.15949999999999998</v>
      </c>
      <c r="BD227" s="3">
        <f t="shared" si="127"/>
        <v>-3.4999999999999754E-3</v>
      </c>
      <c r="BE227" s="3">
        <f t="shared" si="159"/>
        <v>0.37000000000000005</v>
      </c>
      <c r="BF227" s="3">
        <f t="shared" si="159"/>
        <v>0.63100000000000001</v>
      </c>
      <c r="BG227" s="3">
        <f t="shared" si="129"/>
        <v>-0.26099999999999995</v>
      </c>
      <c r="BH227" s="3">
        <f t="shared" si="160"/>
        <v>-0.156</v>
      </c>
      <c r="BI227" s="3">
        <f t="shared" si="160"/>
        <v>-0.15949999999999998</v>
      </c>
      <c r="BJ227" s="3">
        <f t="shared" si="154"/>
        <v>3.4999999999999754E-3</v>
      </c>
      <c r="BK227" s="3">
        <f t="shared" si="151"/>
        <v>3.2886486486486483E-2</v>
      </c>
      <c r="BL227" s="3">
        <f t="shared" si="152"/>
        <v>2.0158676703645E-2</v>
      </c>
      <c r="BM227" s="3">
        <f t="shared" si="131"/>
        <v>1.2727809782841482E-2</v>
      </c>
      <c r="BN227" s="3">
        <v>4.7279999999999998</v>
      </c>
      <c r="BO227" s="3">
        <v>4.9340000000000002</v>
      </c>
      <c r="BP227" s="3">
        <f t="shared" si="132"/>
        <v>-0.20600000000000041</v>
      </c>
      <c r="BQ227" s="3">
        <v>-83302.89</v>
      </c>
      <c r="BR227" s="3">
        <v>-82779.224000000002</v>
      </c>
      <c r="BS227" s="3">
        <f t="shared" si="133"/>
        <v>-523.66599999999744</v>
      </c>
      <c r="BT227" s="3">
        <v>-83320.774999999994</v>
      </c>
      <c r="BU227" s="3">
        <v>-82796.997000000003</v>
      </c>
      <c r="BV227" s="3">
        <f t="shared" si="134"/>
        <v>-523.77799999999115</v>
      </c>
    </row>
    <row r="228" spans="1:74" x14ac:dyDescent="0.25">
      <c r="A228" t="s">
        <v>411</v>
      </c>
      <c r="B228" t="s">
        <v>514</v>
      </c>
      <c r="C228" t="s">
        <v>103</v>
      </c>
      <c r="D228" s="3">
        <v>17.899999999999999</v>
      </c>
      <c r="E228" s="3">
        <v>0.48</v>
      </c>
      <c r="F228" s="3">
        <v>-304.07499999999999</v>
      </c>
      <c r="G228" s="3">
        <v>-306.08800000000002</v>
      </c>
      <c r="H228" s="3">
        <f t="shared" si="135"/>
        <v>-2.0130000000000337</v>
      </c>
      <c r="I228" s="3">
        <v>-0.32900000000000001</v>
      </c>
      <c r="J228" s="6">
        <v>-0.21</v>
      </c>
      <c r="K228" s="3">
        <f t="shared" si="136"/>
        <v>0.11900000000000002</v>
      </c>
      <c r="L228" s="3">
        <v>0.154</v>
      </c>
      <c r="M228" s="6">
        <v>6.0000000000000001E-3</v>
      </c>
      <c r="N228" s="3">
        <f t="shared" si="137"/>
        <v>-0.14799999999999999</v>
      </c>
      <c r="O228" s="3">
        <f t="shared" si="138"/>
        <v>8.7500000000000008E-2</v>
      </c>
      <c r="P228" s="3">
        <f t="shared" si="138"/>
        <v>0.10199999999999999</v>
      </c>
      <c r="Q228" s="3">
        <f t="shared" si="139"/>
        <v>1.4499999999999985E-2</v>
      </c>
      <c r="R228" s="3">
        <f t="shared" si="140"/>
        <v>0.48299999999999998</v>
      </c>
      <c r="S228" s="3">
        <f t="shared" si="140"/>
        <v>0.216</v>
      </c>
      <c r="T228" s="3">
        <f t="shared" si="141"/>
        <v>-0.26700000000000002</v>
      </c>
      <c r="U228" s="3">
        <f t="shared" si="142"/>
        <v>-8.7500000000000008E-2</v>
      </c>
      <c r="V228" s="3">
        <f t="shared" si="142"/>
        <v>-0.10199999999999999</v>
      </c>
      <c r="W228" s="3">
        <f t="shared" si="153"/>
        <v>-1.4499999999999985E-2</v>
      </c>
      <c r="X228" s="3">
        <f t="shared" si="149"/>
        <v>7.9257246376811617E-3</v>
      </c>
      <c r="Y228" s="3">
        <f t="shared" si="150"/>
        <v>2.4083333333333328E-2</v>
      </c>
      <c r="Z228" s="3">
        <f t="shared" si="143"/>
        <v>1.6157608695652165E-2</v>
      </c>
      <c r="AA228" s="3">
        <v>2.4489999999999998</v>
      </c>
      <c r="AB228" s="3">
        <v>2.8620000000000001</v>
      </c>
      <c r="AC228" s="3">
        <f t="shared" si="144"/>
        <v>0.41300000000000026</v>
      </c>
      <c r="AD228" s="3">
        <f>-303.907397*627.50956</f>
        <v>-190704.79697221532</v>
      </c>
      <c r="AE228" s="3">
        <f>-305.93093*627.50956</f>
        <v>-191974.58327469078</v>
      </c>
      <c r="AF228" s="3">
        <f t="shared" si="145"/>
        <v>-1269.7863024754624</v>
      </c>
      <c r="AG228" s="3">
        <f>-303.94538*627.50956</f>
        <v>-190728.63166783279</v>
      </c>
      <c r="AH228" s="3">
        <f>-305.969694*627.50956</f>
        <v>-191998.90805527463</v>
      </c>
      <c r="AI228" s="3">
        <f t="shared" si="146"/>
        <v>-1270.2763874418451</v>
      </c>
      <c r="AJ228" s="3">
        <v>-0.26800000000000002</v>
      </c>
      <c r="AK228" s="3">
        <v>-0.25900000000000001</v>
      </c>
      <c r="AL228" s="3">
        <f t="shared" si="147"/>
        <v>9.000000000000008E-3</v>
      </c>
      <c r="AM228" s="3">
        <v>98.146299999999997</v>
      </c>
      <c r="AN228" s="3">
        <v>167.02080000000001</v>
      </c>
      <c r="AO228" s="3">
        <v>173.34854000000001</v>
      </c>
      <c r="AP228" s="3">
        <f t="shared" si="148"/>
        <v>1.1110826972783925</v>
      </c>
      <c r="AQ228" s="3">
        <v>8.8829999999999991</v>
      </c>
      <c r="AR228" s="3">
        <v>1.8240000000000001</v>
      </c>
      <c r="AS228" s="3">
        <v>-959.76900000000001</v>
      </c>
      <c r="AT228" s="3">
        <v>-958.05</v>
      </c>
      <c r="AU228" s="3">
        <f t="shared" si="123"/>
        <v>-1.7190000000000509</v>
      </c>
      <c r="AV228" s="3">
        <v>-0.317</v>
      </c>
      <c r="AW228" s="3">
        <v>-0.45</v>
      </c>
      <c r="AX228" s="3">
        <f t="shared" si="124"/>
        <v>0.13300000000000001</v>
      </c>
      <c r="AY228" s="3">
        <v>-2.4E-2</v>
      </c>
      <c r="AZ228" s="3">
        <v>0.13500000000000001</v>
      </c>
      <c r="BA228" s="3">
        <f t="shared" si="125"/>
        <v>-0.159</v>
      </c>
      <c r="BB228" s="3">
        <f t="shared" si="158"/>
        <v>0.17050000000000001</v>
      </c>
      <c r="BC228" s="3">
        <f t="shared" si="158"/>
        <v>0.1575</v>
      </c>
      <c r="BD228" s="3">
        <f t="shared" si="127"/>
        <v>1.3000000000000012E-2</v>
      </c>
      <c r="BE228" s="3">
        <f t="shared" si="159"/>
        <v>0.29299999999999998</v>
      </c>
      <c r="BF228" s="3">
        <f t="shared" si="159"/>
        <v>0.58499999999999996</v>
      </c>
      <c r="BG228" s="3">
        <f t="shared" si="129"/>
        <v>-0.29199999999999998</v>
      </c>
      <c r="BH228" s="3">
        <f t="shared" si="160"/>
        <v>-0.17050000000000001</v>
      </c>
      <c r="BI228" s="3">
        <f t="shared" si="160"/>
        <v>-0.1575</v>
      </c>
      <c r="BJ228" s="3">
        <f t="shared" si="154"/>
        <v>-1.3000000000000012E-2</v>
      </c>
      <c r="BK228" s="3">
        <f t="shared" si="151"/>
        <v>4.9607935153583631E-2</v>
      </c>
      <c r="BL228" s="3">
        <f t="shared" si="152"/>
        <v>2.120192307692308E-2</v>
      </c>
      <c r="BM228" s="3">
        <f t="shared" si="131"/>
        <v>2.8406012076660551E-2</v>
      </c>
      <c r="BN228" s="3">
        <v>2.2370000000000001</v>
      </c>
      <c r="BO228" s="3">
        <v>2.431</v>
      </c>
      <c r="BP228" s="3">
        <f t="shared" si="132"/>
        <v>-0.19399999999999995</v>
      </c>
      <c r="BQ228" s="3">
        <v>-602243.07700000005</v>
      </c>
      <c r="BR228" s="3">
        <v>-601163.24300000002</v>
      </c>
      <c r="BS228" s="3">
        <f t="shared" si="133"/>
        <v>-1079.8340000000317</v>
      </c>
      <c r="BT228" s="3">
        <v>-602262.36399999994</v>
      </c>
      <c r="BU228" s="3">
        <v>-601182.38500000001</v>
      </c>
      <c r="BV228" s="3">
        <f t="shared" si="134"/>
        <v>-1079.9789999999339</v>
      </c>
    </row>
    <row r="229" spans="1:74" x14ac:dyDescent="0.25">
      <c r="A229" t="s">
        <v>412</v>
      </c>
      <c r="B229" t="s">
        <v>514</v>
      </c>
      <c r="C229" t="s">
        <v>99</v>
      </c>
      <c r="D229" s="3">
        <v>17.96</v>
      </c>
      <c r="E229" s="3">
        <v>0.63</v>
      </c>
      <c r="F229" s="3">
        <v>-134.28200000000001</v>
      </c>
      <c r="G229" s="3">
        <v>-135.208</v>
      </c>
      <c r="H229" s="3">
        <f t="shared" si="135"/>
        <v>-0.92599999999998772</v>
      </c>
      <c r="I229" s="3">
        <v>-0.37</v>
      </c>
      <c r="J229" s="6">
        <v>-0.22700000000000001</v>
      </c>
      <c r="K229" s="3">
        <f t="shared" si="136"/>
        <v>0.14299999999999999</v>
      </c>
      <c r="L229" s="3">
        <v>0.159</v>
      </c>
      <c r="M229" s="6">
        <v>4.4999999999999998E-2</v>
      </c>
      <c r="N229" s="3">
        <f t="shared" si="137"/>
        <v>-0.114</v>
      </c>
      <c r="O229" s="3">
        <f t="shared" si="138"/>
        <v>0.1055</v>
      </c>
      <c r="P229" s="3">
        <f t="shared" si="138"/>
        <v>9.0999999999999998E-2</v>
      </c>
      <c r="Q229" s="3">
        <f t="shared" si="139"/>
        <v>-1.4499999999999999E-2</v>
      </c>
      <c r="R229" s="3">
        <f t="shared" si="140"/>
        <v>0.52900000000000003</v>
      </c>
      <c r="S229" s="3">
        <f t="shared" si="140"/>
        <v>0.27200000000000002</v>
      </c>
      <c r="T229" s="3">
        <f t="shared" si="141"/>
        <v>-0.25700000000000001</v>
      </c>
      <c r="U229" s="3">
        <f t="shared" si="142"/>
        <v>-0.1055</v>
      </c>
      <c r="V229" s="3">
        <f t="shared" si="142"/>
        <v>-9.0999999999999998E-2</v>
      </c>
      <c r="W229" s="3">
        <f t="shared" si="153"/>
        <v>1.4499999999999999E-2</v>
      </c>
      <c r="X229" s="3">
        <f t="shared" si="149"/>
        <v>1.052008506616257E-2</v>
      </c>
      <c r="Y229" s="3">
        <f t="shared" si="150"/>
        <v>1.5222426470588234E-2</v>
      </c>
      <c r="Z229" s="3">
        <f t="shared" si="143"/>
        <v>4.7023414044256636E-3</v>
      </c>
      <c r="AA229" s="3">
        <v>1.3779999999999999</v>
      </c>
      <c r="AB229" s="3">
        <v>1.2709999999999999</v>
      </c>
      <c r="AC229" s="3">
        <f t="shared" si="144"/>
        <v>-0.10699999999999998</v>
      </c>
      <c r="AD229" s="3">
        <f>-134.178331*627.50956</f>
        <v>-84198.185447344353</v>
      </c>
      <c r="AE229" s="3">
        <f>-135.11121*627.50956</f>
        <v>-84783.575938167589</v>
      </c>
      <c r="AF229" s="3">
        <f t="shared" si="145"/>
        <v>-585.39049082323618</v>
      </c>
      <c r="AG229" s="3">
        <f>-134.208932*627.50956</f>
        <v>-84217.387867389916</v>
      </c>
      <c r="AH229" s="3">
        <f>-135.142031*627.50956</f>
        <v>-84802.916410316364</v>
      </c>
      <c r="AI229" s="3">
        <f t="shared" si="146"/>
        <v>-585.5285429264477</v>
      </c>
      <c r="AJ229" s="3">
        <v>-0.69399999999999995</v>
      </c>
      <c r="AK229" s="3">
        <v>-0.66700000000000004</v>
      </c>
      <c r="AL229" s="3">
        <f t="shared" si="147"/>
        <v>2.6999999999999913E-2</v>
      </c>
      <c r="AM229" s="3">
        <v>45.083680000000001</v>
      </c>
      <c r="AN229" s="3">
        <v>112.5448</v>
      </c>
      <c r="AO229" s="3">
        <v>102.4131</v>
      </c>
      <c r="AP229" s="3">
        <f t="shared" si="148"/>
        <v>1.063353608744281</v>
      </c>
      <c r="AQ229" s="3">
        <v>6.5839999999999996</v>
      </c>
      <c r="AR229" s="3">
        <v>1.205311</v>
      </c>
      <c r="AS229" s="3">
        <v>-132.80099999999999</v>
      </c>
      <c r="AT229" s="3">
        <v>-131.97</v>
      </c>
      <c r="AU229" s="3">
        <f t="shared" si="123"/>
        <v>-0.83099999999998886</v>
      </c>
      <c r="AV229" s="3">
        <v>-0.34100000000000003</v>
      </c>
      <c r="AW229" s="3">
        <v>-0.47499999999999998</v>
      </c>
      <c r="AX229" s="3">
        <f t="shared" si="124"/>
        <v>0.13399999999999995</v>
      </c>
      <c r="AY229" s="3">
        <v>2.9000000000000001E-2</v>
      </c>
      <c r="AZ229" s="3">
        <v>0.156</v>
      </c>
      <c r="BA229" s="3">
        <f t="shared" si="125"/>
        <v>-0.127</v>
      </c>
      <c r="BB229" s="3">
        <f t="shared" si="158"/>
        <v>0.156</v>
      </c>
      <c r="BC229" s="3">
        <f t="shared" si="158"/>
        <v>0.15949999999999998</v>
      </c>
      <c r="BD229" s="3">
        <f t="shared" si="127"/>
        <v>-3.4999999999999754E-3</v>
      </c>
      <c r="BE229" s="3">
        <f t="shared" si="159"/>
        <v>0.37000000000000005</v>
      </c>
      <c r="BF229" s="3">
        <f t="shared" si="159"/>
        <v>0.63100000000000001</v>
      </c>
      <c r="BG229" s="3">
        <f t="shared" si="129"/>
        <v>-0.26099999999999995</v>
      </c>
      <c r="BH229" s="3">
        <f t="shared" si="160"/>
        <v>-0.156</v>
      </c>
      <c r="BI229" s="3">
        <f t="shared" si="160"/>
        <v>-0.15949999999999998</v>
      </c>
      <c r="BJ229" s="3">
        <f t="shared" si="154"/>
        <v>3.4999999999999754E-3</v>
      </c>
      <c r="BK229" s="3">
        <f t="shared" si="151"/>
        <v>3.2886486486486483E-2</v>
      </c>
      <c r="BL229" s="3">
        <f t="shared" si="152"/>
        <v>2.0158676703645E-2</v>
      </c>
      <c r="BM229" s="3">
        <f t="shared" si="131"/>
        <v>1.2727809782841482E-2</v>
      </c>
      <c r="BN229" s="3">
        <v>4.7279999999999998</v>
      </c>
      <c r="BO229" s="3">
        <v>4.9340000000000002</v>
      </c>
      <c r="BP229" s="3">
        <f t="shared" si="132"/>
        <v>-0.20600000000000041</v>
      </c>
      <c r="BQ229" s="3">
        <v>-83302.89</v>
      </c>
      <c r="BR229" s="3">
        <v>-82779.224000000002</v>
      </c>
      <c r="BS229" s="3">
        <f t="shared" si="133"/>
        <v>-523.66599999999744</v>
      </c>
      <c r="BT229" s="3">
        <v>-83320.774999999994</v>
      </c>
      <c r="BU229" s="3">
        <v>-82796.997000000003</v>
      </c>
      <c r="BV229" s="3">
        <f t="shared" si="134"/>
        <v>-523.77799999999115</v>
      </c>
    </row>
    <row r="230" spans="1:74" x14ac:dyDescent="0.25">
      <c r="A230" t="s">
        <v>413</v>
      </c>
      <c r="B230" t="s">
        <v>514</v>
      </c>
      <c r="C230" t="s">
        <v>200</v>
      </c>
      <c r="D230" s="3">
        <v>18</v>
      </c>
      <c r="E230" s="3">
        <v>0.55000000000000004</v>
      </c>
      <c r="F230" s="3">
        <v>-464.15300000000002</v>
      </c>
      <c r="G230" s="3">
        <v>-466.96800000000002</v>
      </c>
      <c r="H230" s="3">
        <f t="shared" si="135"/>
        <v>-2.8149999999999977</v>
      </c>
      <c r="I230" s="3">
        <v>-0.27900000000000003</v>
      </c>
      <c r="J230" s="6">
        <v>-0.19500000000000001</v>
      </c>
      <c r="K230" s="3">
        <f t="shared" si="136"/>
        <v>8.4000000000000019E-2</v>
      </c>
      <c r="L230" s="3">
        <v>0.151</v>
      </c>
      <c r="M230" s="6">
        <v>2E-3</v>
      </c>
      <c r="N230" s="3">
        <f t="shared" si="137"/>
        <v>-0.14899999999999999</v>
      </c>
      <c r="O230" s="3">
        <f t="shared" si="138"/>
        <v>6.4000000000000015E-2</v>
      </c>
      <c r="P230" s="3">
        <f t="shared" si="138"/>
        <v>9.6500000000000002E-2</v>
      </c>
      <c r="Q230" s="3">
        <f t="shared" si="139"/>
        <v>3.2499999999999987E-2</v>
      </c>
      <c r="R230" s="3">
        <f t="shared" si="140"/>
        <v>0.43000000000000005</v>
      </c>
      <c r="S230" s="3">
        <f t="shared" si="140"/>
        <v>0.19700000000000001</v>
      </c>
      <c r="T230" s="3">
        <f t="shared" si="141"/>
        <v>-0.23300000000000004</v>
      </c>
      <c r="U230" s="3">
        <f t="shared" si="142"/>
        <v>-6.4000000000000015E-2</v>
      </c>
      <c r="V230" s="3">
        <f t="shared" si="142"/>
        <v>-9.6500000000000002E-2</v>
      </c>
      <c r="W230" s="3">
        <f t="shared" si="153"/>
        <v>-3.2499999999999987E-2</v>
      </c>
      <c r="X230" s="3">
        <f t="shared" si="149"/>
        <v>4.7627906976744202E-3</v>
      </c>
      <c r="Y230" s="3">
        <f t="shared" si="150"/>
        <v>2.3635152284263963E-2</v>
      </c>
      <c r="Z230" s="3">
        <f t="shared" si="143"/>
        <v>1.8872361586589542E-2</v>
      </c>
      <c r="AA230" s="3">
        <v>5.9939999999999998</v>
      </c>
      <c r="AB230" s="3">
        <v>6.0090000000000003</v>
      </c>
      <c r="AC230" s="3">
        <f t="shared" si="144"/>
        <v>1.5000000000000568E-2</v>
      </c>
      <c r="AD230" s="3">
        <f>-464.03833*627.50956</f>
        <v>-291188.48828143475</v>
      </c>
      <c r="AE230" s="3">
        <f>-466.861691*627.50956</f>
        <v>-292960.17430026596</v>
      </c>
      <c r="AF230" s="3">
        <f t="shared" si="145"/>
        <v>-1771.686018831213</v>
      </c>
      <c r="AG230" s="3">
        <f>-464.076569*627.50956</f>
        <v>-291212.4836194996</v>
      </c>
      <c r="AH230" s="3">
        <f>-466.900777*627.50956</f>
        <v>-292984.70113892813</v>
      </c>
      <c r="AI230" s="3">
        <f t="shared" si="146"/>
        <v>-1772.2175194285228</v>
      </c>
      <c r="AJ230" s="3">
        <v>-0.72899999999999998</v>
      </c>
      <c r="AK230" s="3">
        <v>-0.63700000000000001</v>
      </c>
      <c r="AL230" s="3">
        <f t="shared" si="147"/>
        <v>9.1999999999999971E-2</v>
      </c>
      <c r="AM230" s="3">
        <v>134.11876000000001</v>
      </c>
      <c r="AN230" s="3">
        <v>164.90753000000001</v>
      </c>
      <c r="AO230" s="3">
        <v>166.87567999999999</v>
      </c>
      <c r="AP230" s="3">
        <f t="shared" si="148"/>
        <v>1.1252121290849815</v>
      </c>
      <c r="AQ230" s="3">
        <v>8.7840000000000007</v>
      </c>
      <c r="AR230" s="3">
        <v>1.9835537299999999</v>
      </c>
      <c r="AS230" s="3">
        <v>-553.27200000000005</v>
      </c>
      <c r="AT230" s="3">
        <v>-551.61699999999996</v>
      </c>
      <c r="AU230" s="3">
        <f t="shared" si="123"/>
        <v>-1.6550000000000864</v>
      </c>
      <c r="AV230" s="3">
        <v>-0.23699999999999999</v>
      </c>
      <c r="AW230" s="3">
        <v>-0.36899999999999999</v>
      </c>
      <c r="AX230" s="3">
        <f t="shared" si="124"/>
        <v>0.13200000000000001</v>
      </c>
      <c r="AY230" s="3">
        <v>2.8000000000000001E-2</v>
      </c>
      <c r="AZ230" s="3">
        <v>0.154</v>
      </c>
      <c r="BA230" s="3">
        <f t="shared" si="125"/>
        <v>-0.126</v>
      </c>
      <c r="BB230" s="3">
        <f t="shared" si="158"/>
        <v>0.1045</v>
      </c>
      <c r="BC230" s="3">
        <f t="shared" si="158"/>
        <v>0.1075</v>
      </c>
      <c r="BD230" s="3">
        <f t="shared" si="127"/>
        <v>-3.0000000000000027E-3</v>
      </c>
      <c r="BE230" s="3">
        <f t="shared" si="159"/>
        <v>0.26500000000000001</v>
      </c>
      <c r="BF230" s="3">
        <f t="shared" si="159"/>
        <v>0.52300000000000002</v>
      </c>
      <c r="BG230" s="3">
        <f t="shared" si="129"/>
        <v>-0.25800000000000001</v>
      </c>
      <c r="BH230" s="3">
        <f t="shared" si="160"/>
        <v>-0.1045</v>
      </c>
      <c r="BI230" s="3">
        <f t="shared" si="160"/>
        <v>-0.1075</v>
      </c>
      <c r="BJ230" s="3">
        <f t="shared" si="154"/>
        <v>3.0000000000000027E-3</v>
      </c>
      <c r="BK230" s="3">
        <f t="shared" si="151"/>
        <v>2.0604245283018865E-2</v>
      </c>
      <c r="BL230" s="3">
        <f t="shared" si="152"/>
        <v>1.104804015296367E-2</v>
      </c>
      <c r="BM230" s="3">
        <f t="shared" si="131"/>
        <v>9.5562051300551957E-3</v>
      </c>
      <c r="BN230" s="3">
        <v>5.4870000000000001</v>
      </c>
      <c r="BO230" s="3">
        <v>6.0839999999999996</v>
      </c>
      <c r="BP230" s="3">
        <f t="shared" si="132"/>
        <v>-0.59699999999999953</v>
      </c>
      <c r="BQ230" s="3">
        <v>-347129.96399999998</v>
      </c>
      <c r="BR230" s="3">
        <v>-346087.64600000001</v>
      </c>
      <c r="BS230" s="3">
        <f t="shared" si="133"/>
        <v>-1042.3179999999702</v>
      </c>
      <c r="BT230" s="3">
        <v>-347152.04599999997</v>
      </c>
      <c r="BU230" s="3">
        <v>-346109.22600000002</v>
      </c>
      <c r="BV230" s="3">
        <f t="shared" si="134"/>
        <v>-1042.8199999999488</v>
      </c>
    </row>
    <row r="231" spans="1:74" x14ac:dyDescent="0.25">
      <c r="A231" t="s">
        <v>414</v>
      </c>
      <c r="B231" t="s">
        <v>514</v>
      </c>
      <c r="C231" t="s">
        <v>199</v>
      </c>
      <c r="D231" s="3">
        <v>18.079999999999998</v>
      </c>
      <c r="E231" s="3">
        <v>0.5</v>
      </c>
      <c r="F231" s="3">
        <v>-398.39699999999999</v>
      </c>
      <c r="G231" s="3">
        <v>-400.803</v>
      </c>
      <c r="H231" s="3">
        <f t="shared" si="135"/>
        <v>-2.4060000000000059</v>
      </c>
      <c r="I231" s="3">
        <v>-0.34699999999999998</v>
      </c>
      <c r="J231" s="6">
        <v>-0.19800000000000001</v>
      </c>
      <c r="K231" s="3">
        <f t="shared" si="136"/>
        <v>0.14899999999999997</v>
      </c>
      <c r="L231" s="3">
        <v>0.16500000000000001</v>
      </c>
      <c r="M231" s="6">
        <v>4.9000000000000002E-2</v>
      </c>
      <c r="N231" s="3">
        <f t="shared" si="137"/>
        <v>-0.11600000000000001</v>
      </c>
      <c r="O231" s="3">
        <f t="shared" si="138"/>
        <v>9.0999999999999984E-2</v>
      </c>
      <c r="P231" s="3">
        <f t="shared" si="138"/>
        <v>7.4500000000000011E-2</v>
      </c>
      <c r="Q231" s="3">
        <f t="shared" si="139"/>
        <v>-1.6499999999999973E-2</v>
      </c>
      <c r="R231" s="3">
        <f t="shared" si="140"/>
        <v>0.51200000000000001</v>
      </c>
      <c r="S231" s="3">
        <f t="shared" si="140"/>
        <v>0.247</v>
      </c>
      <c r="T231" s="3">
        <f t="shared" si="141"/>
        <v>-0.26500000000000001</v>
      </c>
      <c r="U231" s="3">
        <f t="shared" si="142"/>
        <v>-9.0999999999999984E-2</v>
      </c>
      <c r="V231" s="3">
        <f t="shared" si="142"/>
        <v>-7.4500000000000011E-2</v>
      </c>
      <c r="W231" s="3">
        <f t="shared" si="153"/>
        <v>1.6499999999999973E-2</v>
      </c>
      <c r="X231" s="3">
        <f t="shared" si="149"/>
        <v>8.0869140624999971E-3</v>
      </c>
      <c r="Y231" s="3">
        <f t="shared" si="150"/>
        <v>1.1235323886639679E-2</v>
      </c>
      <c r="Z231" s="3">
        <f t="shared" si="143"/>
        <v>3.1484098241396814E-3</v>
      </c>
      <c r="AA231" s="3">
        <v>10.048</v>
      </c>
      <c r="AB231" s="3">
        <v>9.1449999999999996</v>
      </c>
      <c r="AC231" s="3">
        <f t="shared" si="144"/>
        <v>-0.90300000000000047</v>
      </c>
      <c r="AD231" s="3">
        <f>-398.248331*627.50956</f>
        <v>-249904.63495654435</v>
      </c>
      <c r="AE231" s="3">
        <f>-400.663368*627.50956</f>
        <v>-251420.09376179805</v>
      </c>
      <c r="AF231" s="3">
        <f t="shared" si="145"/>
        <v>-1515.4588052537001</v>
      </c>
      <c r="AG231" s="3">
        <f>-398.288107*627.50956</f>
        <v>-249929.59477680293</v>
      </c>
      <c r="AH231" s="3">
        <f>-400.703268*627.50956</f>
        <v>-251445.13139324205</v>
      </c>
      <c r="AI231" s="3">
        <f t="shared" si="146"/>
        <v>-1515.5366164391162</v>
      </c>
      <c r="AJ231" s="3">
        <v>-0.74199999999999999</v>
      </c>
      <c r="AK231" s="3">
        <v>-0.72099999999999997</v>
      </c>
      <c r="AL231" s="3">
        <f t="shared" si="147"/>
        <v>2.1000000000000019E-2</v>
      </c>
      <c r="AM231" s="3">
        <v>114.12251999999999</v>
      </c>
      <c r="AN231" s="3">
        <v>159.94825</v>
      </c>
      <c r="AO231" s="3">
        <v>167.4427</v>
      </c>
      <c r="AP231" s="3">
        <f t="shared" si="148"/>
        <v>1.0889082736352613</v>
      </c>
      <c r="AQ231" s="3">
        <v>8.0589999999999993</v>
      </c>
      <c r="AR231" s="3">
        <v>1.8819907</v>
      </c>
      <c r="AS231" s="3">
        <v>-76.454999999999998</v>
      </c>
      <c r="AT231" s="3">
        <v>-76.055000000000007</v>
      </c>
      <c r="AU231" s="3">
        <f t="shared" si="123"/>
        <v>-0.39999999999999147</v>
      </c>
      <c r="AV231" s="3">
        <v>-0.30399999999999999</v>
      </c>
      <c r="AW231" s="3">
        <v>-0.505</v>
      </c>
      <c r="AX231" s="3">
        <f t="shared" si="124"/>
        <v>0.20100000000000001</v>
      </c>
      <c r="AY231" s="3">
        <v>0.04</v>
      </c>
      <c r="AZ231" s="3">
        <v>0.16400000000000001</v>
      </c>
      <c r="BA231" s="3">
        <f t="shared" si="125"/>
        <v>-0.124</v>
      </c>
      <c r="BB231" s="3">
        <f t="shared" si="158"/>
        <v>0.13200000000000001</v>
      </c>
      <c r="BC231" s="3">
        <f t="shared" si="158"/>
        <v>0.17049999999999998</v>
      </c>
      <c r="BD231" s="3">
        <f t="shared" si="127"/>
        <v>-3.8499999999999979E-2</v>
      </c>
      <c r="BE231" s="3">
        <f t="shared" si="159"/>
        <v>0.34399999999999997</v>
      </c>
      <c r="BF231" s="3">
        <f t="shared" si="159"/>
        <v>0.66900000000000004</v>
      </c>
      <c r="BG231" s="3">
        <f t="shared" si="129"/>
        <v>-0.32500000000000007</v>
      </c>
      <c r="BH231" s="3">
        <f t="shared" si="160"/>
        <v>-0.13200000000000001</v>
      </c>
      <c r="BI231" s="3">
        <f t="shared" si="160"/>
        <v>-0.17049999999999998</v>
      </c>
      <c r="BJ231" s="3">
        <f t="shared" si="154"/>
        <v>3.8499999999999979E-2</v>
      </c>
      <c r="BK231" s="3">
        <f t="shared" si="151"/>
        <v>2.5325581395348844E-2</v>
      </c>
      <c r="BL231" s="3">
        <f t="shared" si="152"/>
        <v>2.1726644245141997E-2</v>
      </c>
      <c r="BM231" s="3">
        <f t="shared" si="131"/>
        <v>3.5989371502068469E-3</v>
      </c>
      <c r="BN231" s="3">
        <v>2.3010000000000002</v>
      </c>
      <c r="BO231" s="3">
        <v>2.3559999999999999</v>
      </c>
      <c r="BP231" s="3">
        <f t="shared" si="132"/>
        <v>-5.4999999999999716E-2</v>
      </c>
      <c r="BQ231" s="3">
        <v>-47960.305999999997</v>
      </c>
      <c r="BR231" s="3">
        <v>-47708.290999999997</v>
      </c>
      <c r="BS231" s="3">
        <f t="shared" si="133"/>
        <v>-252.01499999999942</v>
      </c>
      <c r="BT231" s="3">
        <v>-47973.754999999997</v>
      </c>
      <c r="BU231" s="3">
        <v>-47721.697</v>
      </c>
      <c r="BV231" s="3">
        <f t="shared" si="134"/>
        <v>-252.05799999999726</v>
      </c>
    </row>
    <row r="232" spans="1:74" x14ac:dyDescent="0.25">
      <c r="A232" t="s">
        <v>415</v>
      </c>
      <c r="B232" t="s">
        <v>514</v>
      </c>
      <c r="C232" t="s">
        <v>199</v>
      </c>
      <c r="D232" s="3">
        <v>18.13</v>
      </c>
      <c r="E232" s="3">
        <v>0.44</v>
      </c>
      <c r="F232" s="3">
        <v>-250.255</v>
      </c>
      <c r="G232" s="3">
        <v>-251.97800000000001</v>
      </c>
      <c r="H232" s="3">
        <f t="shared" si="135"/>
        <v>-1.7230000000000132</v>
      </c>
      <c r="I232" s="3">
        <v>-0.36599999999999999</v>
      </c>
      <c r="J232" s="6">
        <v>-0.22700000000000001</v>
      </c>
      <c r="K232" s="3">
        <f t="shared" si="136"/>
        <v>0.13899999999999998</v>
      </c>
      <c r="L232" s="3">
        <v>0.157</v>
      </c>
      <c r="M232" s="6">
        <v>4.2000000000000003E-2</v>
      </c>
      <c r="N232" s="3">
        <f t="shared" si="137"/>
        <v>-0.11499999999999999</v>
      </c>
      <c r="O232" s="3">
        <f t="shared" si="138"/>
        <v>0.1045</v>
      </c>
      <c r="P232" s="3">
        <f t="shared" si="138"/>
        <v>9.2499999999999999E-2</v>
      </c>
      <c r="Q232" s="3">
        <f t="shared" si="139"/>
        <v>-1.1999999999999997E-2</v>
      </c>
      <c r="R232" s="3">
        <f t="shared" si="140"/>
        <v>0.52300000000000002</v>
      </c>
      <c r="S232" s="3">
        <f t="shared" si="140"/>
        <v>0.26900000000000002</v>
      </c>
      <c r="T232" s="3">
        <f t="shared" si="141"/>
        <v>-0.254</v>
      </c>
      <c r="U232" s="3">
        <f t="shared" si="142"/>
        <v>-0.1045</v>
      </c>
      <c r="V232" s="3">
        <f t="shared" si="142"/>
        <v>-9.2499999999999999E-2</v>
      </c>
      <c r="W232" s="3">
        <f t="shared" si="153"/>
        <v>1.1999999999999997E-2</v>
      </c>
      <c r="X232" s="3">
        <f t="shared" si="149"/>
        <v>1.0440009560229445E-2</v>
      </c>
      <c r="Y232" s="3">
        <f t="shared" si="150"/>
        <v>1.5903810408921932E-2</v>
      </c>
      <c r="Z232" s="3">
        <f t="shared" si="143"/>
        <v>5.4638008486924874E-3</v>
      </c>
      <c r="AA232" s="3">
        <v>1.321</v>
      </c>
      <c r="AB232" s="3">
        <v>1.22</v>
      </c>
      <c r="AC232" s="3">
        <f t="shared" si="144"/>
        <v>-0.10099999999999998</v>
      </c>
      <c r="AD232" s="3">
        <f>-250.079745*627.50956</f>
        <v>-156927.43074986219</v>
      </c>
      <c r="AE232" s="3">
        <f>-251.812981*627.50956</f>
        <v>-158015.05290959837</v>
      </c>
      <c r="AF232" s="3">
        <f t="shared" si="145"/>
        <v>-1087.6221597361728</v>
      </c>
      <c r="AG232" s="3">
        <f>-250.114388*627.50956</f>
        <v>-156949.16956354928</v>
      </c>
      <c r="AH232" s="3">
        <f>-251.848141*627.50956</f>
        <v>-158037.11614572795</v>
      </c>
      <c r="AI232" s="3">
        <f t="shared" si="146"/>
        <v>-1087.9465821786725</v>
      </c>
      <c r="AJ232" s="3">
        <v>-0.71899999999999997</v>
      </c>
      <c r="AK232" s="3">
        <v>-0.69199999999999995</v>
      </c>
      <c r="AL232" s="3">
        <f t="shared" si="147"/>
        <v>2.7000000000000024E-2</v>
      </c>
      <c r="AM232" s="3">
        <v>85.147540000000006</v>
      </c>
      <c r="AN232" s="3">
        <v>154.64545000000001</v>
      </c>
      <c r="AO232" s="3">
        <v>163.83179999999999</v>
      </c>
      <c r="AP232" s="3">
        <f t="shared" si="148"/>
        <v>1.0682206319785286</v>
      </c>
      <c r="AQ232" s="3">
        <v>7.3330000000000002</v>
      </c>
      <c r="AR232" s="3">
        <v>1.5833434</v>
      </c>
      <c r="AS232" s="3">
        <v>-76.454999999999998</v>
      </c>
      <c r="AT232" s="3">
        <v>-76.055000000000007</v>
      </c>
      <c r="AU232" s="3">
        <f t="shared" si="123"/>
        <v>-0.39999999999999147</v>
      </c>
      <c r="AV232" s="3">
        <v>-0.30399999999999999</v>
      </c>
      <c r="AW232" s="3">
        <v>-0.505</v>
      </c>
      <c r="AX232" s="3">
        <f t="shared" si="124"/>
        <v>0.20100000000000001</v>
      </c>
      <c r="AY232" s="3">
        <v>0.04</v>
      </c>
      <c r="AZ232" s="3">
        <v>0.16400000000000001</v>
      </c>
      <c r="BA232" s="3">
        <f t="shared" si="125"/>
        <v>-0.124</v>
      </c>
      <c r="BB232" s="3">
        <f t="shared" si="158"/>
        <v>0.13200000000000001</v>
      </c>
      <c r="BC232" s="3">
        <f t="shared" si="158"/>
        <v>0.17049999999999998</v>
      </c>
      <c r="BD232" s="3">
        <f t="shared" si="127"/>
        <v>-3.8499999999999979E-2</v>
      </c>
      <c r="BE232" s="3">
        <f t="shared" si="159"/>
        <v>0.34399999999999997</v>
      </c>
      <c r="BF232" s="3">
        <f t="shared" si="159"/>
        <v>0.66900000000000004</v>
      </c>
      <c r="BG232" s="3">
        <f t="shared" si="129"/>
        <v>-0.32500000000000007</v>
      </c>
      <c r="BH232" s="3">
        <f t="shared" si="160"/>
        <v>-0.13200000000000001</v>
      </c>
      <c r="BI232" s="3">
        <f t="shared" si="160"/>
        <v>-0.17049999999999998</v>
      </c>
      <c r="BJ232" s="3">
        <f t="shared" si="154"/>
        <v>3.8499999999999979E-2</v>
      </c>
      <c r="BK232" s="3">
        <f t="shared" si="151"/>
        <v>2.5325581395348844E-2</v>
      </c>
      <c r="BL232" s="3">
        <f t="shared" si="152"/>
        <v>2.1726644245141997E-2</v>
      </c>
      <c r="BM232" s="3">
        <f t="shared" si="131"/>
        <v>3.5989371502068469E-3</v>
      </c>
      <c r="BN232" s="3">
        <v>2.3010000000000002</v>
      </c>
      <c r="BO232" s="3">
        <v>2.3559999999999999</v>
      </c>
      <c r="BP232" s="3">
        <f t="shared" si="132"/>
        <v>-5.4999999999999716E-2</v>
      </c>
      <c r="BQ232" s="3">
        <v>-47960.305999999997</v>
      </c>
      <c r="BR232" s="3">
        <v>-47708.290999999997</v>
      </c>
      <c r="BS232" s="3">
        <f t="shared" si="133"/>
        <v>-252.01499999999942</v>
      </c>
      <c r="BT232" s="3">
        <v>-47973.754999999997</v>
      </c>
      <c r="BU232" s="3">
        <v>-47721.697</v>
      </c>
      <c r="BV232" s="3">
        <f t="shared" si="134"/>
        <v>-252.05799999999726</v>
      </c>
    </row>
    <row r="233" spans="1:74" x14ac:dyDescent="0.25">
      <c r="A233" t="s">
        <v>416</v>
      </c>
      <c r="B233" t="s">
        <v>514</v>
      </c>
      <c r="C233" t="s">
        <v>199</v>
      </c>
      <c r="D233" s="3">
        <v>18.29</v>
      </c>
      <c r="E233" s="3">
        <v>0.46</v>
      </c>
      <c r="F233" s="3">
        <v>-289.28800000000001</v>
      </c>
      <c r="G233" s="3">
        <v>-291.29199999999997</v>
      </c>
      <c r="H233" s="3">
        <f t="shared" si="135"/>
        <v>-2.0039999999999623</v>
      </c>
      <c r="I233" s="3">
        <v>-0.35699999999999998</v>
      </c>
      <c r="J233" s="6">
        <v>-0.219</v>
      </c>
      <c r="K233" s="3">
        <f t="shared" si="136"/>
        <v>0.13799999999999998</v>
      </c>
      <c r="L233" s="3">
        <v>0.155</v>
      </c>
      <c r="M233" s="6">
        <v>3.7999999999999999E-2</v>
      </c>
      <c r="N233" s="3">
        <f t="shared" si="137"/>
        <v>-0.11699999999999999</v>
      </c>
      <c r="O233" s="3">
        <f t="shared" si="138"/>
        <v>0.10099999999999999</v>
      </c>
      <c r="P233" s="3">
        <f t="shared" si="138"/>
        <v>9.0499999999999997E-2</v>
      </c>
      <c r="Q233" s="3">
        <f t="shared" si="139"/>
        <v>-1.0499999999999995E-2</v>
      </c>
      <c r="R233" s="3">
        <f t="shared" si="140"/>
        <v>0.51200000000000001</v>
      </c>
      <c r="S233" s="3">
        <f t="shared" si="140"/>
        <v>0.25700000000000001</v>
      </c>
      <c r="T233" s="3">
        <f t="shared" si="141"/>
        <v>-0.255</v>
      </c>
      <c r="U233" s="3">
        <f t="shared" si="142"/>
        <v>-0.10099999999999999</v>
      </c>
      <c r="V233" s="3">
        <f t="shared" si="142"/>
        <v>-9.0499999999999997E-2</v>
      </c>
      <c r="W233" s="3">
        <f t="shared" si="153"/>
        <v>1.0499999999999995E-2</v>
      </c>
      <c r="X233" s="3">
        <f t="shared" si="149"/>
        <v>9.9619140624999988E-3</v>
      </c>
      <c r="Y233" s="3">
        <f t="shared" si="150"/>
        <v>1.5934338521400776E-2</v>
      </c>
      <c r="Z233" s="3">
        <f t="shared" si="143"/>
        <v>5.9724244589007772E-3</v>
      </c>
      <c r="AA233" s="3">
        <v>1.296</v>
      </c>
      <c r="AB233" s="3">
        <v>1.2230000000000001</v>
      </c>
      <c r="AC233" s="3">
        <f t="shared" si="144"/>
        <v>-7.2999999999999954E-2</v>
      </c>
      <c r="AD233" s="3">
        <f>-289.081011*627.50956</f>
        <v>-181401.09801696514</v>
      </c>
      <c r="AE233" s="3">
        <f>-291.097819*627.50956</f>
        <v>-182666.66431764964</v>
      </c>
      <c r="AF233" s="3">
        <f t="shared" si="145"/>
        <v>-1265.5663006844989</v>
      </c>
      <c r="AG233" s="3">
        <f>-289.118695*627.50956</f>
        <v>-181424.7450872242</v>
      </c>
      <c r="AH233" s="3">
        <f>-291.136267*627.50956</f>
        <v>-182690.79080521248</v>
      </c>
      <c r="AI233" s="3">
        <f t="shared" si="146"/>
        <v>-1266.0457179882796</v>
      </c>
      <c r="AJ233" s="3">
        <v>-0.72799999999999998</v>
      </c>
      <c r="AK233" s="3">
        <v>-0.70099999999999996</v>
      </c>
      <c r="AL233" s="3">
        <f t="shared" si="147"/>
        <v>2.7000000000000024E-2</v>
      </c>
      <c r="AM233" s="3">
        <v>99.174120000000002</v>
      </c>
      <c r="AN233" s="3">
        <v>171.67688000000001</v>
      </c>
      <c r="AO233" s="3">
        <v>189.86859999999999</v>
      </c>
      <c r="AP233" s="3">
        <f t="shared" si="148"/>
        <v>1.0748115636693274</v>
      </c>
      <c r="AQ233" s="3">
        <v>7.6139999999999999</v>
      </c>
      <c r="AR233" s="3">
        <v>1.7646911000000001</v>
      </c>
      <c r="AS233" s="3">
        <v>-76.454999999999998</v>
      </c>
      <c r="AT233" s="3">
        <v>-76.055000000000007</v>
      </c>
      <c r="AU233" s="3">
        <f t="shared" si="123"/>
        <v>-0.39999999999999147</v>
      </c>
      <c r="AV233" s="3">
        <v>-0.30399999999999999</v>
      </c>
      <c r="AW233" s="3">
        <v>-0.505</v>
      </c>
      <c r="AX233" s="3">
        <f t="shared" si="124"/>
        <v>0.20100000000000001</v>
      </c>
      <c r="AY233" s="3">
        <v>0.04</v>
      </c>
      <c r="AZ233" s="3">
        <v>0.16400000000000001</v>
      </c>
      <c r="BA233" s="3">
        <f t="shared" si="125"/>
        <v>-0.124</v>
      </c>
      <c r="BB233" s="3">
        <f t="shared" si="158"/>
        <v>0.13200000000000001</v>
      </c>
      <c r="BC233" s="3">
        <f t="shared" si="158"/>
        <v>0.17049999999999998</v>
      </c>
      <c r="BD233" s="3">
        <f t="shared" si="127"/>
        <v>-3.8499999999999979E-2</v>
      </c>
      <c r="BE233" s="3">
        <f t="shared" si="159"/>
        <v>0.34399999999999997</v>
      </c>
      <c r="BF233" s="3">
        <f t="shared" si="159"/>
        <v>0.66900000000000004</v>
      </c>
      <c r="BG233" s="3">
        <f t="shared" si="129"/>
        <v>-0.32500000000000007</v>
      </c>
      <c r="BH233" s="3">
        <f t="shared" si="160"/>
        <v>-0.13200000000000001</v>
      </c>
      <c r="BI233" s="3">
        <f t="shared" si="160"/>
        <v>-0.17049999999999998</v>
      </c>
      <c r="BJ233" s="3">
        <f t="shared" si="154"/>
        <v>3.8499999999999979E-2</v>
      </c>
      <c r="BK233" s="3">
        <f t="shared" si="151"/>
        <v>2.5325581395348844E-2</v>
      </c>
      <c r="BL233" s="3">
        <f t="shared" si="152"/>
        <v>2.1726644245141997E-2</v>
      </c>
      <c r="BM233" s="3">
        <f t="shared" si="131"/>
        <v>3.5989371502068469E-3</v>
      </c>
      <c r="BN233" s="3">
        <v>2.3010000000000002</v>
      </c>
      <c r="BO233" s="3">
        <v>2.3559999999999999</v>
      </c>
      <c r="BP233" s="3">
        <f t="shared" si="132"/>
        <v>-5.4999999999999716E-2</v>
      </c>
      <c r="BQ233" s="3">
        <v>-47960.305999999997</v>
      </c>
      <c r="BR233" s="3">
        <v>-47708.290999999997</v>
      </c>
      <c r="BS233" s="3">
        <f t="shared" si="133"/>
        <v>-252.01499999999942</v>
      </c>
      <c r="BT233" s="3">
        <v>-47973.754999999997</v>
      </c>
      <c r="BU233" s="3">
        <v>-47721.697</v>
      </c>
      <c r="BV233" s="3">
        <f t="shared" si="134"/>
        <v>-252.05799999999726</v>
      </c>
    </row>
    <row r="234" spans="1:74" x14ac:dyDescent="0.25">
      <c r="A234" t="s">
        <v>417</v>
      </c>
      <c r="B234" t="s">
        <v>514</v>
      </c>
      <c r="C234" t="s">
        <v>200</v>
      </c>
      <c r="D234" s="3">
        <v>18.61</v>
      </c>
      <c r="E234" s="3">
        <v>0.53</v>
      </c>
      <c r="F234" s="3">
        <v>-642.00199999999995</v>
      </c>
      <c r="G234" s="3">
        <v>-644.06799999999998</v>
      </c>
      <c r="H234" s="3">
        <f t="shared" si="135"/>
        <v>-2.0660000000000309</v>
      </c>
      <c r="I234" s="3">
        <v>-0.34</v>
      </c>
      <c r="J234" s="6">
        <v>-0.19800000000000001</v>
      </c>
      <c r="K234" s="3">
        <f t="shared" si="136"/>
        <v>0.14200000000000002</v>
      </c>
      <c r="L234" s="3">
        <v>0.17499999999999999</v>
      </c>
      <c r="M234" s="6">
        <v>6.0999999999999999E-2</v>
      </c>
      <c r="N234" s="3">
        <f t="shared" si="137"/>
        <v>-0.11399999999999999</v>
      </c>
      <c r="O234" s="3">
        <f t="shared" si="138"/>
        <v>8.2500000000000018E-2</v>
      </c>
      <c r="P234" s="3">
        <f t="shared" si="138"/>
        <v>6.8500000000000005E-2</v>
      </c>
      <c r="Q234" s="3">
        <f t="shared" si="139"/>
        <v>-1.4000000000000012E-2</v>
      </c>
      <c r="R234" s="3">
        <f t="shared" si="140"/>
        <v>0.51500000000000001</v>
      </c>
      <c r="S234" s="3">
        <f t="shared" si="140"/>
        <v>0.25900000000000001</v>
      </c>
      <c r="T234" s="3">
        <f t="shared" si="141"/>
        <v>-0.25600000000000001</v>
      </c>
      <c r="U234" s="3">
        <f t="shared" si="142"/>
        <v>-8.2500000000000018E-2</v>
      </c>
      <c r="V234" s="3">
        <f t="shared" si="142"/>
        <v>-6.8500000000000005E-2</v>
      </c>
      <c r="W234" s="3">
        <f t="shared" si="153"/>
        <v>1.4000000000000012E-2</v>
      </c>
      <c r="X234" s="3">
        <f t="shared" si="149"/>
        <v>6.6080097087378668E-3</v>
      </c>
      <c r="Y234" s="3">
        <f t="shared" si="150"/>
        <v>9.0583976833976849E-3</v>
      </c>
      <c r="Z234" s="3">
        <f t="shared" si="143"/>
        <v>2.4503879746598182E-3</v>
      </c>
      <c r="AA234" s="3">
        <v>4.1660000000000004</v>
      </c>
      <c r="AB234" s="3">
        <v>3.8420000000000001</v>
      </c>
      <c r="AC234" s="3">
        <f t="shared" si="144"/>
        <v>-0.32400000000000029</v>
      </c>
      <c r="AD234" s="3">
        <f>-641.930137*627.50956</f>
        <v>-402817.29781960964</v>
      </c>
      <c r="AE234" s="3">
        <f>-644.001587*627.50956</f>
        <v>-404117.15249767166</v>
      </c>
      <c r="AF234" s="3">
        <f t="shared" si="145"/>
        <v>-1299.8546780620236</v>
      </c>
      <c r="AG234" s="3">
        <f>-641.964837*627.50956</f>
        <v>-402839.07240134169</v>
      </c>
      <c r="AH234" s="3">
        <f>-644.03704*627.50956</f>
        <v>-404139.3995941024</v>
      </c>
      <c r="AI234" s="3">
        <f t="shared" si="146"/>
        <v>-1300.3271927607129</v>
      </c>
      <c r="AJ234" s="3">
        <v>-1.3360000000000001</v>
      </c>
      <c r="AK234" s="3">
        <v>-1.246</v>
      </c>
      <c r="AL234" s="3">
        <f t="shared" si="147"/>
        <v>9.000000000000008E-2</v>
      </c>
      <c r="AM234" s="3">
        <v>94.112960000000001</v>
      </c>
      <c r="AN234" s="3">
        <v>123.2551</v>
      </c>
      <c r="AO234" s="3">
        <v>114.1125</v>
      </c>
      <c r="AP234" s="3">
        <f t="shared" si="148"/>
        <v>1.0835244158603481</v>
      </c>
      <c r="AQ234" s="3">
        <v>6.7759999999999998</v>
      </c>
      <c r="AR234" s="3">
        <v>1.3320810999999999</v>
      </c>
      <c r="AS234" s="3">
        <v>-553.27200000000005</v>
      </c>
      <c r="AT234" s="3">
        <v>-551.61699999999996</v>
      </c>
      <c r="AU234" s="3">
        <f t="shared" si="123"/>
        <v>-1.6550000000000864</v>
      </c>
      <c r="AV234" s="3">
        <v>-0.23699999999999999</v>
      </c>
      <c r="AW234" s="3">
        <v>-0.36899999999999999</v>
      </c>
      <c r="AX234" s="3">
        <f t="shared" si="124"/>
        <v>0.13200000000000001</v>
      </c>
      <c r="AY234" s="3">
        <v>2.8000000000000001E-2</v>
      </c>
      <c r="AZ234" s="3">
        <v>0.154</v>
      </c>
      <c r="BA234" s="3">
        <f t="shared" si="125"/>
        <v>-0.126</v>
      </c>
      <c r="BB234" s="3">
        <f t="shared" si="158"/>
        <v>0.1045</v>
      </c>
      <c r="BC234" s="3">
        <f t="shared" si="158"/>
        <v>0.1075</v>
      </c>
      <c r="BD234" s="3">
        <f t="shared" si="127"/>
        <v>-3.0000000000000027E-3</v>
      </c>
      <c r="BE234" s="3">
        <f t="shared" si="159"/>
        <v>0.26500000000000001</v>
      </c>
      <c r="BF234" s="3">
        <f t="shared" si="159"/>
        <v>0.52300000000000002</v>
      </c>
      <c r="BG234" s="3">
        <f t="shared" si="129"/>
        <v>-0.25800000000000001</v>
      </c>
      <c r="BH234" s="3">
        <f t="shared" si="160"/>
        <v>-0.1045</v>
      </c>
      <c r="BI234" s="3">
        <f t="shared" si="160"/>
        <v>-0.1075</v>
      </c>
      <c r="BJ234" s="3">
        <f t="shared" si="154"/>
        <v>3.0000000000000027E-3</v>
      </c>
      <c r="BK234" s="3">
        <f t="shared" si="151"/>
        <v>2.0604245283018865E-2</v>
      </c>
      <c r="BL234" s="3">
        <f t="shared" si="152"/>
        <v>1.104804015296367E-2</v>
      </c>
      <c r="BM234" s="3">
        <f t="shared" si="131"/>
        <v>9.5562051300551957E-3</v>
      </c>
      <c r="BN234" s="3">
        <v>5.4870000000000001</v>
      </c>
      <c r="BO234" s="3">
        <v>6.0839999999999996</v>
      </c>
      <c r="BP234" s="3">
        <f t="shared" si="132"/>
        <v>-0.59699999999999953</v>
      </c>
      <c r="BQ234" s="3">
        <v>-347129.96399999998</v>
      </c>
      <c r="BR234" s="3">
        <v>-346087.64600000001</v>
      </c>
      <c r="BS234" s="3">
        <f t="shared" si="133"/>
        <v>-1042.3179999999702</v>
      </c>
      <c r="BT234" s="3">
        <v>-347152.04599999997</v>
      </c>
      <c r="BU234" s="3">
        <v>-346109.22600000002</v>
      </c>
      <c r="BV234" s="3">
        <f t="shared" si="134"/>
        <v>-1042.8199999999488</v>
      </c>
    </row>
    <row r="235" spans="1:74" x14ac:dyDescent="0.25">
      <c r="A235" t="s">
        <v>418</v>
      </c>
      <c r="B235" t="s">
        <v>514</v>
      </c>
      <c r="C235" t="s">
        <v>99</v>
      </c>
      <c r="D235" s="3">
        <v>18.64</v>
      </c>
      <c r="E235" s="3">
        <v>0.6</v>
      </c>
      <c r="F235" s="3">
        <v>-211.202</v>
      </c>
      <c r="G235" s="3">
        <v>-212.64500000000001</v>
      </c>
      <c r="H235" s="3">
        <f t="shared" si="135"/>
        <v>-1.4430000000000121</v>
      </c>
      <c r="I235" s="3">
        <v>-0.36899999999999999</v>
      </c>
      <c r="J235" s="6">
        <v>-0.22700000000000001</v>
      </c>
      <c r="K235" s="3">
        <f t="shared" si="136"/>
        <v>0.14199999999999999</v>
      </c>
      <c r="L235" s="3">
        <v>0.154</v>
      </c>
      <c r="M235" s="6">
        <v>3.9E-2</v>
      </c>
      <c r="N235" s="3">
        <f t="shared" si="137"/>
        <v>-0.11499999999999999</v>
      </c>
      <c r="O235" s="3">
        <f t="shared" si="138"/>
        <v>0.1075</v>
      </c>
      <c r="P235" s="3">
        <f t="shared" si="138"/>
        <v>9.4E-2</v>
      </c>
      <c r="Q235" s="3">
        <f t="shared" si="139"/>
        <v>-1.3499999999999998E-2</v>
      </c>
      <c r="R235" s="3">
        <f t="shared" si="140"/>
        <v>0.52300000000000002</v>
      </c>
      <c r="S235" s="3">
        <f t="shared" si="140"/>
        <v>0.26600000000000001</v>
      </c>
      <c r="T235" s="3">
        <f t="shared" si="141"/>
        <v>-0.25700000000000001</v>
      </c>
      <c r="U235" s="3">
        <f t="shared" si="142"/>
        <v>-0.1075</v>
      </c>
      <c r="V235" s="3">
        <f t="shared" si="142"/>
        <v>-9.4E-2</v>
      </c>
      <c r="W235" s="3">
        <f t="shared" si="153"/>
        <v>1.3499999999999998E-2</v>
      </c>
      <c r="X235" s="3">
        <f t="shared" si="149"/>
        <v>1.104804015296367E-2</v>
      </c>
      <c r="Y235" s="3">
        <f t="shared" si="150"/>
        <v>1.6609022556390976E-2</v>
      </c>
      <c r="Z235" s="3">
        <f t="shared" si="143"/>
        <v>5.5609824034273062E-3</v>
      </c>
      <c r="AA235" s="3">
        <v>1.411</v>
      </c>
      <c r="AB235" s="3">
        <v>1.2869999999999999</v>
      </c>
      <c r="AC235" s="3">
        <f t="shared" si="144"/>
        <v>-0.12400000000000011</v>
      </c>
      <c r="AD235" s="3">
        <f>-211.058989*627.50956</f>
        <v>-132441.53332143484</v>
      </c>
      <c r="AE235" s="3">
        <f>-212.510091*627.50956</f>
        <v>-133352.11369896994</v>
      </c>
      <c r="AF235" s="3">
        <f t="shared" si="145"/>
        <v>-910.58037753510871</v>
      </c>
      <c r="AG235" s="3">
        <f>-211.09289*627.50956</f>
        <v>-132462.80652302841</v>
      </c>
      <c r="AH235" s="3">
        <f>-212.544134*627.50956</f>
        <v>-133373.47600692103</v>
      </c>
      <c r="AI235" s="3">
        <f t="shared" si="146"/>
        <v>-910.66948389261961</v>
      </c>
      <c r="AJ235" s="3">
        <v>-0.71699999999999997</v>
      </c>
      <c r="AK235" s="3">
        <v>-0.69</v>
      </c>
      <c r="AL235" s="3">
        <f t="shared" si="147"/>
        <v>2.7000000000000024E-2</v>
      </c>
      <c r="AM235" s="3">
        <v>71.120959999999997</v>
      </c>
      <c r="AN235" s="3">
        <v>138.10489999999999</v>
      </c>
      <c r="AO235" s="3">
        <v>138.66630000000001</v>
      </c>
      <c r="AP235" s="3">
        <f t="shared" si="148"/>
        <v>1.0661486298198584</v>
      </c>
      <c r="AQ235" s="3">
        <v>6.6040000000000001</v>
      </c>
      <c r="AR235" s="3">
        <v>1.4001288000000001</v>
      </c>
      <c r="AS235" s="3">
        <v>-132.80099999999999</v>
      </c>
      <c r="AT235" s="3">
        <v>-131.97</v>
      </c>
      <c r="AU235" s="3">
        <f t="shared" si="123"/>
        <v>-0.83099999999998886</v>
      </c>
      <c r="AV235" s="3">
        <v>-0.34100000000000003</v>
      </c>
      <c r="AW235" s="3">
        <v>-0.47499999999999998</v>
      </c>
      <c r="AX235" s="3">
        <f t="shared" si="124"/>
        <v>0.13399999999999995</v>
      </c>
      <c r="AY235" s="3">
        <v>2.9000000000000001E-2</v>
      </c>
      <c r="AZ235" s="3">
        <v>0.156</v>
      </c>
      <c r="BA235" s="3">
        <f t="shared" si="125"/>
        <v>-0.127</v>
      </c>
      <c r="BB235" s="3">
        <f t="shared" si="158"/>
        <v>0.156</v>
      </c>
      <c r="BC235" s="3">
        <f t="shared" si="158"/>
        <v>0.15949999999999998</v>
      </c>
      <c r="BD235" s="3">
        <f t="shared" si="127"/>
        <v>-3.4999999999999754E-3</v>
      </c>
      <c r="BE235" s="3">
        <f t="shared" si="159"/>
        <v>0.37000000000000005</v>
      </c>
      <c r="BF235" s="3">
        <f t="shared" si="159"/>
        <v>0.63100000000000001</v>
      </c>
      <c r="BG235" s="3">
        <f t="shared" si="129"/>
        <v>-0.26099999999999995</v>
      </c>
      <c r="BH235" s="3">
        <f t="shared" si="160"/>
        <v>-0.156</v>
      </c>
      <c r="BI235" s="3">
        <f t="shared" si="160"/>
        <v>-0.15949999999999998</v>
      </c>
      <c r="BJ235" s="3">
        <f t="shared" si="154"/>
        <v>3.4999999999999754E-3</v>
      </c>
      <c r="BK235" s="3">
        <f t="shared" si="151"/>
        <v>3.2886486486486483E-2</v>
      </c>
      <c r="BL235" s="3">
        <f t="shared" si="152"/>
        <v>2.0158676703645E-2</v>
      </c>
      <c r="BM235" s="3">
        <f t="shared" si="131"/>
        <v>1.2727809782841482E-2</v>
      </c>
      <c r="BN235" s="3">
        <v>4.7279999999999998</v>
      </c>
      <c r="BO235" s="3">
        <v>4.9340000000000002</v>
      </c>
      <c r="BP235" s="3">
        <f t="shared" si="132"/>
        <v>-0.20600000000000041</v>
      </c>
      <c r="BQ235" s="3">
        <v>-83302.89</v>
      </c>
      <c r="BR235" s="3">
        <v>-82779.224000000002</v>
      </c>
      <c r="BS235" s="3">
        <f t="shared" si="133"/>
        <v>-523.66599999999744</v>
      </c>
      <c r="BT235" s="3">
        <v>-83320.774999999994</v>
      </c>
      <c r="BU235" s="3">
        <v>-82796.997000000003</v>
      </c>
      <c r="BV235" s="3">
        <f t="shared" si="134"/>
        <v>-523.77799999999115</v>
      </c>
    </row>
    <row r="236" spans="1:74" x14ac:dyDescent="0.25">
      <c r="A236" t="s">
        <v>419</v>
      </c>
      <c r="B236" t="s">
        <v>514</v>
      </c>
      <c r="C236" t="s">
        <v>99</v>
      </c>
      <c r="D236" s="3">
        <v>18.72</v>
      </c>
      <c r="E236" s="3">
        <v>0.52</v>
      </c>
      <c r="F236" s="3">
        <v>-289.291</v>
      </c>
      <c r="G236" s="3">
        <v>-291.29599999999999</v>
      </c>
      <c r="H236" s="3">
        <f t="shared" si="135"/>
        <v>-2.0049999999999955</v>
      </c>
      <c r="I236" s="3">
        <v>-0.35199999999999998</v>
      </c>
      <c r="J236" s="6">
        <v>-0.218</v>
      </c>
      <c r="K236" s="3">
        <f t="shared" si="136"/>
        <v>0.13399999999999998</v>
      </c>
      <c r="L236" s="3">
        <v>0.159</v>
      </c>
      <c r="M236" s="6">
        <v>4.3999999999999997E-2</v>
      </c>
      <c r="N236" s="3">
        <f t="shared" si="137"/>
        <v>-0.115</v>
      </c>
      <c r="O236" s="3">
        <f t="shared" si="138"/>
        <v>9.6499999999999989E-2</v>
      </c>
      <c r="P236" s="3">
        <f t="shared" si="138"/>
        <v>8.6999999999999994E-2</v>
      </c>
      <c r="Q236" s="3">
        <f t="shared" si="139"/>
        <v>-9.4999999999999946E-3</v>
      </c>
      <c r="R236" s="3">
        <f t="shared" si="140"/>
        <v>0.51100000000000001</v>
      </c>
      <c r="S236" s="3">
        <f t="shared" si="140"/>
        <v>0.26200000000000001</v>
      </c>
      <c r="T236" s="3">
        <f t="shared" si="141"/>
        <v>-0.249</v>
      </c>
      <c r="U236" s="3">
        <f t="shared" si="142"/>
        <v>-9.6499999999999989E-2</v>
      </c>
      <c r="V236" s="3">
        <f t="shared" si="142"/>
        <v>-8.6999999999999994E-2</v>
      </c>
      <c r="W236" s="3">
        <f t="shared" si="153"/>
        <v>9.4999999999999946E-3</v>
      </c>
      <c r="X236" s="3">
        <f t="shared" si="149"/>
        <v>9.1117906066536178E-3</v>
      </c>
      <c r="Y236" s="3">
        <f t="shared" si="150"/>
        <v>1.4444656488549616E-2</v>
      </c>
      <c r="Z236" s="3">
        <f t="shared" si="143"/>
        <v>5.3328658818959981E-3</v>
      </c>
      <c r="AA236" s="3">
        <v>0.85399999999999998</v>
      </c>
      <c r="AB236" s="3">
        <v>0.66500000000000004</v>
      </c>
      <c r="AC236" s="3">
        <f t="shared" si="144"/>
        <v>-0.18899999999999995</v>
      </c>
      <c r="AD236" s="3">
        <f>-289.085946*627.50956</f>
        <v>-181404.19477664374</v>
      </c>
      <c r="AE236" s="3">
        <f>-291.102618*627.50956</f>
        <v>-182669.67573602806</v>
      </c>
      <c r="AF236" s="3">
        <f t="shared" si="145"/>
        <v>-1265.4809593843238</v>
      </c>
      <c r="AG236" s="3">
        <f>-289.123586*627.50956</f>
        <v>-181427.81423648214</v>
      </c>
      <c r="AH236" s="3">
        <f>-291.140941*627.50956</f>
        <v>-182693.72378489596</v>
      </c>
      <c r="AI236" s="3">
        <f t="shared" si="146"/>
        <v>-1265.9095484138234</v>
      </c>
      <c r="AJ236" s="3">
        <v>-0.58099999999999996</v>
      </c>
      <c r="AK236" s="3">
        <v>-0.52800000000000002</v>
      </c>
      <c r="AL236" s="3">
        <f t="shared" si="147"/>
        <v>5.2999999999999936E-2</v>
      </c>
      <c r="AM236" s="3">
        <v>99.174120000000002</v>
      </c>
      <c r="AN236" s="3">
        <v>174.44502</v>
      </c>
      <c r="AO236" s="3">
        <v>190.86566999999999</v>
      </c>
      <c r="AP236" s="3">
        <f t="shared" si="148"/>
        <v>1.0883351240640413</v>
      </c>
      <c r="AQ236" s="3">
        <v>8.2710000000000008</v>
      </c>
      <c r="AR236" s="3">
        <v>1.7968527000000001</v>
      </c>
      <c r="AS236" s="3">
        <v>-132.80099999999999</v>
      </c>
      <c r="AT236" s="3">
        <v>-131.97</v>
      </c>
      <c r="AU236" s="3">
        <f t="shared" si="123"/>
        <v>-0.83099999999998886</v>
      </c>
      <c r="AV236" s="3">
        <v>-0.34100000000000003</v>
      </c>
      <c r="AW236" s="3">
        <v>-0.47499999999999998</v>
      </c>
      <c r="AX236" s="3">
        <f t="shared" si="124"/>
        <v>0.13399999999999995</v>
      </c>
      <c r="AY236" s="3">
        <v>2.9000000000000001E-2</v>
      </c>
      <c r="AZ236" s="3">
        <v>0.156</v>
      </c>
      <c r="BA236" s="3">
        <f t="shared" si="125"/>
        <v>-0.127</v>
      </c>
      <c r="BB236" s="3">
        <f t="shared" si="158"/>
        <v>0.156</v>
      </c>
      <c r="BC236" s="3">
        <f t="shared" si="158"/>
        <v>0.15949999999999998</v>
      </c>
      <c r="BD236" s="3">
        <f t="shared" si="127"/>
        <v>-3.4999999999999754E-3</v>
      </c>
      <c r="BE236" s="3">
        <f t="shared" si="159"/>
        <v>0.37000000000000005</v>
      </c>
      <c r="BF236" s="3">
        <f t="shared" si="159"/>
        <v>0.63100000000000001</v>
      </c>
      <c r="BG236" s="3">
        <f t="shared" si="129"/>
        <v>-0.26099999999999995</v>
      </c>
      <c r="BH236" s="3">
        <f t="shared" si="160"/>
        <v>-0.156</v>
      </c>
      <c r="BI236" s="3">
        <f t="shared" si="160"/>
        <v>-0.15949999999999998</v>
      </c>
      <c r="BJ236" s="3">
        <f t="shared" si="154"/>
        <v>3.4999999999999754E-3</v>
      </c>
      <c r="BK236" s="3">
        <f t="shared" si="151"/>
        <v>3.2886486486486483E-2</v>
      </c>
      <c r="BL236" s="3">
        <f t="shared" si="152"/>
        <v>2.0158676703645E-2</v>
      </c>
      <c r="BM236" s="3">
        <f t="shared" si="131"/>
        <v>1.2727809782841482E-2</v>
      </c>
      <c r="BN236" s="3">
        <v>4.7279999999999998</v>
      </c>
      <c r="BO236" s="3">
        <v>4.9340000000000002</v>
      </c>
      <c r="BP236" s="3">
        <f t="shared" si="132"/>
        <v>-0.20600000000000041</v>
      </c>
      <c r="BQ236" s="3">
        <v>-83302.89</v>
      </c>
      <c r="BR236" s="3">
        <v>-82779.224000000002</v>
      </c>
      <c r="BS236" s="3">
        <f t="shared" si="133"/>
        <v>-523.66599999999744</v>
      </c>
      <c r="BT236" s="3">
        <v>-83320.774999999994</v>
      </c>
      <c r="BU236" s="3">
        <v>-82796.997000000003</v>
      </c>
      <c r="BV236" s="3">
        <f t="shared" si="134"/>
        <v>-523.77799999999115</v>
      </c>
    </row>
    <row r="237" spans="1:74" x14ac:dyDescent="0.25">
      <c r="A237" t="s">
        <v>420</v>
      </c>
      <c r="B237" t="s">
        <v>514</v>
      </c>
      <c r="C237" t="s">
        <v>99</v>
      </c>
      <c r="D237" s="3">
        <v>18.8</v>
      </c>
      <c r="E237" s="3">
        <v>0.7</v>
      </c>
      <c r="F237" s="3">
        <v>-342.95800000000003</v>
      </c>
      <c r="G237" s="3">
        <v>-345.29899999999998</v>
      </c>
      <c r="H237" s="3">
        <f t="shared" si="135"/>
        <v>-2.3409999999999513</v>
      </c>
      <c r="I237" s="3">
        <v>-0.35099999999999998</v>
      </c>
      <c r="J237" s="6">
        <v>-0.16500000000000001</v>
      </c>
      <c r="K237" s="3">
        <f t="shared" si="136"/>
        <v>0.18599999999999997</v>
      </c>
      <c r="L237" s="3">
        <v>0.124</v>
      </c>
      <c r="M237" s="6">
        <v>-1.4999999999999999E-2</v>
      </c>
      <c r="N237" s="3">
        <f t="shared" si="137"/>
        <v>-0.13900000000000001</v>
      </c>
      <c r="O237" s="3">
        <f t="shared" si="138"/>
        <v>0.11349999999999999</v>
      </c>
      <c r="P237" s="3">
        <f t="shared" si="138"/>
        <v>0.09</v>
      </c>
      <c r="Q237" s="3">
        <f t="shared" si="139"/>
        <v>-2.3499999999999993E-2</v>
      </c>
      <c r="R237" s="3">
        <f t="shared" si="140"/>
        <v>0.47499999999999998</v>
      </c>
      <c r="S237" s="3">
        <f t="shared" si="140"/>
        <v>0.15000000000000002</v>
      </c>
      <c r="T237" s="3">
        <f t="shared" si="141"/>
        <v>-0.32499999999999996</v>
      </c>
      <c r="U237" s="3">
        <f t="shared" si="142"/>
        <v>-0.11349999999999999</v>
      </c>
      <c r="V237" s="3">
        <f t="shared" si="142"/>
        <v>-0.09</v>
      </c>
      <c r="W237" s="3">
        <f t="shared" si="153"/>
        <v>2.3499999999999993E-2</v>
      </c>
      <c r="X237" s="3">
        <f t="shared" si="149"/>
        <v>1.3560263157894735E-2</v>
      </c>
      <c r="Y237" s="3">
        <f t="shared" si="150"/>
        <v>2.6999999999999996E-2</v>
      </c>
      <c r="Z237" s="3">
        <f t="shared" si="143"/>
        <v>1.3439736842105261E-2</v>
      </c>
      <c r="AA237" s="3">
        <v>2.9609999999999999</v>
      </c>
      <c r="AB237" s="3">
        <v>2.738</v>
      </c>
      <c r="AC237" s="3">
        <f t="shared" si="144"/>
        <v>-0.22299999999999986</v>
      </c>
      <c r="AD237" s="3">
        <f xml:space="preserve"> -342.764166*627.50956</f>
        <v>-215087.79099042693</v>
      </c>
      <c r="AE237" s="3">
        <f>-345.11668*627.50956</f>
        <v>-216564.01601546077</v>
      </c>
      <c r="AF237" s="3">
        <f t="shared" si="145"/>
        <v>-1476.2250250338402</v>
      </c>
      <c r="AG237" s="3">
        <f>-342.807909*627.50956</f>
        <v>-215115.24014111003</v>
      </c>
      <c r="AH237" s="3">
        <f>-345.162017*627.50956</f>
        <v>-216592.4654163825</v>
      </c>
      <c r="AI237" s="3">
        <f t="shared" si="146"/>
        <v>-1477.2252752724744</v>
      </c>
      <c r="AJ237" s="3">
        <v>-0.39200000000000002</v>
      </c>
      <c r="AK237" s="3">
        <v>-0.29399999999999998</v>
      </c>
      <c r="AL237" s="3">
        <f t="shared" si="147"/>
        <v>9.8000000000000032E-2</v>
      </c>
      <c r="AM237" s="3">
        <v>112.17288000000001</v>
      </c>
      <c r="AN237" s="3">
        <v>190.36734000000001</v>
      </c>
      <c r="AO237" s="3">
        <v>207.166</v>
      </c>
      <c r="AP237" s="3">
        <f t="shared" si="148"/>
        <v>1.1245257505762936</v>
      </c>
      <c r="AQ237" s="3">
        <v>8.7070000000000007</v>
      </c>
      <c r="AR237" s="3">
        <v>1.998432</v>
      </c>
      <c r="AS237" s="3">
        <v>-132.80099999999999</v>
      </c>
      <c r="AT237" s="3">
        <v>-131.97</v>
      </c>
      <c r="AU237" s="3">
        <f t="shared" si="123"/>
        <v>-0.83099999999998886</v>
      </c>
      <c r="AV237" s="3">
        <v>-0.34100000000000003</v>
      </c>
      <c r="AW237" s="3">
        <v>-0.47499999999999998</v>
      </c>
      <c r="AX237" s="3">
        <f t="shared" si="124"/>
        <v>0.13399999999999995</v>
      </c>
      <c r="AY237" s="3">
        <v>2.9000000000000001E-2</v>
      </c>
      <c r="AZ237" s="3">
        <v>0.156</v>
      </c>
      <c r="BA237" s="3">
        <f t="shared" si="125"/>
        <v>-0.127</v>
      </c>
      <c r="BB237" s="3">
        <f t="shared" si="158"/>
        <v>0.156</v>
      </c>
      <c r="BC237" s="3">
        <f t="shared" si="158"/>
        <v>0.15949999999999998</v>
      </c>
      <c r="BD237" s="3">
        <f t="shared" si="127"/>
        <v>-3.4999999999999754E-3</v>
      </c>
      <c r="BE237" s="3">
        <f t="shared" si="159"/>
        <v>0.37000000000000005</v>
      </c>
      <c r="BF237" s="3">
        <f t="shared" si="159"/>
        <v>0.63100000000000001</v>
      </c>
      <c r="BG237" s="3">
        <f t="shared" si="129"/>
        <v>-0.26099999999999995</v>
      </c>
      <c r="BH237" s="3">
        <f t="shared" si="160"/>
        <v>-0.156</v>
      </c>
      <c r="BI237" s="3">
        <f t="shared" si="160"/>
        <v>-0.15949999999999998</v>
      </c>
      <c r="BJ237" s="3">
        <f t="shared" si="154"/>
        <v>3.4999999999999754E-3</v>
      </c>
      <c r="BK237" s="3">
        <f t="shared" si="151"/>
        <v>3.2886486486486483E-2</v>
      </c>
      <c r="BL237" s="3">
        <f t="shared" si="152"/>
        <v>2.0158676703645E-2</v>
      </c>
      <c r="BM237" s="3">
        <f t="shared" si="131"/>
        <v>1.2727809782841482E-2</v>
      </c>
      <c r="BN237" s="3">
        <v>4.7279999999999998</v>
      </c>
      <c r="BO237" s="3">
        <v>4.9340000000000002</v>
      </c>
      <c r="BP237" s="3">
        <f t="shared" si="132"/>
        <v>-0.20600000000000041</v>
      </c>
      <c r="BQ237" s="3">
        <v>-83302.89</v>
      </c>
      <c r="BR237" s="3">
        <v>-82779.224000000002</v>
      </c>
      <c r="BS237" s="3">
        <f t="shared" si="133"/>
        <v>-523.66599999999744</v>
      </c>
      <c r="BT237" s="3">
        <v>-83320.774999999994</v>
      </c>
      <c r="BU237" s="3">
        <v>-82796.997000000003</v>
      </c>
      <c r="BV237" s="3">
        <f t="shared" si="134"/>
        <v>-523.77799999999115</v>
      </c>
    </row>
    <row r="238" spans="1:74" x14ac:dyDescent="0.25">
      <c r="A238" t="s">
        <v>421</v>
      </c>
      <c r="B238" t="s">
        <v>514</v>
      </c>
      <c r="C238" t="s">
        <v>103</v>
      </c>
      <c r="D238" s="3">
        <v>18.899999999999999</v>
      </c>
      <c r="E238" s="3">
        <v>0.52</v>
      </c>
      <c r="F238" s="3">
        <v>-289.291</v>
      </c>
      <c r="G238" s="3">
        <v>-291.29599999999999</v>
      </c>
      <c r="H238" s="3">
        <f t="shared" si="135"/>
        <v>-2.0049999999999955</v>
      </c>
      <c r="I238" s="3">
        <v>-0.35099999999999998</v>
      </c>
      <c r="J238" s="6">
        <v>-0.217</v>
      </c>
      <c r="K238" s="3">
        <f t="shared" si="136"/>
        <v>0.13399999999999998</v>
      </c>
      <c r="L238" s="3">
        <v>0.159</v>
      </c>
      <c r="M238" s="6">
        <v>4.3999999999999997E-2</v>
      </c>
      <c r="N238" s="3">
        <f t="shared" si="137"/>
        <v>-0.115</v>
      </c>
      <c r="O238" s="3">
        <f t="shared" si="138"/>
        <v>9.5999999999999988E-2</v>
      </c>
      <c r="P238" s="3">
        <f t="shared" si="138"/>
        <v>8.6499999999999994E-2</v>
      </c>
      <c r="Q238" s="3">
        <f t="shared" si="139"/>
        <v>-9.4999999999999946E-3</v>
      </c>
      <c r="R238" s="3">
        <f t="shared" si="140"/>
        <v>0.51</v>
      </c>
      <c r="S238" s="3">
        <f t="shared" si="140"/>
        <v>0.26100000000000001</v>
      </c>
      <c r="T238" s="3">
        <f t="shared" si="141"/>
        <v>-0.249</v>
      </c>
      <c r="U238" s="3">
        <f t="shared" si="142"/>
        <v>-9.5999999999999988E-2</v>
      </c>
      <c r="V238" s="3">
        <f t="shared" si="142"/>
        <v>-8.6499999999999994E-2</v>
      </c>
      <c r="W238" s="3">
        <f t="shared" si="153"/>
        <v>9.4999999999999946E-3</v>
      </c>
      <c r="X238" s="3">
        <f t="shared" si="149"/>
        <v>9.035294117647058E-3</v>
      </c>
      <c r="Y238" s="3">
        <f t="shared" si="150"/>
        <v>1.4333812260536396E-2</v>
      </c>
      <c r="Z238" s="3">
        <f t="shared" si="143"/>
        <v>5.2985181428893378E-3</v>
      </c>
      <c r="AA238" s="3">
        <v>0.79500000000000004</v>
      </c>
      <c r="AB238" s="3">
        <v>0.60699999999999998</v>
      </c>
      <c r="AC238" s="3">
        <f t="shared" si="144"/>
        <v>-0.18800000000000006</v>
      </c>
      <c r="AD238" s="3">
        <f>-289.085548*627.50956</f>
        <v>-181403.94502783887</v>
      </c>
      <c r="AE238" s="3">
        <f>-291.102302*627.50956</f>
        <v>-182669.47744300711</v>
      </c>
      <c r="AF238" s="3">
        <f t="shared" si="145"/>
        <v>-1265.5324151682435</v>
      </c>
      <c r="AG238" s="3">
        <f>-289.123176*627.50956</f>
        <v>-181427.55695756254</v>
      </c>
      <c r="AH238" s="3">
        <f>-291.14064*627.50956</f>
        <v>-182693.5349045184</v>
      </c>
      <c r="AI238" s="3">
        <f t="shared" si="146"/>
        <v>-1265.9779469558562</v>
      </c>
      <c r="AJ238" s="3">
        <v>-0.57899999999999996</v>
      </c>
      <c r="AK238" s="3">
        <v>-0.52500000000000002</v>
      </c>
      <c r="AL238" s="3">
        <f t="shared" si="147"/>
        <v>5.3999999999999937E-2</v>
      </c>
      <c r="AM238" s="3">
        <v>99.174120000000002</v>
      </c>
      <c r="AN238" s="3">
        <v>174.45050000000001</v>
      </c>
      <c r="AO238" s="3">
        <v>190.91052999999999</v>
      </c>
      <c r="AP238" s="3">
        <f t="shared" si="148"/>
        <v>1.088198810160242</v>
      </c>
      <c r="AQ238" s="3">
        <v>8.27</v>
      </c>
      <c r="AR238" s="3">
        <v>1.796732</v>
      </c>
      <c r="AS238" s="3">
        <v>-959.76900000000001</v>
      </c>
      <c r="AT238" s="3">
        <v>-958.05</v>
      </c>
      <c r="AU238" s="3">
        <f t="shared" si="123"/>
        <v>-1.7190000000000509</v>
      </c>
      <c r="AV238" s="3">
        <v>-0.317</v>
      </c>
      <c r="AW238" s="3">
        <v>-0.45</v>
      </c>
      <c r="AX238" s="3">
        <f t="shared" si="124"/>
        <v>0.13300000000000001</v>
      </c>
      <c r="AY238" s="3">
        <v>-2.4E-2</v>
      </c>
      <c r="AZ238" s="3">
        <v>0.13500000000000001</v>
      </c>
      <c r="BA238" s="3">
        <f t="shared" si="125"/>
        <v>-0.159</v>
      </c>
      <c r="BB238" s="3">
        <f t="shared" si="158"/>
        <v>0.17050000000000001</v>
      </c>
      <c r="BC238" s="3">
        <f t="shared" si="158"/>
        <v>0.1575</v>
      </c>
      <c r="BD238" s="3">
        <f t="shared" si="127"/>
        <v>1.3000000000000012E-2</v>
      </c>
      <c r="BE238" s="3">
        <f t="shared" si="159"/>
        <v>0.29299999999999998</v>
      </c>
      <c r="BF238" s="3">
        <f t="shared" si="159"/>
        <v>0.58499999999999996</v>
      </c>
      <c r="BG238" s="3">
        <f t="shared" si="129"/>
        <v>-0.29199999999999998</v>
      </c>
      <c r="BH238" s="3">
        <f t="shared" si="160"/>
        <v>-0.17050000000000001</v>
      </c>
      <c r="BI238" s="3">
        <f t="shared" si="160"/>
        <v>-0.1575</v>
      </c>
      <c r="BJ238" s="3">
        <f t="shared" si="154"/>
        <v>-1.3000000000000012E-2</v>
      </c>
      <c r="BK238" s="3">
        <f t="shared" si="151"/>
        <v>4.9607935153583631E-2</v>
      </c>
      <c r="BL238" s="3">
        <f t="shared" si="152"/>
        <v>2.120192307692308E-2</v>
      </c>
      <c r="BM238" s="3">
        <f t="shared" si="131"/>
        <v>2.8406012076660551E-2</v>
      </c>
      <c r="BN238" s="3">
        <v>2.2370000000000001</v>
      </c>
      <c r="BO238" s="3">
        <v>2.431</v>
      </c>
      <c r="BP238" s="3">
        <f t="shared" si="132"/>
        <v>-0.19399999999999995</v>
      </c>
      <c r="BQ238" s="3">
        <v>-602243.07700000005</v>
      </c>
      <c r="BR238" s="3">
        <v>-601163.24300000002</v>
      </c>
      <c r="BS238" s="3">
        <f t="shared" si="133"/>
        <v>-1079.8340000000317</v>
      </c>
      <c r="BT238" s="3">
        <v>-602262.36399999994</v>
      </c>
      <c r="BU238" s="3">
        <v>-601182.38500000001</v>
      </c>
      <c r="BV238" s="3">
        <f t="shared" si="134"/>
        <v>-1079.9789999999339</v>
      </c>
    </row>
    <row r="239" spans="1:74" x14ac:dyDescent="0.25">
      <c r="A239" t="s">
        <v>422</v>
      </c>
      <c r="B239" t="s">
        <v>514</v>
      </c>
      <c r="C239" t="s">
        <v>200</v>
      </c>
      <c r="D239" s="3">
        <v>18.97</v>
      </c>
      <c r="E239" s="3">
        <v>0.62</v>
      </c>
      <c r="F239" s="3">
        <v>-321.154</v>
      </c>
      <c r="G239" s="3">
        <v>-323.12099999999998</v>
      </c>
      <c r="H239" s="3">
        <f t="shared" si="135"/>
        <v>-1.9669999999999845</v>
      </c>
      <c r="I239" s="3">
        <v>-0.27300000000000002</v>
      </c>
      <c r="J239" s="6">
        <v>-0.18099999999999999</v>
      </c>
      <c r="K239" s="3">
        <f t="shared" si="136"/>
        <v>9.2000000000000026E-2</v>
      </c>
      <c r="L239" s="3">
        <v>0.16300000000000001</v>
      </c>
      <c r="M239" s="6">
        <v>1.6E-2</v>
      </c>
      <c r="N239" s="3">
        <f t="shared" si="137"/>
        <v>-0.14700000000000002</v>
      </c>
      <c r="O239" s="3">
        <f t="shared" si="138"/>
        <v>5.5000000000000007E-2</v>
      </c>
      <c r="P239" s="3">
        <f t="shared" si="138"/>
        <v>8.249999999999999E-2</v>
      </c>
      <c r="Q239" s="3">
        <f t="shared" si="139"/>
        <v>2.7499999999999983E-2</v>
      </c>
      <c r="R239" s="3">
        <f t="shared" si="140"/>
        <v>0.43600000000000005</v>
      </c>
      <c r="S239" s="3">
        <f t="shared" si="140"/>
        <v>0.19700000000000001</v>
      </c>
      <c r="T239" s="3">
        <f t="shared" si="141"/>
        <v>-0.23900000000000005</v>
      </c>
      <c r="U239" s="3">
        <f t="shared" si="142"/>
        <v>-5.5000000000000007E-2</v>
      </c>
      <c r="V239" s="3">
        <f t="shared" si="142"/>
        <v>-8.249999999999999E-2</v>
      </c>
      <c r="W239" s="3">
        <f t="shared" si="153"/>
        <v>-2.7499999999999983E-2</v>
      </c>
      <c r="X239" s="3">
        <f t="shared" si="149"/>
        <v>3.469036697247707E-3</v>
      </c>
      <c r="Y239" s="3">
        <f t="shared" si="150"/>
        <v>1.7274746192893396E-2</v>
      </c>
      <c r="Z239" s="3">
        <f t="shared" si="143"/>
        <v>1.3805709495645689E-2</v>
      </c>
      <c r="AA239" s="3">
        <v>3.4929999999999999</v>
      </c>
      <c r="AB239" s="3">
        <v>2.8530000000000002</v>
      </c>
      <c r="AC239" s="3">
        <f t="shared" si="144"/>
        <v>-0.63999999999999968</v>
      </c>
      <c r="AD239" s="3">
        <f>-321.063035*627.50956</f>
        <v>-201470.1238251146</v>
      </c>
      <c r="AE239" s="3">
        <f>-323.035649*627.50956</f>
        <v>-202707.95796830443</v>
      </c>
      <c r="AF239" s="3">
        <f t="shared" si="145"/>
        <v>-1237.8341431898298</v>
      </c>
      <c r="AG239" s="3">
        <f>-321.096535*627.50956</f>
        <v>-201491.14539537459</v>
      </c>
      <c r="AH239" s="3">
        <f>-323.069688*627.50956</f>
        <v>-202729.31776621725</v>
      </c>
      <c r="AI239" s="3">
        <f t="shared" si="146"/>
        <v>-1238.172370842658</v>
      </c>
      <c r="AJ239" s="3">
        <v>-0.69399999999999995</v>
      </c>
      <c r="AK239" s="3">
        <v>-0.60399999999999998</v>
      </c>
      <c r="AL239" s="3">
        <f t="shared" si="147"/>
        <v>8.9999999999999969E-2</v>
      </c>
      <c r="AM239" s="3">
        <v>94.091359999999995</v>
      </c>
      <c r="AN239" s="3">
        <v>137.58767</v>
      </c>
      <c r="AO239" s="3">
        <v>133.78881000000001</v>
      </c>
      <c r="AP239" s="3">
        <f t="shared" si="148"/>
        <v>1.0878164097906846</v>
      </c>
      <c r="AQ239" s="3">
        <v>7.2869999999999999</v>
      </c>
      <c r="AR239" s="3">
        <v>1.6957751000000001</v>
      </c>
      <c r="AS239" s="3">
        <v>-553.27200000000005</v>
      </c>
      <c r="AT239" s="3">
        <v>-551.61699999999996</v>
      </c>
      <c r="AU239" s="3">
        <f t="shared" si="123"/>
        <v>-1.6550000000000864</v>
      </c>
      <c r="AV239" s="3">
        <v>-0.23699999999999999</v>
      </c>
      <c r="AW239" s="3">
        <v>-0.36899999999999999</v>
      </c>
      <c r="AX239" s="3">
        <f t="shared" si="124"/>
        <v>0.13200000000000001</v>
      </c>
      <c r="AY239" s="3">
        <v>2.8000000000000001E-2</v>
      </c>
      <c r="AZ239" s="3">
        <v>0.154</v>
      </c>
      <c r="BA239" s="3">
        <f t="shared" si="125"/>
        <v>-0.126</v>
      </c>
      <c r="BB239" s="3">
        <f t="shared" ref="BB239:BC254" si="161">-(AV239+AY239)/2</f>
        <v>0.1045</v>
      </c>
      <c r="BC239" s="3">
        <f t="shared" si="161"/>
        <v>0.1075</v>
      </c>
      <c r="BD239" s="3">
        <f t="shared" si="127"/>
        <v>-3.0000000000000027E-3</v>
      </c>
      <c r="BE239" s="3">
        <f t="shared" ref="BE239:BF254" si="162">AY239-AV239</f>
        <v>0.26500000000000001</v>
      </c>
      <c r="BF239" s="3">
        <f t="shared" si="162"/>
        <v>0.52300000000000002</v>
      </c>
      <c r="BG239" s="3">
        <f t="shared" si="129"/>
        <v>-0.25800000000000001</v>
      </c>
      <c r="BH239" s="3">
        <f t="shared" ref="BH239:BI254" si="163">(AV239+AY239)/2</f>
        <v>-0.1045</v>
      </c>
      <c r="BI239" s="3">
        <f t="shared" si="163"/>
        <v>-0.1075</v>
      </c>
      <c r="BJ239" s="3">
        <f t="shared" si="154"/>
        <v>3.0000000000000027E-3</v>
      </c>
      <c r="BK239" s="3">
        <f t="shared" si="151"/>
        <v>2.0604245283018865E-2</v>
      </c>
      <c r="BL239" s="3">
        <f t="shared" si="152"/>
        <v>1.104804015296367E-2</v>
      </c>
      <c r="BM239" s="3">
        <f t="shared" si="131"/>
        <v>9.5562051300551957E-3</v>
      </c>
      <c r="BN239" s="3">
        <v>5.4870000000000001</v>
      </c>
      <c r="BO239" s="3">
        <v>6.0839999999999996</v>
      </c>
      <c r="BP239" s="3">
        <f t="shared" si="132"/>
        <v>-0.59699999999999953</v>
      </c>
      <c r="BQ239" s="3">
        <v>-347129.96399999998</v>
      </c>
      <c r="BR239" s="3">
        <v>-346087.64600000001</v>
      </c>
      <c r="BS239" s="3">
        <f t="shared" si="133"/>
        <v>-1042.3179999999702</v>
      </c>
      <c r="BT239" s="3">
        <v>-347152.04599999997</v>
      </c>
      <c r="BU239" s="3">
        <v>-346109.22600000002</v>
      </c>
      <c r="BV239" s="3">
        <f t="shared" si="134"/>
        <v>-1042.8199999999488</v>
      </c>
    </row>
    <row r="240" spans="1:74" x14ac:dyDescent="0.25">
      <c r="A240" t="s">
        <v>423</v>
      </c>
      <c r="B240" t="s">
        <v>514</v>
      </c>
      <c r="C240" t="s">
        <v>200</v>
      </c>
      <c r="D240" s="3">
        <v>19.13</v>
      </c>
      <c r="E240" s="3">
        <v>0.55000000000000004</v>
      </c>
      <c r="F240" s="3">
        <v>-377.07400000000001</v>
      </c>
      <c r="G240" s="3">
        <v>-379.48200000000003</v>
      </c>
      <c r="H240" s="3">
        <f t="shared" si="135"/>
        <v>-2.4080000000000155</v>
      </c>
      <c r="I240" s="3">
        <v>-0.26800000000000002</v>
      </c>
      <c r="J240" s="6">
        <v>-0.19</v>
      </c>
      <c r="K240" s="3">
        <f t="shared" si="136"/>
        <v>7.8000000000000014E-2</v>
      </c>
      <c r="L240" s="3">
        <v>0.14499999999999999</v>
      </c>
      <c r="M240" s="6">
        <v>6.0000000000000001E-3</v>
      </c>
      <c r="N240" s="3">
        <f t="shared" si="137"/>
        <v>-0.13899999999999998</v>
      </c>
      <c r="O240" s="3">
        <f t="shared" si="138"/>
        <v>6.1500000000000013E-2</v>
      </c>
      <c r="P240" s="3">
        <f t="shared" si="138"/>
        <v>9.1999999999999998E-2</v>
      </c>
      <c r="Q240" s="3">
        <f t="shared" si="139"/>
        <v>3.0499999999999985E-2</v>
      </c>
      <c r="R240" s="3">
        <f t="shared" si="140"/>
        <v>0.41300000000000003</v>
      </c>
      <c r="S240" s="3">
        <f t="shared" si="140"/>
        <v>0.19600000000000001</v>
      </c>
      <c r="T240" s="3">
        <f t="shared" si="141"/>
        <v>-0.21700000000000003</v>
      </c>
      <c r="U240" s="3">
        <f t="shared" si="142"/>
        <v>-6.1500000000000013E-2</v>
      </c>
      <c r="V240" s="3">
        <f t="shared" si="142"/>
        <v>-9.1999999999999998E-2</v>
      </c>
      <c r="W240" s="3">
        <f t="shared" si="153"/>
        <v>-3.0499999999999985E-2</v>
      </c>
      <c r="X240" s="3">
        <f t="shared" si="149"/>
        <v>4.5789951573849894E-3</v>
      </c>
      <c r="Y240" s="3">
        <f t="shared" si="150"/>
        <v>2.1591836734693875E-2</v>
      </c>
      <c r="Z240" s="3">
        <f t="shared" si="143"/>
        <v>1.7012841577308885E-2</v>
      </c>
      <c r="AA240" s="3">
        <v>4.8040000000000003</v>
      </c>
      <c r="AB240" s="3">
        <v>4.5179999999999998</v>
      </c>
      <c r="AC240" s="3">
        <f t="shared" si="144"/>
        <v>-0.28600000000000048</v>
      </c>
      <c r="AD240" s="3">
        <f>-376.95489*627.50956</f>
        <v>-236542.79716374839</v>
      </c>
      <c r="AE240" s="3">
        <f>-379.370485*627.50956</f>
        <v>-238058.60611933656</v>
      </c>
      <c r="AF240" s="3">
        <f t="shared" si="145"/>
        <v>-1515.8089555881743</v>
      </c>
      <c r="AG240" s="3">
        <f>-376.990813*627.50956</f>
        <v>-236565.33918967226</v>
      </c>
      <c r="AH240" s="3">
        <f>-379.407085*627.50956</f>
        <v>-238081.57296923257</v>
      </c>
      <c r="AI240" s="3">
        <f t="shared" si="146"/>
        <v>-1516.2337795603089</v>
      </c>
      <c r="AJ240" s="3">
        <v>-0.72399999999999998</v>
      </c>
      <c r="AK240" s="3">
        <v>-0.64300000000000002</v>
      </c>
      <c r="AL240" s="3">
        <f t="shared" si="147"/>
        <v>8.0999999999999961E-2</v>
      </c>
      <c r="AM240" s="3">
        <v>117.128</v>
      </c>
      <c r="AN240" s="3">
        <v>163.09575000000001</v>
      </c>
      <c r="AO240" s="3">
        <v>166.7576</v>
      </c>
      <c r="AP240" s="3">
        <f t="shared" si="148"/>
        <v>1.1133750988451878</v>
      </c>
      <c r="AQ240" s="3">
        <v>8.9499999999999993</v>
      </c>
      <c r="AR240" s="3">
        <v>1.8983245</v>
      </c>
      <c r="AS240" s="3">
        <v>-553.27200000000005</v>
      </c>
      <c r="AT240" s="3">
        <v>-551.61699999999996</v>
      </c>
      <c r="AU240" s="3">
        <f t="shared" si="123"/>
        <v>-1.6550000000000864</v>
      </c>
      <c r="AV240" s="3">
        <v>-0.23699999999999999</v>
      </c>
      <c r="AW240" s="3">
        <v>-0.36899999999999999</v>
      </c>
      <c r="AX240" s="3">
        <f t="shared" si="124"/>
        <v>0.13200000000000001</v>
      </c>
      <c r="AY240" s="3">
        <v>2.8000000000000001E-2</v>
      </c>
      <c r="AZ240" s="3">
        <v>0.154</v>
      </c>
      <c r="BA240" s="3">
        <f t="shared" si="125"/>
        <v>-0.126</v>
      </c>
      <c r="BB240" s="3">
        <f t="shared" si="161"/>
        <v>0.1045</v>
      </c>
      <c r="BC240" s="3">
        <f t="shared" si="161"/>
        <v>0.1075</v>
      </c>
      <c r="BD240" s="3">
        <f t="shared" si="127"/>
        <v>-3.0000000000000027E-3</v>
      </c>
      <c r="BE240" s="3">
        <f t="shared" si="162"/>
        <v>0.26500000000000001</v>
      </c>
      <c r="BF240" s="3">
        <f t="shared" si="162"/>
        <v>0.52300000000000002</v>
      </c>
      <c r="BG240" s="3">
        <f t="shared" si="129"/>
        <v>-0.25800000000000001</v>
      </c>
      <c r="BH240" s="3">
        <f t="shared" si="163"/>
        <v>-0.1045</v>
      </c>
      <c r="BI240" s="3">
        <f t="shared" si="163"/>
        <v>-0.1075</v>
      </c>
      <c r="BJ240" s="3">
        <f t="shared" si="154"/>
        <v>3.0000000000000027E-3</v>
      </c>
      <c r="BK240" s="3">
        <f t="shared" si="151"/>
        <v>2.0604245283018865E-2</v>
      </c>
      <c r="BL240" s="3">
        <f t="shared" si="152"/>
        <v>1.104804015296367E-2</v>
      </c>
      <c r="BM240" s="3">
        <f t="shared" si="131"/>
        <v>9.5562051300551957E-3</v>
      </c>
      <c r="BN240" s="3">
        <v>5.4870000000000001</v>
      </c>
      <c r="BO240" s="3">
        <v>6.0839999999999996</v>
      </c>
      <c r="BP240" s="3">
        <f t="shared" si="132"/>
        <v>-0.59699999999999953</v>
      </c>
      <c r="BQ240" s="3">
        <v>-347129.96399999998</v>
      </c>
      <c r="BR240" s="3">
        <v>-346087.64600000001</v>
      </c>
      <c r="BS240" s="3">
        <f t="shared" si="133"/>
        <v>-1042.3179999999702</v>
      </c>
      <c r="BT240" s="3">
        <v>-347152.04599999997</v>
      </c>
      <c r="BU240" s="3">
        <v>-346109.22600000002</v>
      </c>
      <c r="BV240" s="3">
        <f t="shared" si="134"/>
        <v>-1042.8199999999488</v>
      </c>
    </row>
    <row r="241" spans="1:74" x14ac:dyDescent="0.25">
      <c r="A241" t="s">
        <v>424</v>
      </c>
      <c r="B241" t="s">
        <v>514</v>
      </c>
      <c r="C241" t="s">
        <v>103</v>
      </c>
      <c r="D241" s="3">
        <v>19.309999999999999</v>
      </c>
      <c r="E241" s="3">
        <v>0.46</v>
      </c>
      <c r="F241" s="3">
        <v>-227.15100000000001</v>
      </c>
      <c r="G241" s="3">
        <v>-228.649</v>
      </c>
      <c r="H241" s="3">
        <f t="shared" si="135"/>
        <v>-1.4979999999999905</v>
      </c>
      <c r="I241" s="3">
        <v>-0.33700000000000002</v>
      </c>
      <c r="J241" s="6">
        <v>-0.218</v>
      </c>
      <c r="K241" s="3">
        <f t="shared" si="136"/>
        <v>0.11900000000000002</v>
      </c>
      <c r="L241" s="3">
        <v>0.156</v>
      </c>
      <c r="M241" s="6">
        <v>2E-3</v>
      </c>
      <c r="N241" s="3">
        <f t="shared" si="137"/>
        <v>-0.154</v>
      </c>
      <c r="O241" s="3">
        <f t="shared" si="138"/>
        <v>9.0500000000000011E-2</v>
      </c>
      <c r="P241" s="3">
        <f t="shared" si="138"/>
        <v>0.108</v>
      </c>
      <c r="Q241" s="3">
        <f t="shared" si="139"/>
        <v>1.7499999999999988E-2</v>
      </c>
      <c r="R241" s="3">
        <f t="shared" si="140"/>
        <v>0.49299999999999999</v>
      </c>
      <c r="S241" s="3">
        <f t="shared" si="140"/>
        <v>0.22</v>
      </c>
      <c r="T241" s="3">
        <f t="shared" si="141"/>
        <v>-0.27300000000000002</v>
      </c>
      <c r="U241" s="3">
        <f t="shared" si="142"/>
        <v>-9.0500000000000011E-2</v>
      </c>
      <c r="V241" s="3">
        <f t="shared" si="142"/>
        <v>-0.108</v>
      </c>
      <c r="W241" s="3">
        <f t="shared" si="153"/>
        <v>-1.7499999999999988E-2</v>
      </c>
      <c r="X241" s="3">
        <f t="shared" si="149"/>
        <v>8.306541582150103E-3</v>
      </c>
      <c r="Y241" s="3">
        <f t="shared" si="150"/>
        <v>2.6509090909090906E-2</v>
      </c>
      <c r="Z241" s="3">
        <f t="shared" si="143"/>
        <v>1.8202549326940803E-2</v>
      </c>
      <c r="AA241" s="3">
        <v>2.3090000000000002</v>
      </c>
      <c r="AB241" s="3">
        <v>2.4</v>
      </c>
      <c r="AC241" s="3">
        <f t="shared" si="144"/>
        <v>9.0999999999999748E-2</v>
      </c>
      <c r="AD241" s="3">
        <f>-227.023473*627.50956</f>
        <v>-142459.39965190188</v>
      </c>
      <c r="AE241" s="3">
        <f>-228.528735*627.50956</f>
        <v>-143403.9659472066</v>
      </c>
      <c r="AF241" s="3">
        <f t="shared" si="145"/>
        <v>-944.566295304714</v>
      </c>
      <c r="AG241" s="3">
        <f>-227.058492*627.50956</f>
        <v>-142481.37440918351</v>
      </c>
      <c r="AH241" s="3">
        <f>-228.564486*627.50956</f>
        <v>-143426.40004148614</v>
      </c>
      <c r="AI241" s="3">
        <f t="shared" si="146"/>
        <v>-945.02563230262604</v>
      </c>
      <c r="AJ241" s="3">
        <v>-0.28399999999999997</v>
      </c>
      <c r="AK241" s="3">
        <v>-0.27300000000000002</v>
      </c>
      <c r="AL241" s="3">
        <f t="shared" si="147"/>
        <v>1.0999999999999954E-2</v>
      </c>
      <c r="AM241" s="3">
        <v>72.109020000000001</v>
      </c>
      <c r="AN241" s="3">
        <v>140.7081</v>
      </c>
      <c r="AO241" s="3">
        <v>136.60210000000001</v>
      </c>
      <c r="AP241" s="3">
        <f t="shared" si="148"/>
        <v>1.0971604195589617</v>
      </c>
      <c r="AQ241" s="3">
        <v>7.6559999999999997</v>
      </c>
      <c r="AR241" s="3">
        <v>1.5276133999999999</v>
      </c>
      <c r="AS241" s="3">
        <v>-959.76900000000001</v>
      </c>
      <c r="AT241" s="3">
        <v>-958.05</v>
      </c>
      <c r="AU241" s="3">
        <f t="shared" si="123"/>
        <v>-1.7190000000000509</v>
      </c>
      <c r="AV241" s="3">
        <v>-0.317</v>
      </c>
      <c r="AW241" s="3">
        <v>-0.45</v>
      </c>
      <c r="AX241" s="3">
        <f t="shared" si="124"/>
        <v>0.13300000000000001</v>
      </c>
      <c r="AY241" s="3">
        <v>-2.4E-2</v>
      </c>
      <c r="AZ241" s="3">
        <v>0.13500000000000001</v>
      </c>
      <c r="BA241" s="3">
        <f t="shared" si="125"/>
        <v>-0.159</v>
      </c>
      <c r="BB241" s="3">
        <f t="shared" si="161"/>
        <v>0.17050000000000001</v>
      </c>
      <c r="BC241" s="3">
        <f t="shared" si="161"/>
        <v>0.1575</v>
      </c>
      <c r="BD241" s="3">
        <f t="shared" si="127"/>
        <v>1.3000000000000012E-2</v>
      </c>
      <c r="BE241" s="3">
        <f t="shared" si="162"/>
        <v>0.29299999999999998</v>
      </c>
      <c r="BF241" s="3">
        <f t="shared" si="162"/>
        <v>0.58499999999999996</v>
      </c>
      <c r="BG241" s="3">
        <f t="shared" si="129"/>
        <v>-0.29199999999999998</v>
      </c>
      <c r="BH241" s="3">
        <f t="shared" si="163"/>
        <v>-0.17050000000000001</v>
      </c>
      <c r="BI241" s="3">
        <f t="shared" si="163"/>
        <v>-0.1575</v>
      </c>
      <c r="BJ241" s="3">
        <f t="shared" si="154"/>
        <v>-1.3000000000000012E-2</v>
      </c>
      <c r="BK241" s="3">
        <f t="shared" si="151"/>
        <v>4.9607935153583631E-2</v>
      </c>
      <c r="BL241" s="3">
        <f t="shared" si="152"/>
        <v>2.120192307692308E-2</v>
      </c>
      <c r="BM241" s="3">
        <f t="shared" si="131"/>
        <v>2.8406012076660551E-2</v>
      </c>
      <c r="BN241" s="3">
        <v>2.2370000000000001</v>
      </c>
      <c r="BO241" s="3">
        <v>2.431</v>
      </c>
      <c r="BP241" s="3">
        <f t="shared" si="132"/>
        <v>-0.19399999999999995</v>
      </c>
      <c r="BQ241" s="3">
        <v>-602243.07700000005</v>
      </c>
      <c r="BR241" s="3">
        <v>-601163.24300000002</v>
      </c>
      <c r="BS241" s="3">
        <f t="shared" si="133"/>
        <v>-1079.8340000000317</v>
      </c>
      <c r="BT241" s="3">
        <v>-602262.36399999994</v>
      </c>
      <c r="BU241" s="3">
        <v>-601182.38500000001</v>
      </c>
      <c r="BV241" s="3">
        <f t="shared" si="134"/>
        <v>-1079.9789999999339</v>
      </c>
    </row>
    <row r="242" spans="1:74" x14ac:dyDescent="0.25">
      <c r="A242" t="s">
        <v>425</v>
      </c>
      <c r="B242" t="s">
        <v>514</v>
      </c>
      <c r="C242" t="s">
        <v>200</v>
      </c>
      <c r="D242" s="3">
        <v>19.91</v>
      </c>
      <c r="E242" s="3">
        <v>0.6</v>
      </c>
      <c r="F242" s="3">
        <v>-321.15600000000001</v>
      </c>
      <c r="G242" s="3">
        <v>-323.12200000000001</v>
      </c>
      <c r="H242" s="3">
        <f t="shared" si="135"/>
        <v>-1.9660000000000082</v>
      </c>
      <c r="I242" s="3">
        <v>-0.25800000000000001</v>
      </c>
      <c r="J242" s="6">
        <v>-0.17100000000000001</v>
      </c>
      <c r="K242" s="3">
        <f t="shared" si="136"/>
        <v>8.6999999999999994E-2</v>
      </c>
      <c r="L242" s="3">
        <v>0.151</v>
      </c>
      <c r="M242" s="6">
        <v>7.0000000000000001E-3</v>
      </c>
      <c r="N242" s="3">
        <f t="shared" si="137"/>
        <v>-0.14399999999999999</v>
      </c>
      <c r="O242" s="3">
        <f t="shared" si="138"/>
        <v>5.3500000000000006E-2</v>
      </c>
      <c r="P242" s="3">
        <f t="shared" si="138"/>
        <v>8.2000000000000003E-2</v>
      </c>
      <c r="Q242" s="3">
        <f t="shared" si="139"/>
        <v>2.8499999999999998E-2</v>
      </c>
      <c r="R242" s="3">
        <f t="shared" si="140"/>
        <v>0.40900000000000003</v>
      </c>
      <c r="S242" s="3">
        <f t="shared" si="140"/>
        <v>0.17800000000000002</v>
      </c>
      <c r="T242" s="3">
        <f t="shared" si="141"/>
        <v>-0.23100000000000001</v>
      </c>
      <c r="U242" s="3">
        <f t="shared" si="142"/>
        <v>-5.3500000000000006E-2</v>
      </c>
      <c r="V242" s="3">
        <f t="shared" si="142"/>
        <v>-8.2000000000000003E-2</v>
      </c>
      <c r="W242" s="3">
        <f t="shared" si="153"/>
        <v>-2.8499999999999998E-2</v>
      </c>
      <c r="X242" s="3">
        <f t="shared" si="149"/>
        <v>3.4990831295843524E-3</v>
      </c>
      <c r="Y242" s="3">
        <f t="shared" si="150"/>
        <v>1.8887640449438203E-2</v>
      </c>
      <c r="Z242" s="3">
        <f t="shared" si="143"/>
        <v>1.5388557319853851E-2</v>
      </c>
      <c r="AA242" s="3">
        <v>8.0570000000000004</v>
      </c>
      <c r="AB242" s="3">
        <v>7.1870000000000003</v>
      </c>
      <c r="AC242" s="3">
        <f t="shared" si="144"/>
        <v>-0.87000000000000011</v>
      </c>
      <c r="AD242" s="3">
        <f>-321.064619*627.50956</f>
        <v>-201471.11780025763</v>
      </c>
      <c r="AE242" s="3">
        <f>-323.036777*627.50956</f>
        <v>-202708.66579908808</v>
      </c>
      <c r="AF242" s="3">
        <f t="shared" si="145"/>
        <v>-1237.5479988304432</v>
      </c>
      <c r="AG242" s="3">
        <f>-321.098803*627.50956</f>
        <v>-201492.56858705665</v>
      </c>
      <c r="AH242" s="3">
        <f>-323.071565*627.50956</f>
        <v>-202730.49560166142</v>
      </c>
      <c r="AI242" s="3">
        <f t="shared" si="146"/>
        <v>-1237.9270146047638</v>
      </c>
      <c r="AJ242" s="3">
        <v>-0.73299999999999998</v>
      </c>
      <c r="AK242" s="3">
        <v>-0.63100000000000001</v>
      </c>
      <c r="AL242" s="3">
        <f t="shared" si="147"/>
        <v>0.10199999999999998</v>
      </c>
      <c r="AM242" s="3">
        <v>94.091359999999995</v>
      </c>
      <c r="AN242" s="3">
        <v>137.82626999999999</v>
      </c>
      <c r="AO242" s="3">
        <v>133.88213999999999</v>
      </c>
      <c r="AP242" s="3">
        <f t="shared" si="148"/>
        <v>1.0891963809081715</v>
      </c>
      <c r="AQ242" s="3">
        <v>7.8890000000000002</v>
      </c>
      <c r="AR242" s="3">
        <v>1.6777652999999999</v>
      </c>
      <c r="AS242" s="3">
        <v>-553.27200000000005</v>
      </c>
      <c r="AT242" s="3">
        <v>-551.61699999999996</v>
      </c>
      <c r="AU242" s="3">
        <f t="shared" si="123"/>
        <v>-1.6550000000000864</v>
      </c>
      <c r="AV242" s="3">
        <v>-0.23699999999999999</v>
      </c>
      <c r="AW242" s="3">
        <v>-0.36899999999999999</v>
      </c>
      <c r="AX242" s="3">
        <f t="shared" si="124"/>
        <v>0.13200000000000001</v>
      </c>
      <c r="AY242" s="3">
        <v>2.8000000000000001E-2</v>
      </c>
      <c r="AZ242" s="3">
        <v>0.154</v>
      </c>
      <c r="BA242" s="3">
        <f t="shared" si="125"/>
        <v>-0.126</v>
      </c>
      <c r="BB242" s="3">
        <f t="shared" si="161"/>
        <v>0.1045</v>
      </c>
      <c r="BC242" s="3">
        <f t="shared" si="161"/>
        <v>0.1075</v>
      </c>
      <c r="BD242" s="3">
        <f t="shared" si="127"/>
        <v>-3.0000000000000027E-3</v>
      </c>
      <c r="BE242" s="3">
        <f t="shared" si="162"/>
        <v>0.26500000000000001</v>
      </c>
      <c r="BF242" s="3">
        <f t="shared" si="162"/>
        <v>0.52300000000000002</v>
      </c>
      <c r="BG242" s="3">
        <f t="shared" si="129"/>
        <v>-0.25800000000000001</v>
      </c>
      <c r="BH242" s="3">
        <f t="shared" si="163"/>
        <v>-0.1045</v>
      </c>
      <c r="BI242" s="3">
        <f t="shared" si="163"/>
        <v>-0.1075</v>
      </c>
      <c r="BJ242" s="3">
        <f t="shared" si="154"/>
        <v>3.0000000000000027E-3</v>
      </c>
      <c r="BK242" s="3">
        <f t="shared" si="151"/>
        <v>2.0604245283018865E-2</v>
      </c>
      <c r="BL242" s="3">
        <f t="shared" si="152"/>
        <v>1.104804015296367E-2</v>
      </c>
      <c r="BM242" s="3">
        <f t="shared" si="131"/>
        <v>9.5562051300551957E-3</v>
      </c>
      <c r="BN242" s="3">
        <v>5.4870000000000001</v>
      </c>
      <c r="BO242" s="3">
        <v>6.0839999999999996</v>
      </c>
      <c r="BP242" s="3">
        <f t="shared" si="132"/>
        <v>-0.59699999999999953</v>
      </c>
      <c r="BQ242" s="3">
        <v>-347129.96399999998</v>
      </c>
      <c r="BR242" s="3">
        <v>-346087.64600000001</v>
      </c>
      <c r="BS242" s="3">
        <f t="shared" si="133"/>
        <v>-1042.3179999999702</v>
      </c>
      <c r="BT242" s="3">
        <v>-347152.04599999997</v>
      </c>
      <c r="BU242" s="3">
        <v>-346109.22600000002</v>
      </c>
      <c r="BV242" s="3">
        <f t="shared" si="134"/>
        <v>-1042.8199999999488</v>
      </c>
    </row>
    <row r="243" spans="1:74" x14ac:dyDescent="0.25">
      <c r="A243" t="s">
        <v>426</v>
      </c>
      <c r="B243" t="s">
        <v>514</v>
      </c>
      <c r="C243" t="s">
        <v>99</v>
      </c>
      <c r="D243" s="3">
        <v>20.11</v>
      </c>
      <c r="E243" s="3">
        <v>0.56999999999999995</v>
      </c>
      <c r="F243" s="3">
        <v>-321.15499999999997</v>
      </c>
      <c r="G243" s="3">
        <v>-323.12099999999998</v>
      </c>
      <c r="H243" s="3">
        <f t="shared" si="135"/>
        <v>-1.9660000000000082</v>
      </c>
      <c r="I243" s="3">
        <v>-0.25700000000000001</v>
      </c>
      <c r="J243" s="6">
        <v>-0.17</v>
      </c>
      <c r="K243" s="3">
        <f t="shared" si="136"/>
        <v>8.6999999999999994E-2</v>
      </c>
      <c r="L243" s="3">
        <v>0.152</v>
      </c>
      <c r="M243" s="6">
        <v>8.0000000000000002E-3</v>
      </c>
      <c r="N243" s="3">
        <f t="shared" si="137"/>
        <v>-0.14399999999999999</v>
      </c>
      <c r="O243" s="3">
        <f t="shared" si="138"/>
        <v>5.2500000000000005E-2</v>
      </c>
      <c r="P243" s="3">
        <f t="shared" si="138"/>
        <v>8.1000000000000003E-2</v>
      </c>
      <c r="Q243" s="3">
        <f t="shared" si="139"/>
        <v>2.8499999999999998E-2</v>
      </c>
      <c r="R243" s="3">
        <f t="shared" si="140"/>
        <v>0.40900000000000003</v>
      </c>
      <c r="S243" s="3">
        <f t="shared" si="140"/>
        <v>0.17800000000000002</v>
      </c>
      <c r="T243" s="3">
        <f t="shared" si="141"/>
        <v>-0.23100000000000001</v>
      </c>
      <c r="U243" s="3">
        <f t="shared" si="142"/>
        <v>-5.2500000000000005E-2</v>
      </c>
      <c r="V243" s="3">
        <f t="shared" si="142"/>
        <v>-8.1000000000000003E-2</v>
      </c>
      <c r="W243" s="3">
        <f t="shared" si="153"/>
        <v>-2.8499999999999998E-2</v>
      </c>
      <c r="X243" s="3">
        <f t="shared" si="149"/>
        <v>3.3694987775061127E-3</v>
      </c>
      <c r="Y243" s="3">
        <f t="shared" si="150"/>
        <v>1.8429775280898876E-2</v>
      </c>
      <c r="Z243" s="3">
        <f t="shared" si="143"/>
        <v>1.5060276503392762E-2</v>
      </c>
      <c r="AA243" s="3">
        <v>8.0259999999999998</v>
      </c>
      <c r="AB243" s="3">
        <v>7.1580000000000004</v>
      </c>
      <c r="AC243" s="3">
        <f t="shared" si="144"/>
        <v>-0.86799999999999944</v>
      </c>
      <c r="AD243" s="3">
        <f>-321.063855*627.50956</f>
        <v>-201470.6383829538</v>
      </c>
      <c r="AE243" s="3">
        <f>-323.036061*627.50956</f>
        <v>-202708.21650224316</v>
      </c>
      <c r="AF243" s="3">
        <f t="shared" si="145"/>
        <v>-1237.5781192893628</v>
      </c>
      <c r="AG243" s="3">
        <f>-321.098042*627.50956</f>
        <v>-201492.09105228152</v>
      </c>
      <c r="AH243" s="3">
        <f>-323.070851*627.50956</f>
        <v>-202730.04755983554</v>
      </c>
      <c r="AI243" s="3">
        <f t="shared" si="146"/>
        <v>-1237.9565075540158</v>
      </c>
      <c r="AJ243" s="3">
        <v>-0.73299999999999998</v>
      </c>
      <c r="AK243" s="3">
        <v>-0.63</v>
      </c>
      <c r="AL243" s="3">
        <f t="shared" si="147"/>
        <v>0.10299999999999998</v>
      </c>
      <c r="AM243" s="3">
        <v>94.091359999999995</v>
      </c>
      <c r="AN243" s="3">
        <v>137.82642000000001</v>
      </c>
      <c r="AO243" s="3">
        <v>133.8826</v>
      </c>
      <c r="AP243" s="3">
        <f t="shared" si="148"/>
        <v>1.0891950714314123</v>
      </c>
      <c r="AQ243" s="3">
        <v>7.8890000000000002</v>
      </c>
      <c r="AR243" s="3">
        <v>1.6777662200000001</v>
      </c>
      <c r="AS243" s="3">
        <v>-132.80099999999999</v>
      </c>
      <c r="AT243" s="3">
        <v>-131.97</v>
      </c>
      <c r="AU243" s="3">
        <f t="shared" si="123"/>
        <v>-0.83099999999998886</v>
      </c>
      <c r="AV243" s="3">
        <v>-0.34100000000000003</v>
      </c>
      <c r="AW243" s="3">
        <v>-0.47499999999999998</v>
      </c>
      <c r="AX243" s="3">
        <f t="shared" si="124"/>
        <v>0.13399999999999995</v>
      </c>
      <c r="AY243" s="3">
        <v>2.9000000000000001E-2</v>
      </c>
      <c r="AZ243" s="3">
        <v>0.156</v>
      </c>
      <c r="BA243" s="3">
        <f t="shared" si="125"/>
        <v>-0.127</v>
      </c>
      <c r="BB243" s="3">
        <f t="shared" si="161"/>
        <v>0.156</v>
      </c>
      <c r="BC243" s="3">
        <f t="shared" si="161"/>
        <v>0.15949999999999998</v>
      </c>
      <c r="BD243" s="3">
        <f t="shared" si="127"/>
        <v>-3.4999999999999754E-3</v>
      </c>
      <c r="BE243" s="3">
        <f t="shared" si="162"/>
        <v>0.37000000000000005</v>
      </c>
      <c r="BF243" s="3">
        <f t="shared" si="162"/>
        <v>0.63100000000000001</v>
      </c>
      <c r="BG243" s="3">
        <f t="shared" si="129"/>
        <v>-0.26099999999999995</v>
      </c>
      <c r="BH243" s="3">
        <f t="shared" si="163"/>
        <v>-0.156</v>
      </c>
      <c r="BI243" s="3">
        <f t="shared" si="163"/>
        <v>-0.15949999999999998</v>
      </c>
      <c r="BJ243" s="3">
        <f t="shared" si="154"/>
        <v>3.4999999999999754E-3</v>
      </c>
      <c r="BK243" s="3">
        <f t="shared" si="151"/>
        <v>3.2886486486486483E-2</v>
      </c>
      <c r="BL243" s="3">
        <f t="shared" si="152"/>
        <v>2.0158676703645E-2</v>
      </c>
      <c r="BM243" s="3">
        <f t="shared" si="131"/>
        <v>1.2727809782841482E-2</v>
      </c>
      <c r="BN243" s="3">
        <v>4.7279999999999998</v>
      </c>
      <c r="BO243" s="3">
        <v>4.9340000000000002</v>
      </c>
      <c r="BP243" s="3">
        <f t="shared" si="132"/>
        <v>-0.20600000000000041</v>
      </c>
      <c r="BQ243" s="3">
        <v>-83302.89</v>
      </c>
      <c r="BR243" s="3">
        <v>-82779.224000000002</v>
      </c>
      <c r="BS243" s="3">
        <f t="shared" si="133"/>
        <v>-523.66599999999744</v>
      </c>
      <c r="BT243" s="3">
        <v>-83320.774999999994</v>
      </c>
      <c r="BU243" s="3">
        <v>-82796.997000000003</v>
      </c>
      <c r="BV243" s="3">
        <f t="shared" si="134"/>
        <v>-523.77799999999115</v>
      </c>
    </row>
    <row r="244" spans="1:74" x14ac:dyDescent="0.25">
      <c r="A244" t="s">
        <v>427</v>
      </c>
      <c r="B244" t="s">
        <v>514</v>
      </c>
      <c r="C244" t="s">
        <v>99</v>
      </c>
      <c r="D244" s="3">
        <v>20.22</v>
      </c>
      <c r="E244" s="3">
        <v>0.49</v>
      </c>
      <c r="F244" s="3">
        <v>-321.154</v>
      </c>
      <c r="G244" s="3">
        <v>-323.12099999999998</v>
      </c>
      <c r="H244" s="3">
        <f t="shared" si="135"/>
        <v>-1.9669999999999845</v>
      </c>
      <c r="I244" s="3">
        <v>-0.27200000000000002</v>
      </c>
      <c r="J244" s="6">
        <v>-0.18</v>
      </c>
      <c r="K244" s="3">
        <f t="shared" si="136"/>
        <v>9.2000000000000026E-2</v>
      </c>
      <c r="L244" s="3">
        <v>0.16400000000000001</v>
      </c>
      <c r="M244" s="6">
        <v>1.7000000000000001E-2</v>
      </c>
      <c r="N244" s="3">
        <f t="shared" si="137"/>
        <v>-0.14700000000000002</v>
      </c>
      <c r="O244" s="3">
        <f t="shared" si="138"/>
        <v>5.4000000000000006E-2</v>
      </c>
      <c r="P244" s="3">
        <f t="shared" si="138"/>
        <v>8.1499999999999989E-2</v>
      </c>
      <c r="Q244" s="3">
        <f t="shared" si="139"/>
        <v>2.7499999999999983E-2</v>
      </c>
      <c r="R244" s="3">
        <f t="shared" si="140"/>
        <v>0.43600000000000005</v>
      </c>
      <c r="S244" s="3">
        <f t="shared" si="140"/>
        <v>0.19700000000000001</v>
      </c>
      <c r="T244" s="3">
        <f t="shared" si="141"/>
        <v>-0.23900000000000005</v>
      </c>
      <c r="U244" s="3">
        <f t="shared" si="142"/>
        <v>-5.4000000000000006E-2</v>
      </c>
      <c r="V244" s="3">
        <f t="shared" si="142"/>
        <v>-8.1499999999999989E-2</v>
      </c>
      <c r="W244" s="3">
        <f t="shared" si="153"/>
        <v>-2.7499999999999983E-2</v>
      </c>
      <c r="X244" s="3">
        <f t="shared" si="149"/>
        <v>3.3440366972477069E-3</v>
      </c>
      <c r="Y244" s="3">
        <f t="shared" si="150"/>
        <v>1.6858502538071061E-2</v>
      </c>
      <c r="Z244" s="3">
        <f t="shared" si="143"/>
        <v>1.3514465840823353E-2</v>
      </c>
      <c r="AA244" s="3">
        <v>3.48</v>
      </c>
      <c r="AB244" s="3">
        <v>2.8420000000000001</v>
      </c>
      <c r="AC244" s="3">
        <f t="shared" si="144"/>
        <v>-0.6379999999999999</v>
      </c>
      <c r="AD244" s="3">
        <f>-321.06236*627.50956</f>
        <v>-201469.7002561616</v>
      </c>
      <c r="AE244" s="3">
        <f>-323.035007*627.50956</f>
        <v>-202707.5551071669</v>
      </c>
      <c r="AF244" s="3">
        <f t="shared" si="145"/>
        <v>-1237.8548510053079</v>
      </c>
      <c r="AG244" s="3">
        <f>-321.095859*627.50956</f>
        <v>-201490.72119891204</v>
      </c>
      <c r="AH244" s="3">
        <f>-323.069045*627.50956</f>
        <v>-202728.91427757021</v>
      </c>
      <c r="AI244" s="3">
        <f t="shared" si="146"/>
        <v>-1238.1930786581652</v>
      </c>
      <c r="AJ244" s="3">
        <v>-0.69399999999999995</v>
      </c>
      <c r="AK244" s="3">
        <v>-0.60399999999999998</v>
      </c>
      <c r="AL244" s="3">
        <f t="shared" si="147"/>
        <v>8.9999999999999969E-2</v>
      </c>
      <c r="AM244" s="3">
        <v>94.091359999999995</v>
      </c>
      <c r="AN244" s="3">
        <v>137.58752999999999</v>
      </c>
      <c r="AO244" s="3">
        <v>133.78775999999999</v>
      </c>
      <c r="AP244" s="3">
        <f t="shared" si="148"/>
        <v>1.0878209945262221</v>
      </c>
      <c r="AQ244" s="3">
        <v>7.2869999999999999</v>
      </c>
      <c r="AR244" s="3">
        <v>1.6957807</v>
      </c>
      <c r="AS244" s="3">
        <v>-132.80099999999999</v>
      </c>
      <c r="AT244" s="3">
        <v>-131.97</v>
      </c>
      <c r="AU244" s="3">
        <f t="shared" si="123"/>
        <v>-0.83099999999998886</v>
      </c>
      <c r="AV244" s="3">
        <v>-0.34100000000000003</v>
      </c>
      <c r="AW244" s="3">
        <v>-0.47499999999999998</v>
      </c>
      <c r="AX244" s="3">
        <f t="shared" si="124"/>
        <v>0.13399999999999995</v>
      </c>
      <c r="AY244" s="3">
        <v>2.9000000000000001E-2</v>
      </c>
      <c r="AZ244" s="3">
        <v>0.156</v>
      </c>
      <c r="BA244" s="3">
        <f t="shared" si="125"/>
        <v>-0.127</v>
      </c>
      <c r="BB244" s="3">
        <f t="shared" si="161"/>
        <v>0.156</v>
      </c>
      <c r="BC244" s="3">
        <f t="shared" si="161"/>
        <v>0.15949999999999998</v>
      </c>
      <c r="BD244" s="3">
        <f t="shared" si="127"/>
        <v>-3.4999999999999754E-3</v>
      </c>
      <c r="BE244" s="3">
        <f t="shared" si="162"/>
        <v>0.37000000000000005</v>
      </c>
      <c r="BF244" s="3">
        <f t="shared" si="162"/>
        <v>0.63100000000000001</v>
      </c>
      <c r="BG244" s="3">
        <f t="shared" si="129"/>
        <v>-0.26099999999999995</v>
      </c>
      <c r="BH244" s="3">
        <f t="shared" si="163"/>
        <v>-0.156</v>
      </c>
      <c r="BI244" s="3">
        <f t="shared" si="163"/>
        <v>-0.15949999999999998</v>
      </c>
      <c r="BJ244" s="3">
        <f t="shared" si="154"/>
        <v>3.4999999999999754E-3</v>
      </c>
      <c r="BK244" s="3">
        <f t="shared" si="151"/>
        <v>3.2886486486486483E-2</v>
      </c>
      <c r="BL244" s="3">
        <f t="shared" si="152"/>
        <v>2.0158676703645E-2</v>
      </c>
      <c r="BM244" s="3">
        <f t="shared" si="131"/>
        <v>1.2727809782841482E-2</v>
      </c>
      <c r="BN244" s="3">
        <v>4.7279999999999998</v>
      </c>
      <c r="BO244" s="3">
        <v>4.9340000000000002</v>
      </c>
      <c r="BP244" s="3">
        <f t="shared" si="132"/>
        <v>-0.20600000000000041</v>
      </c>
      <c r="BQ244" s="3">
        <v>-83302.89</v>
      </c>
      <c r="BR244" s="3">
        <v>-82779.224000000002</v>
      </c>
      <c r="BS244" s="3">
        <f t="shared" si="133"/>
        <v>-523.66599999999744</v>
      </c>
      <c r="BT244" s="3">
        <v>-83320.774999999994</v>
      </c>
      <c r="BU244" s="3">
        <v>-82796.997000000003</v>
      </c>
      <c r="BV244" s="3">
        <f t="shared" si="134"/>
        <v>-523.77799999999115</v>
      </c>
    </row>
    <row r="245" spans="1:74" x14ac:dyDescent="0.25">
      <c r="A245" t="s">
        <v>428</v>
      </c>
      <c r="B245" t="s">
        <v>514</v>
      </c>
      <c r="C245" t="s">
        <v>200</v>
      </c>
      <c r="D245" s="3">
        <v>20.329999999999998</v>
      </c>
      <c r="E245" s="3">
        <v>0.64</v>
      </c>
      <c r="F245" s="3">
        <v>-147.46700000000001</v>
      </c>
      <c r="G245" s="3">
        <v>-148.352</v>
      </c>
      <c r="H245" s="3">
        <f t="shared" si="135"/>
        <v>-0.88499999999999091</v>
      </c>
      <c r="I245" s="3">
        <v>-0.29499999999999998</v>
      </c>
      <c r="J245" s="6">
        <v>-0.16800000000000001</v>
      </c>
      <c r="K245" s="3">
        <f t="shared" si="136"/>
        <v>0.12699999999999997</v>
      </c>
      <c r="L245" s="3">
        <v>0.19800000000000001</v>
      </c>
      <c r="M245" s="6">
        <v>8.1000000000000003E-2</v>
      </c>
      <c r="N245" s="3">
        <f t="shared" si="137"/>
        <v>-0.11700000000000001</v>
      </c>
      <c r="O245" s="3">
        <f t="shared" si="138"/>
        <v>4.8499999999999988E-2</v>
      </c>
      <c r="P245" s="3">
        <f t="shared" si="138"/>
        <v>4.3500000000000004E-2</v>
      </c>
      <c r="Q245" s="3">
        <f t="shared" si="139"/>
        <v>-4.9999999999999836E-3</v>
      </c>
      <c r="R245" s="3">
        <f t="shared" si="140"/>
        <v>0.49299999999999999</v>
      </c>
      <c r="S245" s="3">
        <f t="shared" si="140"/>
        <v>0.249</v>
      </c>
      <c r="T245" s="3">
        <f t="shared" si="141"/>
        <v>-0.24399999999999999</v>
      </c>
      <c r="U245" s="3">
        <f t="shared" si="142"/>
        <v>-4.8499999999999988E-2</v>
      </c>
      <c r="V245" s="3">
        <f t="shared" si="142"/>
        <v>-4.3500000000000004E-2</v>
      </c>
      <c r="W245" s="3">
        <f t="shared" si="153"/>
        <v>4.9999999999999836E-3</v>
      </c>
      <c r="X245" s="3">
        <f t="shared" si="149"/>
        <v>2.3856490872210942E-3</v>
      </c>
      <c r="Y245" s="3">
        <f t="shared" si="150"/>
        <v>3.7996987951807236E-3</v>
      </c>
      <c r="Z245" s="3">
        <f t="shared" si="143"/>
        <v>1.4140497079596294E-3</v>
      </c>
      <c r="AA245" s="3">
        <v>2.7210000000000001</v>
      </c>
      <c r="AB245" s="3">
        <v>2.891</v>
      </c>
      <c r="AC245" s="3">
        <f t="shared" si="144"/>
        <v>0.16999999999999993</v>
      </c>
      <c r="AD245" s="3">
        <f>-147.440564*627.50956</f>
        <v>-92520.363441791837</v>
      </c>
      <c r="AE245" s="3">
        <f>-148.327299*627.50956</f>
        <v>-93076.798131478441</v>
      </c>
      <c r="AF245" s="3">
        <f t="shared" si="145"/>
        <v>-556.43468968660454</v>
      </c>
      <c r="AG245" s="3">
        <f>-147.467562*627.50956</f>
        <v>-92537.304944892705</v>
      </c>
      <c r="AH245" s="3">
        <f>-148.354433*627.50956</f>
        <v>-93093.82497587947</v>
      </c>
      <c r="AI245" s="3">
        <f t="shared" si="146"/>
        <v>-556.52003098676505</v>
      </c>
      <c r="AJ245" s="3">
        <v>-1.085</v>
      </c>
      <c r="AK245" s="3">
        <v>-0.99399999999999999</v>
      </c>
      <c r="AL245" s="3">
        <f t="shared" si="147"/>
        <v>9.099999999999997E-2</v>
      </c>
      <c r="AM245" s="3">
        <v>41.032040000000002</v>
      </c>
      <c r="AN245" s="3">
        <v>78.315700000000007</v>
      </c>
      <c r="AO245" s="3">
        <v>60.917000000000002</v>
      </c>
      <c r="AP245" s="3">
        <f t="shared" si="148"/>
        <v>1.0461945329961053</v>
      </c>
      <c r="AQ245" s="3">
        <v>5.7750000000000004</v>
      </c>
      <c r="AR245" s="3">
        <v>1.0645587999999999</v>
      </c>
      <c r="AS245" s="3">
        <v>-553.27200000000005</v>
      </c>
      <c r="AT245" s="3">
        <v>-551.61699999999996</v>
      </c>
      <c r="AU245" s="3">
        <f t="shared" si="123"/>
        <v>-1.6550000000000864</v>
      </c>
      <c r="AV245" s="3">
        <v>-0.23699999999999999</v>
      </c>
      <c r="AW245" s="3">
        <v>-0.36899999999999999</v>
      </c>
      <c r="AX245" s="3">
        <f t="shared" si="124"/>
        <v>0.13200000000000001</v>
      </c>
      <c r="AY245" s="3">
        <v>2.8000000000000001E-2</v>
      </c>
      <c r="AZ245" s="3">
        <v>0.154</v>
      </c>
      <c r="BA245" s="3">
        <f t="shared" si="125"/>
        <v>-0.126</v>
      </c>
      <c r="BB245" s="3">
        <f t="shared" si="161"/>
        <v>0.1045</v>
      </c>
      <c r="BC245" s="3">
        <f t="shared" si="161"/>
        <v>0.1075</v>
      </c>
      <c r="BD245" s="3">
        <f t="shared" si="127"/>
        <v>-3.0000000000000027E-3</v>
      </c>
      <c r="BE245" s="3">
        <f t="shared" si="162"/>
        <v>0.26500000000000001</v>
      </c>
      <c r="BF245" s="3">
        <f t="shared" si="162"/>
        <v>0.52300000000000002</v>
      </c>
      <c r="BG245" s="3">
        <f t="shared" si="129"/>
        <v>-0.25800000000000001</v>
      </c>
      <c r="BH245" s="3">
        <f t="shared" si="163"/>
        <v>-0.1045</v>
      </c>
      <c r="BI245" s="3">
        <f t="shared" si="163"/>
        <v>-0.1075</v>
      </c>
      <c r="BJ245" s="3">
        <f t="shared" si="154"/>
        <v>3.0000000000000027E-3</v>
      </c>
      <c r="BK245" s="3">
        <f t="shared" si="151"/>
        <v>2.0604245283018865E-2</v>
      </c>
      <c r="BL245" s="3">
        <f t="shared" si="152"/>
        <v>1.104804015296367E-2</v>
      </c>
      <c r="BM245" s="3">
        <f t="shared" si="131"/>
        <v>9.5562051300551957E-3</v>
      </c>
      <c r="BN245" s="3">
        <v>5.4870000000000001</v>
      </c>
      <c r="BO245" s="3">
        <v>6.0839999999999996</v>
      </c>
      <c r="BP245" s="3">
        <f t="shared" si="132"/>
        <v>-0.59699999999999953</v>
      </c>
      <c r="BQ245" s="3">
        <v>-347129.96399999998</v>
      </c>
      <c r="BR245" s="3">
        <v>-346087.64600000001</v>
      </c>
      <c r="BS245" s="3">
        <f t="shared" si="133"/>
        <v>-1042.3179999999702</v>
      </c>
      <c r="BT245" s="3">
        <v>-347152.04599999997</v>
      </c>
      <c r="BU245" s="3">
        <v>-346109.22600000002</v>
      </c>
      <c r="BV245" s="3">
        <f t="shared" si="134"/>
        <v>-1042.8199999999488</v>
      </c>
    </row>
    <row r="246" spans="1:74" x14ac:dyDescent="0.25">
      <c r="A246" t="s">
        <v>429</v>
      </c>
      <c r="B246" t="s">
        <v>514</v>
      </c>
      <c r="C246" t="s">
        <v>200</v>
      </c>
      <c r="D246" s="3">
        <v>20.5</v>
      </c>
      <c r="E246" s="3">
        <v>0.59</v>
      </c>
      <c r="F246" s="3">
        <v>-163.405</v>
      </c>
      <c r="G246" s="3">
        <v>-164.364</v>
      </c>
      <c r="H246" s="3">
        <f t="shared" si="135"/>
        <v>-0.95900000000000318</v>
      </c>
      <c r="I246" s="3">
        <v>-0.28399999999999997</v>
      </c>
      <c r="J246" s="6">
        <v>-0.17</v>
      </c>
      <c r="K246" s="3">
        <f t="shared" si="136"/>
        <v>0.11399999999999996</v>
      </c>
      <c r="L246" s="3">
        <v>0.28999999999999998</v>
      </c>
      <c r="M246" s="6">
        <v>0.109</v>
      </c>
      <c r="N246" s="3">
        <f t="shared" si="137"/>
        <v>-0.18099999999999999</v>
      </c>
      <c r="O246" s="3">
        <f t="shared" si="138"/>
        <v>-3.0000000000000027E-3</v>
      </c>
      <c r="P246" s="3">
        <f t="shared" si="138"/>
        <v>3.0500000000000006E-2</v>
      </c>
      <c r="Q246" s="3">
        <f t="shared" si="139"/>
        <v>3.3500000000000009E-2</v>
      </c>
      <c r="R246" s="3">
        <f t="shared" si="140"/>
        <v>0.57399999999999995</v>
      </c>
      <c r="S246" s="3">
        <f t="shared" si="140"/>
        <v>0.27900000000000003</v>
      </c>
      <c r="T246" s="3">
        <f t="shared" si="141"/>
        <v>-0.29499999999999993</v>
      </c>
      <c r="U246" s="3">
        <f t="shared" si="142"/>
        <v>3.0000000000000027E-3</v>
      </c>
      <c r="V246" s="3">
        <f t="shared" si="142"/>
        <v>-3.0500000000000006E-2</v>
      </c>
      <c r="W246" s="3">
        <f t="shared" si="153"/>
        <v>-3.3500000000000009E-2</v>
      </c>
      <c r="X246" s="3">
        <f t="shared" si="149"/>
        <v>7.8397212543554149E-6</v>
      </c>
      <c r="Y246" s="3">
        <f t="shared" si="150"/>
        <v>1.6671146953405023E-3</v>
      </c>
      <c r="Z246" s="3">
        <f t="shared" si="143"/>
        <v>1.6592749740861469E-3</v>
      </c>
      <c r="AA246" s="3">
        <v>0</v>
      </c>
      <c r="AB246" s="3">
        <v>0</v>
      </c>
      <c r="AC246" s="3">
        <f t="shared" si="144"/>
        <v>0</v>
      </c>
      <c r="AD246" s="3">
        <f>-163.389061*627.50956</f>
        <v>-102528.19777692316</v>
      </c>
      <c r="AE246" s="3">
        <f>-164.350322*627.50956</f>
        <v>-103131.39824407831</v>
      </c>
      <c r="AF246" s="3">
        <f t="shared" si="145"/>
        <v>-603.20046715515491</v>
      </c>
      <c r="AG246" s="3">
        <f>-163.413001*627.50956</f>
        <v>-102543.22035578956</v>
      </c>
      <c r="AH246" s="3">
        <f>-164.368909*627.50956</f>
        <v>-103143.06176427004</v>
      </c>
      <c r="AI246" s="3">
        <f t="shared" si="146"/>
        <v>-599.84140848048264</v>
      </c>
      <c r="AJ246" s="3">
        <v>-0.65</v>
      </c>
      <c r="AK246" s="3">
        <v>-0.57899999999999996</v>
      </c>
      <c r="AL246" s="3">
        <f t="shared" si="147"/>
        <v>7.1000000000000063E-2</v>
      </c>
      <c r="AM246" s="3">
        <v>42.020099999999999</v>
      </c>
      <c r="AN246" s="3">
        <v>69.063000000000002</v>
      </c>
      <c r="AO246" s="3">
        <v>50.858179999999997</v>
      </c>
      <c r="AP246" s="3">
        <f t="shared" si="148"/>
        <v>1.040544952613609</v>
      </c>
      <c r="AQ246" s="3">
        <v>5.4630000000000001</v>
      </c>
      <c r="AR246" s="3">
        <v>0.96484013000000002</v>
      </c>
      <c r="AS246" s="3">
        <v>-553.27200000000005</v>
      </c>
      <c r="AT246" s="3">
        <v>-551.61699999999996</v>
      </c>
      <c r="AU246" s="3">
        <f t="shared" si="123"/>
        <v>-1.6550000000000864</v>
      </c>
      <c r="AV246" s="3">
        <v>-0.23699999999999999</v>
      </c>
      <c r="AW246" s="3">
        <v>-0.36899999999999999</v>
      </c>
      <c r="AX246" s="3">
        <f t="shared" si="124"/>
        <v>0.13200000000000001</v>
      </c>
      <c r="AY246" s="3">
        <v>2.8000000000000001E-2</v>
      </c>
      <c r="AZ246" s="3">
        <v>0.154</v>
      </c>
      <c r="BA246" s="3">
        <f t="shared" si="125"/>
        <v>-0.126</v>
      </c>
      <c r="BB246" s="3">
        <f t="shared" si="161"/>
        <v>0.1045</v>
      </c>
      <c r="BC246" s="3">
        <f t="shared" si="161"/>
        <v>0.1075</v>
      </c>
      <c r="BD246" s="3">
        <f t="shared" si="127"/>
        <v>-3.0000000000000027E-3</v>
      </c>
      <c r="BE246" s="3">
        <f t="shared" si="162"/>
        <v>0.26500000000000001</v>
      </c>
      <c r="BF246" s="3">
        <f t="shared" si="162"/>
        <v>0.52300000000000002</v>
      </c>
      <c r="BG246" s="3">
        <f t="shared" si="129"/>
        <v>-0.25800000000000001</v>
      </c>
      <c r="BH246" s="3">
        <f t="shared" si="163"/>
        <v>-0.1045</v>
      </c>
      <c r="BI246" s="3">
        <f t="shared" si="163"/>
        <v>-0.1075</v>
      </c>
      <c r="BJ246" s="3">
        <f t="shared" si="154"/>
        <v>3.0000000000000027E-3</v>
      </c>
      <c r="BK246" s="3">
        <f t="shared" si="151"/>
        <v>2.0604245283018865E-2</v>
      </c>
      <c r="BL246" s="3">
        <f t="shared" si="152"/>
        <v>1.104804015296367E-2</v>
      </c>
      <c r="BM246" s="3">
        <f t="shared" si="131"/>
        <v>9.5562051300551957E-3</v>
      </c>
      <c r="BN246" s="3">
        <v>5.4870000000000001</v>
      </c>
      <c r="BO246" s="3">
        <v>6.0839999999999996</v>
      </c>
      <c r="BP246" s="3">
        <f t="shared" si="132"/>
        <v>-0.59699999999999953</v>
      </c>
      <c r="BQ246" s="3">
        <v>-347129.96399999998</v>
      </c>
      <c r="BR246" s="3">
        <v>-346087.64600000001</v>
      </c>
      <c r="BS246" s="3">
        <f t="shared" si="133"/>
        <v>-1042.3179999999702</v>
      </c>
      <c r="BT246" s="3">
        <v>-347152.04599999997</v>
      </c>
      <c r="BU246" s="3">
        <v>-346109.22600000002</v>
      </c>
      <c r="BV246" s="3">
        <f t="shared" si="134"/>
        <v>-1042.8199999999488</v>
      </c>
    </row>
    <row r="247" spans="1:74" x14ac:dyDescent="0.25">
      <c r="A247" t="s">
        <v>430</v>
      </c>
      <c r="B247" t="s">
        <v>514</v>
      </c>
      <c r="C247" t="s">
        <v>99</v>
      </c>
      <c r="D247" s="3">
        <v>20.54</v>
      </c>
      <c r="E247" s="3">
        <v>0.6</v>
      </c>
      <c r="F247" s="3">
        <v>-327.15600000000001</v>
      </c>
      <c r="G247" s="3">
        <v>-329.39699999999999</v>
      </c>
      <c r="H247" s="3">
        <f t="shared" si="135"/>
        <v>-2.2409999999999854</v>
      </c>
      <c r="I247" s="3">
        <v>-0.33900000000000002</v>
      </c>
      <c r="J247" s="6">
        <v>-0.21099999999999999</v>
      </c>
      <c r="K247" s="3">
        <f t="shared" si="136"/>
        <v>0.12800000000000003</v>
      </c>
      <c r="L247" s="3">
        <v>0.14799999999999999</v>
      </c>
      <c r="M247" s="6">
        <v>3.3000000000000002E-2</v>
      </c>
      <c r="N247" s="3">
        <f t="shared" si="137"/>
        <v>-0.11499999999999999</v>
      </c>
      <c r="O247" s="3">
        <f t="shared" si="138"/>
        <v>9.5500000000000015E-2</v>
      </c>
      <c r="P247" s="3">
        <f t="shared" si="138"/>
        <v>8.8999999999999996E-2</v>
      </c>
      <c r="Q247" s="3">
        <f t="shared" si="139"/>
        <v>-6.5000000000000197E-3</v>
      </c>
      <c r="R247" s="3">
        <f t="shared" si="140"/>
        <v>0.48699999999999999</v>
      </c>
      <c r="S247" s="3">
        <f t="shared" si="140"/>
        <v>0.24399999999999999</v>
      </c>
      <c r="T247" s="3">
        <f t="shared" si="141"/>
        <v>-0.24299999999999999</v>
      </c>
      <c r="U247" s="3">
        <f t="shared" si="142"/>
        <v>-9.5500000000000015E-2</v>
      </c>
      <c r="V247" s="3">
        <f t="shared" si="142"/>
        <v>-8.8999999999999996E-2</v>
      </c>
      <c r="W247" s="3">
        <f t="shared" si="153"/>
        <v>6.5000000000000197E-3</v>
      </c>
      <c r="X247" s="3">
        <f t="shared" si="149"/>
        <v>9.3637063655030838E-3</v>
      </c>
      <c r="Y247" s="3">
        <f t="shared" si="150"/>
        <v>1.6231557377049181E-2</v>
      </c>
      <c r="Z247" s="3">
        <f t="shared" si="143"/>
        <v>6.8678510115460969E-3</v>
      </c>
      <c r="AA247" s="3">
        <v>1.478</v>
      </c>
      <c r="AB247" s="3">
        <v>1.375</v>
      </c>
      <c r="AC247" s="3">
        <f t="shared" si="144"/>
        <v>-0.10299999999999998</v>
      </c>
      <c r="AD247" s="3">
        <f>-326.942807*627.50956</f>
        <v>-205159.73696573492</v>
      </c>
      <c r="AE247" s="3">
        <f>-329.195551*627.50956</f>
        <v>-206573.35536196755</v>
      </c>
      <c r="AF247" s="3">
        <f t="shared" si="145"/>
        <v>-1413.6183962326322</v>
      </c>
      <c r="AG247" s="3">
        <f>-326.978439*627.50956</f>
        <v>-205182.09638637683</v>
      </c>
      <c r="AH247" s="3">
        <f>-329.233696*627.50956</f>
        <v>-206597.29171413375</v>
      </c>
      <c r="AI247" s="3">
        <f t="shared" si="146"/>
        <v>-1415.1953277569264</v>
      </c>
      <c r="AJ247" s="3">
        <v>-0.57899999999999996</v>
      </c>
      <c r="AK247" s="3">
        <v>-0.53</v>
      </c>
      <c r="AL247" s="3">
        <f t="shared" si="147"/>
        <v>4.8999999999999932E-2</v>
      </c>
      <c r="AM247" s="3">
        <v>111.18482</v>
      </c>
      <c r="AN247" s="3">
        <v>174.01570000000001</v>
      </c>
      <c r="AO247" s="3">
        <v>197.4066</v>
      </c>
      <c r="AP247" s="3">
        <f t="shared" si="148"/>
        <v>1.0615405883061431</v>
      </c>
      <c r="AQ247" s="3">
        <v>7.24</v>
      </c>
      <c r="AR247" s="3">
        <v>1.668296</v>
      </c>
      <c r="AS247" s="3">
        <v>-132.80099999999999</v>
      </c>
      <c r="AT247" s="3">
        <v>-131.97</v>
      </c>
      <c r="AU247" s="3">
        <f t="shared" si="123"/>
        <v>-0.83099999999998886</v>
      </c>
      <c r="AV247" s="3">
        <v>-0.34100000000000003</v>
      </c>
      <c r="AW247" s="3">
        <v>-0.47499999999999998</v>
      </c>
      <c r="AX247" s="3">
        <f t="shared" si="124"/>
        <v>0.13399999999999995</v>
      </c>
      <c r="AY247" s="3">
        <v>2.9000000000000001E-2</v>
      </c>
      <c r="AZ247" s="3">
        <v>0.156</v>
      </c>
      <c r="BA247" s="3">
        <f t="shared" si="125"/>
        <v>-0.127</v>
      </c>
      <c r="BB247" s="3">
        <f t="shared" si="161"/>
        <v>0.156</v>
      </c>
      <c r="BC247" s="3">
        <f t="shared" si="161"/>
        <v>0.15949999999999998</v>
      </c>
      <c r="BD247" s="3">
        <f t="shared" si="127"/>
        <v>-3.4999999999999754E-3</v>
      </c>
      <c r="BE247" s="3">
        <f t="shared" si="162"/>
        <v>0.37000000000000005</v>
      </c>
      <c r="BF247" s="3">
        <f t="shared" si="162"/>
        <v>0.63100000000000001</v>
      </c>
      <c r="BG247" s="3">
        <f t="shared" si="129"/>
        <v>-0.26099999999999995</v>
      </c>
      <c r="BH247" s="3">
        <f t="shared" si="163"/>
        <v>-0.156</v>
      </c>
      <c r="BI247" s="3">
        <f t="shared" si="163"/>
        <v>-0.15949999999999998</v>
      </c>
      <c r="BJ247" s="3">
        <f t="shared" si="154"/>
        <v>3.4999999999999754E-3</v>
      </c>
      <c r="BK247" s="3">
        <f t="shared" si="151"/>
        <v>3.2886486486486483E-2</v>
      </c>
      <c r="BL247" s="3">
        <f t="shared" si="152"/>
        <v>2.0158676703645E-2</v>
      </c>
      <c r="BM247" s="3">
        <f t="shared" si="131"/>
        <v>1.2727809782841482E-2</v>
      </c>
      <c r="BN247" s="3">
        <v>4.7279999999999998</v>
      </c>
      <c r="BO247" s="3">
        <v>4.9340000000000002</v>
      </c>
      <c r="BP247" s="3">
        <f t="shared" si="132"/>
        <v>-0.20600000000000041</v>
      </c>
      <c r="BQ247" s="3">
        <v>-83302.89</v>
      </c>
      <c r="BR247" s="3">
        <v>-82779.224000000002</v>
      </c>
      <c r="BS247" s="3">
        <f t="shared" si="133"/>
        <v>-523.66599999999744</v>
      </c>
      <c r="BT247" s="3">
        <v>-83320.774999999994</v>
      </c>
      <c r="BU247" s="3">
        <v>-82796.997000000003</v>
      </c>
      <c r="BV247" s="3">
        <f t="shared" si="134"/>
        <v>-523.77799999999115</v>
      </c>
    </row>
    <row r="248" spans="1:74" x14ac:dyDescent="0.25">
      <c r="A248" t="s">
        <v>431</v>
      </c>
      <c r="B248" t="s">
        <v>514</v>
      </c>
      <c r="C248" t="s">
        <v>99</v>
      </c>
      <c r="D248" s="3">
        <v>20.59</v>
      </c>
      <c r="E248" s="3">
        <v>0.52</v>
      </c>
      <c r="F248" s="3">
        <v>-250.24</v>
      </c>
      <c r="G248" s="3">
        <v>-251.964</v>
      </c>
      <c r="H248" s="3">
        <f t="shared" si="135"/>
        <v>-1.7239999999999895</v>
      </c>
      <c r="I248" s="3">
        <v>-0.35299999999999998</v>
      </c>
      <c r="J248" s="6">
        <v>-0.219</v>
      </c>
      <c r="K248" s="3">
        <f t="shared" si="136"/>
        <v>0.13399999999999998</v>
      </c>
      <c r="L248" s="3">
        <v>0.155</v>
      </c>
      <c r="M248" s="6">
        <v>0.04</v>
      </c>
      <c r="N248" s="3">
        <f t="shared" si="137"/>
        <v>-0.11499999999999999</v>
      </c>
      <c r="O248" s="3">
        <f t="shared" si="138"/>
        <v>9.8999999999999991E-2</v>
      </c>
      <c r="P248" s="3">
        <f t="shared" si="138"/>
        <v>8.9499999999999996E-2</v>
      </c>
      <c r="Q248" s="3">
        <f t="shared" si="139"/>
        <v>-9.4999999999999946E-3</v>
      </c>
      <c r="R248" s="3">
        <f t="shared" si="140"/>
        <v>0.50800000000000001</v>
      </c>
      <c r="S248" s="3">
        <f t="shared" si="140"/>
        <v>0.25900000000000001</v>
      </c>
      <c r="T248" s="3">
        <f t="shared" si="141"/>
        <v>-0.249</v>
      </c>
      <c r="U248" s="3">
        <f t="shared" si="142"/>
        <v>-9.8999999999999991E-2</v>
      </c>
      <c r="V248" s="3">
        <f t="shared" si="142"/>
        <v>-8.9499999999999996E-2</v>
      </c>
      <c r="W248" s="3">
        <f t="shared" si="153"/>
        <v>9.4999999999999946E-3</v>
      </c>
      <c r="X248" s="3">
        <f t="shared" si="149"/>
        <v>9.6466535433070849E-3</v>
      </c>
      <c r="Y248" s="3">
        <f t="shared" si="150"/>
        <v>1.5463803088803088E-2</v>
      </c>
      <c r="Z248" s="3">
        <f t="shared" si="143"/>
        <v>5.8171495454960032E-3</v>
      </c>
      <c r="AA248" s="3">
        <v>0.92200000000000004</v>
      </c>
      <c r="AB248" s="3">
        <v>0.71599999999999997</v>
      </c>
      <c r="AC248" s="3">
        <f t="shared" si="144"/>
        <v>-0.20600000000000007</v>
      </c>
      <c r="AD248" s="3">
        <f>-250.066679*627.50956</f>
        <v>-156919.23170995121</v>
      </c>
      <c r="AE248" s="3">
        <f>-251.801022*627.50956</f>
        <v>-158007.54852277032</v>
      </c>
      <c r="AF248" s="3">
        <f t="shared" si="145"/>
        <v>-1088.3168128191028</v>
      </c>
      <c r="AG248" s="3">
        <f>-250.103451*627.50956</f>
        <v>-156942.30649149156</v>
      </c>
      <c r="AH248" s="3">
        <f>-251.838194*627.50956</f>
        <v>-158030.87430813463</v>
      </c>
      <c r="AI248" s="3">
        <f t="shared" si="146"/>
        <v>-1088.5678166430735</v>
      </c>
      <c r="AJ248" s="3">
        <v>-0.57599999999999996</v>
      </c>
      <c r="AK248" s="3">
        <v>-0.52300000000000002</v>
      </c>
      <c r="AL248" s="3">
        <f t="shared" si="147"/>
        <v>5.2999999999999936E-2</v>
      </c>
      <c r="AM248" s="3">
        <v>85.147540000000006</v>
      </c>
      <c r="AN248" s="3">
        <v>158.8236</v>
      </c>
      <c r="AO248" s="3">
        <v>166.2954</v>
      </c>
      <c r="AP248" s="3">
        <f t="shared" si="148"/>
        <v>1.0862192508876465</v>
      </c>
      <c r="AQ248" s="3">
        <v>7.7130000000000001</v>
      </c>
      <c r="AR248" s="3">
        <v>1.6338220000000001</v>
      </c>
      <c r="AS248" s="3">
        <v>-132.80099999999999</v>
      </c>
      <c r="AT248" s="3">
        <v>-131.97</v>
      </c>
      <c r="AU248" s="3">
        <f t="shared" si="123"/>
        <v>-0.83099999999998886</v>
      </c>
      <c r="AV248" s="3">
        <v>-0.34100000000000003</v>
      </c>
      <c r="AW248" s="3">
        <v>-0.47499999999999998</v>
      </c>
      <c r="AX248" s="3">
        <f t="shared" si="124"/>
        <v>0.13399999999999995</v>
      </c>
      <c r="AY248" s="3">
        <v>2.9000000000000001E-2</v>
      </c>
      <c r="AZ248" s="3">
        <v>0.156</v>
      </c>
      <c r="BA248" s="3">
        <f t="shared" si="125"/>
        <v>-0.127</v>
      </c>
      <c r="BB248" s="3">
        <f t="shared" si="161"/>
        <v>0.156</v>
      </c>
      <c r="BC248" s="3">
        <f t="shared" si="161"/>
        <v>0.15949999999999998</v>
      </c>
      <c r="BD248" s="3">
        <f t="shared" si="127"/>
        <v>-3.4999999999999754E-3</v>
      </c>
      <c r="BE248" s="3">
        <f t="shared" si="162"/>
        <v>0.37000000000000005</v>
      </c>
      <c r="BF248" s="3">
        <f t="shared" si="162"/>
        <v>0.63100000000000001</v>
      </c>
      <c r="BG248" s="3">
        <f t="shared" si="129"/>
        <v>-0.26099999999999995</v>
      </c>
      <c r="BH248" s="3">
        <f t="shared" si="163"/>
        <v>-0.156</v>
      </c>
      <c r="BI248" s="3">
        <f t="shared" si="163"/>
        <v>-0.15949999999999998</v>
      </c>
      <c r="BJ248" s="3">
        <f t="shared" si="154"/>
        <v>3.4999999999999754E-3</v>
      </c>
      <c r="BK248" s="3">
        <f t="shared" si="151"/>
        <v>3.2886486486486483E-2</v>
      </c>
      <c r="BL248" s="3">
        <f t="shared" si="152"/>
        <v>2.0158676703645E-2</v>
      </c>
      <c r="BM248" s="3">
        <f t="shared" si="131"/>
        <v>1.2727809782841482E-2</v>
      </c>
      <c r="BN248" s="3">
        <v>4.7279999999999998</v>
      </c>
      <c r="BO248" s="3">
        <v>4.9340000000000002</v>
      </c>
      <c r="BP248" s="3">
        <f t="shared" si="132"/>
        <v>-0.20600000000000041</v>
      </c>
      <c r="BQ248" s="3">
        <v>-83302.89</v>
      </c>
      <c r="BR248" s="3">
        <v>-82779.224000000002</v>
      </c>
      <c r="BS248" s="3">
        <f t="shared" si="133"/>
        <v>-523.66599999999744</v>
      </c>
      <c r="BT248" s="3">
        <v>-83320.774999999994</v>
      </c>
      <c r="BU248" s="3">
        <v>-82796.997000000003</v>
      </c>
      <c r="BV248" s="3">
        <f t="shared" si="134"/>
        <v>-523.77799999999115</v>
      </c>
    </row>
    <row r="249" spans="1:74" x14ac:dyDescent="0.25">
      <c r="A249" t="s">
        <v>432</v>
      </c>
      <c r="B249" t="s">
        <v>514</v>
      </c>
      <c r="C249" t="s">
        <v>103</v>
      </c>
      <c r="D249" s="3">
        <v>20.6</v>
      </c>
      <c r="E249" s="3">
        <v>0.52</v>
      </c>
      <c r="F249" s="3">
        <v>-250.24</v>
      </c>
      <c r="G249" s="3">
        <v>-251.964</v>
      </c>
      <c r="H249" s="3">
        <f t="shared" si="135"/>
        <v>-1.7239999999999895</v>
      </c>
      <c r="I249" s="3">
        <v>-0.35199999999999998</v>
      </c>
      <c r="J249" s="6">
        <v>-0.218</v>
      </c>
      <c r="K249" s="3">
        <f t="shared" si="136"/>
        <v>0.13399999999999998</v>
      </c>
      <c r="L249" s="3">
        <v>0.155</v>
      </c>
      <c r="M249" s="6">
        <v>0.04</v>
      </c>
      <c r="N249" s="3">
        <f t="shared" si="137"/>
        <v>-0.11499999999999999</v>
      </c>
      <c r="O249" s="3">
        <f t="shared" si="138"/>
        <v>9.849999999999999E-2</v>
      </c>
      <c r="P249" s="3">
        <f t="shared" si="138"/>
        <v>8.8999999999999996E-2</v>
      </c>
      <c r="Q249" s="3">
        <f t="shared" si="139"/>
        <v>-9.4999999999999946E-3</v>
      </c>
      <c r="R249" s="3">
        <f t="shared" si="140"/>
        <v>0.50700000000000001</v>
      </c>
      <c r="S249" s="3">
        <f t="shared" si="140"/>
        <v>0.25800000000000001</v>
      </c>
      <c r="T249" s="3">
        <f t="shared" si="141"/>
        <v>-0.249</v>
      </c>
      <c r="U249" s="3">
        <f t="shared" si="142"/>
        <v>-9.849999999999999E-2</v>
      </c>
      <c r="V249" s="3">
        <f t="shared" si="142"/>
        <v>-8.8999999999999996E-2</v>
      </c>
      <c r="W249" s="3">
        <f t="shared" si="153"/>
        <v>9.4999999999999946E-3</v>
      </c>
      <c r="X249" s="3">
        <f t="shared" si="149"/>
        <v>9.568293885601575E-3</v>
      </c>
      <c r="Y249" s="3">
        <f t="shared" si="150"/>
        <v>1.5350775193798448E-2</v>
      </c>
      <c r="Z249" s="3">
        <f t="shared" si="143"/>
        <v>5.7824813081968733E-3</v>
      </c>
      <c r="AA249" s="3">
        <v>0.86199999999999999</v>
      </c>
      <c r="AB249" s="3">
        <v>0.66</v>
      </c>
      <c r="AC249" s="3">
        <f t="shared" si="144"/>
        <v>-0.20199999999999996</v>
      </c>
      <c r="AD249" s="3">
        <f>-250.066325*627.50956</f>
        <v>-156919.009571567</v>
      </c>
      <c r="AE249" s="3">
        <f>-251.800711*627.50956</f>
        <v>-158007.35336729715</v>
      </c>
      <c r="AF249" s="3">
        <f t="shared" si="145"/>
        <v>-1088.3437957301503</v>
      </c>
      <c r="AG249" s="3">
        <f>-250.103121*627.50956</f>
        <v>-156942.09941333675</v>
      </c>
      <c r="AH249" s="3">
        <f>-251.8379*627.50956</f>
        <v>-158030.68982032398</v>
      </c>
      <c r="AI249" s="3">
        <f t="shared" si="146"/>
        <v>-1088.590406987234</v>
      </c>
      <c r="AJ249" s="3">
        <v>-0.57399999999999995</v>
      </c>
      <c r="AK249" s="3">
        <v>-0.52</v>
      </c>
      <c r="AL249" s="3">
        <f t="shared" si="147"/>
        <v>5.3999999999999937E-2</v>
      </c>
      <c r="AM249" s="3">
        <v>85.147540000000006</v>
      </c>
      <c r="AN249" s="3">
        <v>158.83449999999999</v>
      </c>
      <c r="AO249" s="3">
        <v>166.30087</v>
      </c>
      <c r="AP249" s="3">
        <f t="shared" si="148"/>
        <v>1.0862699771600071</v>
      </c>
      <c r="AQ249" s="3">
        <v>7.7130000000000001</v>
      </c>
      <c r="AR249" s="3">
        <v>1.633721</v>
      </c>
      <c r="AS249" s="3">
        <v>-959.76900000000001</v>
      </c>
      <c r="AT249" s="3">
        <v>-958.05</v>
      </c>
      <c r="AU249" s="3">
        <f t="shared" si="123"/>
        <v>-1.7190000000000509</v>
      </c>
      <c r="AV249" s="3">
        <v>-0.317</v>
      </c>
      <c r="AW249" s="3">
        <v>-0.45</v>
      </c>
      <c r="AX249" s="3">
        <f t="shared" si="124"/>
        <v>0.13300000000000001</v>
      </c>
      <c r="AY249" s="3">
        <v>-2.4E-2</v>
      </c>
      <c r="AZ249" s="3">
        <v>0.13500000000000001</v>
      </c>
      <c r="BA249" s="3">
        <f t="shared" si="125"/>
        <v>-0.159</v>
      </c>
      <c r="BB249" s="3">
        <f t="shared" si="161"/>
        <v>0.17050000000000001</v>
      </c>
      <c r="BC249" s="3">
        <f t="shared" si="161"/>
        <v>0.1575</v>
      </c>
      <c r="BD249" s="3">
        <f t="shared" si="127"/>
        <v>1.3000000000000012E-2</v>
      </c>
      <c r="BE249" s="3">
        <f t="shared" si="162"/>
        <v>0.29299999999999998</v>
      </c>
      <c r="BF249" s="3">
        <f t="shared" si="162"/>
        <v>0.58499999999999996</v>
      </c>
      <c r="BG249" s="3">
        <f t="shared" si="129"/>
        <v>-0.29199999999999998</v>
      </c>
      <c r="BH249" s="3">
        <f t="shared" si="163"/>
        <v>-0.17050000000000001</v>
      </c>
      <c r="BI249" s="3">
        <f t="shared" si="163"/>
        <v>-0.1575</v>
      </c>
      <c r="BJ249" s="3">
        <f t="shared" si="154"/>
        <v>-1.3000000000000012E-2</v>
      </c>
      <c r="BK249" s="3">
        <f t="shared" si="151"/>
        <v>4.9607935153583631E-2</v>
      </c>
      <c r="BL249" s="3">
        <f t="shared" si="152"/>
        <v>2.120192307692308E-2</v>
      </c>
      <c r="BM249" s="3">
        <f t="shared" si="131"/>
        <v>2.8406012076660551E-2</v>
      </c>
      <c r="BN249" s="3">
        <v>2.2370000000000001</v>
      </c>
      <c r="BO249" s="3">
        <v>2.431</v>
      </c>
      <c r="BP249" s="3">
        <f t="shared" si="132"/>
        <v>-0.19399999999999995</v>
      </c>
      <c r="BQ249" s="3">
        <v>-602243.07700000005</v>
      </c>
      <c r="BR249" s="3">
        <v>-601163.24300000002</v>
      </c>
      <c r="BS249" s="3">
        <f t="shared" si="133"/>
        <v>-1079.8340000000317</v>
      </c>
      <c r="BT249" s="3">
        <v>-602262.36399999994</v>
      </c>
      <c r="BU249" s="3">
        <v>-601182.38500000001</v>
      </c>
      <c r="BV249" s="3">
        <f t="shared" si="134"/>
        <v>-1079.9789999999339</v>
      </c>
    </row>
    <row r="250" spans="1:74" x14ac:dyDescent="0.25">
      <c r="A250" t="s">
        <v>433</v>
      </c>
      <c r="B250" t="s">
        <v>514</v>
      </c>
      <c r="C250" t="s">
        <v>200</v>
      </c>
      <c r="D250" s="3">
        <v>20.69</v>
      </c>
      <c r="E250" s="3">
        <v>0.6</v>
      </c>
      <c r="F250" s="3">
        <v>-302.47399999999999</v>
      </c>
      <c r="G250" s="3">
        <v>-304.44799999999998</v>
      </c>
      <c r="H250" s="3">
        <f t="shared" si="135"/>
        <v>-1.9739999999999895</v>
      </c>
      <c r="I250" s="3">
        <v>-0.249</v>
      </c>
      <c r="J250" s="6">
        <v>-0.16400000000000001</v>
      </c>
      <c r="K250" s="3">
        <f t="shared" si="136"/>
        <v>8.4999999999999992E-2</v>
      </c>
      <c r="L250" s="3">
        <v>0.17799999999999999</v>
      </c>
      <c r="M250" s="6">
        <v>6.9000000000000006E-2</v>
      </c>
      <c r="N250" s="3">
        <f t="shared" si="137"/>
        <v>-0.10899999999999999</v>
      </c>
      <c r="O250" s="3">
        <f t="shared" si="138"/>
        <v>3.5500000000000004E-2</v>
      </c>
      <c r="P250" s="3">
        <f t="shared" si="138"/>
        <v>4.7500000000000001E-2</v>
      </c>
      <c r="Q250" s="3">
        <f t="shared" si="139"/>
        <v>1.1999999999999997E-2</v>
      </c>
      <c r="R250" s="3">
        <f t="shared" si="140"/>
        <v>0.42699999999999999</v>
      </c>
      <c r="S250" s="3">
        <f t="shared" si="140"/>
        <v>0.23300000000000001</v>
      </c>
      <c r="T250" s="3">
        <f t="shared" si="141"/>
        <v>-0.19399999999999998</v>
      </c>
      <c r="U250" s="3">
        <f t="shared" si="142"/>
        <v>-3.5500000000000004E-2</v>
      </c>
      <c r="V250" s="3">
        <f t="shared" si="142"/>
        <v>-4.7500000000000001E-2</v>
      </c>
      <c r="W250" s="3">
        <f t="shared" si="153"/>
        <v>-1.1999999999999997E-2</v>
      </c>
      <c r="X250" s="3">
        <f t="shared" si="149"/>
        <v>1.4757025761124125E-3</v>
      </c>
      <c r="Y250" s="3">
        <f t="shared" si="150"/>
        <v>4.8417381974248924E-3</v>
      </c>
      <c r="Z250" s="3">
        <f t="shared" si="143"/>
        <v>3.3660356213124796E-3</v>
      </c>
      <c r="AA250" s="3">
        <v>1.825</v>
      </c>
      <c r="AB250" s="3">
        <v>1.7729999999999999</v>
      </c>
      <c r="AC250" s="3">
        <f t="shared" si="144"/>
        <v>-5.2000000000000046E-2</v>
      </c>
      <c r="AD250" s="3">
        <f>-302.346305*627.50956</f>
        <v>-189725.19681817578</v>
      </c>
      <c r="AE250" s="3">
        <f>-304.327834*627.50956</f>
        <v>-190968.62520909304</v>
      </c>
      <c r="AF250" s="3">
        <f t="shared" si="145"/>
        <v>-1243.4283909172518</v>
      </c>
      <c r="AG250" s="3">
        <f>-302.384794*627.50956</f>
        <v>-189749.34903363063</v>
      </c>
      <c r="AH250" s="3">
        <f>-304.367189*627.50956</f>
        <v>-190993.32084782684</v>
      </c>
      <c r="AI250" s="3">
        <f t="shared" si="146"/>
        <v>-1243.9718141962076</v>
      </c>
      <c r="AJ250" s="3">
        <v>-0.74</v>
      </c>
      <c r="AK250" s="3">
        <v>-0.66600000000000004</v>
      </c>
      <c r="AL250" s="3">
        <f t="shared" si="147"/>
        <v>7.3999999999999955E-2</v>
      </c>
      <c r="AM250" s="3">
        <v>95.122479999999996</v>
      </c>
      <c r="AN250" s="3">
        <v>160.9897</v>
      </c>
      <c r="AO250" s="3">
        <v>157.73125999999999</v>
      </c>
      <c r="AP250" s="3">
        <f t="shared" si="148"/>
        <v>1.1405356370535036</v>
      </c>
      <c r="AQ250" s="3">
        <v>8.7840000000000007</v>
      </c>
      <c r="AR250" s="3">
        <v>1.8163415999999999</v>
      </c>
      <c r="AS250" s="3">
        <v>-553.27200000000005</v>
      </c>
      <c r="AT250" s="3">
        <v>-551.61699999999996</v>
      </c>
      <c r="AU250" s="3">
        <f t="shared" si="123"/>
        <v>-1.6550000000000864</v>
      </c>
      <c r="AV250" s="3">
        <v>-0.23699999999999999</v>
      </c>
      <c r="AW250" s="3">
        <v>-0.36899999999999999</v>
      </c>
      <c r="AX250" s="3">
        <f t="shared" si="124"/>
        <v>0.13200000000000001</v>
      </c>
      <c r="AY250" s="3">
        <v>2.8000000000000001E-2</v>
      </c>
      <c r="AZ250" s="3">
        <v>0.154</v>
      </c>
      <c r="BA250" s="3">
        <f t="shared" si="125"/>
        <v>-0.126</v>
      </c>
      <c r="BB250" s="3">
        <f t="shared" si="161"/>
        <v>0.1045</v>
      </c>
      <c r="BC250" s="3">
        <f t="shared" si="161"/>
        <v>0.1075</v>
      </c>
      <c r="BD250" s="3">
        <f t="shared" si="127"/>
        <v>-3.0000000000000027E-3</v>
      </c>
      <c r="BE250" s="3">
        <f t="shared" si="162"/>
        <v>0.26500000000000001</v>
      </c>
      <c r="BF250" s="3">
        <f t="shared" si="162"/>
        <v>0.52300000000000002</v>
      </c>
      <c r="BG250" s="3">
        <f t="shared" si="129"/>
        <v>-0.25800000000000001</v>
      </c>
      <c r="BH250" s="3">
        <f t="shared" si="163"/>
        <v>-0.1045</v>
      </c>
      <c r="BI250" s="3">
        <f t="shared" si="163"/>
        <v>-0.1075</v>
      </c>
      <c r="BJ250" s="3">
        <f t="shared" si="154"/>
        <v>3.0000000000000027E-3</v>
      </c>
      <c r="BK250" s="3">
        <f t="shared" si="151"/>
        <v>2.0604245283018865E-2</v>
      </c>
      <c r="BL250" s="3">
        <f t="shared" si="152"/>
        <v>1.104804015296367E-2</v>
      </c>
      <c r="BM250" s="3">
        <f t="shared" si="131"/>
        <v>9.5562051300551957E-3</v>
      </c>
      <c r="BN250" s="3">
        <v>5.4870000000000001</v>
      </c>
      <c r="BO250" s="3">
        <v>6.0839999999999996</v>
      </c>
      <c r="BP250" s="3">
        <f t="shared" si="132"/>
        <v>-0.59699999999999953</v>
      </c>
      <c r="BQ250" s="3">
        <v>-347129.96399999998</v>
      </c>
      <c r="BR250" s="3">
        <v>-346087.64600000001</v>
      </c>
      <c r="BS250" s="3">
        <f t="shared" si="133"/>
        <v>-1042.3179999999702</v>
      </c>
      <c r="BT250" s="3">
        <v>-347152.04599999997</v>
      </c>
      <c r="BU250" s="3">
        <v>-346109.22600000002</v>
      </c>
      <c r="BV250" s="3">
        <f t="shared" si="134"/>
        <v>-1042.8199999999488</v>
      </c>
    </row>
    <row r="251" spans="1:74" x14ac:dyDescent="0.25">
      <c r="A251" t="s">
        <v>434</v>
      </c>
      <c r="B251" t="s">
        <v>514</v>
      </c>
      <c r="C251" t="s">
        <v>200</v>
      </c>
      <c r="D251" s="3">
        <v>21.03</v>
      </c>
      <c r="E251" s="3">
        <v>0.5</v>
      </c>
      <c r="F251" s="3">
        <v>-263.42700000000002</v>
      </c>
      <c r="G251" s="3">
        <v>-265.12</v>
      </c>
      <c r="H251" s="3">
        <f t="shared" si="135"/>
        <v>-1.6929999999999836</v>
      </c>
      <c r="I251" s="3">
        <v>-0.25600000000000001</v>
      </c>
      <c r="J251" s="6">
        <v>-0.17</v>
      </c>
      <c r="K251" s="3">
        <f t="shared" si="136"/>
        <v>8.5999999999999993E-2</v>
      </c>
      <c r="L251" s="3">
        <v>0.185</v>
      </c>
      <c r="M251" s="6">
        <v>7.2999999999999995E-2</v>
      </c>
      <c r="N251" s="3">
        <f t="shared" si="137"/>
        <v>-0.112</v>
      </c>
      <c r="O251" s="3">
        <f t="shared" si="138"/>
        <v>3.5500000000000004E-2</v>
      </c>
      <c r="P251" s="3">
        <f t="shared" si="138"/>
        <v>4.8500000000000008E-2</v>
      </c>
      <c r="Q251" s="3">
        <f t="shared" si="139"/>
        <v>1.3000000000000005E-2</v>
      </c>
      <c r="R251" s="3">
        <f t="shared" si="140"/>
        <v>0.441</v>
      </c>
      <c r="S251" s="3">
        <f t="shared" si="140"/>
        <v>0.24299999999999999</v>
      </c>
      <c r="T251" s="3">
        <f t="shared" si="141"/>
        <v>-0.19800000000000001</v>
      </c>
      <c r="U251" s="3">
        <f t="shared" si="142"/>
        <v>-3.5500000000000004E-2</v>
      </c>
      <c r="V251" s="3">
        <f t="shared" si="142"/>
        <v>-4.8500000000000008E-2</v>
      </c>
      <c r="W251" s="3">
        <f t="shared" si="153"/>
        <v>-1.3000000000000005E-2</v>
      </c>
      <c r="X251" s="3">
        <f t="shared" si="149"/>
        <v>1.4288548752834471E-3</v>
      </c>
      <c r="Y251" s="3">
        <f t="shared" si="150"/>
        <v>4.8400205761316888E-3</v>
      </c>
      <c r="Z251" s="3">
        <f t="shared" si="143"/>
        <v>3.4111657008482417E-3</v>
      </c>
      <c r="AA251" s="3">
        <v>1.0609999999999999</v>
      </c>
      <c r="AB251" s="3">
        <v>1.0620000000000001</v>
      </c>
      <c r="AC251" s="3">
        <f t="shared" si="144"/>
        <v>1.0000000000001119E-3</v>
      </c>
      <c r="AD251" s="3">
        <f>-263.329789*627.50956</f>
        <v>-165241.96003028285</v>
      </c>
      <c r="AE251" s="3">
        <f>-265.028712*627.50956</f>
        <v>-166308.05045448671</v>
      </c>
      <c r="AF251" s="3">
        <f t="shared" si="145"/>
        <v>-1066.0904242038669</v>
      </c>
      <c r="AG251" s="3">
        <f>-263.36445*627.50956</f>
        <v>-165263.71013914197</v>
      </c>
      <c r="AH251" s="3">
        <f>-265.063935*627.50956</f>
        <v>-166330.1532237186</v>
      </c>
      <c r="AI251" s="3">
        <f t="shared" si="146"/>
        <v>-1066.4430845766328</v>
      </c>
      <c r="AJ251" s="3">
        <v>-0.71699999999999997</v>
      </c>
      <c r="AK251" s="3">
        <v>-0.65200000000000002</v>
      </c>
      <c r="AL251" s="3">
        <f t="shared" si="147"/>
        <v>6.4999999999999947E-2</v>
      </c>
      <c r="AM251" s="3">
        <v>81.0959</v>
      </c>
      <c r="AN251" s="3">
        <v>136.04866999999999</v>
      </c>
      <c r="AO251" s="3">
        <v>128.76616999999999</v>
      </c>
      <c r="AP251" s="3">
        <f t="shared" si="148"/>
        <v>1.103440869355844</v>
      </c>
      <c r="AQ251" s="3">
        <v>7.6950000000000003</v>
      </c>
      <c r="AR251" s="3">
        <v>1.532956</v>
      </c>
      <c r="AS251" s="3">
        <v>-553.27200000000005</v>
      </c>
      <c r="AT251" s="3">
        <v>-551.61699999999996</v>
      </c>
      <c r="AU251" s="3">
        <f t="shared" si="123"/>
        <v>-1.6550000000000864</v>
      </c>
      <c r="AV251" s="3">
        <v>-0.23699999999999999</v>
      </c>
      <c r="AW251" s="3">
        <v>-0.36899999999999999</v>
      </c>
      <c r="AX251" s="3">
        <f t="shared" si="124"/>
        <v>0.13200000000000001</v>
      </c>
      <c r="AY251" s="3">
        <v>2.8000000000000001E-2</v>
      </c>
      <c r="AZ251" s="3">
        <v>0.154</v>
      </c>
      <c r="BA251" s="3">
        <f t="shared" si="125"/>
        <v>-0.126</v>
      </c>
      <c r="BB251" s="3">
        <f t="shared" si="161"/>
        <v>0.1045</v>
      </c>
      <c r="BC251" s="3">
        <f t="shared" si="161"/>
        <v>0.1075</v>
      </c>
      <c r="BD251" s="3">
        <f t="shared" si="127"/>
        <v>-3.0000000000000027E-3</v>
      </c>
      <c r="BE251" s="3">
        <f t="shared" si="162"/>
        <v>0.26500000000000001</v>
      </c>
      <c r="BF251" s="3">
        <f t="shared" si="162"/>
        <v>0.52300000000000002</v>
      </c>
      <c r="BG251" s="3">
        <f t="shared" si="129"/>
        <v>-0.25800000000000001</v>
      </c>
      <c r="BH251" s="3">
        <f t="shared" si="163"/>
        <v>-0.1045</v>
      </c>
      <c r="BI251" s="3">
        <f t="shared" si="163"/>
        <v>-0.1075</v>
      </c>
      <c r="BJ251" s="3">
        <f t="shared" si="154"/>
        <v>3.0000000000000027E-3</v>
      </c>
      <c r="BK251" s="3">
        <f t="shared" si="151"/>
        <v>2.0604245283018865E-2</v>
      </c>
      <c r="BL251" s="3">
        <f t="shared" si="152"/>
        <v>1.104804015296367E-2</v>
      </c>
      <c r="BM251" s="3">
        <f t="shared" si="131"/>
        <v>9.5562051300551957E-3</v>
      </c>
      <c r="BN251" s="3">
        <v>5.4870000000000001</v>
      </c>
      <c r="BO251" s="3">
        <v>6.0839999999999996</v>
      </c>
      <c r="BP251" s="3">
        <f t="shared" si="132"/>
        <v>-0.59699999999999953</v>
      </c>
      <c r="BQ251" s="3">
        <v>-347129.96399999998</v>
      </c>
      <c r="BR251" s="3">
        <v>-346087.64600000001</v>
      </c>
      <c r="BS251" s="3">
        <f t="shared" si="133"/>
        <v>-1042.3179999999702</v>
      </c>
      <c r="BT251" s="3">
        <v>-347152.04599999997</v>
      </c>
      <c r="BU251" s="3">
        <v>-346109.22600000002</v>
      </c>
      <c r="BV251" s="3">
        <f t="shared" si="134"/>
        <v>-1042.8199999999488</v>
      </c>
    </row>
    <row r="252" spans="1:74" x14ac:dyDescent="0.25">
      <c r="A252" t="s">
        <v>435</v>
      </c>
      <c r="B252" t="s">
        <v>514</v>
      </c>
      <c r="C252" t="s">
        <v>200</v>
      </c>
      <c r="D252" s="3">
        <v>21.09</v>
      </c>
      <c r="E252" s="3">
        <v>0.51</v>
      </c>
      <c r="F252" s="3">
        <v>-224.37899999999999</v>
      </c>
      <c r="G252" s="3">
        <v>-225.791</v>
      </c>
      <c r="H252" s="3">
        <f t="shared" si="135"/>
        <v>-1.4120000000000061</v>
      </c>
      <c r="I252" s="3">
        <v>-0.26500000000000001</v>
      </c>
      <c r="J252" s="6">
        <v>-0.17799999999999999</v>
      </c>
      <c r="K252" s="3">
        <f t="shared" si="136"/>
        <v>8.7000000000000022E-2</v>
      </c>
      <c r="L252" s="3">
        <v>0.19700000000000001</v>
      </c>
      <c r="M252" s="6">
        <v>0.09</v>
      </c>
      <c r="N252" s="3">
        <f t="shared" si="137"/>
        <v>-0.10700000000000001</v>
      </c>
      <c r="O252" s="3">
        <f t="shared" si="138"/>
        <v>3.4000000000000002E-2</v>
      </c>
      <c r="P252" s="3">
        <f t="shared" si="138"/>
        <v>4.3999999999999997E-2</v>
      </c>
      <c r="Q252" s="3">
        <f t="shared" si="139"/>
        <v>9.999999999999995E-3</v>
      </c>
      <c r="R252" s="3">
        <f t="shared" si="140"/>
        <v>0.46200000000000002</v>
      </c>
      <c r="S252" s="3">
        <f t="shared" si="140"/>
        <v>0.26800000000000002</v>
      </c>
      <c r="T252" s="3">
        <f t="shared" si="141"/>
        <v>-0.19400000000000001</v>
      </c>
      <c r="U252" s="3">
        <f t="shared" si="142"/>
        <v>-3.4000000000000002E-2</v>
      </c>
      <c r="V252" s="3">
        <f t="shared" si="142"/>
        <v>-4.3999999999999997E-2</v>
      </c>
      <c r="W252" s="3">
        <f t="shared" si="153"/>
        <v>-9.999999999999995E-3</v>
      </c>
      <c r="X252" s="3">
        <f t="shared" si="149"/>
        <v>1.2510822510822511E-3</v>
      </c>
      <c r="Y252" s="3">
        <f t="shared" si="150"/>
        <v>3.6119402985074619E-3</v>
      </c>
      <c r="Z252" s="3">
        <f t="shared" si="143"/>
        <v>2.3608580474252109E-3</v>
      </c>
      <c r="AA252" s="3">
        <v>1.59</v>
      </c>
      <c r="AB252" s="3">
        <v>1.5209999999999999</v>
      </c>
      <c r="AC252" s="3">
        <f t="shared" si="144"/>
        <v>-6.9000000000000172E-2</v>
      </c>
      <c r="AD252" s="3">
        <f>-224.312104*627.50956</f>
        <v>-140757.98968371423</v>
      </c>
      <c r="AE252" s="3">
        <f>-225.728737*627.50956</f>
        <v>-141646.94043422572</v>
      </c>
      <c r="AF252" s="3">
        <f t="shared" si="145"/>
        <v>-888.95075051148888</v>
      </c>
      <c r="AG252" s="3">
        <f>-224.342376*627.50956</f>
        <v>-140776.98565311456</v>
      </c>
      <c r="AH252" s="3">
        <f>-225.759303*627.50956</f>
        <v>-141666.12089143667</v>
      </c>
      <c r="AI252" s="3">
        <f t="shared" si="146"/>
        <v>-889.13523832210922</v>
      </c>
      <c r="AJ252" s="3">
        <v>-0.69699999999999995</v>
      </c>
      <c r="AK252" s="3">
        <v>-0.63800000000000001</v>
      </c>
      <c r="AL252" s="3">
        <f t="shared" si="147"/>
        <v>5.8999999999999941E-2</v>
      </c>
      <c r="AM252" s="3">
        <v>67.069320000000005</v>
      </c>
      <c r="AN252" s="3">
        <v>110.30141</v>
      </c>
      <c r="AO252" s="3">
        <v>99.710220000000007</v>
      </c>
      <c r="AP252" s="3">
        <f t="shared" si="148"/>
        <v>1.0609067962139123</v>
      </c>
      <c r="AQ252" s="3">
        <v>6.57</v>
      </c>
      <c r="AR252" s="3">
        <v>1.2315318</v>
      </c>
      <c r="AS252" s="3">
        <v>-553.27200000000005</v>
      </c>
      <c r="AT252" s="3">
        <v>-551.61699999999996</v>
      </c>
      <c r="AU252" s="3">
        <f t="shared" si="123"/>
        <v>-1.6550000000000864</v>
      </c>
      <c r="AV252" s="3">
        <v>-0.23699999999999999</v>
      </c>
      <c r="AW252" s="3">
        <v>-0.36899999999999999</v>
      </c>
      <c r="AX252" s="3">
        <f t="shared" si="124"/>
        <v>0.13200000000000001</v>
      </c>
      <c r="AY252" s="3">
        <v>2.8000000000000001E-2</v>
      </c>
      <c r="AZ252" s="3">
        <v>0.154</v>
      </c>
      <c r="BA252" s="3">
        <f t="shared" si="125"/>
        <v>-0.126</v>
      </c>
      <c r="BB252" s="3">
        <f t="shared" si="161"/>
        <v>0.1045</v>
      </c>
      <c r="BC252" s="3">
        <f t="shared" si="161"/>
        <v>0.1075</v>
      </c>
      <c r="BD252" s="3">
        <f t="shared" si="127"/>
        <v>-3.0000000000000027E-3</v>
      </c>
      <c r="BE252" s="3">
        <f t="shared" si="162"/>
        <v>0.26500000000000001</v>
      </c>
      <c r="BF252" s="3">
        <f t="shared" si="162"/>
        <v>0.52300000000000002</v>
      </c>
      <c r="BG252" s="3">
        <f t="shared" si="129"/>
        <v>-0.25800000000000001</v>
      </c>
      <c r="BH252" s="3">
        <f t="shared" si="163"/>
        <v>-0.1045</v>
      </c>
      <c r="BI252" s="3">
        <f t="shared" si="163"/>
        <v>-0.1075</v>
      </c>
      <c r="BJ252" s="3">
        <f t="shared" si="154"/>
        <v>3.0000000000000027E-3</v>
      </c>
      <c r="BK252" s="3">
        <f t="shared" si="151"/>
        <v>2.0604245283018865E-2</v>
      </c>
      <c r="BL252" s="3">
        <f t="shared" si="152"/>
        <v>1.104804015296367E-2</v>
      </c>
      <c r="BM252" s="3">
        <f t="shared" si="131"/>
        <v>9.5562051300551957E-3</v>
      </c>
      <c r="BN252" s="3">
        <v>5.4870000000000001</v>
      </c>
      <c r="BO252" s="3">
        <v>6.0839999999999996</v>
      </c>
      <c r="BP252" s="3">
        <f t="shared" si="132"/>
        <v>-0.59699999999999953</v>
      </c>
      <c r="BQ252" s="3">
        <v>-347129.96399999998</v>
      </c>
      <c r="BR252" s="3">
        <v>-346087.64600000001</v>
      </c>
      <c r="BS252" s="3">
        <f t="shared" si="133"/>
        <v>-1042.3179999999702</v>
      </c>
      <c r="BT252" s="3">
        <v>-347152.04599999997</v>
      </c>
      <c r="BU252" s="3">
        <v>-346109.22600000002</v>
      </c>
      <c r="BV252" s="3">
        <f t="shared" si="134"/>
        <v>-1042.8199999999488</v>
      </c>
    </row>
    <row r="253" spans="1:74" x14ac:dyDescent="0.25">
      <c r="A253" t="s">
        <v>436</v>
      </c>
      <c r="B253" t="s">
        <v>514</v>
      </c>
      <c r="C253" t="s">
        <v>200</v>
      </c>
      <c r="D253" s="3">
        <v>21.29</v>
      </c>
      <c r="E253" s="3">
        <v>0.51</v>
      </c>
      <c r="F253" s="3">
        <v>-263.42500000000001</v>
      </c>
      <c r="G253" s="3">
        <v>-265.11900000000003</v>
      </c>
      <c r="H253" s="3">
        <f t="shared" si="135"/>
        <v>-1.6940000000000168</v>
      </c>
      <c r="I253" s="3">
        <v>-0.25600000000000001</v>
      </c>
      <c r="J253" s="6">
        <v>-0.17100000000000001</v>
      </c>
      <c r="K253" s="3">
        <f t="shared" si="136"/>
        <v>8.4999999999999992E-2</v>
      </c>
      <c r="L253" s="3">
        <v>0.17799999999999999</v>
      </c>
      <c r="M253" s="6">
        <v>6.9000000000000006E-2</v>
      </c>
      <c r="N253" s="3">
        <f t="shared" si="137"/>
        <v>-0.10899999999999999</v>
      </c>
      <c r="O253" s="3">
        <f t="shared" si="138"/>
        <v>3.9000000000000007E-2</v>
      </c>
      <c r="P253" s="3">
        <f t="shared" si="138"/>
        <v>5.1000000000000004E-2</v>
      </c>
      <c r="Q253" s="3">
        <f t="shared" si="139"/>
        <v>1.1999999999999997E-2</v>
      </c>
      <c r="R253" s="3">
        <f t="shared" si="140"/>
        <v>0.434</v>
      </c>
      <c r="S253" s="3">
        <f t="shared" si="140"/>
        <v>0.24000000000000002</v>
      </c>
      <c r="T253" s="3">
        <f t="shared" si="141"/>
        <v>-0.19399999999999998</v>
      </c>
      <c r="U253" s="3">
        <f t="shared" si="142"/>
        <v>-3.9000000000000007E-2</v>
      </c>
      <c r="V253" s="3">
        <f t="shared" si="142"/>
        <v>-5.1000000000000004E-2</v>
      </c>
      <c r="W253" s="3">
        <f t="shared" si="153"/>
        <v>-1.1999999999999997E-2</v>
      </c>
      <c r="X253" s="3">
        <f t="shared" si="149"/>
        <v>1.7523041474654384E-3</v>
      </c>
      <c r="Y253" s="3">
        <f t="shared" si="150"/>
        <v>5.4187500000000008E-3</v>
      </c>
      <c r="Z253" s="3">
        <f t="shared" si="143"/>
        <v>3.6664458525345624E-3</v>
      </c>
      <c r="AA253" s="3">
        <v>4.01</v>
      </c>
      <c r="AB253" s="3">
        <v>3.92</v>
      </c>
      <c r="AC253" s="3">
        <f t="shared" si="144"/>
        <v>-8.9999999999999858E-2</v>
      </c>
      <c r="AD253" s="3">
        <f>-263.328405*627.50956</f>
        <v>-165241.09155705178</v>
      </c>
      <c r="AE253" s="3">
        <f>-265.027671*627.50956</f>
        <v>-166307.39721703474</v>
      </c>
      <c r="AF253" s="3">
        <f t="shared" si="145"/>
        <v>-1066.3056599829579</v>
      </c>
      <c r="AG253" s="3">
        <f>-263.362487*627.50956</f>
        <v>-165262.47833787571</v>
      </c>
      <c r="AH253" s="3">
        <f>-265.062404*627.50956</f>
        <v>-166329.19250658224</v>
      </c>
      <c r="AI253" s="3">
        <f t="shared" si="146"/>
        <v>-1066.7141687065305</v>
      </c>
      <c r="AJ253" s="3">
        <v>-0.71599999999999997</v>
      </c>
      <c r="AK253" s="3">
        <v>-0.65100000000000002</v>
      </c>
      <c r="AL253" s="3">
        <f t="shared" si="147"/>
        <v>6.4999999999999947E-2</v>
      </c>
      <c r="AM253" s="3">
        <v>81.0959</v>
      </c>
      <c r="AN253" s="3">
        <v>135.21572</v>
      </c>
      <c r="AO253" s="3">
        <v>128.64160000000001</v>
      </c>
      <c r="AP253" s="3">
        <f t="shared" si="148"/>
        <v>1.0973929859846034</v>
      </c>
      <c r="AQ253" s="3">
        <v>7.73</v>
      </c>
      <c r="AR253" s="3">
        <v>1.5496099999999999</v>
      </c>
      <c r="AS253" s="3">
        <v>-553.27200000000005</v>
      </c>
      <c r="AT253" s="3">
        <v>-551.61699999999996</v>
      </c>
      <c r="AU253" s="3">
        <f t="shared" si="123"/>
        <v>-1.6550000000000864</v>
      </c>
      <c r="AV253" s="3">
        <v>-0.23699999999999999</v>
      </c>
      <c r="AW253" s="3">
        <v>-0.36899999999999999</v>
      </c>
      <c r="AX253" s="3">
        <f t="shared" si="124"/>
        <v>0.13200000000000001</v>
      </c>
      <c r="AY253" s="3">
        <v>2.8000000000000001E-2</v>
      </c>
      <c r="AZ253" s="3">
        <v>0.154</v>
      </c>
      <c r="BA253" s="3">
        <f t="shared" si="125"/>
        <v>-0.126</v>
      </c>
      <c r="BB253" s="3">
        <f t="shared" si="161"/>
        <v>0.1045</v>
      </c>
      <c r="BC253" s="3">
        <f t="shared" si="161"/>
        <v>0.1075</v>
      </c>
      <c r="BD253" s="3">
        <f t="shared" si="127"/>
        <v>-3.0000000000000027E-3</v>
      </c>
      <c r="BE253" s="3">
        <f t="shared" si="162"/>
        <v>0.26500000000000001</v>
      </c>
      <c r="BF253" s="3">
        <f t="shared" si="162"/>
        <v>0.52300000000000002</v>
      </c>
      <c r="BG253" s="3">
        <f t="shared" si="129"/>
        <v>-0.25800000000000001</v>
      </c>
      <c r="BH253" s="3">
        <f t="shared" si="163"/>
        <v>-0.1045</v>
      </c>
      <c r="BI253" s="3">
        <f t="shared" si="163"/>
        <v>-0.1075</v>
      </c>
      <c r="BJ253" s="3">
        <f t="shared" si="154"/>
        <v>3.0000000000000027E-3</v>
      </c>
      <c r="BK253" s="3">
        <f t="shared" si="151"/>
        <v>2.0604245283018865E-2</v>
      </c>
      <c r="BL253" s="3">
        <f t="shared" si="152"/>
        <v>1.104804015296367E-2</v>
      </c>
      <c r="BM253" s="3">
        <f t="shared" si="131"/>
        <v>9.5562051300551957E-3</v>
      </c>
      <c r="BN253" s="3">
        <v>5.4870000000000001</v>
      </c>
      <c r="BO253" s="3">
        <v>6.0839999999999996</v>
      </c>
      <c r="BP253" s="3">
        <f t="shared" si="132"/>
        <v>-0.59699999999999953</v>
      </c>
      <c r="BQ253" s="3">
        <v>-347129.96399999998</v>
      </c>
      <c r="BR253" s="3">
        <v>-346087.64600000001</v>
      </c>
      <c r="BS253" s="3">
        <f t="shared" si="133"/>
        <v>-1042.3179999999702</v>
      </c>
      <c r="BT253" s="3">
        <v>-347152.04599999997</v>
      </c>
      <c r="BU253" s="3">
        <v>-346109.22600000002</v>
      </c>
      <c r="BV253" s="3">
        <f t="shared" si="134"/>
        <v>-1042.8199999999488</v>
      </c>
    </row>
    <row r="254" spans="1:74" x14ac:dyDescent="0.25">
      <c r="A254" t="s">
        <v>437</v>
      </c>
      <c r="B254" t="s">
        <v>514</v>
      </c>
      <c r="C254" t="s">
        <v>200</v>
      </c>
      <c r="D254" s="3">
        <v>22.4</v>
      </c>
      <c r="E254" s="3">
        <v>0.59</v>
      </c>
      <c r="F254" s="3">
        <v>-320.29199999999997</v>
      </c>
      <c r="G254" s="3">
        <v>-322.13600000000002</v>
      </c>
      <c r="H254" s="3">
        <f t="shared" si="135"/>
        <v>-1.8440000000000509</v>
      </c>
      <c r="I254" s="3">
        <v>-0.30299999999999999</v>
      </c>
      <c r="J254" s="6">
        <v>-0.17899999999999999</v>
      </c>
      <c r="K254" s="3">
        <f t="shared" si="136"/>
        <v>0.124</v>
      </c>
      <c r="L254" s="3">
        <v>0.17599999999999999</v>
      </c>
      <c r="M254" s="6">
        <v>6.4000000000000001E-2</v>
      </c>
      <c r="N254" s="3">
        <f t="shared" si="137"/>
        <v>-0.11199999999999999</v>
      </c>
      <c r="O254" s="3">
        <f t="shared" si="138"/>
        <v>6.3500000000000001E-2</v>
      </c>
      <c r="P254" s="3">
        <f t="shared" si="138"/>
        <v>5.7499999999999996E-2</v>
      </c>
      <c r="Q254" s="3">
        <f t="shared" si="139"/>
        <v>-6.0000000000000053E-3</v>
      </c>
      <c r="R254" s="3">
        <f t="shared" si="140"/>
        <v>0.47899999999999998</v>
      </c>
      <c r="S254" s="3">
        <f t="shared" si="140"/>
        <v>0.24299999999999999</v>
      </c>
      <c r="T254" s="3">
        <f t="shared" si="141"/>
        <v>-0.23599999999999999</v>
      </c>
      <c r="U254" s="3">
        <f t="shared" si="142"/>
        <v>-6.3500000000000001E-2</v>
      </c>
      <c r="V254" s="3">
        <f t="shared" si="142"/>
        <v>-5.7499999999999996E-2</v>
      </c>
      <c r="W254" s="3">
        <f t="shared" si="153"/>
        <v>6.0000000000000053E-3</v>
      </c>
      <c r="X254" s="3">
        <f t="shared" si="149"/>
        <v>4.2090292275574117E-3</v>
      </c>
      <c r="Y254" s="3">
        <f t="shared" si="150"/>
        <v>6.8029835390946486E-3</v>
      </c>
      <c r="Z254" s="3">
        <f t="shared" si="143"/>
        <v>2.5939543115372369E-3</v>
      </c>
      <c r="AA254" s="3">
        <v>8.1329999999999991</v>
      </c>
      <c r="AB254" s="3">
        <v>7.1840000000000002</v>
      </c>
      <c r="AC254" s="3">
        <f t="shared" si="144"/>
        <v>-0.94899999999999896</v>
      </c>
      <c r="AD254" s="3">
        <f>-320.207244*627.50956</f>
        <v>-200933.10679125262</v>
      </c>
      <c r="AE254" s="3">
        <f>-322.0569*627.50956</f>
        <v>-202093.78361396398</v>
      </c>
      <c r="AF254" s="3">
        <f t="shared" si="145"/>
        <v>-1160.6768227113644</v>
      </c>
      <c r="AG254" s="3">
        <f>-320.24102*627.50956</f>
        <v>-200954.30155415117</v>
      </c>
      <c r="AH254" s="3">
        <f>-322.091052*627.50956</f>
        <v>-202115.2143204571</v>
      </c>
      <c r="AI254" s="3">
        <f t="shared" si="146"/>
        <v>-1160.9127663059335</v>
      </c>
      <c r="AJ254" s="3">
        <v>-0.873</v>
      </c>
      <c r="AK254" s="3">
        <v>-0.77100000000000002</v>
      </c>
      <c r="AL254" s="3">
        <f t="shared" si="147"/>
        <v>0.10199999999999998</v>
      </c>
      <c r="AM254" s="3">
        <v>86.069360000000003</v>
      </c>
      <c r="AN254" s="3">
        <v>123.25172999999999</v>
      </c>
      <c r="AO254" s="3">
        <v>115.40215999999999</v>
      </c>
      <c r="AP254" s="3">
        <f t="shared" si="148"/>
        <v>1.0754073882540232</v>
      </c>
      <c r="AQ254" s="3">
        <v>7.0149999999999997</v>
      </c>
      <c r="AR254" s="3">
        <v>1.4970638999999999</v>
      </c>
      <c r="AS254" s="3">
        <v>-553.27200000000005</v>
      </c>
      <c r="AT254" s="3">
        <v>-551.61699999999996</v>
      </c>
      <c r="AU254" s="3">
        <f t="shared" si="123"/>
        <v>-1.6550000000000864</v>
      </c>
      <c r="AV254" s="3">
        <v>-0.23699999999999999</v>
      </c>
      <c r="AW254" s="3">
        <v>-0.36899999999999999</v>
      </c>
      <c r="AX254" s="3">
        <f t="shared" si="124"/>
        <v>0.13200000000000001</v>
      </c>
      <c r="AY254" s="3">
        <v>2.8000000000000001E-2</v>
      </c>
      <c r="AZ254" s="3">
        <v>0.154</v>
      </c>
      <c r="BA254" s="3">
        <f t="shared" si="125"/>
        <v>-0.126</v>
      </c>
      <c r="BB254" s="3">
        <f t="shared" si="161"/>
        <v>0.1045</v>
      </c>
      <c r="BC254" s="3">
        <f t="shared" si="161"/>
        <v>0.1075</v>
      </c>
      <c r="BD254" s="3">
        <f t="shared" si="127"/>
        <v>-3.0000000000000027E-3</v>
      </c>
      <c r="BE254" s="3">
        <f t="shared" si="162"/>
        <v>0.26500000000000001</v>
      </c>
      <c r="BF254" s="3">
        <f t="shared" si="162"/>
        <v>0.52300000000000002</v>
      </c>
      <c r="BG254" s="3">
        <f t="shared" si="129"/>
        <v>-0.25800000000000001</v>
      </c>
      <c r="BH254" s="3">
        <f t="shared" si="163"/>
        <v>-0.1045</v>
      </c>
      <c r="BI254" s="3">
        <f t="shared" si="163"/>
        <v>-0.1075</v>
      </c>
      <c r="BJ254" s="3">
        <f t="shared" si="154"/>
        <v>3.0000000000000027E-3</v>
      </c>
      <c r="BK254" s="3">
        <f t="shared" si="151"/>
        <v>2.0604245283018865E-2</v>
      </c>
      <c r="BL254" s="3">
        <f t="shared" si="152"/>
        <v>1.104804015296367E-2</v>
      </c>
      <c r="BM254" s="3">
        <f t="shared" si="131"/>
        <v>9.5562051300551957E-3</v>
      </c>
      <c r="BN254" s="3">
        <v>5.4870000000000001</v>
      </c>
      <c r="BO254" s="3">
        <v>6.0839999999999996</v>
      </c>
      <c r="BP254" s="3">
        <f t="shared" si="132"/>
        <v>-0.59699999999999953</v>
      </c>
      <c r="BQ254" s="3">
        <v>-347129.96399999998</v>
      </c>
      <c r="BR254" s="3">
        <v>-346087.64600000001</v>
      </c>
      <c r="BS254" s="3">
        <f t="shared" si="133"/>
        <v>-1042.3179999999702</v>
      </c>
      <c r="BT254" s="3">
        <v>-347152.04599999997</v>
      </c>
      <c r="BU254" s="3">
        <v>-346109.22600000002</v>
      </c>
      <c r="BV254" s="3">
        <f t="shared" si="134"/>
        <v>-1042.8199999999488</v>
      </c>
    </row>
    <row r="255" spans="1:74" x14ac:dyDescent="0.25">
      <c r="A255" t="s">
        <v>273</v>
      </c>
      <c r="B255" t="s">
        <v>514</v>
      </c>
      <c r="C255" t="s">
        <v>99</v>
      </c>
      <c r="D255" s="3">
        <v>22.41</v>
      </c>
      <c r="E255" s="3">
        <v>0.45</v>
      </c>
      <c r="F255" s="3">
        <v>-189.28899999999999</v>
      </c>
      <c r="G255" s="3">
        <v>-190.54300000000001</v>
      </c>
      <c r="H255" s="3">
        <f t="shared" si="135"/>
        <v>-1.2540000000000191</v>
      </c>
      <c r="I255" s="3">
        <v>-0.33700000000000002</v>
      </c>
      <c r="J255" s="6">
        <v>-0.20200000000000001</v>
      </c>
      <c r="K255" s="3">
        <f t="shared" si="136"/>
        <v>0.13500000000000001</v>
      </c>
      <c r="L255" s="3">
        <v>0.156</v>
      </c>
      <c r="M255" s="6">
        <v>3.9E-2</v>
      </c>
      <c r="N255" s="3">
        <f t="shared" si="137"/>
        <v>-0.11699999999999999</v>
      </c>
      <c r="O255" s="3">
        <f t="shared" si="138"/>
        <v>9.0500000000000011E-2</v>
      </c>
      <c r="P255" s="3">
        <f t="shared" si="138"/>
        <v>8.1500000000000003E-2</v>
      </c>
      <c r="Q255" s="3">
        <f t="shared" si="139"/>
        <v>-9.000000000000008E-3</v>
      </c>
      <c r="R255" s="3">
        <f t="shared" si="140"/>
        <v>0.49299999999999999</v>
      </c>
      <c r="S255" s="3">
        <f t="shared" si="140"/>
        <v>0.24100000000000002</v>
      </c>
      <c r="T255" s="3">
        <f t="shared" si="141"/>
        <v>-0.252</v>
      </c>
      <c r="U255" s="3">
        <f t="shared" si="142"/>
        <v>-9.0500000000000011E-2</v>
      </c>
      <c r="V255" s="3">
        <f t="shared" si="142"/>
        <v>-8.1500000000000003E-2</v>
      </c>
      <c r="W255" s="3">
        <f t="shared" si="153"/>
        <v>9.000000000000008E-3</v>
      </c>
      <c r="X255" s="3">
        <f t="shared" si="149"/>
        <v>8.306541582150103E-3</v>
      </c>
      <c r="Y255" s="3">
        <f t="shared" si="150"/>
        <v>1.3780601659751037E-2</v>
      </c>
      <c r="Z255" s="3">
        <f t="shared" si="143"/>
        <v>5.4740600776009337E-3</v>
      </c>
      <c r="AA255" s="3">
        <v>0.63300000000000001</v>
      </c>
      <c r="AB255" s="3">
        <v>0.76900000000000002</v>
      </c>
      <c r="AC255" s="3">
        <f t="shared" si="144"/>
        <v>0.13600000000000001</v>
      </c>
      <c r="AD255" s="3">
        <f>-189.166623*627.50956</f>
        <v>-118703.86436541587</v>
      </c>
      <c r="AE255" s="3">
        <f>-190.428169*627.50956</f>
        <v>-119495.49654079563</v>
      </c>
      <c r="AF255" s="3">
        <f t="shared" si="145"/>
        <v>-791.63217537976743</v>
      </c>
      <c r="AG255" s="3">
        <f>-189.200142*627.50956</f>
        <v>-118724.89785835751</v>
      </c>
      <c r="AH255" s="3">
        <f>-190.462022*627.50956</f>
        <v>-119516.7396219303</v>
      </c>
      <c r="AI255" s="3">
        <f t="shared" si="146"/>
        <v>-791.84176357279648</v>
      </c>
      <c r="AJ255" s="3">
        <v>-0.67</v>
      </c>
      <c r="AK255" s="3">
        <v>-0.68300000000000005</v>
      </c>
      <c r="AL255" s="3">
        <f t="shared" si="147"/>
        <v>-1.3000000000000012E-2</v>
      </c>
      <c r="AM255" s="3">
        <v>60.098320000000001</v>
      </c>
      <c r="AN255" s="3">
        <v>126.39622</v>
      </c>
      <c r="AO255" s="3">
        <v>120.68103000000001</v>
      </c>
      <c r="AP255" s="3">
        <f t="shared" si="148"/>
        <v>1.0704441943776981</v>
      </c>
      <c r="AQ255" s="3">
        <v>6.5789999999999997</v>
      </c>
      <c r="AR255" s="3">
        <v>1.3342316000000001</v>
      </c>
      <c r="AS255" s="3">
        <v>-132.80099999999999</v>
      </c>
      <c r="AT255" s="3">
        <v>-131.97</v>
      </c>
      <c r="AU255" s="3">
        <f t="shared" ref="AU255:AU317" si="164">AS255-AT255</f>
        <v>-0.83099999999998886</v>
      </c>
      <c r="AV255" s="3">
        <v>-0.34100000000000003</v>
      </c>
      <c r="AW255" s="3">
        <v>-0.47499999999999998</v>
      </c>
      <c r="AX255" s="3">
        <f t="shared" ref="AX255:AX317" si="165">AV255-AW255</f>
        <v>0.13399999999999995</v>
      </c>
      <c r="AY255" s="3">
        <v>2.9000000000000001E-2</v>
      </c>
      <c r="AZ255" s="3">
        <v>0.156</v>
      </c>
      <c r="BA255" s="3">
        <f t="shared" ref="BA255:BA317" si="166">AY255-AZ255</f>
        <v>-0.127</v>
      </c>
      <c r="BB255" s="3">
        <f t="shared" ref="BB255:BC270" si="167">-(AV255+AY255)/2</f>
        <v>0.156</v>
      </c>
      <c r="BC255" s="3">
        <f t="shared" si="167"/>
        <v>0.15949999999999998</v>
      </c>
      <c r="BD255" s="3">
        <f t="shared" ref="BD255:BD317" si="168">BB255-BC255</f>
        <v>-3.4999999999999754E-3</v>
      </c>
      <c r="BE255" s="3">
        <f t="shared" ref="BE255:BF270" si="169">AY255-AV255</f>
        <v>0.37000000000000005</v>
      </c>
      <c r="BF255" s="3">
        <f t="shared" si="169"/>
        <v>0.63100000000000001</v>
      </c>
      <c r="BG255" s="3">
        <f t="shared" ref="BG255:BG317" si="170">BE255-BF255</f>
        <v>-0.26099999999999995</v>
      </c>
      <c r="BH255" s="3">
        <f t="shared" ref="BH255:BI270" si="171">(AV255+AY255)/2</f>
        <v>-0.156</v>
      </c>
      <c r="BI255" s="3">
        <f t="shared" si="171"/>
        <v>-0.15949999999999998</v>
      </c>
      <c r="BJ255" s="3">
        <f t="shared" si="154"/>
        <v>3.4999999999999754E-3</v>
      </c>
      <c r="BK255" s="3">
        <f t="shared" si="151"/>
        <v>3.2886486486486483E-2</v>
      </c>
      <c r="BL255" s="3">
        <f t="shared" si="152"/>
        <v>2.0158676703645E-2</v>
      </c>
      <c r="BM255" s="3">
        <f t="shared" ref="BM255:BM317" si="172">BK255-BL255</f>
        <v>1.2727809782841482E-2</v>
      </c>
      <c r="BN255" s="3">
        <v>4.7279999999999998</v>
      </c>
      <c r="BO255" s="3">
        <v>4.9340000000000002</v>
      </c>
      <c r="BP255" s="3">
        <f t="shared" ref="BP255:BP317" si="173">BN255-BO255</f>
        <v>-0.20600000000000041</v>
      </c>
      <c r="BQ255" s="3">
        <v>-83302.89</v>
      </c>
      <c r="BR255" s="3">
        <v>-82779.224000000002</v>
      </c>
      <c r="BS255" s="3">
        <f t="shared" ref="BS255:BS317" si="174">BQ255-BR255</f>
        <v>-523.66599999999744</v>
      </c>
      <c r="BT255" s="3">
        <v>-83320.774999999994</v>
      </c>
      <c r="BU255" s="3">
        <v>-82796.997000000003</v>
      </c>
      <c r="BV255" s="3">
        <f t="shared" ref="BV255:BV317" si="175">BT255-BU255</f>
        <v>-523.77799999999115</v>
      </c>
    </row>
    <row r="256" spans="1:74" x14ac:dyDescent="0.25">
      <c r="A256" t="s">
        <v>438</v>
      </c>
      <c r="B256" t="s">
        <v>514</v>
      </c>
      <c r="C256" t="s">
        <v>200</v>
      </c>
      <c r="D256" s="3">
        <v>22.67</v>
      </c>
      <c r="E256" s="3">
        <v>0.54</v>
      </c>
      <c r="F256" s="3">
        <v>-588.93600000000004</v>
      </c>
      <c r="G256" s="3">
        <v>-592.572</v>
      </c>
      <c r="H256" s="3">
        <f t="shared" ref="H256:H258" si="176">G256-F256</f>
        <v>-3.6359999999999673</v>
      </c>
      <c r="I256" s="3">
        <v>-0.30199999999999999</v>
      </c>
      <c r="J256" s="6">
        <v>-0.182</v>
      </c>
      <c r="K256" s="3">
        <f t="shared" ref="K256:K258" si="177">J256-I256</f>
        <v>0.12</v>
      </c>
      <c r="L256" s="3">
        <v>0.13400000000000001</v>
      </c>
      <c r="M256" s="6">
        <v>-8.0000000000000002E-3</v>
      </c>
      <c r="N256" s="3">
        <f t="shared" ref="N256:N258" si="178">M256-L256</f>
        <v>-0.14200000000000002</v>
      </c>
      <c r="O256" s="3">
        <f t="shared" ref="O256:P258" si="179">-(I256+L256)/2</f>
        <v>8.3999999999999991E-2</v>
      </c>
      <c r="P256" s="3">
        <f t="shared" si="179"/>
        <v>9.5000000000000001E-2</v>
      </c>
      <c r="Q256" s="3">
        <f t="shared" ref="Q256:Q258" si="180">P256-O256</f>
        <v>1.100000000000001E-2</v>
      </c>
      <c r="R256" s="3">
        <f t="shared" ref="R256:S258" si="181">L256-I256</f>
        <v>0.436</v>
      </c>
      <c r="S256" s="3">
        <f t="shared" si="181"/>
        <v>0.17399999999999999</v>
      </c>
      <c r="T256" s="3">
        <f t="shared" ref="T256:T258" si="182">S256-R256</f>
        <v>-0.26200000000000001</v>
      </c>
      <c r="U256" s="3">
        <f t="shared" ref="U256:V258" si="183">(I256+L256)/2</f>
        <v>-8.3999999999999991E-2</v>
      </c>
      <c r="V256" s="3">
        <f t="shared" si="183"/>
        <v>-9.5000000000000001E-2</v>
      </c>
      <c r="W256" s="3">
        <f t="shared" si="153"/>
        <v>-1.100000000000001E-2</v>
      </c>
      <c r="X256" s="3">
        <f t="shared" si="149"/>
        <v>8.0917431192660538E-3</v>
      </c>
      <c r="Y256" s="3">
        <f t="shared" si="150"/>
        <v>2.5933908045977012E-2</v>
      </c>
      <c r="Z256" s="3">
        <f t="shared" ref="Z256:Z258" si="184">Y256-X256</f>
        <v>1.7842164926710959E-2</v>
      </c>
      <c r="AA256" s="3">
        <v>15.271000000000001</v>
      </c>
      <c r="AB256" s="3">
        <v>14.611000000000001</v>
      </c>
      <c r="AC256" s="3">
        <f t="shared" ref="AC256:AC258" si="185">AB256-AA256</f>
        <v>-0.66000000000000014</v>
      </c>
      <c r="AD256" s="3">
        <f>-588.729155*627.50956</f>
        <v>-369433.17301322176</v>
      </c>
      <c r="AE256" s="3">
        <f>-592.378295*627.50956</f>
        <v>-371723.04324900015</v>
      </c>
      <c r="AF256" s="3">
        <f t="shared" ref="AF256:AF258" si="186">AE256-AD256</f>
        <v>-2289.8702357783914</v>
      </c>
      <c r="AG256" s="3">
        <f>-588.77765*627.50956</f>
        <v>-369463.60408933397</v>
      </c>
      <c r="AH256" s="3">
        <f>-592.42814*627.50956</f>
        <v>-371754.32146301836</v>
      </c>
      <c r="AI256" s="3">
        <f t="shared" ref="AI256:AI258" si="187">AH256-AG256</f>
        <v>-2290.7173736843979</v>
      </c>
      <c r="AJ256" s="3">
        <v>-0.88300000000000001</v>
      </c>
      <c r="AK256" s="3">
        <v>-0.78200000000000003</v>
      </c>
      <c r="AL256" s="3">
        <f t="shared" ref="AL256:AL258" si="188">AK256-AJ256</f>
        <v>0.10099999999999998</v>
      </c>
      <c r="AM256" s="3">
        <v>176.1919</v>
      </c>
      <c r="AN256" s="3">
        <v>230.83260000000001</v>
      </c>
      <c r="AO256" s="3">
        <v>253.61619999999999</v>
      </c>
      <c r="AP256" s="3">
        <f t="shared" ref="AP256:AP258" si="189">(AN256/(4*3.14*POWER(((3*AO256)/(4*3.14)),2/3)))</f>
        <v>1.1915211791542801</v>
      </c>
      <c r="AQ256" s="3">
        <v>11.132</v>
      </c>
      <c r="AR256" s="3">
        <v>2.88766356</v>
      </c>
      <c r="AS256" s="3">
        <v>-553.27200000000005</v>
      </c>
      <c r="AT256" s="3">
        <v>-551.61699999999996</v>
      </c>
      <c r="AU256" s="3">
        <f t="shared" si="164"/>
        <v>-1.6550000000000864</v>
      </c>
      <c r="AV256" s="3">
        <v>-0.23699999999999999</v>
      </c>
      <c r="AW256" s="3">
        <v>-0.36899999999999999</v>
      </c>
      <c r="AX256" s="3">
        <f t="shared" si="165"/>
        <v>0.13200000000000001</v>
      </c>
      <c r="AY256" s="3">
        <v>2.8000000000000001E-2</v>
      </c>
      <c r="AZ256" s="3">
        <v>0.154</v>
      </c>
      <c r="BA256" s="3">
        <f t="shared" si="166"/>
        <v>-0.126</v>
      </c>
      <c r="BB256" s="3">
        <f t="shared" si="167"/>
        <v>0.1045</v>
      </c>
      <c r="BC256" s="3">
        <f t="shared" si="167"/>
        <v>0.1075</v>
      </c>
      <c r="BD256" s="3">
        <f t="shared" si="168"/>
        <v>-3.0000000000000027E-3</v>
      </c>
      <c r="BE256" s="3">
        <f t="shared" si="169"/>
        <v>0.26500000000000001</v>
      </c>
      <c r="BF256" s="3">
        <f t="shared" si="169"/>
        <v>0.52300000000000002</v>
      </c>
      <c r="BG256" s="3">
        <f t="shared" si="170"/>
        <v>-0.25800000000000001</v>
      </c>
      <c r="BH256" s="3">
        <f t="shared" si="171"/>
        <v>-0.1045</v>
      </c>
      <c r="BI256" s="3">
        <f t="shared" si="171"/>
        <v>-0.1075</v>
      </c>
      <c r="BJ256" s="3">
        <f t="shared" si="154"/>
        <v>3.0000000000000027E-3</v>
      </c>
      <c r="BK256" s="3">
        <f t="shared" si="151"/>
        <v>2.0604245283018865E-2</v>
      </c>
      <c r="BL256" s="3">
        <f t="shared" si="152"/>
        <v>1.104804015296367E-2</v>
      </c>
      <c r="BM256" s="3">
        <f t="shared" si="172"/>
        <v>9.5562051300551957E-3</v>
      </c>
      <c r="BN256" s="3">
        <v>5.4870000000000001</v>
      </c>
      <c r="BO256" s="3">
        <v>6.0839999999999996</v>
      </c>
      <c r="BP256" s="3">
        <f t="shared" si="173"/>
        <v>-0.59699999999999953</v>
      </c>
      <c r="BQ256" s="3">
        <v>-347129.96399999998</v>
      </c>
      <c r="BR256" s="3">
        <v>-346087.64600000001</v>
      </c>
      <c r="BS256" s="3">
        <f t="shared" si="174"/>
        <v>-1042.3179999999702</v>
      </c>
      <c r="BT256" s="3">
        <v>-347152.04599999997</v>
      </c>
      <c r="BU256" s="3">
        <v>-346109.22600000002</v>
      </c>
      <c r="BV256" s="3">
        <f t="shared" si="175"/>
        <v>-1042.8199999999488</v>
      </c>
    </row>
    <row r="257" spans="1:74" x14ac:dyDescent="0.25">
      <c r="A257" t="s">
        <v>439</v>
      </c>
      <c r="B257" t="s">
        <v>514</v>
      </c>
      <c r="C257" t="s">
        <v>99</v>
      </c>
      <c r="D257" s="3">
        <v>23.05</v>
      </c>
      <c r="E257" s="3">
        <v>0.45</v>
      </c>
      <c r="F257" s="3">
        <v>-173.31800000000001</v>
      </c>
      <c r="G257" s="3">
        <v>-174.52600000000001</v>
      </c>
      <c r="H257" s="3">
        <f t="shared" si="176"/>
        <v>-1.2079999999999984</v>
      </c>
      <c r="I257" s="3">
        <v>-0.35399999999999998</v>
      </c>
      <c r="J257" s="6">
        <v>-0.218</v>
      </c>
      <c r="K257" s="3">
        <f t="shared" si="177"/>
        <v>0.13599999999999998</v>
      </c>
      <c r="L257" s="3">
        <v>0.155</v>
      </c>
      <c r="M257" s="6">
        <v>4.1000000000000002E-2</v>
      </c>
      <c r="N257" s="3">
        <f t="shared" si="178"/>
        <v>-0.11399999999999999</v>
      </c>
      <c r="O257" s="3">
        <f t="shared" si="179"/>
        <v>9.9499999999999991E-2</v>
      </c>
      <c r="P257" s="3">
        <f t="shared" si="179"/>
        <v>8.8499999999999995E-2</v>
      </c>
      <c r="Q257" s="3">
        <f t="shared" si="180"/>
        <v>-1.0999999999999996E-2</v>
      </c>
      <c r="R257" s="3">
        <f t="shared" si="181"/>
        <v>0.50900000000000001</v>
      </c>
      <c r="S257" s="3">
        <f t="shared" si="181"/>
        <v>0.25900000000000001</v>
      </c>
      <c r="T257" s="3">
        <f t="shared" si="182"/>
        <v>-0.25</v>
      </c>
      <c r="U257" s="3">
        <f t="shared" si="183"/>
        <v>-9.9499999999999991E-2</v>
      </c>
      <c r="V257" s="3">
        <f t="shared" si="183"/>
        <v>-8.8499999999999995E-2</v>
      </c>
      <c r="W257" s="3">
        <f t="shared" si="153"/>
        <v>1.0999999999999996E-2</v>
      </c>
      <c r="X257" s="3">
        <f t="shared" si="149"/>
        <v>9.7251964636542211E-3</v>
      </c>
      <c r="Y257" s="3">
        <f t="shared" si="150"/>
        <v>1.5120173745173743E-2</v>
      </c>
      <c r="Z257" s="3">
        <f t="shared" si="184"/>
        <v>5.3949772815195217E-3</v>
      </c>
      <c r="AA257" s="3">
        <v>0.91800000000000004</v>
      </c>
      <c r="AB257" s="3">
        <v>0.71799999999999997</v>
      </c>
      <c r="AC257" s="3">
        <f t="shared" si="185"/>
        <v>-0.20000000000000007</v>
      </c>
      <c r="AD257" s="3">
        <f>-173.184205*627.50956</f>
        <v>-108674.74427849978</v>
      </c>
      <c r="AE257" s="3">
        <f>-174.4006*627.50956</f>
        <v>-109438.04376973599</v>
      </c>
      <c r="AF257" s="3">
        <f t="shared" si="186"/>
        <v>-763.29949123620463</v>
      </c>
      <c r="AG257" s="3">
        <f>-173.216597*627.50956</f>
        <v>-108695.07056816731</v>
      </c>
      <c r="AH257" s="3">
        <f>-174.433274*627.50956</f>
        <v>-109458.54701709944</v>
      </c>
      <c r="AI257" s="3">
        <f t="shared" si="187"/>
        <v>-763.47644893212419</v>
      </c>
      <c r="AJ257" s="3">
        <v>-0.55900000000000005</v>
      </c>
      <c r="AK257" s="3">
        <v>-0.50600000000000001</v>
      </c>
      <c r="AL257" s="3">
        <f t="shared" si="188"/>
        <v>5.3000000000000047E-2</v>
      </c>
      <c r="AM257" s="3">
        <v>59.110259999999997</v>
      </c>
      <c r="AN257" s="3">
        <v>132.33711</v>
      </c>
      <c r="AO257" s="3">
        <v>129.47561999999999</v>
      </c>
      <c r="AP257" s="3">
        <f t="shared" si="189"/>
        <v>1.0694133395131702</v>
      </c>
      <c r="AQ257" s="3">
        <v>6.58</v>
      </c>
      <c r="AR257" s="3">
        <v>1.3628742</v>
      </c>
      <c r="AS257" s="3">
        <v>-132.80099999999999</v>
      </c>
      <c r="AT257" s="3">
        <v>-131.97</v>
      </c>
      <c r="AU257" s="3">
        <f t="shared" si="164"/>
        <v>-0.83099999999998886</v>
      </c>
      <c r="AV257" s="3">
        <v>-0.34100000000000003</v>
      </c>
      <c r="AW257" s="3">
        <v>-0.47499999999999998</v>
      </c>
      <c r="AX257" s="3">
        <f t="shared" si="165"/>
        <v>0.13399999999999995</v>
      </c>
      <c r="AY257" s="3">
        <v>2.9000000000000001E-2</v>
      </c>
      <c r="AZ257" s="3">
        <v>0.156</v>
      </c>
      <c r="BA257" s="3">
        <f t="shared" si="166"/>
        <v>-0.127</v>
      </c>
      <c r="BB257" s="3">
        <f t="shared" si="167"/>
        <v>0.156</v>
      </c>
      <c r="BC257" s="3">
        <f t="shared" si="167"/>
        <v>0.15949999999999998</v>
      </c>
      <c r="BD257" s="3">
        <f t="shared" si="168"/>
        <v>-3.4999999999999754E-3</v>
      </c>
      <c r="BE257" s="3">
        <f t="shared" si="169"/>
        <v>0.37000000000000005</v>
      </c>
      <c r="BF257" s="3">
        <f t="shared" si="169"/>
        <v>0.63100000000000001</v>
      </c>
      <c r="BG257" s="3">
        <f t="shared" si="170"/>
        <v>-0.26099999999999995</v>
      </c>
      <c r="BH257" s="3">
        <f t="shared" si="171"/>
        <v>-0.156</v>
      </c>
      <c r="BI257" s="3">
        <f t="shared" si="171"/>
        <v>-0.15949999999999998</v>
      </c>
      <c r="BJ257" s="3">
        <f t="shared" si="154"/>
        <v>3.4999999999999754E-3</v>
      </c>
      <c r="BK257" s="3">
        <f t="shared" si="151"/>
        <v>3.2886486486486483E-2</v>
      </c>
      <c r="BL257" s="3">
        <f t="shared" si="152"/>
        <v>2.0158676703645E-2</v>
      </c>
      <c r="BM257" s="3">
        <f t="shared" si="172"/>
        <v>1.2727809782841482E-2</v>
      </c>
      <c r="BN257" s="3">
        <v>4.7279999999999998</v>
      </c>
      <c r="BO257" s="3">
        <v>4.9340000000000002</v>
      </c>
      <c r="BP257" s="3">
        <f t="shared" si="173"/>
        <v>-0.20600000000000041</v>
      </c>
      <c r="BQ257" s="3">
        <v>-83302.89</v>
      </c>
      <c r="BR257" s="3">
        <v>-82779.224000000002</v>
      </c>
      <c r="BS257" s="3">
        <f t="shared" si="174"/>
        <v>-523.66599999999744</v>
      </c>
      <c r="BT257" s="3">
        <v>-83320.774999999994</v>
      </c>
      <c r="BU257" s="3">
        <v>-82796.997000000003</v>
      </c>
      <c r="BV257" s="3">
        <f t="shared" si="175"/>
        <v>-523.77799999999115</v>
      </c>
    </row>
    <row r="258" spans="1:74" x14ac:dyDescent="0.25">
      <c r="A258" t="s">
        <v>729</v>
      </c>
      <c r="B258" t="s">
        <v>514</v>
      </c>
      <c r="C258" t="s">
        <v>199</v>
      </c>
      <c r="D258" s="3">
        <v>23.43</v>
      </c>
      <c r="E258" s="3">
        <v>0.42</v>
      </c>
      <c r="F258" s="3">
        <v>-718.54499999999996</v>
      </c>
      <c r="G258" s="3">
        <v>-721.11500000000001</v>
      </c>
      <c r="H258" s="3">
        <f t="shared" si="176"/>
        <v>-2.57000000000005</v>
      </c>
      <c r="I258" s="3">
        <v>-0.28100000000000003</v>
      </c>
      <c r="J258" s="6">
        <v>-0.17499999999999999</v>
      </c>
      <c r="K258" s="3">
        <f t="shared" si="177"/>
        <v>0.10600000000000004</v>
      </c>
      <c r="L258" s="3">
        <v>0.186</v>
      </c>
      <c r="M258" s="6">
        <v>5.6000000000000001E-2</v>
      </c>
      <c r="N258" s="3">
        <f t="shared" si="178"/>
        <v>-0.13</v>
      </c>
      <c r="O258" s="3">
        <f t="shared" si="179"/>
        <v>4.7500000000000014E-2</v>
      </c>
      <c r="P258" s="3">
        <f t="shared" si="179"/>
        <v>5.9499999999999997E-2</v>
      </c>
      <c r="Q258" s="3">
        <f t="shared" si="180"/>
        <v>1.1999999999999983E-2</v>
      </c>
      <c r="R258" s="3">
        <f t="shared" si="181"/>
        <v>0.46700000000000003</v>
      </c>
      <c r="S258" s="3">
        <f t="shared" si="181"/>
        <v>0.23099999999999998</v>
      </c>
      <c r="T258" s="3">
        <f t="shared" si="182"/>
        <v>-0.23600000000000004</v>
      </c>
      <c r="U258" s="3">
        <f t="shared" si="183"/>
        <v>-4.7500000000000014E-2</v>
      </c>
      <c r="V258" s="3">
        <f t="shared" si="183"/>
        <v>-5.9499999999999997E-2</v>
      </c>
      <c r="W258" s="3">
        <f t="shared" si="153"/>
        <v>-1.1999999999999983E-2</v>
      </c>
      <c r="X258" s="3">
        <f t="shared" ref="X258:X321" si="190">(U258*U258)/(2*R258)</f>
        <v>2.4156852248394018E-3</v>
      </c>
      <c r="Y258" s="3">
        <f t="shared" ref="Y258:Y321" si="191">(V258*V258)/(2*S258)</f>
        <v>7.6628787878787871E-3</v>
      </c>
      <c r="Z258" s="3">
        <f t="shared" si="184"/>
        <v>5.2471935630393849E-3</v>
      </c>
      <c r="AA258" s="3">
        <v>3.056</v>
      </c>
      <c r="AB258" s="3">
        <v>3.0920000000000001</v>
      </c>
      <c r="AC258" s="3">
        <f t="shared" si="185"/>
        <v>3.6000000000000032E-2</v>
      </c>
      <c r="AD258" s="3">
        <f>-718.444149*627.50956</f>
        <v>-450830.57182356442</v>
      </c>
      <c r="AE258" s="3">
        <f>-721.021081*627.50956</f>
        <v>-452447.62128903432</v>
      </c>
      <c r="AF258" s="3">
        <f t="shared" si="186"/>
        <v>-1617.0494654698996</v>
      </c>
      <c r="AG258" s="3">
        <f>-718.484896*627.50956</f>
        <v>-450856.14095560578</v>
      </c>
      <c r="AH258" s="3">
        <f>-721.062264*627.50956</f>
        <v>-452473.46401524381</v>
      </c>
      <c r="AI258" s="3">
        <f t="shared" si="187"/>
        <v>-1617.3230596380308</v>
      </c>
      <c r="AJ258" s="3">
        <v>-0.88400000000000001</v>
      </c>
      <c r="AK258" s="3">
        <v>-0.89</v>
      </c>
      <c r="AL258" s="3">
        <f t="shared" si="188"/>
        <v>-6.0000000000000053E-3</v>
      </c>
      <c r="AM258" s="3">
        <v>119.14230000000001</v>
      </c>
      <c r="AN258" s="3">
        <v>152.1438</v>
      </c>
      <c r="AO258" s="3">
        <v>153.58950999999999</v>
      </c>
      <c r="AP258" s="3">
        <f t="shared" si="189"/>
        <v>1.0971579970310315</v>
      </c>
      <c r="AQ258" s="3">
        <v>8.2810000000000006</v>
      </c>
      <c r="AR258" s="3">
        <v>2.0897234</v>
      </c>
      <c r="AS258" s="3">
        <v>-76.454999999999998</v>
      </c>
      <c r="AT258" s="3">
        <v>-76.055000000000007</v>
      </c>
      <c r="AU258" s="3">
        <f t="shared" si="164"/>
        <v>-0.39999999999999147</v>
      </c>
      <c r="AV258" s="3">
        <v>-0.30399999999999999</v>
      </c>
      <c r="AW258" s="3">
        <v>-0.505</v>
      </c>
      <c r="AX258" s="3">
        <f t="shared" si="165"/>
        <v>0.20100000000000001</v>
      </c>
      <c r="AY258" s="3">
        <v>0.04</v>
      </c>
      <c r="AZ258" s="3">
        <v>0.16400000000000001</v>
      </c>
      <c r="BA258" s="3">
        <f t="shared" si="166"/>
        <v>-0.124</v>
      </c>
      <c r="BB258" s="3">
        <f t="shared" si="167"/>
        <v>0.13200000000000001</v>
      </c>
      <c r="BC258" s="3">
        <f t="shared" si="167"/>
        <v>0.17049999999999998</v>
      </c>
      <c r="BD258" s="3">
        <f t="shared" si="168"/>
        <v>-3.8499999999999979E-2</v>
      </c>
      <c r="BE258" s="3">
        <f t="shared" si="169"/>
        <v>0.34399999999999997</v>
      </c>
      <c r="BF258" s="3">
        <f t="shared" si="169"/>
        <v>0.66900000000000004</v>
      </c>
      <c r="BG258" s="3">
        <f t="shared" si="170"/>
        <v>-0.32500000000000007</v>
      </c>
      <c r="BH258" s="3">
        <f t="shared" si="171"/>
        <v>-0.13200000000000001</v>
      </c>
      <c r="BI258" s="3">
        <f t="shared" si="171"/>
        <v>-0.17049999999999998</v>
      </c>
      <c r="BJ258" s="3">
        <f t="shared" si="154"/>
        <v>3.8499999999999979E-2</v>
      </c>
      <c r="BK258" s="3">
        <f t="shared" ref="BK258:BK321" si="192">(BH258*BH258)/(2*BE258)</f>
        <v>2.5325581395348844E-2</v>
      </c>
      <c r="BL258" s="3">
        <f t="shared" ref="BL258:BL321" si="193">(BI258*BI258)/(2*BF258)</f>
        <v>2.1726644245141997E-2</v>
      </c>
      <c r="BM258" s="3">
        <f t="shared" si="172"/>
        <v>3.5989371502068469E-3</v>
      </c>
      <c r="BN258" s="3">
        <v>2.3010000000000002</v>
      </c>
      <c r="BO258" s="3">
        <v>2.3559999999999999</v>
      </c>
      <c r="BP258" s="3">
        <f t="shared" si="173"/>
        <v>-5.4999999999999716E-2</v>
      </c>
      <c r="BQ258" s="3">
        <v>-47960.305999999997</v>
      </c>
      <c r="BR258" s="3">
        <v>-47708.290999999997</v>
      </c>
      <c r="BS258" s="3">
        <f t="shared" si="174"/>
        <v>-252.01499999999942</v>
      </c>
      <c r="BT258" s="3">
        <v>-47973.754999999997</v>
      </c>
      <c r="BU258" s="3">
        <v>-47721.697</v>
      </c>
      <c r="BV258" s="3">
        <f t="shared" si="175"/>
        <v>-252.05799999999726</v>
      </c>
    </row>
    <row r="259" spans="1:74" x14ac:dyDescent="0.25">
      <c r="A259" s="4" t="s">
        <v>219</v>
      </c>
      <c r="B259" t="s">
        <v>513</v>
      </c>
      <c r="C259" t="s">
        <v>219</v>
      </c>
      <c r="D259" s="3">
        <v>1.1100000000000001</v>
      </c>
      <c r="E259" s="3">
        <v>0.96</v>
      </c>
      <c r="F259" s="3">
        <v>-450.79899999999998</v>
      </c>
      <c r="G259" s="3">
        <v>-452.90499999999997</v>
      </c>
      <c r="H259" s="3">
        <f>G259-F259</f>
        <v>-2.1059999999999945</v>
      </c>
      <c r="I259" s="3">
        <v>-0.47599999999999998</v>
      </c>
      <c r="J259" s="6">
        <v>-0.29899999999999999</v>
      </c>
      <c r="K259" s="3">
        <f>J259-I259</f>
        <v>0.17699999999999999</v>
      </c>
      <c r="L259" s="3">
        <v>0.159</v>
      </c>
      <c r="M259" s="6">
        <v>3.4000000000000002E-2</v>
      </c>
      <c r="N259" s="3">
        <f>M259-L259</f>
        <v>-0.125</v>
      </c>
      <c r="O259" s="3">
        <f>-(I259+L259)/2</f>
        <v>0.15849999999999997</v>
      </c>
      <c r="P259" s="3">
        <f>-(J259+M259)/2</f>
        <v>0.13250000000000001</v>
      </c>
      <c r="Q259" s="3">
        <f>P259-O259</f>
        <v>-2.5999999999999968E-2</v>
      </c>
      <c r="R259" s="3">
        <f>(L259-I259)</f>
        <v>0.63500000000000001</v>
      </c>
      <c r="S259" s="3">
        <f>(M259-J259)</f>
        <v>0.33299999999999996</v>
      </c>
      <c r="T259" s="3">
        <f>S259-R259</f>
        <v>-0.30200000000000005</v>
      </c>
      <c r="U259" s="3">
        <f>(I259+L259)/2</f>
        <v>-0.15849999999999997</v>
      </c>
      <c r="V259" s="3">
        <f>(J259+M259)/2</f>
        <v>-0.13250000000000001</v>
      </c>
      <c r="W259" s="3">
        <f t="shared" ref="W259:W322" si="194">(V259-U259)</f>
        <v>2.5999999999999968E-2</v>
      </c>
      <c r="X259" s="3">
        <f t="shared" si="190"/>
        <v>1.9781299212598417E-2</v>
      </c>
      <c r="Y259" s="3">
        <f t="shared" si="191"/>
        <v>2.6360735735735743E-2</v>
      </c>
      <c r="Z259" s="3">
        <f>Y259-X259</f>
        <v>6.5794365231373261E-3</v>
      </c>
      <c r="AA259" s="3">
        <v>4.2670000000000003</v>
      </c>
      <c r="AB259" s="3">
        <v>4.0119999999999996</v>
      </c>
      <c r="AC259" s="3">
        <f>AB259-AA259</f>
        <v>-0.25500000000000078</v>
      </c>
      <c r="AD259" s="3">
        <f>-450.730546*627.50956</f>
        <v>-282837.72659901972</v>
      </c>
      <c r="AE259" s="3">
        <f>-452.841286*627.50956</f>
        <v>-284162.23612769414</v>
      </c>
      <c r="AF259" s="3">
        <f>AE259-AD259</f>
        <v>-1324.5095286744181</v>
      </c>
      <c r="AG259" s="3">
        <f>-450.76695*627.50956</f>
        <v>-282860.57045704196</v>
      </c>
      <c r="AH259" s="3">
        <f>-452.8786*627.50956</f>
        <v>-284185.65101941599</v>
      </c>
      <c r="AI259" s="3">
        <f>AH259-AG259</f>
        <v>-1325.0805623740307</v>
      </c>
      <c r="AJ259" s="3">
        <v>-0.76800000000000002</v>
      </c>
      <c r="AK259" s="3">
        <v>-0.73499999999999999</v>
      </c>
      <c r="AL259" s="3">
        <f>AK259-AJ259</f>
        <v>3.3000000000000029E-2</v>
      </c>
      <c r="AM259" s="3">
        <v>100.04</v>
      </c>
      <c r="AN259" s="3">
        <v>114.71899999999999</v>
      </c>
      <c r="AO259" s="3">
        <v>102.255</v>
      </c>
      <c r="AP259" s="3">
        <f>(AN259/(4*3.14*POWER(((3*AO259)/(4*3.14)),2/3)))</f>
        <v>1.0850129815576566</v>
      </c>
      <c r="AQ259" s="3">
        <v>6.9370000000000003</v>
      </c>
      <c r="AR259" s="3">
        <v>1.51</v>
      </c>
      <c r="AS259" s="3">
        <v>-452.90499999999997</v>
      </c>
      <c r="AT259" s="3">
        <v>-450.79899999999998</v>
      </c>
      <c r="AU259" s="3">
        <f t="shared" si="164"/>
        <v>-2.1059999999999945</v>
      </c>
      <c r="AV259" s="3">
        <v>-0.29899999999999999</v>
      </c>
      <c r="AW259" s="3">
        <v>-0.47599999999999998</v>
      </c>
      <c r="AX259" s="3">
        <f t="shared" si="165"/>
        <v>0.17699999999999999</v>
      </c>
      <c r="AY259" s="3">
        <v>3.4000000000000002E-2</v>
      </c>
      <c r="AZ259" s="3">
        <v>0.159</v>
      </c>
      <c r="BA259" s="3">
        <f t="shared" si="166"/>
        <v>-0.125</v>
      </c>
      <c r="BB259" s="3">
        <f t="shared" si="167"/>
        <v>0.13250000000000001</v>
      </c>
      <c r="BC259" s="3">
        <f t="shared" si="167"/>
        <v>0.15849999999999997</v>
      </c>
      <c r="BD259" s="3">
        <f t="shared" si="168"/>
        <v>-2.5999999999999968E-2</v>
      </c>
      <c r="BE259" s="3">
        <f t="shared" si="169"/>
        <v>0.33299999999999996</v>
      </c>
      <c r="BF259" s="3">
        <f t="shared" si="169"/>
        <v>0.63500000000000001</v>
      </c>
      <c r="BG259" s="3">
        <f t="shared" si="170"/>
        <v>-0.30200000000000005</v>
      </c>
      <c r="BH259" s="3">
        <f t="shared" si="171"/>
        <v>-0.13250000000000001</v>
      </c>
      <c r="BI259" s="3">
        <f t="shared" si="171"/>
        <v>-0.15849999999999997</v>
      </c>
      <c r="BJ259" s="3">
        <f t="shared" ref="BJ259:BJ322" si="195">(BH259-BI259)</f>
        <v>2.5999999999999968E-2</v>
      </c>
      <c r="BK259" s="3">
        <f t="shared" si="192"/>
        <v>2.6360735735735743E-2</v>
      </c>
      <c r="BL259" s="3">
        <f t="shared" si="193"/>
        <v>1.9781299212598417E-2</v>
      </c>
      <c r="BM259" s="3">
        <f t="shared" si="172"/>
        <v>6.5794365231373261E-3</v>
      </c>
      <c r="BN259" s="3">
        <v>4.01</v>
      </c>
      <c r="BO259" s="3">
        <v>4.2649999999999997</v>
      </c>
      <c r="BP259" s="3">
        <f t="shared" si="173"/>
        <v>-0.25499999999999989</v>
      </c>
      <c r="BQ259" s="3">
        <v>-284162.24300000002</v>
      </c>
      <c r="BR259" s="3">
        <v>-282837.73200000002</v>
      </c>
      <c r="BS259" s="3">
        <f t="shared" si="174"/>
        <v>-1324.5109999999986</v>
      </c>
      <c r="BT259" s="3">
        <v>-284185.81699999998</v>
      </c>
      <c r="BU259" s="3">
        <v>-282860.65700000001</v>
      </c>
      <c r="BV259" s="3">
        <f t="shared" si="175"/>
        <v>-1325.1599999999744</v>
      </c>
    </row>
    <row r="260" spans="1:74" x14ac:dyDescent="0.25">
      <c r="A260" s="4" t="s">
        <v>199</v>
      </c>
      <c r="B260" t="s">
        <v>513</v>
      </c>
      <c r="C260" t="s">
        <v>199</v>
      </c>
      <c r="D260" s="3">
        <v>5.2</v>
      </c>
      <c r="E260" s="3">
        <v>0.89</v>
      </c>
      <c r="F260" s="3">
        <v>-76.055000000000007</v>
      </c>
      <c r="G260" s="3">
        <v>-76.454999999999998</v>
      </c>
      <c r="H260" s="3">
        <f t="shared" ref="H260:H322" si="196">G260-F260</f>
        <v>-0.39999999999999147</v>
      </c>
      <c r="I260" s="3">
        <v>-0.505</v>
      </c>
      <c r="J260" s="6">
        <v>-0.30399999999999999</v>
      </c>
      <c r="K260" s="3">
        <f t="shared" ref="K260:K322" si="197">J260-I260</f>
        <v>0.20100000000000001</v>
      </c>
      <c r="L260" s="3">
        <v>0.16400000000000001</v>
      </c>
      <c r="M260" s="6">
        <v>0.04</v>
      </c>
      <c r="N260" s="3">
        <f t="shared" ref="N260:N322" si="198">M260-L260</f>
        <v>-0.124</v>
      </c>
      <c r="O260" s="3">
        <f t="shared" ref="O260:O323" si="199">-(I260+L260)/2</f>
        <v>0.17049999999999998</v>
      </c>
      <c r="P260" s="3">
        <f t="shared" ref="P260:P322" si="200">-(J260+M260)/2</f>
        <v>0.13200000000000001</v>
      </c>
      <c r="Q260" s="3">
        <f t="shared" ref="Q260:Q322" si="201">P260-O260</f>
        <v>-3.8499999999999979E-2</v>
      </c>
      <c r="R260" s="3">
        <f t="shared" ref="R260:S322" si="202">(L260-I260)</f>
        <v>0.66900000000000004</v>
      </c>
      <c r="S260" s="3">
        <f t="shared" si="202"/>
        <v>0.34399999999999997</v>
      </c>
      <c r="T260" s="3">
        <f t="shared" ref="T260:T322" si="203">S260-R260</f>
        <v>-0.32500000000000007</v>
      </c>
      <c r="U260" s="3">
        <f t="shared" ref="U260:V322" si="204">(I260+L260)/2</f>
        <v>-0.17049999999999998</v>
      </c>
      <c r="V260" s="3">
        <f t="shared" si="204"/>
        <v>-0.13200000000000001</v>
      </c>
      <c r="W260" s="3">
        <f t="shared" si="194"/>
        <v>3.8499999999999979E-2</v>
      </c>
      <c r="X260" s="3">
        <f t="shared" si="190"/>
        <v>2.1726644245141997E-2</v>
      </c>
      <c r="Y260" s="3">
        <f t="shared" si="191"/>
        <v>2.5325581395348844E-2</v>
      </c>
      <c r="Z260" s="3">
        <f t="shared" ref="Z260:Z322" si="205">Y260-X260</f>
        <v>3.5989371502068469E-3</v>
      </c>
      <c r="AA260" s="3">
        <v>2.3559999999999999</v>
      </c>
      <c r="AB260" s="3">
        <v>2.3010000000000002</v>
      </c>
      <c r="AC260" s="3">
        <f t="shared" ref="AC260:AC322" si="206">AB260-AA260</f>
        <v>-5.4999999999999716E-2</v>
      </c>
      <c r="AD260" s="3">
        <f>-76.027991*627.50956</f>
        <v>-47708.291180093955</v>
      </c>
      <c r="AE260" s="3">
        <f>-76.429602*627.50956</f>
        <v>-47960.305921995117</v>
      </c>
      <c r="AF260" s="3">
        <f t="shared" ref="AF260:AF322" si="207">AE260-AD260</f>
        <v>-252.01474190116278</v>
      </c>
      <c r="AG260" s="3">
        <f>-76.049355*627.50956</f>
        <v>-47721.697294333804</v>
      </c>
      <c r="AH260" s="3">
        <f>-76.451034*627.50956</f>
        <v>-47973.75470688504</v>
      </c>
      <c r="AI260" s="3">
        <f t="shared" ref="AI260:AI322" si="208">AH260-AG260</f>
        <v>-252.05741255123576</v>
      </c>
      <c r="AJ260" s="3">
        <v>-0.92700000000000005</v>
      </c>
      <c r="AK260" s="3">
        <v>-0.91600000000000004</v>
      </c>
      <c r="AL260" s="3">
        <f t="shared" ref="AL260:AL322" si="209">AK260-AJ260</f>
        <v>1.100000000000001E-2</v>
      </c>
      <c r="AM260" s="3">
        <v>18.015000000000001</v>
      </c>
      <c r="AN260" s="3">
        <v>52.484000000000002</v>
      </c>
      <c r="AO260" s="3">
        <v>35.049999999999997</v>
      </c>
      <c r="AP260" s="3">
        <f t="shared" ref="AP260:AP322" si="210">(AN260/(4*3.14*POWER(((3*AO260)/(4*3.14)),2/3)))</f>
        <v>1.0135010329810725</v>
      </c>
      <c r="AQ260" s="3">
        <v>3.91</v>
      </c>
      <c r="AR260" s="3">
        <v>0.315</v>
      </c>
      <c r="AS260" s="3">
        <v>-76.454999999999998</v>
      </c>
      <c r="AT260" s="3">
        <v>-76.055000000000007</v>
      </c>
      <c r="AU260" s="3">
        <f t="shared" si="164"/>
        <v>-0.39999999999999147</v>
      </c>
      <c r="AV260" s="3">
        <v>-0.30399999999999999</v>
      </c>
      <c r="AW260" s="3">
        <v>-0.505</v>
      </c>
      <c r="AX260" s="3">
        <f t="shared" si="165"/>
        <v>0.20100000000000001</v>
      </c>
      <c r="AY260" s="3">
        <v>0.04</v>
      </c>
      <c r="AZ260" s="3">
        <v>0.16400000000000001</v>
      </c>
      <c r="BA260" s="3">
        <f t="shared" si="166"/>
        <v>-0.124</v>
      </c>
      <c r="BB260" s="3">
        <f t="shared" si="167"/>
        <v>0.13200000000000001</v>
      </c>
      <c r="BC260" s="3">
        <f t="shared" si="167"/>
        <v>0.17049999999999998</v>
      </c>
      <c r="BD260" s="3">
        <f t="shared" si="168"/>
        <v>-3.8499999999999979E-2</v>
      </c>
      <c r="BE260" s="3">
        <f t="shared" si="169"/>
        <v>0.34399999999999997</v>
      </c>
      <c r="BF260" s="3">
        <f t="shared" si="169"/>
        <v>0.66900000000000004</v>
      </c>
      <c r="BG260" s="3">
        <f t="shared" si="170"/>
        <v>-0.32500000000000007</v>
      </c>
      <c r="BH260" s="3">
        <f t="shared" si="171"/>
        <v>-0.13200000000000001</v>
      </c>
      <c r="BI260" s="3">
        <f t="shared" si="171"/>
        <v>-0.17049999999999998</v>
      </c>
      <c r="BJ260" s="3">
        <f t="shared" si="195"/>
        <v>3.8499999999999979E-2</v>
      </c>
      <c r="BK260" s="3">
        <f t="shared" si="192"/>
        <v>2.5325581395348844E-2</v>
      </c>
      <c r="BL260" s="3">
        <f t="shared" si="193"/>
        <v>2.1726644245141997E-2</v>
      </c>
      <c r="BM260" s="3">
        <f t="shared" si="172"/>
        <v>3.5989371502068469E-3</v>
      </c>
      <c r="BN260" s="3">
        <v>2.3010000000000002</v>
      </c>
      <c r="BO260" s="3">
        <v>2.3559999999999999</v>
      </c>
      <c r="BP260" s="3">
        <f t="shared" si="173"/>
        <v>-5.4999999999999716E-2</v>
      </c>
      <c r="BQ260" s="3">
        <v>-47960.305999999997</v>
      </c>
      <c r="BR260" s="3">
        <v>-47708.290999999997</v>
      </c>
      <c r="BS260" s="3">
        <f t="shared" si="174"/>
        <v>-252.01499999999942</v>
      </c>
      <c r="BT260" s="3">
        <v>-47973.754999999997</v>
      </c>
      <c r="BU260" s="3">
        <v>-47721.697</v>
      </c>
      <c r="BV260" s="3">
        <f t="shared" si="175"/>
        <v>-252.05799999999726</v>
      </c>
    </row>
    <row r="261" spans="1:74" x14ac:dyDescent="0.25">
      <c r="A261" s="4" t="s">
        <v>220</v>
      </c>
      <c r="B261" t="s">
        <v>513</v>
      </c>
      <c r="C261" t="s">
        <v>220</v>
      </c>
      <c r="D261" s="3">
        <v>7.44</v>
      </c>
      <c r="E261" s="3">
        <v>0.9</v>
      </c>
      <c r="F261" s="3">
        <v>-154.131</v>
      </c>
      <c r="G261" s="3">
        <v>-155.09299999999999</v>
      </c>
      <c r="H261" s="3">
        <f t="shared" si="196"/>
        <v>-0.96199999999998909</v>
      </c>
      <c r="I261" s="3">
        <v>-0.44</v>
      </c>
      <c r="J261" s="6">
        <v>-0.27300000000000002</v>
      </c>
      <c r="K261" s="3">
        <f t="shared" si="197"/>
        <v>0.16699999999999998</v>
      </c>
      <c r="L261" s="3">
        <v>0.16</v>
      </c>
      <c r="M261" s="6">
        <v>4.2999999999999997E-2</v>
      </c>
      <c r="N261" s="3">
        <f t="shared" si="198"/>
        <v>-0.11700000000000001</v>
      </c>
      <c r="O261" s="3">
        <f t="shared" si="199"/>
        <v>0.14000000000000001</v>
      </c>
      <c r="P261" s="3">
        <f t="shared" si="200"/>
        <v>0.11500000000000002</v>
      </c>
      <c r="Q261" s="3">
        <f t="shared" si="201"/>
        <v>-2.4999999999999994E-2</v>
      </c>
      <c r="R261" s="3">
        <f t="shared" si="202"/>
        <v>0.6</v>
      </c>
      <c r="S261" s="3">
        <f t="shared" si="202"/>
        <v>0.316</v>
      </c>
      <c r="T261" s="3">
        <f t="shared" si="203"/>
        <v>-0.28399999999999997</v>
      </c>
      <c r="U261" s="3">
        <f t="shared" si="204"/>
        <v>-0.14000000000000001</v>
      </c>
      <c r="V261" s="3">
        <f t="shared" si="204"/>
        <v>-0.11500000000000002</v>
      </c>
      <c r="W261" s="3">
        <f t="shared" si="194"/>
        <v>2.4999999999999994E-2</v>
      </c>
      <c r="X261" s="3">
        <f t="shared" si="190"/>
        <v>1.6333333333333335E-2</v>
      </c>
      <c r="Y261" s="3">
        <f t="shared" si="191"/>
        <v>2.0925632911392412E-2</v>
      </c>
      <c r="Z261" s="3">
        <f t="shared" si="205"/>
        <v>4.5922995780590774E-3</v>
      </c>
      <c r="AA261" s="3">
        <v>2.08</v>
      </c>
      <c r="AB261" s="3">
        <v>1.964</v>
      </c>
      <c r="AC261" s="3">
        <f t="shared" si="206"/>
        <v>-0.1160000000000001</v>
      </c>
      <c r="AD261" s="3">
        <f>-154.040708*627.50956</f>
        <v>-96662.016899168477</v>
      </c>
      <c r="AE261" s="3">
        <f>-155.00788*627.50956</f>
        <v>-97268.926575332793</v>
      </c>
      <c r="AF261" s="3">
        <f t="shared" si="207"/>
        <v>-606.9096761643159</v>
      </c>
      <c r="AG261" s="3">
        <f>-154.071074*627.50956</f>
        <v>-96681.071854467446</v>
      </c>
      <c r="AH261" s="3">
        <f>-155.038507*627.50956</f>
        <v>-97288.145310626918</v>
      </c>
      <c r="AI261" s="3">
        <f t="shared" si="208"/>
        <v>-607.0734561594727</v>
      </c>
      <c r="AJ261" s="3">
        <v>-0.79200000000000004</v>
      </c>
      <c r="AK261" s="3">
        <v>-0.75800000000000001</v>
      </c>
      <c r="AL261" s="3">
        <f t="shared" si="209"/>
        <v>3.400000000000003E-2</v>
      </c>
      <c r="AM261" s="3">
        <v>46.067999999999998</v>
      </c>
      <c r="AN261" s="3">
        <v>106.50700000000001</v>
      </c>
      <c r="AO261" s="3">
        <v>94.262</v>
      </c>
      <c r="AP261" s="3">
        <f t="shared" si="210"/>
        <v>1.0635134882290045</v>
      </c>
      <c r="AQ261" s="3">
        <v>6.4749999999999996</v>
      </c>
      <c r="AR261" s="3">
        <v>1.1930000000000001</v>
      </c>
      <c r="AS261" s="3">
        <v>-155.09299999999999</v>
      </c>
      <c r="AT261" s="3">
        <v>-154.131</v>
      </c>
      <c r="AU261" s="3">
        <f t="shared" si="164"/>
        <v>-0.96199999999998909</v>
      </c>
      <c r="AV261" s="3">
        <v>-0.27300000000000002</v>
      </c>
      <c r="AW261" s="3">
        <v>-0.44</v>
      </c>
      <c r="AX261" s="3">
        <f t="shared" si="165"/>
        <v>0.16699999999999998</v>
      </c>
      <c r="AY261" s="3">
        <v>4.2999999999999997E-2</v>
      </c>
      <c r="AZ261" s="3">
        <v>0.16</v>
      </c>
      <c r="BA261" s="3">
        <f t="shared" si="166"/>
        <v>-0.11700000000000001</v>
      </c>
      <c r="BB261" s="3">
        <f t="shared" si="167"/>
        <v>0.11500000000000002</v>
      </c>
      <c r="BC261" s="3">
        <f t="shared" si="167"/>
        <v>0.14000000000000001</v>
      </c>
      <c r="BD261" s="3">
        <f t="shared" si="168"/>
        <v>-2.4999999999999994E-2</v>
      </c>
      <c r="BE261" s="3">
        <f t="shared" si="169"/>
        <v>0.316</v>
      </c>
      <c r="BF261" s="3">
        <f t="shared" si="169"/>
        <v>0.6</v>
      </c>
      <c r="BG261" s="3">
        <f t="shared" si="170"/>
        <v>-0.28399999999999997</v>
      </c>
      <c r="BH261" s="3">
        <f t="shared" si="171"/>
        <v>-0.11500000000000002</v>
      </c>
      <c r="BI261" s="3">
        <f t="shared" si="171"/>
        <v>-0.14000000000000001</v>
      </c>
      <c r="BJ261" s="3">
        <f t="shared" si="195"/>
        <v>2.4999999999999994E-2</v>
      </c>
      <c r="BK261" s="3">
        <f t="shared" si="192"/>
        <v>2.0925632911392412E-2</v>
      </c>
      <c r="BL261" s="3">
        <f t="shared" si="193"/>
        <v>1.6333333333333335E-2</v>
      </c>
      <c r="BM261" s="3">
        <f t="shared" si="172"/>
        <v>4.5922995780590774E-3</v>
      </c>
      <c r="BN261" s="3">
        <v>1.964</v>
      </c>
      <c r="BO261" s="3">
        <v>2.08</v>
      </c>
      <c r="BP261" s="3">
        <f t="shared" si="173"/>
        <v>-0.1160000000000001</v>
      </c>
      <c r="BQ261" s="3">
        <v>-97268.926999999996</v>
      </c>
      <c r="BR261" s="3">
        <v>-96662.017000000007</v>
      </c>
      <c r="BS261" s="3">
        <f t="shared" si="174"/>
        <v>-606.90999999998894</v>
      </c>
      <c r="BT261" s="3">
        <v>-97288.145000000004</v>
      </c>
      <c r="BU261" s="3">
        <v>-96681.072</v>
      </c>
      <c r="BV261" s="3">
        <f t="shared" si="175"/>
        <v>-607.07300000000396</v>
      </c>
    </row>
    <row r="262" spans="1:74" x14ac:dyDescent="0.25">
      <c r="A262" s="4" t="s">
        <v>442</v>
      </c>
      <c r="B262" t="s">
        <v>513</v>
      </c>
      <c r="C262" t="s">
        <v>442</v>
      </c>
      <c r="D262" s="3">
        <v>7.54</v>
      </c>
      <c r="E262" s="3">
        <v>0.92</v>
      </c>
      <c r="F262" s="3">
        <v>-115.081</v>
      </c>
      <c r="G262" s="3">
        <v>-115.76300000000001</v>
      </c>
      <c r="H262" s="3">
        <f t="shared" si="196"/>
        <v>-0.68200000000000216</v>
      </c>
      <c r="I262" s="3">
        <v>-0.44800000000000001</v>
      </c>
      <c r="J262" s="6">
        <v>-0.27500000000000002</v>
      </c>
      <c r="K262" s="3">
        <f t="shared" si="197"/>
        <v>0.17299999999999999</v>
      </c>
      <c r="L262" s="3">
        <v>0.16300000000000001</v>
      </c>
      <c r="M262" s="6">
        <v>4.4999999999999998E-2</v>
      </c>
      <c r="N262" s="3">
        <f t="shared" si="198"/>
        <v>-0.11800000000000001</v>
      </c>
      <c r="O262" s="3">
        <f t="shared" si="199"/>
        <v>0.14250000000000002</v>
      </c>
      <c r="P262" s="3">
        <f t="shared" si="200"/>
        <v>0.11500000000000002</v>
      </c>
      <c r="Q262" s="3">
        <f t="shared" si="201"/>
        <v>-2.7499999999999997E-2</v>
      </c>
      <c r="R262" s="3">
        <f t="shared" si="202"/>
        <v>0.61099999999999999</v>
      </c>
      <c r="S262" s="3">
        <f t="shared" si="202"/>
        <v>0.32</v>
      </c>
      <c r="T262" s="3">
        <f t="shared" si="203"/>
        <v>-0.29099999999999998</v>
      </c>
      <c r="U262" s="3">
        <f t="shared" si="204"/>
        <v>-0.14250000000000002</v>
      </c>
      <c r="V262" s="3">
        <f t="shared" si="204"/>
        <v>-0.11500000000000002</v>
      </c>
      <c r="W262" s="3">
        <f t="shared" si="194"/>
        <v>2.7499999999999997E-2</v>
      </c>
      <c r="X262" s="3">
        <f t="shared" si="190"/>
        <v>1.6617225859247142E-2</v>
      </c>
      <c r="Y262" s="3">
        <f t="shared" si="191"/>
        <v>2.0664062500000007E-2</v>
      </c>
      <c r="Z262" s="3">
        <f t="shared" si="205"/>
        <v>4.0468366407528655E-3</v>
      </c>
      <c r="AA262" s="3">
        <v>2.1240000000000001</v>
      </c>
      <c r="AB262" s="3">
        <v>2.0070000000000001</v>
      </c>
      <c r="AC262" s="3">
        <f t="shared" si="206"/>
        <v>-0.11699999999999999</v>
      </c>
      <c r="AD262" s="3">
        <f>-115.022324*627.50956</f>
        <v>-72177.607923417439</v>
      </c>
      <c r="AE262" s="3">
        <f>-115.707037*627.50956</f>
        <v>-72607.27187677371</v>
      </c>
      <c r="AF262" s="3">
        <f t="shared" si="207"/>
        <v>-429.66395335627021</v>
      </c>
      <c r="AG262" s="3">
        <f>-115.049244*627.50956</f>
        <v>-72194.500480772636</v>
      </c>
      <c r="AH262" s="3">
        <f>-115.734064*627.50956</f>
        <v>-72624.231577651837</v>
      </c>
      <c r="AI262" s="3">
        <f t="shared" si="208"/>
        <v>-429.73109687920078</v>
      </c>
      <c r="AJ262" s="3">
        <v>-0.77600000000000002</v>
      </c>
      <c r="AK262" s="3">
        <v>-0.74099999999999999</v>
      </c>
      <c r="AL262" s="3">
        <f t="shared" si="209"/>
        <v>3.5000000000000031E-2</v>
      </c>
      <c r="AM262" s="3">
        <v>32.042000000000002</v>
      </c>
      <c r="AN262" s="3">
        <v>81.84</v>
      </c>
      <c r="AO262" s="3">
        <v>65.683999999999997</v>
      </c>
      <c r="AP262" s="3">
        <f t="shared" si="210"/>
        <v>1.0397170745404301</v>
      </c>
      <c r="AQ262" s="3">
        <v>5.2270000000000003</v>
      </c>
      <c r="AR262" s="3">
        <v>0.84499999999999997</v>
      </c>
      <c r="AS262" s="3">
        <v>-115.762</v>
      </c>
      <c r="AT262" s="3">
        <v>-115.081</v>
      </c>
      <c r="AU262" s="3">
        <f t="shared" si="164"/>
        <v>-0.68099999999999739</v>
      </c>
      <c r="AV262" s="3">
        <v>-0.27500000000000002</v>
      </c>
      <c r="AW262" s="3">
        <v>-0.44800000000000001</v>
      </c>
      <c r="AX262" s="3">
        <f t="shared" si="165"/>
        <v>0.17299999999999999</v>
      </c>
      <c r="AY262" s="3">
        <v>4.4999999999999998E-2</v>
      </c>
      <c r="AZ262" s="3">
        <v>0.16300000000000001</v>
      </c>
      <c r="BA262" s="3">
        <f t="shared" si="166"/>
        <v>-0.11800000000000001</v>
      </c>
      <c r="BB262" s="3">
        <f t="shared" si="167"/>
        <v>0.11500000000000002</v>
      </c>
      <c r="BC262" s="3">
        <f t="shared" si="167"/>
        <v>0.14250000000000002</v>
      </c>
      <c r="BD262" s="3">
        <f t="shared" si="168"/>
        <v>-2.7499999999999997E-2</v>
      </c>
      <c r="BE262" s="3">
        <f t="shared" si="169"/>
        <v>0.32</v>
      </c>
      <c r="BF262" s="3">
        <f t="shared" si="169"/>
        <v>0.61099999999999999</v>
      </c>
      <c r="BG262" s="3">
        <f t="shared" si="170"/>
        <v>-0.29099999999999998</v>
      </c>
      <c r="BH262" s="3">
        <f t="shared" si="171"/>
        <v>-0.11500000000000002</v>
      </c>
      <c r="BI262" s="3">
        <f t="shared" si="171"/>
        <v>-0.14250000000000002</v>
      </c>
      <c r="BJ262" s="3">
        <f t="shared" si="195"/>
        <v>2.7499999999999997E-2</v>
      </c>
      <c r="BK262" s="3">
        <f t="shared" si="192"/>
        <v>2.0664062500000007E-2</v>
      </c>
      <c r="BL262" s="3">
        <f t="shared" si="193"/>
        <v>1.6617225859247142E-2</v>
      </c>
      <c r="BM262" s="3">
        <f t="shared" si="172"/>
        <v>4.0468366407528655E-3</v>
      </c>
      <c r="BN262" s="3">
        <v>2.0070000000000001</v>
      </c>
      <c r="BO262" s="3">
        <v>2.1240000000000001</v>
      </c>
      <c r="BP262" s="3">
        <f t="shared" si="173"/>
        <v>-0.11699999999999999</v>
      </c>
      <c r="BQ262" s="3">
        <v>-72607.271999999997</v>
      </c>
      <c r="BR262" s="3">
        <v>-72177.607999999993</v>
      </c>
      <c r="BS262" s="3">
        <f t="shared" si="174"/>
        <v>-429.66400000000431</v>
      </c>
      <c r="BT262" s="3">
        <v>-72624.232000000004</v>
      </c>
      <c r="BU262" s="3">
        <v>-72194.5</v>
      </c>
      <c r="BV262" s="3">
        <f t="shared" si="175"/>
        <v>-429.73200000000361</v>
      </c>
    </row>
    <row r="263" spans="1:74" x14ac:dyDescent="0.25">
      <c r="A263" s="4" t="s">
        <v>443</v>
      </c>
      <c r="B263" t="s">
        <v>513</v>
      </c>
      <c r="C263" t="s">
        <v>199</v>
      </c>
      <c r="D263" s="3">
        <v>10.47</v>
      </c>
      <c r="E263" s="3">
        <v>0.61</v>
      </c>
      <c r="F263" s="3">
        <v>-75.498999999999995</v>
      </c>
      <c r="G263" s="3">
        <v>-75.900000000000006</v>
      </c>
      <c r="H263" s="3">
        <f t="shared" si="196"/>
        <v>-0.40100000000001046</v>
      </c>
      <c r="I263" s="3">
        <v>-0.307</v>
      </c>
      <c r="J263" s="6">
        <v>-0.11700000000000001</v>
      </c>
      <c r="K263" s="3">
        <f t="shared" si="197"/>
        <v>0.19</v>
      </c>
      <c r="L263" s="3">
        <v>0.22600000000000001</v>
      </c>
      <c r="M263" s="6">
        <v>0.109</v>
      </c>
      <c r="N263" s="3">
        <f t="shared" si="198"/>
        <v>-0.11700000000000001</v>
      </c>
      <c r="O263" s="3">
        <f t="shared" si="199"/>
        <v>4.0499999999999994E-2</v>
      </c>
      <c r="P263" s="3">
        <f t="shared" si="200"/>
        <v>4.0000000000000036E-3</v>
      </c>
      <c r="Q263" s="3">
        <f t="shared" si="201"/>
        <v>-3.6499999999999991E-2</v>
      </c>
      <c r="R263" s="3">
        <f t="shared" si="202"/>
        <v>0.53300000000000003</v>
      </c>
      <c r="S263" s="3">
        <f t="shared" si="202"/>
        <v>0.22600000000000001</v>
      </c>
      <c r="T263" s="3">
        <f t="shared" si="203"/>
        <v>-0.30700000000000005</v>
      </c>
      <c r="U263" s="3">
        <f t="shared" si="204"/>
        <v>-4.0499999999999994E-2</v>
      </c>
      <c r="V263" s="3">
        <f t="shared" si="204"/>
        <v>-4.0000000000000036E-3</v>
      </c>
      <c r="W263" s="3">
        <f t="shared" si="194"/>
        <v>3.6499999999999991E-2</v>
      </c>
      <c r="X263" s="3">
        <f t="shared" si="190"/>
        <v>1.5386960600375229E-3</v>
      </c>
      <c r="Y263" s="3">
        <f t="shared" si="191"/>
        <v>3.5398230088495642E-5</v>
      </c>
      <c r="Z263" s="3">
        <f t="shared" si="205"/>
        <v>-1.5032978299490273E-3</v>
      </c>
      <c r="AA263" s="3">
        <v>1.847</v>
      </c>
      <c r="AB263" s="3">
        <v>1.679</v>
      </c>
      <c r="AC263" s="3">
        <f t="shared" si="206"/>
        <v>-0.16799999999999993</v>
      </c>
      <c r="AD263" s="3">
        <f>-75.486893*627.50956</f>
        <v>-47368.747012197076</v>
      </c>
      <c r="AE263" s="3">
        <f>-75.888377*627.50956</f>
        <v>-47620.682060384119</v>
      </c>
      <c r="AF263" s="3">
        <f t="shared" si="207"/>
        <v>-251.93504818704241</v>
      </c>
      <c r="AG263" s="3">
        <f>-75.506413*627.50956</f>
        <v>-47380.995998808277</v>
      </c>
      <c r="AH263" s="3">
        <f>-75.907943*627.50956</f>
        <v>-47632.959912435079</v>
      </c>
      <c r="AI263" s="3">
        <f t="shared" si="208"/>
        <v>-251.96391362680151</v>
      </c>
      <c r="AJ263" s="3">
        <v>-1.34</v>
      </c>
      <c r="AK263" s="3">
        <v>-1.3240000000000001</v>
      </c>
      <c r="AL263" s="3">
        <f t="shared" si="209"/>
        <v>1.6000000000000014E-2</v>
      </c>
      <c r="AM263" s="3">
        <v>17.007000000000001</v>
      </c>
      <c r="AN263" s="3">
        <v>45.412999999999997</v>
      </c>
      <c r="AO263" s="3">
        <v>28.411000000000001</v>
      </c>
      <c r="AP263" s="3">
        <f t="shared" si="210"/>
        <v>1.0087381891502052</v>
      </c>
      <c r="AQ263" s="3">
        <v>3.69</v>
      </c>
      <c r="AR263" s="3">
        <v>0.22900000000000001</v>
      </c>
      <c r="AS263" s="3">
        <v>-76.454999999999998</v>
      </c>
      <c r="AT263" s="3">
        <v>-76.055000000000007</v>
      </c>
      <c r="AU263" s="3">
        <f t="shared" si="164"/>
        <v>-0.39999999999999147</v>
      </c>
      <c r="AV263" s="3">
        <v>-0.30399999999999999</v>
      </c>
      <c r="AW263" s="3">
        <v>-0.505</v>
      </c>
      <c r="AX263" s="3">
        <f t="shared" si="165"/>
        <v>0.20100000000000001</v>
      </c>
      <c r="AY263" s="3">
        <v>0.04</v>
      </c>
      <c r="AZ263" s="3">
        <v>0.16400000000000001</v>
      </c>
      <c r="BA263" s="3">
        <f t="shared" si="166"/>
        <v>-0.124</v>
      </c>
      <c r="BB263" s="3">
        <f t="shared" si="167"/>
        <v>0.13200000000000001</v>
      </c>
      <c r="BC263" s="3">
        <f t="shared" si="167"/>
        <v>0.17049999999999998</v>
      </c>
      <c r="BD263" s="3">
        <f t="shared" si="168"/>
        <v>-3.8499999999999979E-2</v>
      </c>
      <c r="BE263" s="3">
        <f t="shared" si="169"/>
        <v>0.34399999999999997</v>
      </c>
      <c r="BF263" s="3">
        <f t="shared" si="169"/>
        <v>0.66900000000000004</v>
      </c>
      <c r="BG263" s="3">
        <f t="shared" si="170"/>
        <v>-0.32500000000000007</v>
      </c>
      <c r="BH263" s="3">
        <f t="shared" si="171"/>
        <v>-0.13200000000000001</v>
      </c>
      <c r="BI263" s="3">
        <f t="shared" si="171"/>
        <v>-0.17049999999999998</v>
      </c>
      <c r="BJ263" s="3">
        <f t="shared" si="195"/>
        <v>3.8499999999999979E-2</v>
      </c>
      <c r="BK263" s="3">
        <f t="shared" si="192"/>
        <v>2.5325581395348844E-2</v>
      </c>
      <c r="BL263" s="3">
        <f t="shared" si="193"/>
        <v>2.1726644245141997E-2</v>
      </c>
      <c r="BM263" s="3">
        <f t="shared" si="172"/>
        <v>3.5989371502068469E-3</v>
      </c>
      <c r="BN263" s="3">
        <v>2.3010000000000002</v>
      </c>
      <c r="BO263" s="3">
        <v>2.3559999999999999</v>
      </c>
      <c r="BP263" s="3">
        <f t="shared" si="173"/>
        <v>-5.4999999999999716E-2</v>
      </c>
      <c r="BQ263" s="3">
        <v>-47960.305999999997</v>
      </c>
      <c r="BR263" s="3">
        <v>-47708.290999999997</v>
      </c>
      <c r="BS263" s="3">
        <f t="shared" si="174"/>
        <v>-252.01499999999942</v>
      </c>
      <c r="BT263" s="3">
        <v>-47973.754999999997</v>
      </c>
      <c r="BU263" s="3">
        <v>-47721.697</v>
      </c>
      <c r="BV263" s="3">
        <f t="shared" si="175"/>
        <v>-252.05799999999726</v>
      </c>
    </row>
    <row r="264" spans="1:74" x14ac:dyDescent="0.25">
      <c r="A264" s="4" t="s">
        <v>444</v>
      </c>
      <c r="B264" t="s">
        <v>513</v>
      </c>
      <c r="C264" t="s">
        <v>200</v>
      </c>
      <c r="D264" s="3">
        <v>11.3</v>
      </c>
      <c r="E264" s="3">
        <v>0.74</v>
      </c>
      <c r="F264" s="3">
        <v>-417.952</v>
      </c>
      <c r="G264" s="3">
        <v>-420.46800000000002</v>
      </c>
      <c r="H264" s="3">
        <f t="shared" si="196"/>
        <v>-2.5160000000000196</v>
      </c>
      <c r="I264" s="3">
        <v>-0.32700000000000001</v>
      </c>
      <c r="J264" s="6">
        <v>-0.20599999999999999</v>
      </c>
      <c r="K264" s="3">
        <f t="shared" si="197"/>
        <v>0.12100000000000002</v>
      </c>
      <c r="L264" s="3">
        <v>0.125</v>
      </c>
      <c r="M264" s="6">
        <v>-1.4999999999999999E-2</v>
      </c>
      <c r="N264" s="3">
        <f t="shared" si="198"/>
        <v>-0.14000000000000001</v>
      </c>
      <c r="O264" s="3">
        <f t="shared" si="199"/>
        <v>0.10100000000000001</v>
      </c>
      <c r="P264" s="3">
        <f t="shared" si="200"/>
        <v>0.11049999999999999</v>
      </c>
      <c r="Q264" s="3">
        <f t="shared" si="201"/>
        <v>9.4999999999999807E-3</v>
      </c>
      <c r="R264" s="3">
        <f t="shared" si="202"/>
        <v>0.45200000000000001</v>
      </c>
      <c r="S264" s="3">
        <f t="shared" si="202"/>
        <v>0.191</v>
      </c>
      <c r="T264" s="3">
        <f t="shared" si="203"/>
        <v>-0.26100000000000001</v>
      </c>
      <c r="U264" s="3">
        <f t="shared" si="204"/>
        <v>-0.10100000000000001</v>
      </c>
      <c r="V264" s="3">
        <f t="shared" si="204"/>
        <v>-0.11049999999999999</v>
      </c>
      <c r="W264" s="3">
        <f t="shared" si="194"/>
        <v>-9.4999999999999807E-3</v>
      </c>
      <c r="X264" s="3">
        <f t="shared" si="190"/>
        <v>1.1284292035398233E-2</v>
      </c>
      <c r="Y264" s="3">
        <f t="shared" si="191"/>
        <v>3.1964005235602083E-2</v>
      </c>
      <c r="Z264" s="3">
        <f t="shared" si="205"/>
        <v>2.0679713200203849E-2</v>
      </c>
      <c r="AA264" s="3">
        <v>12.090999999999999</v>
      </c>
      <c r="AB264" s="3">
        <v>11.276</v>
      </c>
      <c r="AC264" s="3">
        <f t="shared" si="206"/>
        <v>-0.8149999999999995</v>
      </c>
      <c r="AD264" s="3">
        <f>-417.835539*627.50956</f>
        <v>-262195.79523025284</v>
      </c>
      <c r="AE264" s="3">
        <f>-420.358579*627.50956</f>
        <v>-263779.02695051522</v>
      </c>
      <c r="AF264" s="3">
        <f t="shared" si="207"/>
        <v>-1583.2317202623817</v>
      </c>
      <c r="AG264" s="3">
        <f>-417.875473*627.50956</f>
        <v>-262220.85419702186</v>
      </c>
      <c r="AH264" s="3">
        <f>-420.399045*627.50956</f>
        <v>-263804.41975237016</v>
      </c>
      <c r="AI264" s="3">
        <f t="shared" si="208"/>
        <v>-1583.5655553482939</v>
      </c>
      <c r="AJ264" s="3">
        <v>-0.90300000000000002</v>
      </c>
      <c r="AK264" s="3">
        <v>-0.80500000000000005</v>
      </c>
      <c r="AL264" s="3">
        <f t="shared" si="209"/>
        <v>9.7999999999999976E-2</v>
      </c>
      <c r="AM264" s="3">
        <v>121.113</v>
      </c>
      <c r="AN264" s="3">
        <v>164.50899999999999</v>
      </c>
      <c r="AO264" s="3">
        <v>168.078</v>
      </c>
      <c r="AP264" s="3">
        <f t="shared" si="210"/>
        <v>1.117133387625679</v>
      </c>
      <c r="AQ264" s="3">
        <v>8.82</v>
      </c>
      <c r="AR264" s="3">
        <v>2.1040000000000001</v>
      </c>
      <c r="AS264" s="3">
        <v>-553.27200000000005</v>
      </c>
      <c r="AT264" s="3">
        <v>-551.61699999999996</v>
      </c>
      <c r="AU264" s="3">
        <f t="shared" si="164"/>
        <v>-1.6550000000000864</v>
      </c>
      <c r="AV264" s="3">
        <v>-0.23699999999999999</v>
      </c>
      <c r="AW264" s="3">
        <v>-0.36899999999999999</v>
      </c>
      <c r="AX264" s="3">
        <f t="shared" si="165"/>
        <v>0.13200000000000001</v>
      </c>
      <c r="AY264" s="3">
        <v>2.8000000000000001E-2</v>
      </c>
      <c r="AZ264" s="3">
        <v>0.154</v>
      </c>
      <c r="BA264" s="3">
        <f t="shared" si="166"/>
        <v>-0.126</v>
      </c>
      <c r="BB264" s="3">
        <f t="shared" si="167"/>
        <v>0.1045</v>
      </c>
      <c r="BC264" s="3">
        <f t="shared" si="167"/>
        <v>0.1075</v>
      </c>
      <c r="BD264" s="3">
        <f t="shared" si="168"/>
        <v>-3.0000000000000027E-3</v>
      </c>
      <c r="BE264" s="3">
        <f t="shared" si="169"/>
        <v>0.26500000000000001</v>
      </c>
      <c r="BF264" s="3">
        <f t="shared" si="169"/>
        <v>0.52300000000000002</v>
      </c>
      <c r="BG264" s="3">
        <f t="shared" si="170"/>
        <v>-0.25800000000000001</v>
      </c>
      <c r="BH264" s="3">
        <f t="shared" si="171"/>
        <v>-0.1045</v>
      </c>
      <c r="BI264" s="3">
        <f t="shared" si="171"/>
        <v>-0.1075</v>
      </c>
      <c r="BJ264" s="3">
        <f t="shared" si="195"/>
        <v>3.0000000000000027E-3</v>
      </c>
      <c r="BK264" s="3">
        <f t="shared" si="192"/>
        <v>2.0604245283018865E-2</v>
      </c>
      <c r="BL264" s="3">
        <f t="shared" si="193"/>
        <v>1.104804015296367E-2</v>
      </c>
      <c r="BM264" s="3">
        <f t="shared" si="172"/>
        <v>9.5562051300551957E-3</v>
      </c>
      <c r="BN264" s="3">
        <v>5.4870000000000001</v>
      </c>
      <c r="BO264" s="3">
        <v>6.0839999999999996</v>
      </c>
      <c r="BP264" s="3">
        <f t="shared" si="173"/>
        <v>-0.59699999999999953</v>
      </c>
      <c r="BQ264" s="3">
        <v>-347129.96399999998</v>
      </c>
      <c r="BR264" s="3">
        <v>-346087.64600000001</v>
      </c>
      <c r="BS264" s="3">
        <f t="shared" si="174"/>
        <v>-1042.3179999999702</v>
      </c>
      <c r="BT264" s="3">
        <v>-347152.04599999997</v>
      </c>
      <c r="BU264" s="3">
        <v>-346109.22600000002</v>
      </c>
      <c r="BV264" s="3">
        <f t="shared" si="175"/>
        <v>-1042.8199999999488</v>
      </c>
    </row>
    <row r="265" spans="1:74" x14ac:dyDescent="0.25">
      <c r="A265" s="4" t="s">
        <v>445</v>
      </c>
      <c r="B265" t="s">
        <v>513</v>
      </c>
      <c r="C265" t="s">
        <v>99</v>
      </c>
      <c r="D265" s="3">
        <v>11.3</v>
      </c>
      <c r="E265" s="3">
        <v>0.72</v>
      </c>
      <c r="F265" s="3">
        <v>-551.61699999999996</v>
      </c>
      <c r="G265" s="3">
        <v>-553.27200000000005</v>
      </c>
      <c r="H265" s="3">
        <f t="shared" si="196"/>
        <v>-1.6550000000000864</v>
      </c>
      <c r="I265" s="3">
        <v>-0.36899999999999999</v>
      </c>
      <c r="J265" s="6">
        <v>-0.23699999999999999</v>
      </c>
      <c r="K265" s="3">
        <f t="shared" si="197"/>
        <v>0.13200000000000001</v>
      </c>
      <c r="L265" s="3">
        <v>0.154</v>
      </c>
      <c r="M265" s="6">
        <v>2.8000000000000001E-2</v>
      </c>
      <c r="N265" s="3">
        <f t="shared" si="198"/>
        <v>-0.126</v>
      </c>
      <c r="O265" s="3">
        <f t="shared" si="199"/>
        <v>0.1075</v>
      </c>
      <c r="P265" s="3">
        <f t="shared" si="200"/>
        <v>0.1045</v>
      </c>
      <c r="Q265" s="3">
        <f t="shared" si="201"/>
        <v>-3.0000000000000027E-3</v>
      </c>
      <c r="R265" s="3">
        <f t="shared" si="202"/>
        <v>0.52300000000000002</v>
      </c>
      <c r="S265" s="3">
        <f t="shared" si="202"/>
        <v>0.26500000000000001</v>
      </c>
      <c r="T265" s="3">
        <f t="shared" si="203"/>
        <v>-0.25800000000000001</v>
      </c>
      <c r="U265" s="3">
        <f t="shared" si="204"/>
        <v>-0.1075</v>
      </c>
      <c r="V265" s="3">
        <f t="shared" si="204"/>
        <v>-0.1045</v>
      </c>
      <c r="W265" s="3">
        <f t="shared" si="194"/>
        <v>3.0000000000000027E-3</v>
      </c>
      <c r="X265" s="3">
        <f t="shared" si="190"/>
        <v>1.104804015296367E-2</v>
      </c>
      <c r="Y265" s="3">
        <f t="shared" si="191"/>
        <v>2.0604245283018865E-2</v>
      </c>
      <c r="Z265" s="3">
        <f t="shared" si="205"/>
        <v>9.5562051300551957E-3</v>
      </c>
      <c r="AA265" s="3">
        <v>6.085</v>
      </c>
      <c r="AB265" s="3">
        <v>5.4850000000000003</v>
      </c>
      <c r="AC265" s="3">
        <f t="shared" si="206"/>
        <v>-0.59999999999999964</v>
      </c>
      <c r="AD265" s="3">
        <f>-551.525696*627.50956</f>
        <v>-346087.64682565379</v>
      </c>
      <c r="AE265" s="3">
        <f>-553.186729*627.50956</f>
        <v>-347129.96091262921</v>
      </c>
      <c r="AF265" s="3">
        <f t="shared" si="207"/>
        <v>-1042.3140869754134</v>
      </c>
      <c r="AG265" s="3">
        <f>-551.560078*627.50956</f>
        <v>-346109.22185934562</v>
      </c>
      <c r="AH265" s="3">
        <f>-553.221924*627.50956</f>
        <v>-347152.04611159337</v>
      </c>
      <c r="AI265" s="3">
        <f t="shared" si="208"/>
        <v>-1042.8242522477522</v>
      </c>
      <c r="AJ265" s="3">
        <v>-1.1020000000000001</v>
      </c>
      <c r="AK265" s="3">
        <v>-0.99399999999999999</v>
      </c>
      <c r="AL265" s="3">
        <f t="shared" si="209"/>
        <v>0.1080000000000001</v>
      </c>
      <c r="AM265" s="3">
        <v>78.132999999999996</v>
      </c>
      <c r="AN265" s="3">
        <v>127.03</v>
      </c>
      <c r="AO265" s="3">
        <v>121.22499999999999</v>
      </c>
      <c r="AP265" s="3">
        <f t="shared" si="210"/>
        <v>1.0725909294344698</v>
      </c>
      <c r="AQ265" s="3">
        <v>6.9909999999999997</v>
      </c>
      <c r="AR265" s="3">
        <v>1.323</v>
      </c>
      <c r="AS265" s="3">
        <v>-132.80099999999999</v>
      </c>
      <c r="AT265" s="3">
        <v>-131.97</v>
      </c>
      <c r="AU265" s="3">
        <f t="shared" si="164"/>
        <v>-0.83099999999998886</v>
      </c>
      <c r="AV265" s="3">
        <v>-0.34100000000000003</v>
      </c>
      <c r="AW265" s="3">
        <v>-0.47499999999999998</v>
      </c>
      <c r="AX265" s="3">
        <f t="shared" si="165"/>
        <v>0.13399999999999995</v>
      </c>
      <c r="AY265" s="3">
        <v>2.9000000000000001E-2</v>
      </c>
      <c r="AZ265" s="3">
        <v>0.156</v>
      </c>
      <c r="BA265" s="3">
        <f t="shared" si="166"/>
        <v>-0.127</v>
      </c>
      <c r="BB265" s="3">
        <f t="shared" si="167"/>
        <v>0.156</v>
      </c>
      <c r="BC265" s="3">
        <f t="shared" si="167"/>
        <v>0.15949999999999998</v>
      </c>
      <c r="BD265" s="3">
        <f t="shared" si="168"/>
        <v>-3.4999999999999754E-3</v>
      </c>
      <c r="BE265" s="3">
        <f t="shared" si="169"/>
        <v>0.37000000000000005</v>
      </c>
      <c r="BF265" s="3">
        <f t="shared" si="169"/>
        <v>0.63100000000000001</v>
      </c>
      <c r="BG265" s="3">
        <f t="shared" si="170"/>
        <v>-0.26099999999999995</v>
      </c>
      <c r="BH265" s="3">
        <f t="shared" si="171"/>
        <v>-0.156</v>
      </c>
      <c r="BI265" s="3">
        <f t="shared" si="171"/>
        <v>-0.15949999999999998</v>
      </c>
      <c r="BJ265" s="3">
        <f t="shared" si="195"/>
        <v>3.4999999999999754E-3</v>
      </c>
      <c r="BK265" s="3">
        <f t="shared" si="192"/>
        <v>3.2886486486486483E-2</v>
      </c>
      <c r="BL265" s="3">
        <f t="shared" si="193"/>
        <v>2.0158676703645E-2</v>
      </c>
      <c r="BM265" s="3">
        <f t="shared" si="172"/>
        <v>1.2727809782841482E-2</v>
      </c>
      <c r="BN265" s="3">
        <v>4.7279999999999998</v>
      </c>
      <c r="BO265" s="3">
        <v>4.9340000000000002</v>
      </c>
      <c r="BP265" s="3">
        <f t="shared" si="173"/>
        <v>-0.20600000000000041</v>
      </c>
      <c r="BQ265" s="3">
        <v>-83302.89</v>
      </c>
      <c r="BR265" s="3">
        <v>-82779.224000000002</v>
      </c>
      <c r="BS265" s="3">
        <f t="shared" si="174"/>
        <v>-523.66599999999744</v>
      </c>
      <c r="BT265" s="3">
        <v>-83320.774999999994</v>
      </c>
      <c r="BU265" s="3">
        <v>-82796.997000000003</v>
      </c>
      <c r="BV265" s="3">
        <f t="shared" si="175"/>
        <v>-523.77799999999115</v>
      </c>
    </row>
    <row r="266" spans="1:74" x14ac:dyDescent="0.25">
      <c r="A266" s="4" t="s">
        <v>446</v>
      </c>
      <c r="B266" t="s">
        <v>513</v>
      </c>
      <c r="C266" t="s">
        <v>440</v>
      </c>
      <c r="D266" s="3">
        <v>12.5</v>
      </c>
      <c r="E266" s="3">
        <v>0.6</v>
      </c>
      <c r="F266" s="3">
        <v>-227.392</v>
      </c>
      <c r="G266" s="3">
        <v>-228.67500000000001</v>
      </c>
      <c r="H266" s="3">
        <f t="shared" si="196"/>
        <v>-1.2830000000000155</v>
      </c>
      <c r="I266" s="3">
        <v>-0.35899999999999999</v>
      </c>
      <c r="J266" s="6">
        <v>-0.19</v>
      </c>
      <c r="K266" s="3">
        <f t="shared" si="197"/>
        <v>0.16899999999999998</v>
      </c>
      <c r="L266" s="3">
        <v>0.188</v>
      </c>
      <c r="M266" s="6">
        <v>7.6999999999999999E-2</v>
      </c>
      <c r="N266" s="3">
        <f t="shared" si="198"/>
        <v>-0.111</v>
      </c>
      <c r="O266" s="3">
        <f t="shared" si="199"/>
        <v>8.5499999999999993E-2</v>
      </c>
      <c r="P266" s="3">
        <f t="shared" si="200"/>
        <v>5.6500000000000002E-2</v>
      </c>
      <c r="Q266" s="3">
        <f t="shared" si="201"/>
        <v>-2.8999999999999991E-2</v>
      </c>
      <c r="R266" s="3">
        <f t="shared" si="202"/>
        <v>0.54699999999999993</v>
      </c>
      <c r="S266" s="3">
        <f t="shared" si="202"/>
        <v>0.26700000000000002</v>
      </c>
      <c r="T266" s="3">
        <f t="shared" si="203"/>
        <v>-0.27999999999999992</v>
      </c>
      <c r="U266" s="3">
        <f t="shared" si="204"/>
        <v>-8.5499999999999993E-2</v>
      </c>
      <c r="V266" s="3">
        <f t="shared" si="204"/>
        <v>-5.6500000000000002E-2</v>
      </c>
      <c r="W266" s="3">
        <f t="shared" si="194"/>
        <v>2.8999999999999991E-2</v>
      </c>
      <c r="X266" s="3">
        <f t="shared" si="190"/>
        <v>6.6821297989031079E-3</v>
      </c>
      <c r="Y266" s="3">
        <f t="shared" si="191"/>
        <v>5.9779962546816483E-3</v>
      </c>
      <c r="Z266" s="3">
        <f t="shared" si="205"/>
        <v>-7.0413354422145958E-4</v>
      </c>
      <c r="AA266" s="3">
        <v>4.8860000000000001</v>
      </c>
      <c r="AB266" s="3">
        <v>4.2629999999999999</v>
      </c>
      <c r="AC266" s="3">
        <f t="shared" si="206"/>
        <v>-0.62300000000000022</v>
      </c>
      <c r="AD266" s="3">
        <f>-227.335225*627.50956</f>
        <v>-142655.027012251</v>
      </c>
      <c r="AE266" s="3">
        <f>-228.62188*627.50956</f>
        <v>-143462.4153251728</v>
      </c>
      <c r="AF266" s="3">
        <f t="shared" si="207"/>
        <v>-807.38831292180112</v>
      </c>
      <c r="AG266" s="3">
        <f>-227.367591*627.50956</f>
        <v>-142675.33698666995</v>
      </c>
      <c r="AH266" s="3">
        <f>-228.654404*627.50956</f>
        <v>-143482.82444610223</v>
      </c>
      <c r="AI266" s="3">
        <f t="shared" si="208"/>
        <v>-807.4874594322755</v>
      </c>
      <c r="AJ266" s="3">
        <v>-0.91900000000000004</v>
      </c>
      <c r="AK266" s="3">
        <v>-0.82199999999999995</v>
      </c>
      <c r="AL266" s="3">
        <f t="shared" si="209"/>
        <v>9.7000000000000086E-2</v>
      </c>
      <c r="AM266" s="3">
        <v>59.043999999999997</v>
      </c>
      <c r="AN266" s="3">
        <v>100.242</v>
      </c>
      <c r="AO266" s="3">
        <v>86.031999999999996</v>
      </c>
      <c r="AP266" s="3">
        <f t="shared" si="210"/>
        <v>1.0638139000639886</v>
      </c>
      <c r="AQ266" s="3">
        <v>5.98</v>
      </c>
      <c r="AR266" s="3">
        <v>1.2569999999999999</v>
      </c>
      <c r="AS266" s="3">
        <v>-193.21899999999999</v>
      </c>
      <c r="AT266" s="3">
        <v>-192.02</v>
      </c>
      <c r="AU266" s="3">
        <f t="shared" si="164"/>
        <v>-1.1989999999999839</v>
      </c>
      <c r="AV266" s="3">
        <v>-0.25700000000000001</v>
      </c>
      <c r="AW266" s="3">
        <v>-0.41299999999999998</v>
      </c>
      <c r="AX266" s="3">
        <f t="shared" si="165"/>
        <v>0.15599999999999997</v>
      </c>
      <c r="AY266" s="3">
        <v>-2.1000000000000001E-2</v>
      </c>
      <c r="AZ266" s="3">
        <v>0.155</v>
      </c>
      <c r="BA266" s="3">
        <f t="shared" si="166"/>
        <v>-0.17599999999999999</v>
      </c>
      <c r="BB266" s="3">
        <f t="shared" si="167"/>
        <v>0.13900000000000001</v>
      </c>
      <c r="BC266" s="3">
        <f t="shared" si="167"/>
        <v>0.129</v>
      </c>
      <c r="BD266" s="3">
        <f t="shared" si="168"/>
        <v>1.0000000000000009E-2</v>
      </c>
      <c r="BE266" s="3">
        <f t="shared" si="169"/>
        <v>0.23600000000000002</v>
      </c>
      <c r="BF266" s="3">
        <f t="shared" si="169"/>
        <v>0.56799999999999995</v>
      </c>
      <c r="BG266" s="3">
        <f t="shared" si="170"/>
        <v>-0.33199999999999996</v>
      </c>
      <c r="BH266" s="3">
        <f t="shared" si="171"/>
        <v>-0.13900000000000001</v>
      </c>
      <c r="BI266" s="3">
        <f t="shared" si="171"/>
        <v>-0.129</v>
      </c>
      <c r="BJ266" s="3">
        <f t="shared" si="195"/>
        <v>-1.0000000000000009E-2</v>
      </c>
      <c r="BK266" s="3">
        <f t="shared" si="192"/>
        <v>4.093432203389831E-2</v>
      </c>
      <c r="BL266" s="3">
        <f t="shared" si="193"/>
        <v>1.4648767605633804E-2</v>
      </c>
      <c r="BM266" s="3">
        <f t="shared" si="172"/>
        <v>2.6285554428264506E-2</v>
      </c>
      <c r="BN266" s="3">
        <v>3.6030000000000002</v>
      </c>
      <c r="BO266" s="3">
        <v>3.919</v>
      </c>
      <c r="BP266" s="3">
        <f t="shared" si="173"/>
        <v>-0.31599999999999984</v>
      </c>
      <c r="BQ266" s="3">
        <v>-121191.08900000001</v>
      </c>
      <c r="BR266" s="3">
        <v>-120435.72900000001</v>
      </c>
      <c r="BS266" s="3">
        <f t="shared" si="174"/>
        <v>-755.36000000000058</v>
      </c>
      <c r="BT266" s="3">
        <v>-121211.421</v>
      </c>
      <c r="BU266" s="3">
        <v>-120455.894</v>
      </c>
      <c r="BV266" s="3">
        <f t="shared" si="175"/>
        <v>-755.52700000000186</v>
      </c>
    </row>
    <row r="267" spans="1:74" x14ac:dyDescent="0.25">
      <c r="A267" s="4" t="s">
        <v>447</v>
      </c>
      <c r="B267" t="s">
        <v>513</v>
      </c>
      <c r="C267" t="s">
        <v>199</v>
      </c>
      <c r="D267" s="3">
        <v>12.66</v>
      </c>
      <c r="E267" s="3">
        <v>0.59</v>
      </c>
      <c r="F267" s="3">
        <v>-450.27800000000002</v>
      </c>
      <c r="G267" s="3">
        <v>-452.39299999999997</v>
      </c>
      <c r="H267" s="3">
        <f t="shared" si="196"/>
        <v>-2.1149999999999523</v>
      </c>
      <c r="I267" s="3">
        <v>-0.318</v>
      </c>
      <c r="J267" s="6">
        <v>-0.159</v>
      </c>
      <c r="K267" s="3">
        <f t="shared" si="197"/>
        <v>0.159</v>
      </c>
      <c r="L267" s="3">
        <v>0.20200000000000001</v>
      </c>
      <c r="M267" s="6">
        <v>8.3000000000000004E-2</v>
      </c>
      <c r="N267" s="3">
        <f t="shared" si="198"/>
        <v>-0.11900000000000001</v>
      </c>
      <c r="O267" s="3">
        <f t="shared" si="199"/>
        <v>5.7999999999999996E-2</v>
      </c>
      <c r="P267" s="3">
        <f t="shared" si="200"/>
        <v>3.7999999999999999E-2</v>
      </c>
      <c r="Q267" s="3">
        <f t="shared" si="201"/>
        <v>-1.9999999999999997E-2</v>
      </c>
      <c r="R267" s="3">
        <f t="shared" si="202"/>
        <v>0.52</v>
      </c>
      <c r="S267" s="3">
        <f t="shared" si="202"/>
        <v>0.24199999999999999</v>
      </c>
      <c r="T267" s="3">
        <f t="shared" si="203"/>
        <v>-0.27800000000000002</v>
      </c>
      <c r="U267" s="3">
        <f t="shared" si="204"/>
        <v>-5.7999999999999996E-2</v>
      </c>
      <c r="V267" s="3">
        <f t="shared" si="204"/>
        <v>-3.7999999999999999E-2</v>
      </c>
      <c r="W267" s="3">
        <f t="shared" si="194"/>
        <v>1.9999999999999997E-2</v>
      </c>
      <c r="X267" s="3">
        <f t="shared" si="190"/>
        <v>3.234615384615384E-3</v>
      </c>
      <c r="Y267" s="3">
        <f t="shared" si="191"/>
        <v>2.9834710743801653E-3</v>
      </c>
      <c r="Z267" s="3">
        <f t="shared" si="205"/>
        <v>-2.5114431023521861E-4</v>
      </c>
      <c r="AA267" s="3">
        <v>6.6710000000000003</v>
      </c>
      <c r="AB267" s="3">
        <v>6.2</v>
      </c>
      <c r="AC267" s="3">
        <f t="shared" si="206"/>
        <v>-0.47100000000000009</v>
      </c>
      <c r="AD267" s="3">
        <f>-450.22523*627.50956</f>
        <v>-282520.63597819878</v>
      </c>
      <c r="AE267" s="3">
        <f>-452.344982*627.50956</f>
        <v>-283850.8006230279</v>
      </c>
      <c r="AF267" s="3">
        <f t="shared" si="207"/>
        <v>-1330.164644829114</v>
      </c>
      <c r="AG267" s="3">
        <f>-450.26024*627.50956</f>
        <v>-282542.60508789436</v>
      </c>
      <c r="AH267" s="3">
        <f>-452.38071*627.50956</f>
        <v>-283873.22028458759</v>
      </c>
      <c r="AI267" s="3">
        <f t="shared" si="208"/>
        <v>-1330.615196693223</v>
      </c>
      <c r="AJ267" s="3">
        <v>-1.05</v>
      </c>
      <c r="AK267" s="3">
        <v>-0.96699999999999997</v>
      </c>
      <c r="AL267" s="3">
        <f t="shared" si="209"/>
        <v>8.3000000000000074E-2</v>
      </c>
      <c r="AM267" s="3">
        <v>99.031999999999996</v>
      </c>
      <c r="AN267" s="3">
        <v>109.682</v>
      </c>
      <c r="AO267" s="3">
        <v>96.516000000000005</v>
      </c>
      <c r="AP267" s="3">
        <f t="shared" si="210"/>
        <v>1.0780984828892826</v>
      </c>
      <c r="AQ267" s="3">
        <v>6.5910000000000002</v>
      </c>
      <c r="AR267" s="3">
        <v>1.512</v>
      </c>
      <c r="AS267" s="3">
        <v>-76.454999999999998</v>
      </c>
      <c r="AT267" s="3">
        <v>-76.055000000000007</v>
      </c>
      <c r="AU267" s="3">
        <f t="shared" si="164"/>
        <v>-0.39999999999999147</v>
      </c>
      <c r="AV267" s="3">
        <v>-0.30399999999999999</v>
      </c>
      <c r="AW267" s="3">
        <v>-0.505</v>
      </c>
      <c r="AX267" s="3">
        <f t="shared" si="165"/>
        <v>0.20100000000000001</v>
      </c>
      <c r="AY267" s="3">
        <v>0.04</v>
      </c>
      <c r="AZ267" s="3">
        <v>0.16400000000000001</v>
      </c>
      <c r="BA267" s="3">
        <f t="shared" si="166"/>
        <v>-0.124</v>
      </c>
      <c r="BB267" s="3">
        <f t="shared" si="167"/>
        <v>0.13200000000000001</v>
      </c>
      <c r="BC267" s="3">
        <f t="shared" si="167"/>
        <v>0.17049999999999998</v>
      </c>
      <c r="BD267" s="3">
        <f t="shared" si="168"/>
        <v>-3.8499999999999979E-2</v>
      </c>
      <c r="BE267" s="3">
        <f t="shared" si="169"/>
        <v>0.34399999999999997</v>
      </c>
      <c r="BF267" s="3">
        <f t="shared" si="169"/>
        <v>0.66900000000000004</v>
      </c>
      <c r="BG267" s="3">
        <f t="shared" si="170"/>
        <v>-0.32500000000000007</v>
      </c>
      <c r="BH267" s="3">
        <f t="shared" si="171"/>
        <v>-0.13200000000000001</v>
      </c>
      <c r="BI267" s="3">
        <f t="shared" si="171"/>
        <v>-0.17049999999999998</v>
      </c>
      <c r="BJ267" s="3">
        <f t="shared" si="195"/>
        <v>3.8499999999999979E-2</v>
      </c>
      <c r="BK267" s="3">
        <f t="shared" si="192"/>
        <v>2.5325581395348844E-2</v>
      </c>
      <c r="BL267" s="3">
        <f t="shared" si="193"/>
        <v>2.1726644245141997E-2</v>
      </c>
      <c r="BM267" s="3">
        <f t="shared" si="172"/>
        <v>3.5989371502068469E-3</v>
      </c>
      <c r="BN267" s="3">
        <v>2.3010000000000002</v>
      </c>
      <c r="BO267" s="3">
        <v>2.3559999999999999</v>
      </c>
      <c r="BP267" s="3">
        <f t="shared" si="173"/>
        <v>-5.4999999999999716E-2</v>
      </c>
      <c r="BQ267" s="3">
        <v>-47960.305999999997</v>
      </c>
      <c r="BR267" s="3">
        <v>-47708.290999999997</v>
      </c>
      <c r="BS267" s="3">
        <f t="shared" si="174"/>
        <v>-252.01499999999942</v>
      </c>
      <c r="BT267" s="3">
        <v>-47973.754999999997</v>
      </c>
      <c r="BU267" s="3">
        <v>-47721.697</v>
      </c>
      <c r="BV267" s="3">
        <f t="shared" si="175"/>
        <v>-252.05799999999726</v>
      </c>
    </row>
    <row r="268" spans="1:74" x14ac:dyDescent="0.25">
      <c r="A268" s="4" t="s">
        <v>448</v>
      </c>
      <c r="B268" t="s">
        <v>513</v>
      </c>
      <c r="C268" t="s">
        <v>199</v>
      </c>
      <c r="D268" s="3">
        <v>12.75</v>
      </c>
      <c r="E268" s="3">
        <v>0.59</v>
      </c>
      <c r="F268" s="3">
        <v>-2722.038</v>
      </c>
      <c r="G268" s="3">
        <v>-2724.5949999999998</v>
      </c>
      <c r="H268" s="3">
        <f t="shared" si="196"/>
        <v>-2.556999999999789</v>
      </c>
      <c r="I268" s="3">
        <v>-0.311</v>
      </c>
      <c r="J268" s="6">
        <v>-0.161</v>
      </c>
      <c r="K268" s="3">
        <f t="shared" si="197"/>
        <v>0.15</v>
      </c>
      <c r="L268" s="3">
        <v>0.18</v>
      </c>
      <c r="M268" s="6">
        <v>0.01</v>
      </c>
      <c r="N268" s="3">
        <f t="shared" si="198"/>
        <v>-0.16999999999999998</v>
      </c>
      <c r="O268" s="3">
        <f t="shared" si="199"/>
        <v>6.5500000000000003E-2</v>
      </c>
      <c r="P268" s="3">
        <f t="shared" si="200"/>
        <v>7.5499999999999998E-2</v>
      </c>
      <c r="Q268" s="3">
        <f t="shared" si="201"/>
        <v>9.999999999999995E-3</v>
      </c>
      <c r="R268" s="3">
        <f t="shared" si="202"/>
        <v>0.49099999999999999</v>
      </c>
      <c r="S268" s="3">
        <f t="shared" si="202"/>
        <v>0.17100000000000001</v>
      </c>
      <c r="T268" s="3">
        <f t="shared" si="203"/>
        <v>-0.31999999999999995</v>
      </c>
      <c r="U268" s="3">
        <f t="shared" si="204"/>
        <v>-6.5500000000000003E-2</v>
      </c>
      <c r="V268" s="3">
        <f t="shared" si="204"/>
        <v>-7.5499999999999998E-2</v>
      </c>
      <c r="W268" s="3">
        <f t="shared" si="194"/>
        <v>-9.999999999999995E-3</v>
      </c>
      <c r="X268" s="3">
        <f t="shared" si="190"/>
        <v>4.3688900203665993E-3</v>
      </c>
      <c r="Y268" s="3">
        <f t="shared" si="191"/>
        <v>1.6667397660818709E-2</v>
      </c>
      <c r="Z268" s="3">
        <f t="shared" si="205"/>
        <v>1.229850764045211E-2</v>
      </c>
      <c r="AA268" s="3">
        <v>5.19</v>
      </c>
      <c r="AB268" s="3">
        <v>4.6520000000000001</v>
      </c>
      <c r="AC268" s="3">
        <f t="shared" si="206"/>
        <v>-0.53800000000000026</v>
      </c>
      <c r="AD268" s="3">
        <f>-2722.030114*627.50956</f>
        <v>-1708099.9191428898</v>
      </c>
      <c r="AE268" s="3">
        <f>-2724.586517*627.50956</f>
        <v>-1709704.0864646025</v>
      </c>
      <c r="AF268" s="3">
        <f t="shared" si="207"/>
        <v>-1604.16732171271</v>
      </c>
      <c r="AG268" s="3">
        <f>-2722.061157*627.50956</f>
        <v>-1708119.398922161</v>
      </c>
      <c r="AH268" s="3">
        <f>-2724.617722*627.50956</f>
        <v>-1709723.6679004221</v>
      </c>
      <c r="AI268" s="3">
        <f t="shared" si="208"/>
        <v>-1604.268978261156</v>
      </c>
      <c r="AJ268" s="3">
        <v>-1.02</v>
      </c>
      <c r="AK268" s="3">
        <v>-0.96899999999999997</v>
      </c>
      <c r="AL268" s="3">
        <f t="shared" si="209"/>
        <v>5.1000000000000045E-2</v>
      </c>
      <c r="AM268" s="3">
        <v>111.90300000000001</v>
      </c>
      <c r="AN268" s="3">
        <v>84.141999999999996</v>
      </c>
      <c r="AO268" s="3">
        <v>67.697000000000003</v>
      </c>
      <c r="AP268" s="3">
        <f t="shared" si="210"/>
        <v>1.0476651531257291</v>
      </c>
      <c r="AQ268" s="3">
        <v>5.9729999999999999</v>
      </c>
      <c r="AR268" s="3">
        <v>0.9</v>
      </c>
      <c r="AS268" s="3">
        <v>-76.454999999999998</v>
      </c>
      <c r="AT268" s="3">
        <v>-76.055000000000007</v>
      </c>
      <c r="AU268" s="3">
        <f t="shared" si="164"/>
        <v>-0.39999999999999147</v>
      </c>
      <c r="AV268" s="3">
        <v>-0.30399999999999999</v>
      </c>
      <c r="AW268" s="3">
        <v>-0.505</v>
      </c>
      <c r="AX268" s="3">
        <f t="shared" si="165"/>
        <v>0.20100000000000001</v>
      </c>
      <c r="AY268" s="3">
        <v>0.04</v>
      </c>
      <c r="AZ268" s="3">
        <v>0.16400000000000001</v>
      </c>
      <c r="BA268" s="3">
        <f t="shared" si="166"/>
        <v>-0.124</v>
      </c>
      <c r="BB268" s="3">
        <f t="shared" si="167"/>
        <v>0.13200000000000001</v>
      </c>
      <c r="BC268" s="3">
        <f t="shared" si="167"/>
        <v>0.17049999999999998</v>
      </c>
      <c r="BD268" s="3">
        <f t="shared" si="168"/>
        <v>-3.8499999999999979E-2</v>
      </c>
      <c r="BE268" s="3">
        <f t="shared" si="169"/>
        <v>0.34399999999999997</v>
      </c>
      <c r="BF268" s="3">
        <f t="shared" si="169"/>
        <v>0.66900000000000004</v>
      </c>
      <c r="BG268" s="3">
        <f t="shared" si="170"/>
        <v>-0.32500000000000007</v>
      </c>
      <c r="BH268" s="3">
        <f t="shared" si="171"/>
        <v>-0.13200000000000001</v>
      </c>
      <c r="BI268" s="3">
        <f t="shared" si="171"/>
        <v>-0.17049999999999998</v>
      </c>
      <c r="BJ268" s="3">
        <f t="shared" si="195"/>
        <v>3.8499999999999979E-2</v>
      </c>
      <c r="BK268" s="3">
        <f t="shared" si="192"/>
        <v>2.5325581395348844E-2</v>
      </c>
      <c r="BL268" s="3">
        <f t="shared" si="193"/>
        <v>2.1726644245141997E-2</v>
      </c>
      <c r="BM268" s="3">
        <f t="shared" si="172"/>
        <v>3.5989371502068469E-3</v>
      </c>
      <c r="BN268" s="3">
        <v>2.3010000000000002</v>
      </c>
      <c r="BO268" s="3">
        <v>2.3559999999999999</v>
      </c>
      <c r="BP268" s="3">
        <f t="shared" si="173"/>
        <v>-5.4999999999999716E-2</v>
      </c>
      <c r="BQ268" s="3">
        <v>-47960.305999999997</v>
      </c>
      <c r="BR268" s="3">
        <v>-47708.290999999997</v>
      </c>
      <c r="BS268" s="3">
        <f t="shared" si="174"/>
        <v>-252.01499999999942</v>
      </c>
      <c r="BT268" s="3">
        <v>-47973.754999999997</v>
      </c>
      <c r="BU268" s="3">
        <v>-47721.697</v>
      </c>
      <c r="BV268" s="3">
        <f t="shared" si="175"/>
        <v>-252.05799999999726</v>
      </c>
    </row>
    <row r="269" spans="1:74" x14ac:dyDescent="0.25">
      <c r="A269" s="2" t="s">
        <v>449</v>
      </c>
      <c r="B269" t="s">
        <v>513</v>
      </c>
      <c r="C269" t="s">
        <v>199</v>
      </c>
      <c r="D269" s="3">
        <v>13.92</v>
      </c>
      <c r="E269" s="3">
        <v>0.61</v>
      </c>
      <c r="F269" s="3">
        <v>-497.03</v>
      </c>
      <c r="G269" s="3">
        <v>-500.16500000000002</v>
      </c>
      <c r="H269" s="3">
        <f t="shared" si="196"/>
        <v>-3.1350000000000477</v>
      </c>
      <c r="I269" s="3">
        <v>-0.3</v>
      </c>
      <c r="J269" s="6">
        <v>-0.13300000000000001</v>
      </c>
      <c r="K269" s="3">
        <f t="shared" si="197"/>
        <v>0.16699999999999998</v>
      </c>
      <c r="L269" s="3">
        <v>0.13700000000000001</v>
      </c>
      <c r="M269" s="6">
        <v>-6.0000000000000001E-3</v>
      </c>
      <c r="N269" s="3">
        <f t="shared" si="198"/>
        <v>-0.14300000000000002</v>
      </c>
      <c r="O269" s="3">
        <f t="shared" si="199"/>
        <v>8.1499999999999989E-2</v>
      </c>
      <c r="P269" s="3">
        <f t="shared" si="200"/>
        <v>6.9500000000000006E-2</v>
      </c>
      <c r="Q269" s="3">
        <f t="shared" si="201"/>
        <v>-1.1999999999999983E-2</v>
      </c>
      <c r="R269" s="3">
        <f t="shared" si="202"/>
        <v>0.437</v>
      </c>
      <c r="S269" s="3">
        <f t="shared" si="202"/>
        <v>0.127</v>
      </c>
      <c r="T269" s="3">
        <f t="shared" si="203"/>
        <v>-0.31</v>
      </c>
      <c r="U269" s="3">
        <f t="shared" si="204"/>
        <v>-8.1499999999999989E-2</v>
      </c>
      <c r="V269" s="3">
        <f t="shared" si="204"/>
        <v>-6.9500000000000006E-2</v>
      </c>
      <c r="W269" s="3">
        <f t="shared" si="194"/>
        <v>1.1999999999999983E-2</v>
      </c>
      <c r="X269" s="3">
        <f t="shared" si="190"/>
        <v>7.5998283752860387E-3</v>
      </c>
      <c r="Y269" s="3">
        <f t="shared" si="191"/>
        <v>1.9016732283464573E-2</v>
      </c>
      <c r="Z269" s="3">
        <f t="shared" si="205"/>
        <v>1.1416903908178535E-2</v>
      </c>
      <c r="AA269" s="3">
        <v>13.34</v>
      </c>
      <c r="AB269" s="3">
        <v>13.048</v>
      </c>
      <c r="AC269" s="3">
        <f t="shared" si="206"/>
        <v>-0.29199999999999982</v>
      </c>
      <c r="AD269" s="3">
        <f>-496.828826*627.50956</f>
        <v>-311764.83799857652</v>
      </c>
      <c r="AE269" s="3">
        <f>-499.975952*627.50956</f>
        <v>-313739.68965010112</v>
      </c>
      <c r="AF269" s="3">
        <f t="shared" si="207"/>
        <v>-1974.851651524601</v>
      </c>
      <c r="AG269" s="3">
        <f>-496.875954*627.50956</f>
        <v>-311794.41126912023</v>
      </c>
      <c r="AH269" s="3">
        <f>-500.023563*627.50956</f>
        <v>-313769.56600776227</v>
      </c>
      <c r="AI269" s="3">
        <f t="shared" si="208"/>
        <v>-1975.1547386420425</v>
      </c>
      <c r="AJ269" s="3">
        <v>-0.74299999999999999</v>
      </c>
      <c r="AK269" s="3">
        <v>-0.74299999999999999</v>
      </c>
      <c r="AL269" s="3">
        <f t="shared" si="209"/>
        <v>0</v>
      </c>
      <c r="AM269" s="3">
        <v>151.18199999999999</v>
      </c>
      <c r="AN269" s="3">
        <v>211.078</v>
      </c>
      <c r="AO269" s="3">
        <v>234.74600000000001</v>
      </c>
      <c r="AP269" s="3">
        <f t="shared" si="210"/>
        <v>1.1471849840881254</v>
      </c>
      <c r="AQ269" s="3">
        <v>10.194000000000001</v>
      </c>
      <c r="AR269" s="3">
        <v>2.3809999999999998</v>
      </c>
      <c r="AS269" s="3">
        <v>-76.454999999999998</v>
      </c>
      <c r="AT269" s="3">
        <v>-76.055000000000007</v>
      </c>
      <c r="AU269" s="3">
        <f t="shared" si="164"/>
        <v>-0.39999999999999147</v>
      </c>
      <c r="AV269" s="3">
        <v>-0.30399999999999999</v>
      </c>
      <c r="AW269" s="3">
        <v>-0.505</v>
      </c>
      <c r="AX269" s="3">
        <f t="shared" si="165"/>
        <v>0.20100000000000001</v>
      </c>
      <c r="AY269" s="3">
        <v>0.04</v>
      </c>
      <c r="AZ269" s="3">
        <v>0.16400000000000001</v>
      </c>
      <c r="BA269" s="3">
        <f t="shared" si="166"/>
        <v>-0.124</v>
      </c>
      <c r="BB269" s="3">
        <f t="shared" si="167"/>
        <v>0.13200000000000001</v>
      </c>
      <c r="BC269" s="3">
        <f t="shared" si="167"/>
        <v>0.17049999999999998</v>
      </c>
      <c r="BD269" s="3">
        <f t="shared" si="168"/>
        <v>-3.8499999999999979E-2</v>
      </c>
      <c r="BE269" s="3">
        <f t="shared" si="169"/>
        <v>0.34399999999999997</v>
      </c>
      <c r="BF269" s="3">
        <f t="shared" si="169"/>
        <v>0.66900000000000004</v>
      </c>
      <c r="BG269" s="3">
        <f t="shared" si="170"/>
        <v>-0.32500000000000007</v>
      </c>
      <c r="BH269" s="3">
        <f t="shared" si="171"/>
        <v>-0.13200000000000001</v>
      </c>
      <c r="BI269" s="3">
        <f t="shared" si="171"/>
        <v>-0.17049999999999998</v>
      </c>
      <c r="BJ269" s="3">
        <f t="shared" si="195"/>
        <v>3.8499999999999979E-2</v>
      </c>
      <c r="BK269" s="3">
        <f t="shared" si="192"/>
        <v>2.5325581395348844E-2</v>
      </c>
      <c r="BL269" s="3">
        <f t="shared" si="193"/>
        <v>2.1726644245141997E-2</v>
      </c>
      <c r="BM269" s="3">
        <f t="shared" si="172"/>
        <v>3.5989371502068469E-3</v>
      </c>
      <c r="BN269" s="3">
        <v>2.3010000000000002</v>
      </c>
      <c r="BO269" s="3">
        <v>2.3559999999999999</v>
      </c>
      <c r="BP269" s="3">
        <f t="shared" si="173"/>
        <v>-5.4999999999999716E-2</v>
      </c>
      <c r="BQ269" s="3">
        <v>-47960.305999999997</v>
      </c>
      <c r="BR269" s="3">
        <v>-47708.290999999997</v>
      </c>
      <c r="BS269" s="3">
        <f t="shared" si="174"/>
        <v>-252.01499999999942</v>
      </c>
      <c r="BT269" s="3">
        <v>-47973.754999999997</v>
      </c>
      <c r="BU269" s="3">
        <v>-47721.697</v>
      </c>
      <c r="BV269" s="3">
        <f t="shared" si="175"/>
        <v>-252.05799999999726</v>
      </c>
    </row>
    <row r="270" spans="1:74" x14ac:dyDescent="0.25">
      <c r="A270" s="4" t="s">
        <v>450</v>
      </c>
      <c r="B270" t="s">
        <v>513</v>
      </c>
      <c r="C270" t="s">
        <v>199</v>
      </c>
      <c r="D270" s="3">
        <v>13.94</v>
      </c>
      <c r="E270" s="3">
        <v>0.62</v>
      </c>
      <c r="F270" s="3">
        <v>-590.053</v>
      </c>
      <c r="G270" s="3">
        <v>-594.35199999999998</v>
      </c>
      <c r="H270" s="3">
        <f t="shared" si="196"/>
        <v>-4.2989999999999782</v>
      </c>
      <c r="I270" s="3">
        <v>-0.35199999999999998</v>
      </c>
      <c r="J270" s="6">
        <v>-0.17199999999999999</v>
      </c>
      <c r="K270" s="3">
        <f t="shared" si="197"/>
        <v>0.18</v>
      </c>
      <c r="L270" s="3">
        <v>0.13400000000000001</v>
      </c>
      <c r="M270" s="6">
        <v>0.01</v>
      </c>
      <c r="N270" s="3">
        <f t="shared" si="198"/>
        <v>-0.12400000000000001</v>
      </c>
      <c r="O270" s="3">
        <f t="shared" si="199"/>
        <v>0.10899999999999999</v>
      </c>
      <c r="P270" s="3">
        <f t="shared" si="200"/>
        <v>8.0999999999999989E-2</v>
      </c>
      <c r="Q270" s="3">
        <f t="shared" si="201"/>
        <v>-2.7999999999999997E-2</v>
      </c>
      <c r="R270" s="3">
        <f t="shared" si="202"/>
        <v>0.48599999999999999</v>
      </c>
      <c r="S270" s="3">
        <f t="shared" si="202"/>
        <v>0.182</v>
      </c>
      <c r="T270" s="3">
        <f t="shared" si="203"/>
        <v>-0.30399999999999999</v>
      </c>
      <c r="U270" s="3">
        <f t="shared" si="204"/>
        <v>-0.10899999999999999</v>
      </c>
      <c r="V270" s="3">
        <f t="shared" si="204"/>
        <v>-8.0999999999999989E-2</v>
      </c>
      <c r="W270" s="3">
        <f t="shared" si="194"/>
        <v>2.7999999999999997E-2</v>
      </c>
      <c r="X270" s="3">
        <f t="shared" si="190"/>
        <v>1.2223251028806581E-2</v>
      </c>
      <c r="Y270" s="3">
        <f t="shared" si="191"/>
        <v>1.8024725274725269E-2</v>
      </c>
      <c r="Z270" s="3">
        <f t="shared" si="205"/>
        <v>5.8014742459186874E-3</v>
      </c>
      <c r="AA270" s="3">
        <v>28.053000000000001</v>
      </c>
      <c r="AB270" s="3">
        <v>27.609000000000002</v>
      </c>
      <c r="AC270" s="3">
        <f t="shared" si="206"/>
        <v>-0.44399999999999906</v>
      </c>
      <c r="AD270" s="3">
        <f>-590.480332*627.50956</f>
        <v>-370532.05332197389</v>
      </c>
      <c r="AE270" s="3">
        <f>-594.103172*627.50956</f>
        <v>-372805.42005632428</v>
      </c>
      <c r="AF270" s="3">
        <f t="shared" si="207"/>
        <v>-2273.3667343503912</v>
      </c>
      <c r="AG270" s="3">
        <f>-590.531736*627.50956</f>
        <v>-370564.30982339615</v>
      </c>
      <c r="AH270" s="3">
        <f>-594.155556*627.50956</f>
        <v>-372838.29151711537</v>
      </c>
      <c r="AI270" s="3">
        <f t="shared" si="208"/>
        <v>-2273.9816937192227</v>
      </c>
      <c r="AJ270" s="3">
        <v>-0.65300000000000002</v>
      </c>
      <c r="AK270" s="3">
        <v>-0.67200000000000004</v>
      </c>
      <c r="AL270" s="3">
        <f t="shared" si="209"/>
        <v>-1.9000000000000017E-2</v>
      </c>
      <c r="AM270" s="3">
        <v>173.21</v>
      </c>
      <c r="AN270" s="3">
        <v>234.67500000000001</v>
      </c>
      <c r="AO270" s="3">
        <v>265.48899999999998</v>
      </c>
      <c r="AP270" s="3">
        <f t="shared" si="210"/>
        <v>1.174965430590972</v>
      </c>
      <c r="AQ270" s="3">
        <v>12.597</v>
      </c>
      <c r="AR270" s="3">
        <v>3.1</v>
      </c>
      <c r="AS270" s="3">
        <v>-76.454999999999998</v>
      </c>
      <c r="AT270" s="3">
        <v>-76.055000000000007</v>
      </c>
      <c r="AU270" s="3">
        <f t="shared" si="164"/>
        <v>-0.39999999999999147</v>
      </c>
      <c r="AV270" s="3">
        <v>-0.30399999999999999</v>
      </c>
      <c r="AW270" s="3">
        <v>-0.505</v>
      </c>
      <c r="AX270" s="3">
        <f t="shared" si="165"/>
        <v>0.20100000000000001</v>
      </c>
      <c r="AY270" s="3">
        <v>0.04</v>
      </c>
      <c r="AZ270" s="3">
        <v>0.16400000000000001</v>
      </c>
      <c r="BA270" s="3">
        <f t="shared" si="166"/>
        <v>-0.124</v>
      </c>
      <c r="BB270" s="3">
        <f t="shared" si="167"/>
        <v>0.13200000000000001</v>
      </c>
      <c r="BC270" s="3">
        <f t="shared" si="167"/>
        <v>0.17049999999999998</v>
      </c>
      <c r="BD270" s="3">
        <f t="shared" si="168"/>
        <v>-3.8499999999999979E-2</v>
      </c>
      <c r="BE270" s="3">
        <f t="shared" si="169"/>
        <v>0.34399999999999997</v>
      </c>
      <c r="BF270" s="3">
        <f t="shared" si="169"/>
        <v>0.66900000000000004</v>
      </c>
      <c r="BG270" s="3">
        <f t="shared" si="170"/>
        <v>-0.32500000000000007</v>
      </c>
      <c r="BH270" s="3">
        <f t="shared" si="171"/>
        <v>-0.13200000000000001</v>
      </c>
      <c r="BI270" s="3">
        <f t="shared" si="171"/>
        <v>-0.17049999999999998</v>
      </c>
      <c r="BJ270" s="3">
        <f t="shared" si="195"/>
        <v>3.8499999999999979E-2</v>
      </c>
      <c r="BK270" s="3">
        <f t="shared" si="192"/>
        <v>2.5325581395348844E-2</v>
      </c>
      <c r="BL270" s="3">
        <f t="shared" si="193"/>
        <v>2.1726644245141997E-2</v>
      </c>
      <c r="BM270" s="3">
        <f t="shared" si="172"/>
        <v>3.5989371502068469E-3</v>
      </c>
      <c r="BN270" s="3">
        <v>2.3010000000000002</v>
      </c>
      <c r="BO270" s="3">
        <v>2.3559999999999999</v>
      </c>
      <c r="BP270" s="3">
        <f t="shared" si="173"/>
        <v>-5.4999999999999716E-2</v>
      </c>
      <c r="BQ270" s="3">
        <v>-47960.305999999997</v>
      </c>
      <c r="BR270" s="3">
        <v>-47708.290999999997</v>
      </c>
      <c r="BS270" s="3">
        <f t="shared" si="174"/>
        <v>-252.01499999999942</v>
      </c>
      <c r="BT270" s="3">
        <v>-47973.754999999997</v>
      </c>
      <c r="BU270" s="3">
        <v>-47721.697</v>
      </c>
      <c r="BV270" s="3">
        <f t="shared" si="175"/>
        <v>-252.05799999999726</v>
      </c>
    </row>
    <row r="271" spans="1:74" x14ac:dyDescent="0.25">
      <c r="A271" s="2" t="s">
        <v>451</v>
      </c>
      <c r="B271" t="s">
        <v>513</v>
      </c>
      <c r="C271" t="s">
        <v>199</v>
      </c>
      <c r="D271" s="3">
        <v>14.07</v>
      </c>
      <c r="E271" s="3">
        <v>0.56000000000000005</v>
      </c>
      <c r="F271" s="3">
        <v>-396.70800000000003</v>
      </c>
      <c r="G271" s="3">
        <v>-398.95800000000003</v>
      </c>
      <c r="H271" s="3">
        <f t="shared" si="196"/>
        <v>-2.25</v>
      </c>
      <c r="I271" s="3">
        <v>-0.35199999999999998</v>
      </c>
      <c r="J271" s="6">
        <v>-0.17100000000000001</v>
      </c>
      <c r="K271" s="3">
        <f t="shared" si="197"/>
        <v>0.18099999999999997</v>
      </c>
      <c r="L271" s="3">
        <v>0.125</v>
      </c>
      <c r="M271" s="6">
        <v>2E-3</v>
      </c>
      <c r="N271" s="3">
        <f t="shared" si="198"/>
        <v>-0.123</v>
      </c>
      <c r="O271" s="3">
        <f t="shared" si="199"/>
        <v>0.11349999999999999</v>
      </c>
      <c r="P271" s="3">
        <f t="shared" si="200"/>
        <v>8.4500000000000006E-2</v>
      </c>
      <c r="Q271" s="3">
        <f t="shared" si="201"/>
        <v>-2.8999999999999984E-2</v>
      </c>
      <c r="R271" s="3">
        <f t="shared" si="202"/>
        <v>0.47699999999999998</v>
      </c>
      <c r="S271" s="3">
        <f t="shared" si="202"/>
        <v>0.17300000000000001</v>
      </c>
      <c r="T271" s="3">
        <f t="shared" si="203"/>
        <v>-0.30399999999999994</v>
      </c>
      <c r="U271" s="3">
        <f t="shared" si="204"/>
        <v>-0.11349999999999999</v>
      </c>
      <c r="V271" s="3">
        <f t="shared" si="204"/>
        <v>-8.4500000000000006E-2</v>
      </c>
      <c r="W271" s="3">
        <f t="shared" si="194"/>
        <v>2.8999999999999984E-2</v>
      </c>
      <c r="X271" s="3">
        <f t="shared" si="190"/>
        <v>1.3503406708595386E-2</v>
      </c>
      <c r="Y271" s="3">
        <f t="shared" si="191"/>
        <v>2.0636560693641618E-2</v>
      </c>
      <c r="Z271" s="3">
        <f t="shared" si="205"/>
        <v>7.1331539850462318E-3</v>
      </c>
      <c r="AA271" s="3">
        <v>26.27</v>
      </c>
      <c r="AB271" s="3">
        <v>25.806000000000001</v>
      </c>
      <c r="AC271" s="3">
        <f t="shared" si="206"/>
        <v>-0.46399999999999864</v>
      </c>
      <c r="AD271" s="3">
        <f>-396.577425*627.50956</f>
        <v>-248856.12546768298</v>
      </c>
      <c r="AE271" s="3">
        <f>-398.835264*627.50956</f>
        <v>-250272.94102512382</v>
      </c>
      <c r="AF271" s="3">
        <f t="shared" si="207"/>
        <v>-1416.8155574408302</v>
      </c>
      <c r="AG271" s="3">
        <f>-396.618934*627.50956</f>
        <v>-248882.17276200905</v>
      </c>
      <c r="AH271" s="3">
        <f>-398.877109*627.50956</f>
        <v>-250299.19916266203</v>
      </c>
      <c r="AI271" s="3">
        <f t="shared" si="208"/>
        <v>-1417.026400652976</v>
      </c>
      <c r="AJ271" s="3">
        <v>-0.65200000000000002</v>
      </c>
      <c r="AK271" s="3">
        <v>-0.67200000000000004</v>
      </c>
      <c r="AL271" s="3">
        <f t="shared" si="209"/>
        <v>-2.0000000000000018E-2</v>
      </c>
      <c r="AM271" s="3">
        <v>105.093</v>
      </c>
      <c r="AN271" s="3">
        <v>154.892</v>
      </c>
      <c r="AO271" s="3">
        <v>150.89599999999999</v>
      </c>
      <c r="AP271" s="3">
        <f t="shared" si="210"/>
        <v>1.130229016741912</v>
      </c>
      <c r="AQ271" s="3">
        <v>9.6259999999999994</v>
      </c>
      <c r="AR271" s="3">
        <v>2.1520000000000001</v>
      </c>
      <c r="AS271" s="3">
        <v>-76.454999999999998</v>
      </c>
      <c r="AT271" s="3">
        <v>-76.055000000000007</v>
      </c>
      <c r="AU271" s="3">
        <f t="shared" si="164"/>
        <v>-0.39999999999999147</v>
      </c>
      <c r="AV271" s="3">
        <v>-0.30399999999999999</v>
      </c>
      <c r="AW271" s="3">
        <v>-0.505</v>
      </c>
      <c r="AX271" s="3">
        <f t="shared" si="165"/>
        <v>0.20100000000000001</v>
      </c>
      <c r="AY271" s="3">
        <v>0.04</v>
      </c>
      <c r="AZ271" s="3">
        <v>0.16400000000000001</v>
      </c>
      <c r="BA271" s="3">
        <f t="shared" si="166"/>
        <v>-0.124</v>
      </c>
      <c r="BB271" s="3">
        <f t="shared" ref="BB271:BC285" si="211">-(AV271+AY271)/2</f>
        <v>0.13200000000000001</v>
      </c>
      <c r="BC271" s="3">
        <f t="shared" si="211"/>
        <v>0.17049999999999998</v>
      </c>
      <c r="BD271" s="3">
        <f t="shared" si="168"/>
        <v>-3.8499999999999979E-2</v>
      </c>
      <c r="BE271" s="3">
        <f t="shared" ref="BE271:BF285" si="212">AY271-AV271</f>
        <v>0.34399999999999997</v>
      </c>
      <c r="BF271" s="3">
        <f t="shared" si="212"/>
        <v>0.66900000000000004</v>
      </c>
      <c r="BG271" s="3">
        <f t="shared" si="170"/>
        <v>-0.32500000000000007</v>
      </c>
      <c r="BH271" s="3">
        <f t="shared" ref="BH271:BI285" si="213">(AV271+AY271)/2</f>
        <v>-0.13200000000000001</v>
      </c>
      <c r="BI271" s="3">
        <f t="shared" si="213"/>
        <v>-0.17049999999999998</v>
      </c>
      <c r="BJ271" s="3">
        <f t="shared" si="195"/>
        <v>3.8499999999999979E-2</v>
      </c>
      <c r="BK271" s="3">
        <f t="shared" si="192"/>
        <v>2.5325581395348844E-2</v>
      </c>
      <c r="BL271" s="3">
        <f t="shared" si="193"/>
        <v>2.1726644245141997E-2</v>
      </c>
      <c r="BM271" s="3">
        <f t="shared" si="172"/>
        <v>3.5989371502068469E-3</v>
      </c>
      <c r="BN271" s="3">
        <v>2.3010000000000002</v>
      </c>
      <c r="BO271" s="3">
        <v>2.3559999999999999</v>
      </c>
      <c r="BP271" s="3">
        <f t="shared" si="173"/>
        <v>-5.4999999999999716E-2</v>
      </c>
      <c r="BQ271" s="3">
        <v>-47960.305999999997</v>
      </c>
      <c r="BR271" s="3">
        <v>-47708.290999999997</v>
      </c>
      <c r="BS271" s="3">
        <f t="shared" si="174"/>
        <v>-252.01499999999942</v>
      </c>
      <c r="BT271" s="3">
        <v>-47973.754999999997</v>
      </c>
      <c r="BU271" s="3">
        <v>-47721.697</v>
      </c>
      <c r="BV271" s="3">
        <f t="shared" si="175"/>
        <v>-252.05799999999726</v>
      </c>
    </row>
    <row r="272" spans="1:74" x14ac:dyDescent="0.25">
      <c r="A272" s="4" t="s">
        <v>452</v>
      </c>
      <c r="B272" t="s">
        <v>513</v>
      </c>
      <c r="C272" t="s">
        <v>199</v>
      </c>
      <c r="D272" s="3">
        <v>14.29</v>
      </c>
      <c r="E272" s="3">
        <v>0.51</v>
      </c>
      <c r="F272" s="3">
        <v>-306.48200000000003</v>
      </c>
      <c r="G272" s="3">
        <v>-308.38499999999999</v>
      </c>
      <c r="H272" s="3">
        <f t="shared" si="196"/>
        <v>-1.9029999999999632</v>
      </c>
      <c r="I272" s="3">
        <v>-0.29499999999999998</v>
      </c>
      <c r="J272" s="6">
        <v>-0.126</v>
      </c>
      <c r="K272" s="3">
        <f t="shared" si="197"/>
        <v>0.16899999999999998</v>
      </c>
      <c r="L272" s="3">
        <v>0.16800000000000001</v>
      </c>
      <c r="M272" s="6">
        <v>5.5E-2</v>
      </c>
      <c r="N272" s="3">
        <f t="shared" si="198"/>
        <v>-0.11300000000000002</v>
      </c>
      <c r="O272" s="3">
        <f t="shared" si="199"/>
        <v>6.3499999999999987E-2</v>
      </c>
      <c r="P272" s="3">
        <f t="shared" si="200"/>
        <v>3.5500000000000004E-2</v>
      </c>
      <c r="Q272" s="3">
        <f t="shared" si="201"/>
        <v>-2.7999999999999983E-2</v>
      </c>
      <c r="R272" s="3">
        <f t="shared" si="202"/>
        <v>0.46299999999999997</v>
      </c>
      <c r="S272" s="3">
        <f t="shared" si="202"/>
        <v>0.18099999999999999</v>
      </c>
      <c r="T272" s="3">
        <f t="shared" si="203"/>
        <v>-0.28199999999999997</v>
      </c>
      <c r="U272" s="3">
        <f t="shared" si="204"/>
        <v>-6.3499999999999987E-2</v>
      </c>
      <c r="V272" s="3">
        <f t="shared" si="204"/>
        <v>-3.5500000000000004E-2</v>
      </c>
      <c r="W272" s="3">
        <f t="shared" si="194"/>
        <v>2.7999999999999983E-2</v>
      </c>
      <c r="X272" s="3">
        <f t="shared" si="190"/>
        <v>4.3544816414686814E-3</v>
      </c>
      <c r="Y272" s="3">
        <f t="shared" si="191"/>
        <v>3.4813535911602219E-3</v>
      </c>
      <c r="Z272" s="3">
        <f t="shared" si="205"/>
        <v>-8.7312805030845958E-4</v>
      </c>
      <c r="AA272" s="3">
        <v>8.6609999999999996</v>
      </c>
      <c r="AB272" s="3">
        <v>8.2629999999999999</v>
      </c>
      <c r="AC272" s="3">
        <f t="shared" si="206"/>
        <v>-0.39799999999999969</v>
      </c>
      <c r="AD272" s="3">
        <f>-306.340741*627.50956</f>
        <v>-192231.74359498394</v>
      </c>
      <c r="AE272" s="3">
        <f>-308.252066*627.50956</f>
        <v>-193431.11830475097</v>
      </c>
      <c r="AF272" s="3">
        <f t="shared" si="207"/>
        <v>-1199.3747097670275</v>
      </c>
      <c r="AG272" s="3">
        <f>-306.378658*627.50956</f>
        <v>-192255.53687497045</v>
      </c>
      <c r="AH272" s="3">
        <f>-308.290792*627.50956</f>
        <v>-193455.41923997152</v>
      </c>
      <c r="AI272" s="3">
        <f t="shared" si="208"/>
        <v>-1199.8823650010745</v>
      </c>
      <c r="AJ272" s="3">
        <v>-0.75800000000000001</v>
      </c>
      <c r="AK272" s="3">
        <v>-0.75900000000000001</v>
      </c>
      <c r="AL272" s="3">
        <f t="shared" si="209"/>
        <v>-1.0000000000000009E-3</v>
      </c>
      <c r="AM272" s="3">
        <v>89.113</v>
      </c>
      <c r="AN272" s="3">
        <v>149.54499999999999</v>
      </c>
      <c r="AO272" s="3">
        <v>153.64599999999999</v>
      </c>
      <c r="AP272" s="3">
        <f t="shared" si="210"/>
        <v>1.0781528664660929</v>
      </c>
      <c r="AQ272" s="3">
        <v>7.2729999999999997</v>
      </c>
      <c r="AR272" s="3">
        <v>1.627</v>
      </c>
      <c r="AS272" s="3">
        <v>-76.454999999999998</v>
      </c>
      <c r="AT272" s="3">
        <v>-76.055000000000007</v>
      </c>
      <c r="AU272" s="3">
        <f t="shared" si="164"/>
        <v>-0.39999999999999147</v>
      </c>
      <c r="AV272" s="3">
        <v>-0.30399999999999999</v>
      </c>
      <c r="AW272" s="3">
        <v>-0.505</v>
      </c>
      <c r="AX272" s="3">
        <f t="shared" si="165"/>
        <v>0.20100000000000001</v>
      </c>
      <c r="AY272" s="3">
        <v>0.04</v>
      </c>
      <c r="AZ272" s="3">
        <v>0.16400000000000001</v>
      </c>
      <c r="BA272" s="3">
        <f t="shared" si="166"/>
        <v>-0.124</v>
      </c>
      <c r="BB272" s="3">
        <f t="shared" si="211"/>
        <v>0.13200000000000001</v>
      </c>
      <c r="BC272" s="3">
        <f t="shared" si="211"/>
        <v>0.17049999999999998</v>
      </c>
      <c r="BD272" s="3">
        <f t="shared" si="168"/>
        <v>-3.8499999999999979E-2</v>
      </c>
      <c r="BE272" s="3">
        <f t="shared" si="212"/>
        <v>0.34399999999999997</v>
      </c>
      <c r="BF272" s="3">
        <f t="shared" si="212"/>
        <v>0.66900000000000004</v>
      </c>
      <c r="BG272" s="3">
        <f t="shared" si="170"/>
        <v>-0.32500000000000007</v>
      </c>
      <c r="BH272" s="3">
        <f t="shared" si="213"/>
        <v>-0.13200000000000001</v>
      </c>
      <c r="BI272" s="3">
        <f t="shared" si="213"/>
        <v>-0.17049999999999998</v>
      </c>
      <c r="BJ272" s="3">
        <f t="shared" si="195"/>
        <v>3.8499999999999979E-2</v>
      </c>
      <c r="BK272" s="3">
        <f t="shared" si="192"/>
        <v>2.5325581395348844E-2</v>
      </c>
      <c r="BL272" s="3">
        <f t="shared" si="193"/>
        <v>2.1726644245141997E-2</v>
      </c>
      <c r="BM272" s="3">
        <f t="shared" si="172"/>
        <v>3.5989371502068469E-3</v>
      </c>
      <c r="BN272" s="3">
        <v>2.3010000000000002</v>
      </c>
      <c r="BO272" s="3">
        <v>2.3559999999999999</v>
      </c>
      <c r="BP272" s="3">
        <f t="shared" si="173"/>
        <v>-5.4999999999999716E-2</v>
      </c>
      <c r="BQ272" s="3">
        <v>-47960.305999999997</v>
      </c>
      <c r="BR272" s="3">
        <v>-47708.290999999997</v>
      </c>
      <c r="BS272" s="3">
        <f t="shared" si="174"/>
        <v>-252.01499999999942</v>
      </c>
      <c r="BT272" s="3">
        <v>-47973.754999999997</v>
      </c>
      <c r="BU272" s="3">
        <v>-47721.697</v>
      </c>
      <c r="BV272" s="3">
        <f t="shared" si="175"/>
        <v>-252.05799999999726</v>
      </c>
    </row>
    <row r="273" spans="1:74" x14ac:dyDescent="0.25">
      <c r="A273" s="4" t="s">
        <v>453</v>
      </c>
      <c r="B273" t="s">
        <v>513</v>
      </c>
      <c r="C273" t="s">
        <v>199</v>
      </c>
      <c r="D273" s="3">
        <v>14.3</v>
      </c>
      <c r="E273" s="3">
        <v>0.62</v>
      </c>
      <c r="F273" s="3">
        <v>-344.18299999999999</v>
      </c>
      <c r="G273" s="3">
        <v>-346.392</v>
      </c>
      <c r="H273" s="3">
        <f t="shared" si="196"/>
        <v>-2.2090000000000032</v>
      </c>
      <c r="I273" s="3">
        <v>-0.23400000000000001</v>
      </c>
      <c r="J273" s="6">
        <v>-0.153</v>
      </c>
      <c r="K273" s="3">
        <f t="shared" si="197"/>
        <v>8.1000000000000016E-2</v>
      </c>
      <c r="L273" s="3">
        <v>0.156</v>
      </c>
      <c r="M273" s="6">
        <v>1.9E-2</v>
      </c>
      <c r="N273" s="3">
        <f t="shared" si="198"/>
        <v>-0.13700000000000001</v>
      </c>
      <c r="O273" s="3">
        <f t="shared" si="199"/>
        <v>3.9000000000000007E-2</v>
      </c>
      <c r="P273" s="3">
        <f t="shared" si="200"/>
        <v>6.7000000000000004E-2</v>
      </c>
      <c r="Q273" s="3">
        <f t="shared" si="201"/>
        <v>2.7999999999999997E-2</v>
      </c>
      <c r="R273" s="3">
        <f t="shared" si="202"/>
        <v>0.39</v>
      </c>
      <c r="S273" s="3">
        <f t="shared" si="202"/>
        <v>0.17199999999999999</v>
      </c>
      <c r="T273" s="3">
        <f t="shared" si="203"/>
        <v>-0.21800000000000003</v>
      </c>
      <c r="U273" s="3">
        <f t="shared" si="204"/>
        <v>-3.9000000000000007E-2</v>
      </c>
      <c r="V273" s="3">
        <f t="shared" si="204"/>
        <v>-6.7000000000000004E-2</v>
      </c>
      <c r="W273" s="3">
        <f t="shared" si="194"/>
        <v>-2.7999999999999997E-2</v>
      </c>
      <c r="X273" s="3">
        <f t="shared" si="190"/>
        <v>1.9500000000000006E-3</v>
      </c>
      <c r="Y273" s="3">
        <f t="shared" si="191"/>
        <v>1.3049418604651166E-2</v>
      </c>
      <c r="Z273" s="3">
        <f t="shared" si="205"/>
        <v>1.1099418604651166E-2</v>
      </c>
      <c r="AA273" s="3">
        <v>9.5679999999999996</v>
      </c>
      <c r="AB273" s="3">
        <v>8.6229999999999993</v>
      </c>
      <c r="AC273" s="3">
        <f t="shared" si="206"/>
        <v>-0.94500000000000028</v>
      </c>
      <c r="AD273" s="3">
        <f>-344.049371*627.50956</f>
        <v>-215894.26941448674</v>
      </c>
      <c r="AE273" s="3">
        <f>-346.26584*627.50956</f>
        <v>-217285.12490143039</v>
      </c>
      <c r="AF273" s="3">
        <f t="shared" si="207"/>
        <v>-1390.8554869436484</v>
      </c>
      <c r="AG273" s="3">
        <f>-344.089186*627.50956</f>
        <v>-215919.25370761813</v>
      </c>
      <c r="AH273" s="3">
        <f>-346.306171*627.50956</f>
        <v>-217310.43298949476</v>
      </c>
      <c r="AI273" s="3">
        <f t="shared" si="208"/>
        <v>-1391.1792818766262</v>
      </c>
      <c r="AJ273" s="3">
        <v>-0.94699999999999995</v>
      </c>
      <c r="AK273" s="3">
        <v>-0.83799999999999997</v>
      </c>
      <c r="AL273" s="3">
        <f t="shared" si="209"/>
        <v>0.10899999999999999</v>
      </c>
      <c r="AM273" s="3">
        <v>107.13</v>
      </c>
      <c r="AN273" s="3">
        <v>167.036</v>
      </c>
      <c r="AO273" s="3">
        <v>171.09399999999999</v>
      </c>
      <c r="AP273" s="3">
        <f t="shared" si="210"/>
        <v>1.1209240276789814</v>
      </c>
      <c r="AQ273" s="3">
        <v>8.9250000000000007</v>
      </c>
      <c r="AR273" s="3">
        <v>2.0070000000000001</v>
      </c>
      <c r="AS273" s="3">
        <v>-76.454999999999998</v>
      </c>
      <c r="AT273" s="3">
        <v>-76.055000000000007</v>
      </c>
      <c r="AU273" s="3">
        <f t="shared" si="164"/>
        <v>-0.39999999999999147</v>
      </c>
      <c r="AV273" s="3">
        <v>-0.30399999999999999</v>
      </c>
      <c r="AW273" s="3">
        <v>-0.505</v>
      </c>
      <c r="AX273" s="3">
        <f t="shared" si="165"/>
        <v>0.20100000000000001</v>
      </c>
      <c r="AY273" s="3">
        <v>0.04</v>
      </c>
      <c r="AZ273" s="3">
        <v>0.16400000000000001</v>
      </c>
      <c r="BA273" s="3">
        <f t="shared" si="166"/>
        <v>-0.124</v>
      </c>
      <c r="BB273" s="3">
        <f t="shared" si="211"/>
        <v>0.13200000000000001</v>
      </c>
      <c r="BC273" s="3">
        <f t="shared" si="211"/>
        <v>0.17049999999999998</v>
      </c>
      <c r="BD273" s="3">
        <f t="shared" si="168"/>
        <v>-3.8499999999999979E-2</v>
      </c>
      <c r="BE273" s="3">
        <f t="shared" si="212"/>
        <v>0.34399999999999997</v>
      </c>
      <c r="BF273" s="3">
        <f t="shared" si="212"/>
        <v>0.66900000000000004</v>
      </c>
      <c r="BG273" s="3">
        <f t="shared" si="170"/>
        <v>-0.32500000000000007</v>
      </c>
      <c r="BH273" s="3">
        <f t="shared" si="213"/>
        <v>-0.13200000000000001</v>
      </c>
      <c r="BI273" s="3">
        <f t="shared" si="213"/>
        <v>-0.17049999999999998</v>
      </c>
      <c r="BJ273" s="3">
        <f t="shared" si="195"/>
        <v>3.8499999999999979E-2</v>
      </c>
      <c r="BK273" s="3">
        <f t="shared" si="192"/>
        <v>2.5325581395348844E-2</v>
      </c>
      <c r="BL273" s="3">
        <f t="shared" si="193"/>
        <v>2.1726644245141997E-2</v>
      </c>
      <c r="BM273" s="3">
        <f t="shared" si="172"/>
        <v>3.5989371502068469E-3</v>
      </c>
      <c r="BN273" s="3">
        <v>2.3010000000000002</v>
      </c>
      <c r="BO273" s="3">
        <v>2.3559999999999999</v>
      </c>
      <c r="BP273" s="3">
        <f t="shared" si="173"/>
        <v>-5.4999999999999716E-2</v>
      </c>
      <c r="BQ273" s="3">
        <v>-47960.305999999997</v>
      </c>
      <c r="BR273" s="3">
        <v>-47708.290999999997</v>
      </c>
      <c r="BS273" s="3">
        <f t="shared" si="174"/>
        <v>-252.01499999999942</v>
      </c>
      <c r="BT273" s="3">
        <v>-47973.754999999997</v>
      </c>
      <c r="BU273" s="3">
        <v>-47721.697</v>
      </c>
      <c r="BV273" s="3">
        <f t="shared" si="175"/>
        <v>-252.05799999999726</v>
      </c>
    </row>
    <row r="274" spans="1:74" x14ac:dyDescent="0.25">
      <c r="A274" s="2" t="s">
        <v>454</v>
      </c>
      <c r="B274" t="s">
        <v>513</v>
      </c>
      <c r="C274" t="s">
        <v>200</v>
      </c>
      <c r="D274" s="3">
        <v>14.32</v>
      </c>
      <c r="E274" s="3">
        <v>0.77</v>
      </c>
      <c r="F274" s="3">
        <v>-508.69099999999997</v>
      </c>
      <c r="G274" s="3">
        <v>-511.65199999999999</v>
      </c>
      <c r="H274" s="3">
        <f t="shared" si="196"/>
        <v>-2.9610000000000127</v>
      </c>
      <c r="I274" s="3">
        <v>-0.26800000000000002</v>
      </c>
      <c r="J274" s="6">
        <v>-0.191</v>
      </c>
      <c r="K274" s="3">
        <f t="shared" si="197"/>
        <v>7.7000000000000013E-2</v>
      </c>
      <c r="L274" s="3">
        <v>8.5999999999999993E-2</v>
      </c>
      <c r="M274" s="6">
        <v>-6.3E-2</v>
      </c>
      <c r="N274" s="3">
        <f t="shared" si="198"/>
        <v>-0.14899999999999999</v>
      </c>
      <c r="O274" s="3">
        <f t="shared" si="199"/>
        <v>9.1000000000000011E-2</v>
      </c>
      <c r="P274" s="3">
        <f t="shared" si="200"/>
        <v>0.127</v>
      </c>
      <c r="Q274" s="3">
        <f t="shared" si="201"/>
        <v>3.599999999999999E-2</v>
      </c>
      <c r="R274" s="3">
        <f t="shared" si="202"/>
        <v>0.35399999999999998</v>
      </c>
      <c r="S274" s="3">
        <f t="shared" si="202"/>
        <v>0.128</v>
      </c>
      <c r="T274" s="3">
        <f t="shared" si="203"/>
        <v>-0.22599999999999998</v>
      </c>
      <c r="U274" s="3">
        <f t="shared" si="204"/>
        <v>-9.1000000000000011E-2</v>
      </c>
      <c r="V274" s="3">
        <f t="shared" si="204"/>
        <v>-0.127</v>
      </c>
      <c r="W274" s="3">
        <f t="shared" si="194"/>
        <v>-3.599999999999999E-2</v>
      </c>
      <c r="X274" s="3">
        <f t="shared" si="190"/>
        <v>1.1696327683615823E-2</v>
      </c>
      <c r="Y274" s="3">
        <f t="shared" si="191"/>
        <v>6.3003906250000005E-2</v>
      </c>
      <c r="Z274" s="3">
        <f t="shared" si="205"/>
        <v>5.1307578566384182E-2</v>
      </c>
      <c r="AA274" s="3">
        <v>2.2519999999999998</v>
      </c>
      <c r="AB274" s="3">
        <v>1.35</v>
      </c>
      <c r="AC274" s="3">
        <f t="shared" si="206"/>
        <v>-0.90199999999999969</v>
      </c>
      <c r="AD274" s="3">
        <f>-508.582526*627.50956</f>
        <v>-319140.39711394854</v>
      </c>
      <c r="AE274" s="3">
        <f>-511.549522*627.50956</f>
        <v>-321002.21546843031</v>
      </c>
      <c r="AF274" s="3">
        <f t="shared" si="207"/>
        <v>-1861.818354481773</v>
      </c>
      <c r="AG274" s="3">
        <f>-508.623318*627.50956</f>
        <v>-319165.99448392005</v>
      </c>
      <c r="AH274" s="3">
        <f>-511.591261*627.50956</f>
        <v>-321028.40708995512</v>
      </c>
      <c r="AI274" s="3">
        <f t="shared" si="208"/>
        <v>-1862.4126060350682</v>
      </c>
      <c r="AJ274" s="3">
        <v>-0.83799999999999997</v>
      </c>
      <c r="AK274" s="3">
        <v>-0.73</v>
      </c>
      <c r="AL274" s="3">
        <f t="shared" si="209"/>
        <v>0.10799999999999998</v>
      </c>
      <c r="AM274" s="3">
        <v>138.101</v>
      </c>
      <c r="AN274" s="3">
        <v>166.49700000000001</v>
      </c>
      <c r="AO274" s="3">
        <v>169.47300000000001</v>
      </c>
      <c r="AP274" s="3">
        <f t="shared" si="210"/>
        <v>1.1244203184663446</v>
      </c>
      <c r="AQ274" s="3">
        <v>9.2810000000000006</v>
      </c>
      <c r="AR274" s="3">
        <v>2.3010000000000002</v>
      </c>
      <c r="AS274" s="3">
        <v>-553.27200000000005</v>
      </c>
      <c r="AT274" s="3">
        <v>-551.61699999999996</v>
      </c>
      <c r="AU274" s="3">
        <f t="shared" si="164"/>
        <v>-1.6550000000000864</v>
      </c>
      <c r="AV274" s="3">
        <v>-0.23699999999999999</v>
      </c>
      <c r="AW274" s="3">
        <v>-0.36899999999999999</v>
      </c>
      <c r="AX274" s="3">
        <f t="shared" si="165"/>
        <v>0.13200000000000001</v>
      </c>
      <c r="AY274" s="3">
        <v>2.8000000000000001E-2</v>
      </c>
      <c r="AZ274" s="3">
        <v>0.154</v>
      </c>
      <c r="BA274" s="3">
        <f t="shared" si="166"/>
        <v>-0.126</v>
      </c>
      <c r="BB274" s="3">
        <f t="shared" si="211"/>
        <v>0.1045</v>
      </c>
      <c r="BC274" s="3">
        <f t="shared" si="211"/>
        <v>0.1075</v>
      </c>
      <c r="BD274" s="3">
        <f t="shared" si="168"/>
        <v>-3.0000000000000027E-3</v>
      </c>
      <c r="BE274" s="3">
        <f t="shared" si="212"/>
        <v>0.26500000000000001</v>
      </c>
      <c r="BF274" s="3">
        <f t="shared" si="212"/>
        <v>0.52300000000000002</v>
      </c>
      <c r="BG274" s="3">
        <f t="shared" si="170"/>
        <v>-0.25800000000000001</v>
      </c>
      <c r="BH274" s="3">
        <f t="shared" si="213"/>
        <v>-0.1045</v>
      </c>
      <c r="BI274" s="3">
        <f t="shared" si="213"/>
        <v>-0.1075</v>
      </c>
      <c r="BJ274" s="3">
        <f t="shared" si="195"/>
        <v>3.0000000000000027E-3</v>
      </c>
      <c r="BK274" s="3">
        <f t="shared" si="192"/>
        <v>2.0604245283018865E-2</v>
      </c>
      <c r="BL274" s="3">
        <f t="shared" si="193"/>
        <v>1.104804015296367E-2</v>
      </c>
      <c r="BM274" s="3">
        <f t="shared" si="172"/>
        <v>9.5562051300551957E-3</v>
      </c>
      <c r="BN274" s="3">
        <v>5.4870000000000001</v>
      </c>
      <c r="BO274" s="3">
        <v>6.0839999999999996</v>
      </c>
      <c r="BP274" s="3">
        <f t="shared" si="173"/>
        <v>-0.59699999999999953</v>
      </c>
      <c r="BQ274" s="3">
        <v>-347129.96399999998</v>
      </c>
      <c r="BR274" s="3">
        <v>-346087.64600000001</v>
      </c>
      <c r="BS274" s="3">
        <f t="shared" si="174"/>
        <v>-1042.3179999999702</v>
      </c>
      <c r="BT274" s="3">
        <v>-347152.04599999997</v>
      </c>
      <c r="BU274" s="3">
        <v>-346109.22600000002</v>
      </c>
      <c r="BV274" s="3">
        <f t="shared" si="175"/>
        <v>-1042.8199999999488</v>
      </c>
    </row>
    <row r="275" spans="1:74" x14ac:dyDescent="0.25">
      <c r="A275" s="4" t="s">
        <v>455</v>
      </c>
      <c r="B275" t="s">
        <v>513</v>
      </c>
      <c r="C275" t="s">
        <v>199</v>
      </c>
      <c r="D275" s="3">
        <v>14.33</v>
      </c>
      <c r="E275" s="3">
        <v>0.56999999999999995</v>
      </c>
      <c r="F275" s="3">
        <v>-435.75299999999999</v>
      </c>
      <c r="G275" s="3">
        <v>-438.28300000000002</v>
      </c>
      <c r="H275" s="3">
        <f t="shared" si="196"/>
        <v>-2.5300000000000296</v>
      </c>
      <c r="I275" s="3">
        <v>-0.34699999999999998</v>
      </c>
      <c r="J275" s="6">
        <v>-0.16700000000000001</v>
      </c>
      <c r="K275" s="3">
        <f t="shared" si="197"/>
        <v>0.17999999999999997</v>
      </c>
      <c r="L275" s="3">
        <v>0.126</v>
      </c>
      <c r="M275" s="6">
        <v>2E-3</v>
      </c>
      <c r="N275" s="3">
        <f t="shared" si="198"/>
        <v>-0.124</v>
      </c>
      <c r="O275" s="3">
        <f t="shared" si="199"/>
        <v>0.11049999999999999</v>
      </c>
      <c r="P275" s="3">
        <f t="shared" si="200"/>
        <v>8.2500000000000004E-2</v>
      </c>
      <c r="Q275" s="3">
        <f t="shared" si="201"/>
        <v>-2.7999999999999983E-2</v>
      </c>
      <c r="R275" s="3">
        <f t="shared" si="202"/>
        <v>0.47299999999999998</v>
      </c>
      <c r="S275" s="3">
        <f t="shared" si="202"/>
        <v>0.16900000000000001</v>
      </c>
      <c r="T275" s="3">
        <f t="shared" si="203"/>
        <v>-0.30399999999999994</v>
      </c>
      <c r="U275" s="3">
        <f t="shared" si="204"/>
        <v>-0.11049999999999999</v>
      </c>
      <c r="V275" s="3">
        <f t="shared" si="204"/>
        <v>-8.2500000000000004E-2</v>
      </c>
      <c r="W275" s="3">
        <f t="shared" si="194"/>
        <v>2.7999999999999983E-2</v>
      </c>
      <c r="X275" s="3">
        <f t="shared" si="190"/>
        <v>1.2907241014799151E-2</v>
      </c>
      <c r="Y275" s="3">
        <f t="shared" si="191"/>
        <v>2.0136834319526627E-2</v>
      </c>
      <c r="Z275" s="3">
        <f t="shared" si="205"/>
        <v>7.2295933047274753E-3</v>
      </c>
      <c r="AA275" s="3">
        <v>31.817</v>
      </c>
      <c r="AB275" s="3">
        <v>31.244</v>
      </c>
      <c r="AC275" s="3">
        <f t="shared" si="206"/>
        <v>-0.5730000000000004</v>
      </c>
      <c r="AD275" s="3">
        <f>-435.590647*627.50956</f>
        <v>-273337.29523908527</v>
      </c>
      <c r="AE275" s="3">
        <f>-438.13053*627.50956</f>
        <v>-274931.09610286681</v>
      </c>
      <c r="AF275" s="3">
        <f t="shared" si="207"/>
        <v>-1593.8008637815365</v>
      </c>
      <c r="AG275" s="3">
        <f>-435.634991*627.50956</f>
        <v>-273365.12152301398</v>
      </c>
      <c r="AH275" s="3">
        <f>-438.176053*627.50956</f>
        <v>-274959.66222056671</v>
      </c>
      <c r="AI275" s="3">
        <f t="shared" si="208"/>
        <v>-1594.5406975527294</v>
      </c>
      <c r="AJ275" s="3">
        <v>-0.66200000000000003</v>
      </c>
      <c r="AK275" s="3">
        <v>-0.68</v>
      </c>
      <c r="AL275" s="3">
        <f t="shared" si="209"/>
        <v>-1.8000000000000016E-2</v>
      </c>
      <c r="AM275" s="3">
        <v>119.119</v>
      </c>
      <c r="AN275" s="3">
        <v>177.33699999999999</v>
      </c>
      <c r="AO275" s="3">
        <v>178.90299999999999</v>
      </c>
      <c r="AP275" s="3">
        <f t="shared" si="210"/>
        <v>1.1551637683252418</v>
      </c>
      <c r="AQ275" s="3">
        <v>10.882999999999999</v>
      </c>
      <c r="AR275" s="3">
        <v>2.5209999999999999</v>
      </c>
      <c r="AS275" s="3">
        <v>-76.454999999999998</v>
      </c>
      <c r="AT275" s="3">
        <v>-76.055000000000007</v>
      </c>
      <c r="AU275" s="3">
        <f t="shared" si="164"/>
        <v>-0.39999999999999147</v>
      </c>
      <c r="AV275" s="3">
        <v>-0.30399999999999999</v>
      </c>
      <c r="AW275" s="3">
        <v>-0.505</v>
      </c>
      <c r="AX275" s="3">
        <f t="shared" si="165"/>
        <v>0.20100000000000001</v>
      </c>
      <c r="AY275" s="3">
        <v>0.04</v>
      </c>
      <c r="AZ275" s="3">
        <v>0.16400000000000001</v>
      </c>
      <c r="BA275" s="3">
        <f t="shared" si="166"/>
        <v>-0.124</v>
      </c>
      <c r="BB275" s="3">
        <f t="shared" si="211"/>
        <v>0.13200000000000001</v>
      </c>
      <c r="BC275" s="3">
        <f t="shared" si="211"/>
        <v>0.17049999999999998</v>
      </c>
      <c r="BD275" s="3">
        <f t="shared" si="168"/>
        <v>-3.8499999999999979E-2</v>
      </c>
      <c r="BE275" s="3">
        <f t="shared" si="212"/>
        <v>0.34399999999999997</v>
      </c>
      <c r="BF275" s="3">
        <f t="shared" si="212"/>
        <v>0.66900000000000004</v>
      </c>
      <c r="BG275" s="3">
        <f t="shared" si="170"/>
        <v>-0.32500000000000007</v>
      </c>
      <c r="BH275" s="3">
        <f t="shared" si="213"/>
        <v>-0.13200000000000001</v>
      </c>
      <c r="BI275" s="3">
        <f t="shared" si="213"/>
        <v>-0.17049999999999998</v>
      </c>
      <c r="BJ275" s="3">
        <f t="shared" si="195"/>
        <v>3.8499999999999979E-2</v>
      </c>
      <c r="BK275" s="3">
        <f t="shared" si="192"/>
        <v>2.5325581395348844E-2</v>
      </c>
      <c r="BL275" s="3">
        <f t="shared" si="193"/>
        <v>2.1726644245141997E-2</v>
      </c>
      <c r="BM275" s="3">
        <f t="shared" si="172"/>
        <v>3.5989371502068469E-3</v>
      </c>
      <c r="BN275" s="3">
        <v>2.3010000000000002</v>
      </c>
      <c r="BO275" s="3">
        <v>2.3559999999999999</v>
      </c>
      <c r="BP275" s="3">
        <f t="shared" si="173"/>
        <v>-5.4999999999999716E-2</v>
      </c>
      <c r="BQ275" s="3">
        <v>-47960.305999999997</v>
      </c>
      <c r="BR275" s="3">
        <v>-47708.290999999997</v>
      </c>
      <c r="BS275" s="3">
        <f t="shared" si="174"/>
        <v>-252.01499999999942</v>
      </c>
      <c r="BT275" s="3">
        <v>-47973.754999999997</v>
      </c>
      <c r="BU275" s="3">
        <v>-47721.697</v>
      </c>
      <c r="BV275" s="3">
        <f t="shared" si="175"/>
        <v>-252.05799999999726</v>
      </c>
    </row>
    <row r="276" spans="1:74" x14ac:dyDescent="0.25">
      <c r="A276" s="2" t="s">
        <v>456</v>
      </c>
      <c r="B276" t="s">
        <v>513</v>
      </c>
      <c r="C276" t="s">
        <v>199</v>
      </c>
      <c r="D276" s="3">
        <v>14.41</v>
      </c>
      <c r="E276" s="3">
        <v>0.6</v>
      </c>
      <c r="F276" s="3">
        <v>-772.00199999999995</v>
      </c>
      <c r="G276" s="3">
        <v>-774.55200000000002</v>
      </c>
      <c r="H276" s="3">
        <f t="shared" si="196"/>
        <v>-2.5500000000000682</v>
      </c>
      <c r="I276" s="3">
        <v>-0.34599999999999997</v>
      </c>
      <c r="J276" s="6">
        <v>-0.14699999999999999</v>
      </c>
      <c r="K276" s="3">
        <f t="shared" si="197"/>
        <v>0.19899999999999998</v>
      </c>
      <c r="L276" s="3">
        <v>0.28799999999999998</v>
      </c>
      <c r="M276" s="6">
        <v>8.7999999999999995E-2</v>
      </c>
      <c r="N276" s="3">
        <f t="shared" si="198"/>
        <v>-0.19999999999999998</v>
      </c>
      <c r="O276" s="3">
        <f t="shared" si="199"/>
        <v>2.8999999999999998E-2</v>
      </c>
      <c r="P276" s="3">
        <f t="shared" si="200"/>
        <v>2.9499999999999998E-2</v>
      </c>
      <c r="Q276" s="3">
        <f t="shared" si="201"/>
        <v>5.0000000000000044E-4</v>
      </c>
      <c r="R276" s="3">
        <f t="shared" si="202"/>
        <v>0.6339999999999999</v>
      </c>
      <c r="S276" s="3">
        <f t="shared" si="202"/>
        <v>0.23499999999999999</v>
      </c>
      <c r="T276" s="3">
        <f t="shared" si="203"/>
        <v>-0.39899999999999991</v>
      </c>
      <c r="U276" s="3">
        <f t="shared" si="204"/>
        <v>-2.8999999999999998E-2</v>
      </c>
      <c r="V276" s="3">
        <f t="shared" si="204"/>
        <v>-2.9499999999999998E-2</v>
      </c>
      <c r="W276" s="3">
        <f t="shared" si="194"/>
        <v>-5.0000000000000044E-4</v>
      </c>
      <c r="X276" s="3">
        <f t="shared" si="190"/>
        <v>6.6324921135646681E-4</v>
      </c>
      <c r="Y276" s="3">
        <f t="shared" si="191"/>
        <v>1.851595744680851E-3</v>
      </c>
      <c r="Z276" s="3">
        <f t="shared" si="205"/>
        <v>1.1883465333243841E-3</v>
      </c>
      <c r="AA276" s="3">
        <v>2.3849999999999998</v>
      </c>
      <c r="AB276" s="3">
        <v>3.1480000000000001</v>
      </c>
      <c r="AC276" s="3">
        <f t="shared" si="206"/>
        <v>0.76300000000000034</v>
      </c>
      <c r="AD276" s="3">
        <f>-771.976119*627.50956</f>
        <v>-484422.39476419764</v>
      </c>
      <c r="AE276" s="3">
        <f>-774.527819*627.50956</f>
        <v>-486023.61090844963</v>
      </c>
      <c r="AF276" s="3">
        <f t="shared" si="207"/>
        <v>-1601.2161442519864</v>
      </c>
      <c r="AG276" s="3">
        <f>-772.011127*627.50956</f>
        <v>-484444.36261887406</v>
      </c>
      <c r="AH276" s="3">
        <f>-774.563496*627.50956</f>
        <v>-486045.99856702174</v>
      </c>
      <c r="AI276" s="3">
        <f t="shared" si="208"/>
        <v>-1601.6359481476829</v>
      </c>
      <c r="AJ276" s="3">
        <v>-0.65200000000000002</v>
      </c>
      <c r="AK276" s="3">
        <v>-0.70799999999999996</v>
      </c>
      <c r="AL276" s="3">
        <f t="shared" si="209"/>
        <v>-5.5999999999999939E-2</v>
      </c>
      <c r="AM276" s="3">
        <v>112.062</v>
      </c>
      <c r="AN276" s="3">
        <v>109.03</v>
      </c>
      <c r="AO276" s="3">
        <v>94.638000000000005</v>
      </c>
      <c r="AP276" s="3">
        <f t="shared" si="210"/>
        <v>1.0858210581530012</v>
      </c>
      <c r="AQ276" s="3">
        <v>6.8159999999999998</v>
      </c>
      <c r="AR276" s="3">
        <v>1.456</v>
      </c>
      <c r="AS276" s="3">
        <v>-76.454999999999998</v>
      </c>
      <c r="AT276" s="3">
        <v>-76.055000000000007</v>
      </c>
      <c r="AU276" s="3">
        <f t="shared" si="164"/>
        <v>-0.39999999999999147</v>
      </c>
      <c r="AV276" s="3">
        <v>-0.30399999999999999</v>
      </c>
      <c r="AW276" s="3">
        <v>-0.505</v>
      </c>
      <c r="AX276" s="3">
        <f t="shared" si="165"/>
        <v>0.20100000000000001</v>
      </c>
      <c r="AY276" s="3">
        <v>0.04</v>
      </c>
      <c r="AZ276" s="3">
        <v>0.16400000000000001</v>
      </c>
      <c r="BA276" s="3">
        <f t="shared" si="166"/>
        <v>-0.124</v>
      </c>
      <c r="BB276" s="3">
        <f t="shared" si="211"/>
        <v>0.13200000000000001</v>
      </c>
      <c r="BC276" s="3">
        <f t="shared" si="211"/>
        <v>0.17049999999999998</v>
      </c>
      <c r="BD276" s="3">
        <f t="shared" si="168"/>
        <v>-3.8499999999999979E-2</v>
      </c>
      <c r="BE276" s="3">
        <f t="shared" si="212"/>
        <v>0.34399999999999997</v>
      </c>
      <c r="BF276" s="3">
        <f t="shared" si="212"/>
        <v>0.66900000000000004</v>
      </c>
      <c r="BG276" s="3">
        <f t="shared" si="170"/>
        <v>-0.32500000000000007</v>
      </c>
      <c r="BH276" s="3">
        <f t="shared" si="213"/>
        <v>-0.13200000000000001</v>
      </c>
      <c r="BI276" s="3">
        <f t="shared" si="213"/>
        <v>-0.17049999999999998</v>
      </c>
      <c r="BJ276" s="3">
        <f t="shared" si="195"/>
        <v>3.8499999999999979E-2</v>
      </c>
      <c r="BK276" s="3">
        <f t="shared" si="192"/>
        <v>2.5325581395348844E-2</v>
      </c>
      <c r="BL276" s="3">
        <f t="shared" si="193"/>
        <v>2.1726644245141997E-2</v>
      </c>
      <c r="BM276" s="3">
        <f t="shared" si="172"/>
        <v>3.5989371502068469E-3</v>
      </c>
      <c r="BN276" s="3">
        <v>2.3010000000000002</v>
      </c>
      <c r="BO276" s="3">
        <v>2.3559999999999999</v>
      </c>
      <c r="BP276" s="3">
        <f t="shared" si="173"/>
        <v>-5.4999999999999716E-2</v>
      </c>
      <c r="BQ276" s="3">
        <v>-47960.305999999997</v>
      </c>
      <c r="BR276" s="3">
        <v>-47708.290999999997</v>
      </c>
      <c r="BS276" s="3">
        <f t="shared" si="174"/>
        <v>-252.01499999999942</v>
      </c>
      <c r="BT276" s="3">
        <v>-47973.754999999997</v>
      </c>
      <c r="BU276" s="3">
        <v>-47721.697</v>
      </c>
      <c r="BV276" s="3">
        <f t="shared" si="175"/>
        <v>-252.05799999999726</v>
      </c>
    </row>
    <row r="277" spans="1:74" x14ac:dyDescent="0.25">
      <c r="A277" s="4" t="s">
        <v>457</v>
      </c>
      <c r="B277" t="s">
        <v>513</v>
      </c>
      <c r="C277" t="s">
        <v>199</v>
      </c>
      <c r="D277" s="3">
        <v>14.5</v>
      </c>
      <c r="E277" s="3">
        <v>0.57999999999999996</v>
      </c>
      <c r="F277" s="3">
        <v>-534.40499999999997</v>
      </c>
      <c r="G277" s="3">
        <v>-535.51199999999994</v>
      </c>
      <c r="H277" s="3">
        <f t="shared" si="196"/>
        <v>-1.1069999999999709</v>
      </c>
      <c r="I277" s="3">
        <v>-0.34699999999999998</v>
      </c>
      <c r="J277" s="6">
        <v>-0.16800000000000001</v>
      </c>
      <c r="K277" s="3">
        <f t="shared" si="197"/>
        <v>0.17899999999999996</v>
      </c>
      <c r="L277" s="3">
        <v>0.188</v>
      </c>
      <c r="M277" s="6">
        <v>7.0000000000000001E-3</v>
      </c>
      <c r="N277" s="3">
        <f t="shared" si="198"/>
        <v>-0.18099999999999999</v>
      </c>
      <c r="O277" s="3">
        <f t="shared" si="199"/>
        <v>7.9499999999999987E-2</v>
      </c>
      <c r="P277" s="3">
        <f t="shared" si="200"/>
        <v>8.0500000000000002E-2</v>
      </c>
      <c r="Q277" s="3">
        <f t="shared" si="201"/>
        <v>1.0000000000000148E-3</v>
      </c>
      <c r="R277" s="3">
        <f t="shared" si="202"/>
        <v>0.53499999999999992</v>
      </c>
      <c r="S277" s="3">
        <f t="shared" si="202"/>
        <v>0.17500000000000002</v>
      </c>
      <c r="T277" s="3">
        <f t="shared" si="203"/>
        <v>-0.35999999999999988</v>
      </c>
      <c r="U277" s="3">
        <f t="shared" si="204"/>
        <v>-7.9499999999999987E-2</v>
      </c>
      <c r="V277" s="3">
        <f t="shared" si="204"/>
        <v>-8.0500000000000002E-2</v>
      </c>
      <c r="W277" s="3">
        <f t="shared" si="194"/>
        <v>-1.0000000000000148E-3</v>
      </c>
      <c r="X277" s="3">
        <f t="shared" si="190"/>
        <v>5.9067757009345781E-3</v>
      </c>
      <c r="Y277" s="3">
        <f t="shared" si="191"/>
        <v>1.8515E-2</v>
      </c>
      <c r="Z277" s="3">
        <f t="shared" si="205"/>
        <v>1.2608224299065423E-2</v>
      </c>
      <c r="AA277" s="3">
        <v>2.681</v>
      </c>
      <c r="AB277" s="3">
        <v>3.0939999999999999</v>
      </c>
      <c r="AC277" s="3">
        <f t="shared" si="206"/>
        <v>0.41299999999999981</v>
      </c>
      <c r="AD277" s="3">
        <f>-534.400115*627.50956</f>
        <v>-335341.18102759938</v>
      </c>
      <c r="AE277" s="3">
        <f>-535.507155*627.50956</f>
        <v>-336035.85921090178</v>
      </c>
      <c r="AF277" s="3">
        <f t="shared" si="207"/>
        <v>-694.6781833023997</v>
      </c>
      <c r="AG277" s="3">
        <f>-534.424954*627.50956</f>
        <v>-335356.76773756021</v>
      </c>
      <c r="AH277" s="3">
        <f>-535.53198*627.50956</f>
        <v>-336051.43713572877</v>
      </c>
      <c r="AI277" s="3">
        <f t="shared" si="208"/>
        <v>-694.66939816856757</v>
      </c>
      <c r="AJ277" s="3">
        <v>-0.82399999999999995</v>
      </c>
      <c r="AK277" s="3">
        <v>-0.877</v>
      </c>
      <c r="AL277" s="3">
        <f t="shared" si="209"/>
        <v>-5.3000000000000047E-2</v>
      </c>
      <c r="AM277" s="3">
        <v>51.451999999999998</v>
      </c>
      <c r="AN277" s="3">
        <v>67.498000000000005</v>
      </c>
      <c r="AO277" s="3">
        <v>49.883000000000003</v>
      </c>
      <c r="AP277" s="3">
        <f t="shared" si="210"/>
        <v>1.0301769113840573</v>
      </c>
      <c r="AQ277" s="3">
        <v>5.0549999999999997</v>
      </c>
      <c r="AR277" s="3">
        <v>0.82599999999999996</v>
      </c>
      <c r="AS277" s="3">
        <v>-76.454999999999998</v>
      </c>
      <c r="AT277" s="3">
        <v>-76.055000000000007</v>
      </c>
      <c r="AU277" s="3">
        <f t="shared" si="164"/>
        <v>-0.39999999999999147</v>
      </c>
      <c r="AV277" s="3">
        <v>-0.30399999999999999</v>
      </c>
      <c r="AW277" s="3">
        <v>-0.505</v>
      </c>
      <c r="AX277" s="3">
        <f t="shared" si="165"/>
        <v>0.20100000000000001</v>
      </c>
      <c r="AY277" s="3">
        <v>0.04</v>
      </c>
      <c r="AZ277" s="3">
        <v>0.16400000000000001</v>
      </c>
      <c r="BA277" s="3">
        <f t="shared" si="166"/>
        <v>-0.124</v>
      </c>
      <c r="BB277" s="3">
        <f t="shared" si="211"/>
        <v>0.13200000000000001</v>
      </c>
      <c r="BC277" s="3">
        <f t="shared" si="211"/>
        <v>0.17049999999999998</v>
      </c>
      <c r="BD277" s="3">
        <f t="shared" si="168"/>
        <v>-3.8499999999999979E-2</v>
      </c>
      <c r="BE277" s="3">
        <f t="shared" si="212"/>
        <v>0.34399999999999997</v>
      </c>
      <c r="BF277" s="3">
        <f t="shared" si="212"/>
        <v>0.66900000000000004</v>
      </c>
      <c r="BG277" s="3">
        <f t="shared" si="170"/>
        <v>-0.32500000000000007</v>
      </c>
      <c r="BH277" s="3">
        <f t="shared" si="213"/>
        <v>-0.13200000000000001</v>
      </c>
      <c r="BI277" s="3">
        <f t="shared" si="213"/>
        <v>-0.17049999999999998</v>
      </c>
      <c r="BJ277" s="3">
        <f t="shared" si="195"/>
        <v>3.8499999999999979E-2</v>
      </c>
      <c r="BK277" s="3">
        <f t="shared" si="192"/>
        <v>2.5325581395348844E-2</v>
      </c>
      <c r="BL277" s="3">
        <f t="shared" si="193"/>
        <v>2.1726644245141997E-2</v>
      </c>
      <c r="BM277" s="3">
        <f t="shared" si="172"/>
        <v>3.5989371502068469E-3</v>
      </c>
      <c r="BN277" s="3">
        <v>2.3010000000000002</v>
      </c>
      <c r="BO277" s="3">
        <v>2.3559999999999999</v>
      </c>
      <c r="BP277" s="3">
        <f t="shared" si="173"/>
        <v>-5.4999999999999716E-2</v>
      </c>
      <c r="BQ277" s="3">
        <v>-47960.305999999997</v>
      </c>
      <c r="BR277" s="3">
        <v>-47708.290999999997</v>
      </c>
      <c r="BS277" s="3">
        <f t="shared" si="174"/>
        <v>-252.01499999999942</v>
      </c>
      <c r="BT277" s="3">
        <v>-47973.754999999997</v>
      </c>
      <c r="BU277" s="3">
        <v>-47721.697</v>
      </c>
      <c r="BV277" s="3">
        <f t="shared" si="175"/>
        <v>-252.05799999999726</v>
      </c>
    </row>
    <row r="278" spans="1:74" x14ac:dyDescent="0.25">
      <c r="A278" s="2" t="s">
        <v>458</v>
      </c>
      <c r="B278" t="s">
        <v>513</v>
      </c>
      <c r="C278" t="s">
        <v>99</v>
      </c>
      <c r="D278" s="3">
        <v>14.96</v>
      </c>
      <c r="E278" s="3">
        <v>0.71</v>
      </c>
      <c r="F278" s="3">
        <v>-825.00800000000004</v>
      </c>
      <c r="G278" s="3">
        <v>-829.59</v>
      </c>
      <c r="H278" s="3">
        <f t="shared" si="196"/>
        <v>-4.5819999999999936</v>
      </c>
      <c r="I278" s="3">
        <v>-0.37</v>
      </c>
      <c r="J278" s="6">
        <v>-0.223</v>
      </c>
      <c r="K278" s="3">
        <f t="shared" si="197"/>
        <v>0.14699999999999999</v>
      </c>
      <c r="L278" s="3">
        <v>4.2000000000000003E-2</v>
      </c>
      <c r="M278" s="6">
        <v>-0.107</v>
      </c>
      <c r="N278" s="3">
        <f t="shared" si="198"/>
        <v>-0.14899999999999999</v>
      </c>
      <c r="O278" s="3">
        <f t="shared" si="199"/>
        <v>0.16400000000000001</v>
      </c>
      <c r="P278" s="3">
        <f t="shared" si="200"/>
        <v>0.16500000000000001</v>
      </c>
      <c r="Q278" s="3">
        <f t="shared" si="201"/>
        <v>1.0000000000000009E-3</v>
      </c>
      <c r="R278" s="3">
        <f t="shared" si="202"/>
        <v>0.41199999999999998</v>
      </c>
      <c r="S278" s="3">
        <f t="shared" si="202"/>
        <v>0.11600000000000001</v>
      </c>
      <c r="T278" s="3">
        <f t="shared" si="203"/>
        <v>-0.29599999999999999</v>
      </c>
      <c r="U278" s="3">
        <f t="shared" si="204"/>
        <v>-0.16400000000000001</v>
      </c>
      <c r="V278" s="3">
        <f t="shared" si="204"/>
        <v>-0.16500000000000001</v>
      </c>
      <c r="W278" s="3">
        <f t="shared" si="194"/>
        <v>-1.0000000000000009E-3</v>
      </c>
      <c r="X278" s="3">
        <f t="shared" si="190"/>
        <v>3.264077669902913E-2</v>
      </c>
      <c r="Y278" s="3">
        <f t="shared" si="191"/>
        <v>0.11734913793103449</v>
      </c>
      <c r="Z278" s="3">
        <f t="shared" si="205"/>
        <v>8.4708361232005369E-2</v>
      </c>
      <c r="AA278" s="3">
        <v>11.002000000000001</v>
      </c>
      <c r="AB278" s="3">
        <v>10.538</v>
      </c>
      <c r="AC278" s="3">
        <f t="shared" si="206"/>
        <v>-0.46400000000000041</v>
      </c>
      <c r="AD278" s="3">
        <f>-824.879054*627.50956</f>
        <v>-517619.49222875619</v>
      </c>
      <c r="AE278" s="3">
        <f>-829.470241*627.50956</f>
        <v>-520500.5059630039</v>
      </c>
      <c r="AF278" s="3">
        <f t="shared" si="207"/>
        <v>-2881.0137342477101</v>
      </c>
      <c r="AG278" s="3">
        <f>-824.932319*627.50956</f>
        <v>-517652.91652546963</v>
      </c>
      <c r="AH278" s="3">
        <f>-829.524582*627.50956</f>
        <v>-520534.60546000389</v>
      </c>
      <c r="AI278" s="3">
        <f t="shared" si="208"/>
        <v>-2881.6889345342643</v>
      </c>
      <c r="AJ278" s="3">
        <v>-0.88500000000000001</v>
      </c>
      <c r="AK278" s="3">
        <v>-0.78200000000000003</v>
      </c>
      <c r="AL278" s="3">
        <f t="shared" si="209"/>
        <v>0.10299999999999998</v>
      </c>
      <c r="AM278" s="3">
        <v>211.10900000000001</v>
      </c>
      <c r="AN278" s="3">
        <v>208.81700000000001</v>
      </c>
      <c r="AO278" s="3">
        <v>221.441</v>
      </c>
      <c r="AP278" s="3">
        <f t="shared" si="210"/>
        <v>1.1799124395855789</v>
      </c>
      <c r="AQ278" s="3">
        <v>10.135999999999999</v>
      </c>
      <c r="AR278" s="3">
        <v>2.8740000000000001</v>
      </c>
      <c r="AS278" s="3">
        <v>-132.80099999999999</v>
      </c>
      <c r="AT278" s="3">
        <v>-131.97</v>
      </c>
      <c r="AU278" s="3">
        <f t="shared" si="164"/>
        <v>-0.83099999999998886</v>
      </c>
      <c r="AV278" s="3">
        <v>-0.34100000000000003</v>
      </c>
      <c r="AW278" s="3">
        <v>-0.47499999999999998</v>
      </c>
      <c r="AX278" s="3">
        <f t="shared" si="165"/>
        <v>0.13399999999999995</v>
      </c>
      <c r="AY278" s="3">
        <v>2.9000000000000001E-2</v>
      </c>
      <c r="AZ278" s="3">
        <v>0.156</v>
      </c>
      <c r="BA278" s="3">
        <f t="shared" si="166"/>
        <v>-0.127</v>
      </c>
      <c r="BB278" s="3">
        <f t="shared" si="211"/>
        <v>0.156</v>
      </c>
      <c r="BC278" s="3">
        <f t="shared" si="211"/>
        <v>0.15949999999999998</v>
      </c>
      <c r="BD278" s="3">
        <f t="shared" si="168"/>
        <v>-3.4999999999999754E-3</v>
      </c>
      <c r="BE278" s="3">
        <f t="shared" si="212"/>
        <v>0.37000000000000005</v>
      </c>
      <c r="BF278" s="3">
        <f t="shared" si="212"/>
        <v>0.63100000000000001</v>
      </c>
      <c r="BG278" s="3">
        <f t="shared" si="170"/>
        <v>-0.26099999999999995</v>
      </c>
      <c r="BH278" s="3">
        <f t="shared" si="213"/>
        <v>-0.156</v>
      </c>
      <c r="BI278" s="3">
        <f t="shared" si="213"/>
        <v>-0.15949999999999998</v>
      </c>
      <c r="BJ278" s="3">
        <f t="shared" si="195"/>
        <v>3.4999999999999754E-3</v>
      </c>
      <c r="BK278" s="3">
        <f t="shared" si="192"/>
        <v>3.2886486486486483E-2</v>
      </c>
      <c r="BL278" s="3">
        <f t="shared" si="193"/>
        <v>2.0158676703645E-2</v>
      </c>
      <c r="BM278" s="3">
        <f t="shared" si="172"/>
        <v>1.2727809782841482E-2</v>
      </c>
      <c r="BN278" s="3">
        <v>4.7279999999999998</v>
      </c>
      <c r="BO278" s="3">
        <v>4.9340000000000002</v>
      </c>
      <c r="BP278" s="3">
        <f t="shared" si="173"/>
        <v>-0.20600000000000041</v>
      </c>
      <c r="BQ278" s="3">
        <v>-83302.89</v>
      </c>
      <c r="BR278" s="3">
        <v>-82779.224000000002</v>
      </c>
      <c r="BS278" s="3">
        <f t="shared" si="174"/>
        <v>-523.66599999999744</v>
      </c>
      <c r="BT278" s="3">
        <v>-83320.774999999994</v>
      </c>
      <c r="BU278" s="3">
        <v>-82796.997000000003</v>
      </c>
      <c r="BV278" s="3">
        <f t="shared" si="175"/>
        <v>-523.77799999999115</v>
      </c>
    </row>
    <row r="279" spans="1:74" x14ac:dyDescent="0.25">
      <c r="A279" s="2" t="s">
        <v>454</v>
      </c>
      <c r="B279" t="s">
        <v>513</v>
      </c>
      <c r="C279" t="s">
        <v>360</v>
      </c>
      <c r="D279" s="3">
        <v>15.05</v>
      </c>
      <c r="E279" s="3">
        <v>0.8</v>
      </c>
      <c r="F279" s="3">
        <v>-508.69099999999997</v>
      </c>
      <c r="G279" s="3">
        <v>-511.65100000000001</v>
      </c>
      <c r="H279" s="3">
        <f t="shared" si="196"/>
        <v>-2.9600000000000364</v>
      </c>
      <c r="I279" s="3">
        <v>-0.26700000000000002</v>
      </c>
      <c r="J279" s="6">
        <v>-0.19</v>
      </c>
      <c r="K279" s="3">
        <f t="shared" si="197"/>
        <v>7.7000000000000013E-2</v>
      </c>
      <c r="L279" s="3">
        <v>8.6999999999999994E-2</v>
      </c>
      <c r="M279" s="6">
        <v>-6.2E-2</v>
      </c>
      <c r="N279" s="3">
        <f t="shared" si="198"/>
        <v>-0.14899999999999999</v>
      </c>
      <c r="O279" s="3">
        <f t="shared" si="199"/>
        <v>9.0000000000000011E-2</v>
      </c>
      <c r="P279" s="3">
        <f t="shared" si="200"/>
        <v>0.126</v>
      </c>
      <c r="Q279" s="3">
        <f t="shared" si="201"/>
        <v>3.599999999999999E-2</v>
      </c>
      <c r="R279" s="3">
        <f t="shared" si="202"/>
        <v>0.35399999999999998</v>
      </c>
      <c r="S279" s="3">
        <f t="shared" si="202"/>
        <v>0.128</v>
      </c>
      <c r="T279" s="3">
        <f t="shared" si="203"/>
        <v>-0.22599999999999998</v>
      </c>
      <c r="U279" s="3">
        <f t="shared" si="204"/>
        <v>-9.0000000000000011E-2</v>
      </c>
      <c r="V279" s="3">
        <f t="shared" si="204"/>
        <v>-0.126</v>
      </c>
      <c r="W279" s="3">
        <f t="shared" si="194"/>
        <v>-3.599999999999999E-2</v>
      </c>
      <c r="X279" s="3">
        <f t="shared" si="190"/>
        <v>1.1440677966101697E-2</v>
      </c>
      <c r="Y279" s="3">
        <f t="shared" si="191"/>
        <v>6.2015625000000005E-2</v>
      </c>
      <c r="Z279" s="3">
        <f t="shared" si="205"/>
        <v>5.057494703389831E-2</v>
      </c>
      <c r="AA279" s="3">
        <v>2.262</v>
      </c>
      <c r="AB279" s="3">
        <v>1.3440000000000001</v>
      </c>
      <c r="AC279" s="3">
        <f t="shared" si="206"/>
        <v>-0.91799999999999993</v>
      </c>
      <c r="AD279" s="3">
        <f>-508.582039*627.50956</f>
        <v>-319140.09151679283</v>
      </c>
      <c r="AE279" s="3">
        <f>-511.549061*627.50956</f>
        <v>-321001.92618652317</v>
      </c>
      <c r="AF279" s="3">
        <f t="shared" si="207"/>
        <v>-1861.834669730335</v>
      </c>
      <c r="AG279" s="3">
        <f>-508.622838*627.50956</f>
        <v>-319165.69327933126</v>
      </c>
      <c r="AH279" s="3">
        <f>-511.590813*627.50956</f>
        <v>-321028.12596567225</v>
      </c>
      <c r="AI279" s="3">
        <f t="shared" si="208"/>
        <v>-1862.4326863409951</v>
      </c>
      <c r="AJ279" s="3">
        <v>-0.83799999999999997</v>
      </c>
      <c r="AK279" s="3">
        <v>-0.72899999999999998</v>
      </c>
      <c r="AL279" s="3">
        <f t="shared" si="209"/>
        <v>0.10899999999999999</v>
      </c>
      <c r="AM279" s="3">
        <v>138.101</v>
      </c>
      <c r="AN279" s="3">
        <v>166.49700000000001</v>
      </c>
      <c r="AO279" s="3">
        <v>169.47</v>
      </c>
      <c r="AP279" s="3">
        <f t="shared" si="210"/>
        <v>1.1244335882722223</v>
      </c>
      <c r="AQ279" s="3">
        <v>9.2810000000000006</v>
      </c>
      <c r="AR279" s="3">
        <v>2.3010000000000002</v>
      </c>
      <c r="AS279" s="3">
        <v>-248.59200000000001</v>
      </c>
      <c r="AT279" s="3">
        <v>-247.066</v>
      </c>
      <c r="AU279" s="3">
        <f t="shared" si="164"/>
        <v>-1.5260000000000105</v>
      </c>
      <c r="AV279" s="3">
        <v>-0.25</v>
      </c>
      <c r="AW279" s="3">
        <v>-0.375</v>
      </c>
      <c r="AX279" s="3">
        <f t="shared" si="165"/>
        <v>0.125</v>
      </c>
      <c r="AY279" s="3">
        <v>1.7999999999999999E-2</v>
      </c>
      <c r="AZ279" s="3">
        <v>0.157</v>
      </c>
      <c r="BA279" s="3">
        <f t="shared" si="166"/>
        <v>-0.13900000000000001</v>
      </c>
      <c r="BB279" s="3">
        <f t="shared" si="211"/>
        <v>0.11600000000000001</v>
      </c>
      <c r="BC279" s="3">
        <f t="shared" si="211"/>
        <v>0.109</v>
      </c>
      <c r="BD279" s="3">
        <f t="shared" si="168"/>
        <v>7.0000000000000062E-3</v>
      </c>
      <c r="BE279" s="3">
        <f t="shared" si="212"/>
        <v>0.26800000000000002</v>
      </c>
      <c r="BF279" s="3">
        <f t="shared" si="212"/>
        <v>0.53200000000000003</v>
      </c>
      <c r="BG279" s="3">
        <f t="shared" si="170"/>
        <v>-0.26400000000000001</v>
      </c>
      <c r="BH279" s="3">
        <f t="shared" si="213"/>
        <v>-0.11600000000000001</v>
      </c>
      <c r="BI279" s="3">
        <f t="shared" si="213"/>
        <v>-0.109</v>
      </c>
      <c r="BJ279" s="3">
        <f t="shared" si="195"/>
        <v>-7.0000000000000062E-3</v>
      </c>
      <c r="BK279" s="3">
        <f t="shared" si="192"/>
        <v>2.5104477611940297E-2</v>
      </c>
      <c r="BL279" s="3">
        <f t="shared" si="193"/>
        <v>1.1166353383458645E-2</v>
      </c>
      <c r="BM279" s="3">
        <f t="shared" si="172"/>
        <v>1.3938124228481652E-2</v>
      </c>
      <c r="BN279" s="3">
        <v>5.09</v>
      </c>
      <c r="BO279" s="3">
        <v>5.2910000000000004</v>
      </c>
      <c r="BP279" s="3">
        <f t="shared" si="173"/>
        <v>-0.20100000000000051</v>
      </c>
      <c r="BQ279" s="3">
        <v>-155925.34599999999</v>
      </c>
      <c r="BR279" s="3">
        <v>-154963.22899999999</v>
      </c>
      <c r="BS279" s="3">
        <f t="shared" si="174"/>
        <v>-962.11699999999837</v>
      </c>
      <c r="BT279" s="3">
        <v>-155948.003</v>
      </c>
      <c r="BU279" s="3">
        <v>-154985.997</v>
      </c>
      <c r="BV279" s="3">
        <f t="shared" si="175"/>
        <v>-962.00599999999395</v>
      </c>
    </row>
    <row r="280" spans="1:74" x14ac:dyDescent="0.25">
      <c r="A280" s="2" t="s">
        <v>454</v>
      </c>
      <c r="B280" t="s">
        <v>513</v>
      </c>
      <c r="C280" t="s">
        <v>99</v>
      </c>
      <c r="D280" s="3">
        <v>15.14</v>
      </c>
      <c r="E280" s="3">
        <v>0.82</v>
      </c>
      <c r="F280" s="3">
        <v>-508.69099999999997</v>
      </c>
      <c r="G280" s="3">
        <v>-511.65100000000001</v>
      </c>
      <c r="H280" s="3">
        <f t="shared" si="196"/>
        <v>-2.9600000000000364</v>
      </c>
      <c r="I280" s="3">
        <v>-0.26700000000000002</v>
      </c>
      <c r="J280" s="6">
        <v>-0.19</v>
      </c>
      <c r="K280" s="3">
        <f t="shared" si="197"/>
        <v>7.7000000000000013E-2</v>
      </c>
      <c r="L280" s="3">
        <v>8.6999999999999994E-2</v>
      </c>
      <c r="M280" s="6">
        <v>-6.2E-2</v>
      </c>
      <c r="N280" s="3">
        <f t="shared" si="198"/>
        <v>-0.14899999999999999</v>
      </c>
      <c r="O280" s="3">
        <f t="shared" si="199"/>
        <v>9.0000000000000011E-2</v>
      </c>
      <c r="P280" s="3">
        <f t="shared" si="200"/>
        <v>0.126</v>
      </c>
      <c r="Q280" s="3">
        <f t="shared" si="201"/>
        <v>3.599999999999999E-2</v>
      </c>
      <c r="R280" s="3">
        <f t="shared" si="202"/>
        <v>0.35399999999999998</v>
      </c>
      <c r="S280" s="3">
        <f t="shared" si="202"/>
        <v>0.128</v>
      </c>
      <c r="T280" s="3">
        <f t="shared" si="203"/>
        <v>-0.22599999999999998</v>
      </c>
      <c r="U280" s="3">
        <f t="shared" si="204"/>
        <v>-9.0000000000000011E-2</v>
      </c>
      <c r="V280" s="3">
        <f t="shared" si="204"/>
        <v>-0.126</v>
      </c>
      <c r="W280" s="3">
        <f t="shared" si="194"/>
        <v>-3.599999999999999E-2</v>
      </c>
      <c r="X280" s="3">
        <f t="shared" si="190"/>
        <v>1.1440677966101697E-2</v>
      </c>
      <c r="Y280" s="3">
        <f t="shared" si="191"/>
        <v>6.2015625000000005E-2</v>
      </c>
      <c r="Z280" s="3">
        <f t="shared" si="205"/>
        <v>5.057494703389831E-2</v>
      </c>
      <c r="AA280" s="3">
        <v>2.2639999999999998</v>
      </c>
      <c r="AB280" s="3">
        <v>1.3360000000000001</v>
      </c>
      <c r="AC280" s="3">
        <f t="shared" si="206"/>
        <v>-0.92799999999999971</v>
      </c>
      <c r="AD280" s="3">
        <f>-508.581935*627.50956</f>
        <v>-319140.02625579858</v>
      </c>
      <c r="AE280" s="3">
        <f>-511.548968*627.50956</f>
        <v>-321001.86782813404</v>
      </c>
      <c r="AF280" s="3">
        <f t="shared" si="207"/>
        <v>-1861.8415723354556</v>
      </c>
      <c r="AG280" s="3">
        <f>-508.622738*627.50956</f>
        <v>-319165.63052837527</v>
      </c>
      <c r="AH280" s="3">
        <f>-511.590716*627.50956</f>
        <v>-321028.06509724492</v>
      </c>
      <c r="AI280" s="3">
        <f t="shared" si="208"/>
        <v>-1862.4345688696485</v>
      </c>
      <c r="AJ280" s="3">
        <v>-0.83799999999999997</v>
      </c>
      <c r="AK280" s="3">
        <v>-0.72899999999999998</v>
      </c>
      <c r="AL280" s="3">
        <f t="shared" si="209"/>
        <v>0.10899999999999999</v>
      </c>
      <c r="AM280" s="3">
        <v>138.101</v>
      </c>
      <c r="AN280" s="3">
        <v>166.5</v>
      </c>
      <c r="AO280" s="3">
        <v>169.47300000000001</v>
      </c>
      <c r="AP280" s="3">
        <f t="shared" si="210"/>
        <v>1.1244405786569509</v>
      </c>
      <c r="AQ280" s="3">
        <v>9.2810000000000006</v>
      </c>
      <c r="AR280" s="3">
        <v>2.3010000000000002</v>
      </c>
      <c r="AS280" s="3">
        <v>-132.80099999999999</v>
      </c>
      <c r="AT280" s="3">
        <v>-131.97</v>
      </c>
      <c r="AU280" s="3">
        <f t="shared" si="164"/>
        <v>-0.83099999999998886</v>
      </c>
      <c r="AV280" s="3">
        <v>-0.34100000000000003</v>
      </c>
      <c r="AW280" s="3">
        <v>-0.47499999999999998</v>
      </c>
      <c r="AX280" s="3">
        <f t="shared" si="165"/>
        <v>0.13399999999999995</v>
      </c>
      <c r="AY280" s="3">
        <v>2.9000000000000001E-2</v>
      </c>
      <c r="AZ280" s="3">
        <v>0.156</v>
      </c>
      <c r="BA280" s="3">
        <f t="shared" si="166"/>
        <v>-0.127</v>
      </c>
      <c r="BB280" s="3">
        <f t="shared" si="211"/>
        <v>0.156</v>
      </c>
      <c r="BC280" s="3">
        <f t="shared" si="211"/>
        <v>0.15949999999999998</v>
      </c>
      <c r="BD280" s="3">
        <f t="shared" si="168"/>
        <v>-3.4999999999999754E-3</v>
      </c>
      <c r="BE280" s="3">
        <f t="shared" si="212"/>
        <v>0.37000000000000005</v>
      </c>
      <c r="BF280" s="3">
        <f t="shared" si="212"/>
        <v>0.63100000000000001</v>
      </c>
      <c r="BG280" s="3">
        <f t="shared" si="170"/>
        <v>-0.26099999999999995</v>
      </c>
      <c r="BH280" s="3">
        <f t="shared" si="213"/>
        <v>-0.156</v>
      </c>
      <c r="BI280" s="3">
        <f t="shared" si="213"/>
        <v>-0.15949999999999998</v>
      </c>
      <c r="BJ280" s="3">
        <f t="shared" si="195"/>
        <v>3.4999999999999754E-3</v>
      </c>
      <c r="BK280" s="3">
        <f t="shared" si="192"/>
        <v>3.2886486486486483E-2</v>
      </c>
      <c r="BL280" s="3">
        <f t="shared" si="193"/>
        <v>2.0158676703645E-2</v>
      </c>
      <c r="BM280" s="3">
        <f t="shared" si="172"/>
        <v>1.2727809782841482E-2</v>
      </c>
      <c r="BN280" s="3">
        <v>4.7279999999999998</v>
      </c>
      <c r="BO280" s="3">
        <v>4.9340000000000002</v>
      </c>
      <c r="BP280" s="3">
        <f t="shared" si="173"/>
        <v>-0.20600000000000041</v>
      </c>
      <c r="BQ280" s="3">
        <v>-83302.89</v>
      </c>
      <c r="BR280" s="3">
        <v>-82779.224000000002</v>
      </c>
      <c r="BS280" s="3">
        <f t="shared" si="174"/>
        <v>-523.66599999999744</v>
      </c>
      <c r="BT280" s="3">
        <v>-83320.774999999994</v>
      </c>
      <c r="BU280" s="3">
        <v>-82796.997000000003</v>
      </c>
      <c r="BV280" s="3">
        <f t="shared" si="175"/>
        <v>-523.77799999999115</v>
      </c>
    </row>
    <row r="281" spans="1:74" x14ac:dyDescent="0.25">
      <c r="A281" s="2" t="s">
        <v>459</v>
      </c>
      <c r="B281" t="s">
        <v>513</v>
      </c>
      <c r="C281" t="s">
        <v>99</v>
      </c>
      <c r="D281" s="3">
        <v>15.3</v>
      </c>
      <c r="E281" s="3">
        <v>0.76</v>
      </c>
      <c r="F281" s="3">
        <v>-621.48199999999997</v>
      </c>
      <c r="G281" s="3">
        <v>-625.03200000000004</v>
      </c>
      <c r="H281" s="3">
        <f t="shared" si="196"/>
        <v>-3.5500000000000682</v>
      </c>
      <c r="I281" s="3">
        <v>-0.35099999999999998</v>
      </c>
      <c r="J281" s="6">
        <v>-0.215</v>
      </c>
      <c r="K281" s="3">
        <f t="shared" si="197"/>
        <v>0.13599999999999998</v>
      </c>
      <c r="L281" s="3">
        <v>5.3999999999999999E-2</v>
      </c>
      <c r="M281" s="6">
        <v>-9.6000000000000002E-2</v>
      </c>
      <c r="N281" s="3">
        <f t="shared" si="198"/>
        <v>-0.15</v>
      </c>
      <c r="O281" s="3">
        <f t="shared" si="199"/>
        <v>0.14849999999999999</v>
      </c>
      <c r="P281" s="3">
        <f t="shared" si="200"/>
        <v>0.1555</v>
      </c>
      <c r="Q281" s="3">
        <f t="shared" si="201"/>
        <v>7.0000000000000062E-3</v>
      </c>
      <c r="R281" s="3">
        <f t="shared" si="202"/>
        <v>0.40499999999999997</v>
      </c>
      <c r="S281" s="3">
        <f t="shared" si="202"/>
        <v>0.11899999999999999</v>
      </c>
      <c r="T281" s="3">
        <f t="shared" si="203"/>
        <v>-0.28599999999999998</v>
      </c>
      <c r="U281" s="3">
        <f t="shared" si="204"/>
        <v>-0.14849999999999999</v>
      </c>
      <c r="V281" s="3">
        <f t="shared" si="204"/>
        <v>-0.1555</v>
      </c>
      <c r="W281" s="3">
        <f t="shared" si="194"/>
        <v>-7.0000000000000062E-3</v>
      </c>
      <c r="X281" s="3">
        <f t="shared" si="190"/>
        <v>2.7224999999999999E-2</v>
      </c>
      <c r="Y281" s="3">
        <f t="shared" si="191"/>
        <v>0.10159768907563026</v>
      </c>
      <c r="Z281" s="3">
        <f t="shared" si="205"/>
        <v>7.4372689075630258E-2</v>
      </c>
      <c r="AA281" s="3">
        <v>10.949</v>
      </c>
      <c r="AB281" s="3">
        <v>10.362</v>
      </c>
      <c r="AC281" s="3">
        <f t="shared" si="206"/>
        <v>-0.58699999999999974</v>
      </c>
      <c r="AD281" s="3">
        <f>-621.359701*627.50956</f>
        <v>-389909.15257624153</v>
      </c>
      <c r="AE281" s="3">
        <f>-624.91728*627.50956</f>
        <v>-392141.56740919681</v>
      </c>
      <c r="AF281" s="3">
        <f t="shared" si="207"/>
        <v>-2232.4148329552845</v>
      </c>
      <c r="AG281" s="3">
        <f>-621.406911*627.50956</f>
        <v>-389938.77730256919</v>
      </c>
      <c r="AH281" s="3">
        <f>-624.965596*627.50956</f>
        <v>-392171.88616109773</v>
      </c>
      <c r="AI281" s="3">
        <f t="shared" si="208"/>
        <v>-2233.108858528547</v>
      </c>
      <c r="AJ281" s="3">
        <v>-0.89</v>
      </c>
      <c r="AK281" s="3">
        <v>-0.79</v>
      </c>
      <c r="AL281" s="3">
        <f t="shared" si="209"/>
        <v>9.9999999999999978E-2</v>
      </c>
      <c r="AM281" s="3">
        <v>166.11099999999999</v>
      </c>
      <c r="AN281" s="3">
        <v>186.55699999999999</v>
      </c>
      <c r="AO281" s="3">
        <v>194.67099999999999</v>
      </c>
      <c r="AP281" s="3">
        <f t="shared" si="210"/>
        <v>1.1486824694361149</v>
      </c>
      <c r="AQ281" s="3">
        <v>10.303000000000001</v>
      </c>
      <c r="AR281" s="3">
        <v>2.7170000000000001</v>
      </c>
      <c r="AS281" s="3">
        <v>-132.80099999999999</v>
      </c>
      <c r="AT281" s="3">
        <v>-131.97</v>
      </c>
      <c r="AU281" s="3">
        <f t="shared" si="164"/>
        <v>-0.83099999999998886</v>
      </c>
      <c r="AV281" s="3">
        <v>-0.34100000000000003</v>
      </c>
      <c r="AW281" s="3">
        <v>-0.47499999999999998</v>
      </c>
      <c r="AX281" s="3">
        <f t="shared" si="165"/>
        <v>0.13399999999999995</v>
      </c>
      <c r="AY281" s="3">
        <v>2.9000000000000001E-2</v>
      </c>
      <c r="AZ281" s="3">
        <v>0.156</v>
      </c>
      <c r="BA281" s="3">
        <f t="shared" si="166"/>
        <v>-0.127</v>
      </c>
      <c r="BB281" s="3">
        <f t="shared" si="211"/>
        <v>0.156</v>
      </c>
      <c r="BC281" s="3">
        <f t="shared" si="211"/>
        <v>0.15949999999999998</v>
      </c>
      <c r="BD281" s="3">
        <f t="shared" si="168"/>
        <v>-3.4999999999999754E-3</v>
      </c>
      <c r="BE281" s="3">
        <f t="shared" si="212"/>
        <v>0.37000000000000005</v>
      </c>
      <c r="BF281" s="3">
        <f t="shared" si="212"/>
        <v>0.63100000000000001</v>
      </c>
      <c r="BG281" s="3">
        <f t="shared" si="170"/>
        <v>-0.26099999999999995</v>
      </c>
      <c r="BH281" s="3">
        <f t="shared" si="213"/>
        <v>-0.156</v>
      </c>
      <c r="BI281" s="3">
        <f t="shared" si="213"/>
        <v>-0.15949999999999998</v>
      </c>
      <c r="BJ281" s="3">
        <f t="shared" si="195"/>
        <v>3.4999999999999754E-3</v>
      </c>
      <c r="BK281" s="3">
        <f t="shared" si="192"/>
        <v>3.2886486486486483E-2</v>
      </c>
      <c r="BL281" s="3">
        <f t="shared" si="193"/>
        <v>2.0158676703645E-2</v>
      </c>
      <c r="BM281" s="3">
        <f t="shared" si="172"/>
        <v>1.2727809782841482E-2</v>
      </c>
      <c r="BN281" s="3">
        <v>4.7279999999999998</v>
      </c>
      <c r="BO281" s="3">
        <v>4.9340000000000002</v>
      </c>
      <c r="BP281" s="3">
        <f t="shared" si="173"/>
        <v>-0.20600000000000041</v>
      </c>
      <c r="BQ281" s="3">
        <v>-83302.89</v>
      </c>
      <c r="BR281" s="3">
        <v>-82779.224000000002</v>
      </c>
      <c r="BS281" s="3">
        <f t="shared" si="174"/>
        <v>-523.66599999999744</v>
      </c>
      <c r="BT281" s="3">
        <v>-83320.774999999994</v>
      </c>
      <c r="BU281" s="3">
        <v>-82796.997000000003</v>
      </c>
      <c r="BV281" s="3">
        <f t="shared" si="175"/>
        <v>-523.77799999999115</v>
      </c>
    </row>
    <row r="282" spans="1:74" x14ac:dyDescent="0.25">
      <c r="A282" s="2" t="s">
        <v>460</v>
      </c>
      <c r="B282" t="s">
        <v>513</v>
      </c>
      <c r="C282" t="s">
        <v>199</v>
      </c>
      <c r="D282" s="3">
        <v>15.4</v>
      </c>
      <c r="E282" s="3">
        <v>0.55000000000000004</v>
      </c>
      <c r="F282" s="3">
        <v>-150.304</v>
      </c>
      <c r="G282" s="3">
        <v>-151.07599999999999</v>
      </c>
      <c r="H282" s="3">
        <f t="shared" si="196"/>
        <v>-0.77199999999999136</v>
      </c>
      <c r="I282" s="3">
        <v>-0.30299999999999999</v>
      </c>
      <c r="J282" s="6">
        <v>-0.11600000000000001</v>
      </c>
      <c r="K282" s="3">
        <f t="shared" si="197"/>
        <v>0.187</v>
      </c>
      <c r="L282" s="3">
        <v>0.20799999999999999</v>
      </c>
      <c r="M282" s="6">
        <v>8.1000000000000003E-2</v>
      </c>
      <c r="N282" s="3">
        <f t="shared" si="198"/>
        <v>-0.127</v>
      </c>
      <c r="O282" s="3">
        <f t="shared" si="199"/>
        <v>4.7500000000000001E-2</v>
      </c>
      <c r="P282" s="3">
        <f t="shared" si="200"/>
        <v>1.7500000000000002E-2</v>
      </c>
      <c r="Q282" s="3">
        <f t="shared" si="201"/>
        <v>-0.03</v>
      </c>
      <c r="R282" s="3">
        <f t="shared" si="202"/>
        <v>0.51100000000000001</v>
      </c>
      <c r="S282" s="3">
        <f t="shared" si="202"/>
        <v>0.19700000000000001</v>
      </c>
      <c r="T282" s="3">
        <f t="shared" si="203"/>
        <v>-0.314</v>
      </c>
      <c r="U282" s="3">
        <f t="shared" si="204"/>
        <v>-4.7500000000000001E-2</v>
      </c>
      <c r="V282" s="3">
        <f t="shared" si="204"/>
        <v>-1.7500000000000002E-2</v>
      </c>
      <c r="W282" s="3">
        <f t="shared" si="194"/>
        <v>0.03</v>
      </c>
      <c r="X282" s="3">
        <f t="shared" si="190"/>
        <v>2.2076810176125243E-3</v>
      </c>
      <c r="Y282" s="3">
        <f t="shared" si="191"/>
        <v>7.7728426395939096E-4</v>
      </c>
      <c r="Z282" s="3">
        <f t="shared" si="205"/>
        <v>-1.4303967536531334E-3</v>
      </c>
      <c r="AA282" s="3">
        <v>3.0259999999999998</v>
      </c>
      <c r="AB282" s="3">
        <v>3.089</v>
      </c>
      <c r="AC282" s="3">
        <f t="shared" si="206"/>
        <v>6.3000000000000167E-2</v>
      </c>
      <c r="AD282" s="3">
        <f>-150.285815*627.50956</f>
        <v>-94305.78564489141</v>
      </c>
      <c r="AE282" s="3">
        <f>-151.059196*627.50956</f>
        <v>-94791.089615913748</v>
      </c>
      <c r="AF282" s="3">
        <f t="shared" si="207"/>
        <v>-485.30397102233837</v>
      </c>
      <c r="AG282" s="3">
        <f>-150.311313*627.50956</f>
        <v>-94321.785883652279</v>
      </c>
      <c r="AH282" s="3">
        <f>-151.084853*627.50956</f>
        <v>-94807.189628694687</v>
      </c>
      <c r="AI282" s="3">
        <f t="shared" si="208"/>
        <v>-485.40374504240754</v>
      </c>
      <c r="AJ282" s="3">
        <v>-0.75800000000000001</v>
      </c>
      <c r="AK282" s="3">
        <v>-0.78600000000000003</v>
      </c>
      <c r="AL282" s="3">
        <f t="shared" si="209"/>
        <v>-2.8000000000000025E-2</v>
      </c>
      <c r="AM282" s="3">
        <v>33.006999999999998</v>
      </c>
      <c r="AN282" s="3">
        <v>60.311999999999998</v>
      </c>
      <c r="AO282" s="3">
        <v>42.003999999999998</v>
      </c>
      <c r="AP282" s="3">
        <f t="shared" si="210"/>
        <v>1.0322841223833239</v>
      </c>
      <c r="AQ282" s="3">
        <v>4.6539999999999999</v>
      </c>
      <c r="AR282" s="3">
        <v>0.78</v>
      </c>
      <c r="AS282" s="3">
        <v>-76.454999999999998</v>
      </c>
      <c r="AT282" s="3">
        <v>-76.055000000000007</v>
      </c>
      <c r="AU282" s="3">
        <f t="shared" si="164"/>
        <v>-0.39999999999999147</v>
      </c>
      <c r="AV282" s="3">
        <v>-0.30399999999999999</v>
      </c>
      <c r="AW282" s="3">
        <v>-0.505</v>
      </c>
      <c r="AX282" s="3">
        <f t="shared" si="165"/>
        <v>0.20100000000000001</v>
      </c>
      <c r="AY282" s="3">
        <v>0.04</v>
      </c>
      <c r="AZ282" s="3">
        <v>0.16400000000000001</v>
      </c>
      <c r="BA282" s="3">
        <f t="shared" si="166"/>
        <v>-0.124</v>
      </c>
      <c r="BB282" s="3">
        <f t="shared" si="211"/>
        <v>0.13200000000000001</v>
      </c>
      <c r="BC282" s="3">
        <f t="shared" si="211"/>
        <v>0.17049999999999998</v>
      </c>
      <c r="BD282" s="3">
        <f t="shared" si="168"/>
        <v>-3.8499999999999979E-2</v>
      </c>
      <c r="BE282" s="3">
        <f t="shared" si="212"/>
        <v>0.34399999999999997</v>
      </c>
      <c r="BF282" s="3">
        <f t="shared" si="212"/>
        <v>0.66900000000000004</v>
      </c>
      <c r="BG282" s="3">
        <f t="shared" si="170"/>
        <v>-0.32500000000000007</v>
      </c>
      <c r="BH282" s="3">
        <f t="shared" si="213"/>
        <v>-0.13200000000000001</v>
      </c>
      <c r="BI282" s="3">
        <f t="shared" si="213"/>
        <v>-0.17049999999999998</v>
      </c>
      <c r="BJ282" s="3">
        <f t="shared" si="195"/>
        <v>3.8499999999999979E-2</v>
      </c>
      <c r="BK282" s="3">
        <f t="shared" si="192"/>
        <v>2.5325581395348844E-2</v>
      </c>
      <c r="BL282" s="3">
        <f t="shared" si="193"/>
        <v>2.1726644245141997E-2</v>
      </c>
      <c r="BM282" s="3">
        <f t="shared" si="172"/>
        <v>3.5989371502068469E-3</v>
      </c>
      <c r="BN282" s="3">
        <v>2.3010000000000002</v>
      </c>
      <c r="BO282" s="3">
        <v>2.3559999999999999</v>
      </c>
      <c r="BP282" s="3">
        <f t="shared" si="173"/>
        <v>-5.4999999999999716E-2</v>
      </c>
      <c r="BQ282" s="3">
        <v>-47960.305999999997</v>
      </c>
      <c r="BR282" s="3">
        <v>-47708.290999999997</v>
      </c>
      <c r="BS282" s="3">
        <f t="shared" si="174"/>
        <v>-252.01499999999942</v>
      </c>
      <c r="BT282" s="3">
        <v>-47973.754999999997</v>
      </c>
      <c r="BU282" s="3">
        <v>-47721.697</v>
      </c>
      <c r="BV282" s="3">
        <f t="shared" si="175"/>
        <v>-252.05799999999726</v>
      </c>
    </row>
    <row r="283" spans="1:74" x14ac:dyDescent="0.25">
      <c r="A283" s="4" t="s">
        <v>461</v>
      </c>
      <c r="B283" t="s">
        <v>513</v>
      </c>
      <c r="C283" t="s">
        <v>200</v>
      </c>
      <c r="D283" s="3">
        <v>15.48</v>
      </c>
      <c r="E283" s="3">
        <v>0.71</v>
      </c>
      <c r="F283" s="3">
        <v>-508.68200000000002</v>
      </c>
      <c r="G283" s="3">
        <v>-511.642</v>
      </c>
      <c r="H283" s="3">
        <f t="shared" si="196"/>
        <v>-2.9599999999999795</v>
      </c>
      <c r="I283" s="3">
        <v>-0.26800000000000002</v>
      </c>
      <c r="J283" s="6">
        <v>-0.189</v>
      </c>
      <c r="K283" s="3">
        <f t="shared" si="197"/>
        <v>7.9000000000000015E-2</v>
      </c>
      <c r="L283" s="3">
        <v>8.6999999999999994E-2</v>
      </c>
      <c r="M283" s="6">
        <v>-6.0999999999999999E-2</v>
      </c>
      <c r="N283" s="3">
        <f t="shared" si="198"/>
        <v>-0.14799999999999999</v>
      </c>
      <c r="O283" s="3">
        <f t="shared" si="199"/>
        <v>9.0500000000000011E-2</v>
      </c>
      <c r="P283" s="3">
        <f t="shared" si="200"/>
        <v>0.125</v>
      </c>
      <c r="Q283" s="3">
        <f t="shared" si="201"/>
        <v>3.4499999999999989E-2</v>
      </c>
      <c r="R283" s="3">
        <f t="shared" si="202"/>
        <v>0.35499999999999998</v>
      </c>
      <c r="S283" s="3">
        <f t="shared" si="202"/>
        <v>0.128</v>
      </c>
      <c r="T283" s="3">
        <f t="shared" si="203"/>
        <v>-0.22699999999999998</v>
      </c>
      <c r="U283" s="3">
        <f t="shared" si="204"/>
        <v>-9.0500000000000011E-2</v>
      </c>
      <c r="V283" s="3">
        <f t="shared" si="204"/>
        <v>-0.125</v>
      </c>
      <c r="W283" s="3">
        <f t="shared" si="194"/>
        <v>-3.4499999999999989E-2</v>
      </c>
      <c r="X283" s="3">
        <f t="shared" si="190"/>
        <v>1.1535563380281692E-2</v>
      </c>
      <c r="Y283" s="3">
        <f t="shared" si="191"/>
        <v>6.103515625E-2</v>
      </c>
      <c r="Z283" s="3">
        <f t="shared" si="205"/>
        <v>4.9499592869718306E-2</v>
      </c>
      <c r="AA283" s="3">
        <v>8.0030000000000001</v>
      </c>
      <c r="AB283" s="3">
        <v>7.4039999999999999</v>
      </c>
      <c r="AC283" s="3">
        <f t="shared" si="206"/>
        <v>-0.5990000000000002</v>
      </c>
      <c r="AD283" s="3">
        <f>-508.57328*627.50956</f>
        <v>-319134.59516055678</v>
      </c>
      <c r="AE283" s="3">
        <f>-511.539805*627.50956</f>
        <v>-320996.11795803579</v>
      </c>
      <c r="AF283" s="3">
        <f t="shared" si="207"/>
        <v>-1861.5227974790032</v>
      </c>
      <c r="AG283" s="3">
        <f>-508.614469*627.50956</f>
        <v>-319160.44165182364</v>
      </c>
      <c r="AH283" s="3">
        <f>-511.582986*627.50956</f>
        <v>-321023.21444834617</v>
      </c>
      <c r="AI283" s="3">
        <f t="shared" si="208"/>
        <v>-1862.7727965225349</v>
      </c>
      <c r="AJ283" s="3">
        <v>-0.82499999999999996</v>
      </c>
      <c r="AK283" s="3">
        <v>-0.71599999999999997</v>
      </c>
      <c r="AL283" s="3">
        <f t="shared" si="209"/>
        <v>0.10899999999999999</v>
      </c>
      <c r="AM283" s="3">
        <v>138.101</v>
      </c>
      <c r="AN283" s="3">
        <v>166.17</v>
      </c>
      <c r="AO283" s="3">
        <v>169.52699999999999</v>
      </c>
      <c r="AP283" s="3">
        <f t="shared" si="210"/>
        <v>1.1219736370949873</v>
      </c>
      <c r="AQ283" s="3">
        <v>8.8010000000000002</v>
      </c>
      <c r="AR283" s="3">
        <v>2.105</v>
      </c>
      <c r="AS283" s="3">
        <v>-553.27200000000005</v>
      </c>
      <c r="AT283" s="3">
        <v>-551.61699999999996</v>
      </c>
      <c r="AU283" s="3">
        <f t="shared" si="164"/>
        <v>-1.6550000000000864</v>
      </c>
      <c r="AV283" s="3">
        <v>-0.23699999999999999</v>
      </c>
      <c r="AW283" s="3">
        <v>-0.36899999999999999</v>
      </c>
      <c r="AX283" s="3">
        <f t="shared" si="165"/>
        <v>0.13200000000000001</v>
      </c>
      <c r="AY283" s="3">
        <v>2.8000000000000001E-2</v>
      </c>
      <c r="AZ283" s="3">
        <v>0.154</v>
      </c>
      <c r="BA283" s="3">
        <f t="shared" si="166"/>
        <v>-0.126</v>
      </c>
      <c r="BB283" s="3">
        <f t="shared" si="211"/>
        <v>0.1045</v>
      </c>
      <c r="BC283" s="3">
        <f t="shared" si="211"/>
        <v>0.1075</v>
      </c>
      <c r="BD283" s="3">
        <f t="shared" si="168"/>
        <v>-3.0000000000000027E-3</v>
      </c>
      <c r="BE283" s="3">
        <f t="shared" si="212"/>
        <v>0.26500000000000001</v>
      </c>
      <c r="BF283" s="3">
        <f t="shared" si="212"/>
        <v>0.52300000000000002</v>
      </c>
      <c r="BG283" s="3">
        <f t="shared" si="170"/>
        <v>-0.25800000000000001</v>
      </c>
      <c r="BH283" s="3">
        <f t="shared" si="213"/>
        <v>-0.1045</v>
      </c>
      <c r="BI283" s="3">
        <f t="shared" si="213"/>
        <v>-0.1075</v>
      </c>
      <c r="BJ283" s="3">
        <f t="shared" si="195"/>
        <v>3.0000000000000027E-3</v>
      </c>
      <c r="BK283" s="3">
        <f t="shared" si="192"/>
        <v>2.0604245283018865E-2</v>
      </c>
      <c r="BL283" s="3">
        <f t="shared" si="193"/>
        <v>1.104804015296367E-2</v>
      </c>
      <c r="BM283" s="3">
        <f t="shared" si="172"/>
        <v>9.5562051300551957E-3</v>
      </c>
      <c r="BN283" s="3">
        <v>5.4870000000000001</v>
      </c>
      <c r="BO283" s="3">
        <v>6.0839999999999996</v>
      </c>
      <c r="BP283" s="3">
        <f t="shared" si="173"/>
        <v>-0.59699999999999953</v>
      </c>
      <c r="BQ283" s="3">
        <v>-347129.96399999998</v>
      </c>
      <c r="BR283" s="3">
        <v>-346087.64600000001</v>
      </c>
      <c r="BS283" s="3">
        <f t="shared" si="174"/>
        <v>-1042.3179999999702</v>
      </c>
      <c r="BT283" s="3">
        <v>-347152.04599999997</v>
      </c>
      <c r="BU283" s="3">
        <v>-346109.22600000002</v>
      </c>
      <c r="BV283" s="3">
        <f t="shared" si="175"/>
        <v>-1042.8199999999488</v>
      </c>
    </row>
    <row r="284" spans="1:74" x14ac:dyDescent="0.25">
      <c r="A284" s="4" t="s">
        <v>462</v>
      </c>
      <c r="B284" t="s">
        <v>513</v>
      </c>
      <c r="C284" t="s">
        <v>442</v>
      </c>
      <c r="D284" s="3">
        <v>15.78</v>
      </c>
      <c r="E284" s="3">
        <v>0.56000000000000005</v>
      </c>
      <c r="F284" s="3">
        <v>-114.535</v>
      </c>
      <c r="G284" s="3">
        <v>-115.226</v>
      </c>
      <c r="H284" s="3">
        <f t="shared" si="196"/>
        <v>-0.6910000000000025</v>
      </c>
      <c r="I284" s="3">
        <v>-0.28899999999999998</v>
      </c>
      <c r="J284" s="6">
        <v>-0.13400000000000001</v>
      </c>
      <c r="K284" s="3">
        <f t="shared" si="197"/>
        <v>0.15499999999999997</v>
      </c>
      <c r="L284" s="3">
        <v>0.189</v>
      </c>
      <c r="M284" s="6">
        <v>7.3999999999999996E-2</v>
      </c>
      <c r="N284" s="3">
        <f t="shared" si="198"/>
        <v>-0.115</v>
      </c>
      <c r="O284" s="3">
        <f t="shared" si="199"/>
        <v>4.9999999999999989E-2</v>
      </c>
      <c r="P284" s="3">
        <f t="shared" si="200"/>
        <v>3.0000000000000006E-2</v>
      </c>
      <c r="Q284" s="3">
        <f t="shared" si="201"/>
        <v>-1.9999999999999983E-2</v>
      </c>
      <c r="R284" s="3">
        <f t="shared" si="202"/>
        <v>0.47799999999999998</v>
      </c>
      <c r="S284" s="3">
        <f t="shared" si="202"/>
        <v>0.20800000000000002</v>
      </c>
      <c r="T284" s="3">
        <f t="shared" si="203"/>
        <v>-0.26999999999999996</v>
      </c>
      <c r="U284" s="3">
        <f t="shared" si="204"/>
        <v>-4.9999999999999989E-2</v>
      </c>
      <c r="V284" s="3">
        <f t="shared" si="204"/>
        <v>-3.0000000000000006E-2</v>
      </c>
      <c r="W284" s="3">
        <f t="shared" si="194"/>
        <v>1.9999999999999983E-2</v>
      </c>
      <c r="X284" s="3">
        <f t="shared" si="190"/>
        <v>2.6150627615062752E-3</v>
      </c>
      <c r="Y284" s="3">
        <f t="shared" si="191"/>
        <v>2.163461538461539E-3</v>
      </c>
      <c r="Z284" s="3">
        <f t="shared" si="205"/>
        <v>-4.5160122304473615E-4</v>
      </c>
      <c r="AA284" s="3">
        <v>3.2240000000000002</v>
      </c>
      <c r="AB284" s="3">
        <v>2.3679999999999999</v>
      </c>
      <c r="AC284" s="3">
        <f t="shared" si="206"/>
        <v>-0.85600000000000032</v>
      </c>
      <c r="AD284" s="3">
        <f>-114.492697*627.50956</f>
        <v>-71845.261917683325</v>
      </c>
      <c r="AE284" s="3">
        <f>-115.187002*627.50956</f>
        <v>-72280.944942739123</v>
      </c>
      <c r="AF284" s="3">
        <f t="shared" si="207"/>
        <v>-435.68302505579777</v>
      </c>
      <c r="AG284" s="3">
        <f>-114.517703*627.50956</f>
        <v>-71860.953421740676</v>
      </c>
      <c r="AH284" s="3">
        <f>-115.212054*627.50956</f>
        <v>-72296.665312236233</v>
      </c>
      <c r="AI284" s="3">
        <f t="shared" si="208"/>
        <v>-435.71189049555687</v>
      </c>
      <c r="AJ284" s="3">
        <v>-1.0820000000000001</v>
      </c>
      <c r="AK284" s="3">
        <v>-0.98099999999999998</v>
      </c>
      <c r="AL284" s="3">
        <f t="shared" si="209"/>
        <v>0.10100000000000009</v>
      </c>
      <c r="AM284" s="3">
        <v>31.033999999999999</v>
      </c>
      <c r="AN284" s="3">
        <v>76.331999999999994</v>
      </c>
      <c r="AO284" s="3">
        <v>59.634999999999998</v>
      </c>
      <c r="AP284" s="3">
        <f t="shared" si="210"/>
        <v>1.0342569380957554</v>
      </c>
      <c r="AQ284" s="3">
        <v>4.8310000000000004</v>
      </c>
      <c r="AR284" s="3">
        <v>0.79900000000000004</v>
      </c>
      <c r="AS284" s="3">
        <v>-115.762</v>
      </c>
      <c r="AT284" s="3">
        <v>-115.081</v>
      </c>
      <c r="AU284" s="3">
        <f t="shared" si="164"/>
        <v>-0.68099999999999739</v>
      </c>
      <c r="AV284" s="3">
        <v>-0.27500000000000002</v>
      </c>
      <c r="AW284" s="3">
        <v>-0.44800000000000001</v>
      </c>
      <c r="AX284" s="3">
        <f t="shared" si="165"/>
        <v>0.17299999999999999</v>
      </c>
      <c r="AY284" s="3">
        <v>4.4999999999999998E-2</v>
      </c>
      <c r="AZ284" s="3">
        <v>0.16300000000000001</v>
      </c>
      <c r="BA284" s="3">
        <f t="shared" si="166"/>
        <v>-0.11800000000000001</v>
      </c>
      <c r="BB284" s="3">
        <f t="shared" si="211"/>
        <v>0.11500000000000002</v>
      </c>
      <c r="BC284" s="3">
        <f t="shared" si="211"/>
        <v>0.14250000000000002</v>
      </c>
      <c r="BD284" s="3">
        <f t="shared" si="168"/>
        <v>-2.7499999999999997E-2</v>
      </c>
      <c r="BE284" s="3">
        <f t="shared" si="212"/>
        <v>0.32</v>
      </c>
      <c r="BF284" s="3">
        <f t="shared" si="212"/>
        <v>0.61099999999999999</v>
      </c>
      <c r="BG284" s="3">
        <f t="shared" si="170"/>
        <v>-0.29099999999999998</v>
      </c>
      <c r="BH284" s="3">
        <f t="shared" si="213"/>
        <v>-0.11500000000000002</v>
      </c>
      <c r="BI284" s="3">
        <f t="shared" si="213"/>
        <v>-0.14250000000000002</v>
      </c>
      <c r="BJ284" s="3">
        <f t="shared" si="195"/>
        <v>2.7499999999999997E-2</v>
      </c>
      <c r="BK284" s="3">
        <f t="shared" si="192"/>
        <v>2.0664062500000007E-2</v>
      </c>
      <c r="BL284" s="3">
        <f t="shared" si="193"/>
        <v>1.6617225859247142E-2</v>
      </c>
      <c r="BM284" s="3">
        <f t="shared" si="172"/>
        <v>4.0468366407528655E-3</v>
      </c>
      <c r="BN284" s="3">
        <v>2.0070000000000001</v>
      </c>
      <c r="BO284" s="3">
        <v>2.1240000000000001</v>
      </c>
      <c r="BP284" s="3">
        <f t="shared" si="173"/>
        <v>-0.11699999999999999</v>
      </c>
      <c r="BQ284" s="3">
        <v>-72607.271999999997</v>
      </c>
      <c r="BR284" s="3">
        <v>-72177.607999999993</v>
      </c>
      <c r="BS284" s="3">
        <f t="shared" si="174"/>
        <v>-429.66400000000431</v>
      </c>
      <c r="BT284" s="3">
        <v>-72624.232000000004</v>
      </c>
      <c r="BU284" s="3">
        <v>-72194.5</v>
      </c>
      <c r="BV284" s="3">
        <f t="shared" si="175"/>
        <v>-429.73200000000361</v>
      </c>
    </row>
    <row r="285" spans="1:74" x14ac:dyDescent="0.25">
      <c r="A285" s="4" t="s">
        <v>463</v>
      </c>
      <c r="B285" t="s">
        <v>513</v>
      </c>
      <c r="C285" t="s">
        <v>220</v>
      </c>
      <c r="D285" s="3">
        <v>15.78</v>
      </c>
      <c r="E285" s="3">
        <v>0.65</v>
      </c>
      <c r="F285" s="3">
        <v>-153.58500000000001</v>
      </c>
      <c r="G285" s="3">
        <v>-154.55799999999999</v>
      </c>
      <c r="H285" s="3">
        <f t="shared" si="196"/>
        <v>-0.97299999999998477</v>
      </c>
      <c r="I285" s="3">
        <v>-0.28699999999999998</v>
      </c>
      <c r="J285" s="6">
        <v>-0.13600000000000001</v>
      </c>
      <c r="K285" s="3">
        <f t="shared" si="197"/>
        <v>0.15099999999999997</v>
      </c>
      <c r="L285" s="3">
        <v>0.187</v>
      </c>
      <c r="M285" s="6">
        <v>7.2999999999999995E-2</v>
      </c>
      <c r="N285" s="3">
        <f t="shared" si="198"/>
        <v>-0.114</v>
      </c>
      <c r="O285" s="3">
        <f t="shared" si="199"/>
        <v>4.9999999999999989E-2</v>
      </c>
      <c r="P285" s="3">
        <f t="shared" si="200"/>
        <v>3.1500000000000007E-2</v>
      </c>
      <c r="Q285" s="3">
        <f t="shared" si="201"/>
        <v>-1.8499999999999982E-2</v>
      </c>
      <c r="R285" s="3">
        <f t="shared" si="202"/>
        <v>0.47399999999999998</v>
      </c>
      <c r="S285" s="3">
        <f t="shared" si="202"/>
        <v>0.20900000000000002</v>
      </c>
      <c r="T285" s="3">
        <f t="shared" si="203"/>
        <v>-0.26499999999999996</v>
      </c>
      <c r="U285" s="3">
        <f t="shared" si="204"/>
        <v>-4.9999999999999989E-2</v>
      </c>
      <c r="V285" s="3">
        <f t="shared" si="204"/>
        <v>-3.1500000000000007E-2</v>
      </c>
      <c r="W285" s="3">
        <f t="shared" si="194"/>
        <v>1.8499999999999982E-2</v>
      </c>
      <c r="X285" s="3">
        <f t="shared" si="190"/>
        <v>2.6371308016877627E-3</v>
      </c>
      <c r="Y285" s="3">
        <f t="shared" si="191"/>
        <v>2.3738038277511973E-3</v>
      </c>
      <c r="Z285" s="3">
        <f t="shared" si="205"/>
        <v>-2.6332697393656544E-4</v>
      </c>
      <c r="AA285" s="3">
        <v>5.26</v>
      </c>
      <c r="AB285" s="3">
        <v>4.41</v>
      </c>
      <c r="AC285" s="3">
        <f t="shared" si="206"/>
        <v>-0.84999999999999964</v>
      </c>
      <c r="AD285" s="3">
        <f>-153.511019*627.50956</f>
        <v>-96329.63198784164</v>
      </c>
      <c r="AE285" s="3">
        <f>-154.489154*627.50956</f>
        <v>-96943.421051312238</v>
      </c>
      <c r="AF285" s="3">
        <f t="shared" si="207"/>
        <v>-613.78906347059819</v>
      </c>
      <c r="AG285" s="3">
        <f>-153.540447*627.50956</f>
        <v>-96348.098339173317</v>
      </c>
      <c r="AH285" s="3">
        <f>-154.51882*627.50956</f>
        <v>-96962.036749919193</v>
      </c>
      <c r="AI285" s="3">
        <f t="shared" si="208"/>
        <v>-613.93841074587544</v>
      </c>
      <c r="AJ285" s="3">
        <v>-1.0920000000000001</v>
      </c>
      <c r="AK285" s="3">
        <v>-0.99099999999999999</v>
      </c>
      <c r="AL285" s="3">
        <f t="shared" si="209"/>
        <v>0.10100000000000009</v>
      </c>
      <c r="AM285" s="3">
        <v>45.061</v>
      </c>
      <c r="AN285" s="3">
        <v>101.274</v>
      </c>
      <c r="AO285" s="3">
        <v>88.424999999999997</v>
      </c>
      <c r="AP285" s="3">
        <f t="shared" si="210"/>
        <v>1.0552868707990481</v>
      </c>
      <c r="AQ285" s="3">
        <v>6.1020000000000003</v>
      </c>
      <c r="AR285" s="3">
        <v>1.177</v>
      </c>
      <c r="AS285" s="3">
        <v>-155.09299999999999</v>
      </c>
      <c r="AT285" s="3">
        <v>-154.131</v>
      </c>
      <c r="AU285" s="3">
        <f t="shared" si="164"/>
        <v>-0.96199999999998909</v>
      </c>
      <c r="AV285" s="3">
        <v>-0.27300000000000002</v>
      </c>
      <c r="AW285" s="3">
        <v>-0.44</v>
      </c>
      <c r="AX285" s="3">
        <f t="shared" si="165"/>
        <v>0.16699999999999998</v>
      </c>
      <c r="AY285" s="3">
        <v>4.2999999999999997E-2</v>
      </c>
      <c r="AZ285" s="3">
        <v>0.16</v>
      </c>
      <c r="BA285" s="3">
        <f t="shared" si="166"/>
        <v>-0.11700000000000001</v>
      </c>
      <c r="BB285" s="3">
        <f t="shared" si="211"/>
        <v>0.11500000000000002</v>
      </c>
      <c r="BC285" s="3">
        <f t="shared" si="211"/>
        <v>0.14000000000000001</v>
      </c>
      <c r="BD285" s="3">
        <f t="shared" si="168"/>
        <v>-2.4999999999999994E-2</v>
      </c>
      <c r="BE285" s="3">
        <f t="shared" si="212"/>
        <v>0.316</v>
      </c>
      <c r="BF285" s="3">
        <f t="shared" si="212"/>
        <v>0.6</v>
      </c>
      <c r="BG285" s="3">
        <f t="shared" si="170"/>
        <v>-0.28399999999999997</v>
      </c>
      <c r="BH285" s="3">
        <f t="shared" si="213"/>
        <v>-0.11500000000000002</v>
      </c>
      <c r="BI285" s="3">
        <f t="shared" si="213"/>
        <v>-0.14000000000000001</v>
      </c>
      <c r="BJ285" s="3">
        <f t="shared" si="195"/>
        <v>2.4999999999999994E-2</v>
      </c>
      <c r="BK285" s="3">
        <f t="shared" si="192"/>
        <v>2.0925632911392412E-2</v>
      </c>
      <c r="BL285" s="3">
        <f t="shared" si="193"/>
        <v>1.6333333333333335E-2</v>
      </c>
      <c r="BM285" s="3">
        <f t="shared" si="172"/>
        <v>4.5922995780590774E-3</v>
      </c>
      <c r="BN285" s="3">
        <v>1.964</v>
      </c>
      <c r="BO285" s="3">
        <v>2.08</v>
      </c>
      <c r="BP285" s="3">
        <f t="shared" si="173"/>
        <v>-0.1160000000000001</v>
      </c>
      <c r="BQ285" s="3">
        <v>-97268.926999999996</v>
      </c>
      <c r="BR285" s="3">
        <v>-96662.017000000007</v>
      </c>
      <c r="BS285" s="3">
        <f t="shared" si="174"/>
        <v>-606.90999999998894</v>
      </c>
      <c r="BT285" s="3">
        <v>-97288.145000000004</v>
      </c>
      <c r="BU285" s="3">
        <v>-96681.072</v>
      </c>
      <c r="BV285" s="3">
        <f t="shared" si="175"/>
        <v>-607.07300000000396</v>
      </c>
    </row>
    <row r="286" spans="1:74" x14ac:dyDescent="0.25">
      <c r="A286" s="4" t="s">
        <v>464</v>
      </c>
      <c r="B286" t="s">
        <v>513</v>
      </c>
      <c r="C286" t="s">
        <v>99</v>
      </c>
      <c r="D286" s="3">
        <v>15.83</v>
      </c>
      <c r="E286" s="3">
        <v>0.8</v>
      </c>
      <c r="F286" s="3">
        <v>-508.68200000000002</v>
      </c>
      <c r="G286" s="3">
        <v>-511.64100000000002</v>
      </c>
      <c r="H286" s="3">
        <f t="shared" si="196"/>
        <v>-2.9590000000000032</v>
      </c>
      <c r="I286" s="3">
        <v>-0.26700000000000002</v>
      </c>
      <c r="J286" s="6">
        <v>-0.188</v>
      </c>
      <c r="K286" s="3">
        <f t="shared" si="197"/>
        <v>7.9000000000000015E-2</v>
      </c>
      <c r="L286" s="3">
        <v>8.7999999999999995E-2</v>
      </c>
      <c r="M286" s="6">
        <v>-0.06</v>
      </c>
      <c r="N286" s="3">
        <f t="shared" si="198"/>
        <v>-0.14799999999999999</v>
      </c>
      <c r="O286" s="3">
        <f t="shared" si="199"/>
        <v>8.950000000000001E-2</v>
      </c>
      <c r="P286" s="3">
        <f t="shared" si="200"/>
        <v>0.124</v>
      </c>
      <c r="Q286" s="3">
        <f t="shared" si="201"/>
        <v>3.4499999999999989E-2</v>
      </c>
      <c r="R286" s="3">
        <f t="shared" si="202"/>
        <v>0.35499999999999998</v>
      </c>
      <c r="S286" s="3">
        <f t="shared" si="202"/>
        <v>0.128</v>
      </c>
      <c r="T286" s="3">
        <f t="shared" si="203"/>
        <v>-0.22699999999999998</v>
      </c>
      <c r="U286" s="3">
        <f t="shared" si="204"/>
        <v>-8.950000000000001E-2</v>
      </c>
      <c r="V286" s="3">
        <f t="shared" si="204"/>
        <v>-0.124</v>
      </c>
      <c r="W286" s="3">
        <f t="shared" si="194"/>
        <v>-3.4499999999999989E-2</v>
      </c>
      <c r="X286" s="3">
        <f t="shared" si="190"/>
        <v>1.128204225352113E-2</v>
      </c>
      <c r="Y286" s="3">
        <f t="shared" si="191"/>
        <v>6.0062499999999998E-2</v>
      </c>
      <c r="Z286" s="3">
        <f t="shared" si="205"/>
        <v>4.8780457746478864E-2</v>
      </c>
      <c r="AA286" s="3">
        <v>7.9710000000000001</v>
      </c>
      <c r="AB286" s="3">
        <v>7.3710000000000004</v>
      </c>
      <c r="AC286" s="3">
        <f t="shared" si="206"/>
        <v>-0.59999999999999964</v>
      </c>
      <c r="AD286" s="3">
        <f>-508.572597*627.50956</f>
        <v>-319134.16657152731</v>
      </c>
      <c r="AE286" s="3">
        <f>-511.53916*627.50956</f>
        <v>-320995.71321436955</v>
      </c>
      <c r="AF286" s="3">
        <f t="shared" si="207"/>
        <v>-1861.5466428422369</v>
      </c>
      <c r="AG286" s="3">
        <f>-508.613837*627.50956</f>
        <v>-319160.04506578168</v>
      </c>
      <c r="AH286" s="3">
        <f>-511.582186*627.50956</f>
        <v>-321022.71244069812</v>
      </c>
      <c r="AI286" s="3">
        <f t="shared" si="208"/>
        <v>-1862.6673749164329</v>
      </c>
      <c r="AJ286" s="3">
        <v>-0.82399999999999995</v>
      </c>
      <c r="AK286" s="3">
        <v>-0.71499999999999997</v>
      </c>
      <c r="AL286" s="3">
        <f t="shared" si="209"/>
        <v>0.10899999999999999</v>
      </c>
      <c r="AM286" s="3">
        <v>138.101</v>
      </c>
      <c r="AN286" s="3">
        <v>166.17400000000001</v>
      </c>
      <c r="AO286" s="3">
        <v>169.529</v>
      </c>
      <c r="AP286" s="3">
        <f t="shared" si="210"/>
        <v>1.1219918204743349</v>
      </c>
      <c r="AQ286" s="3">
        <v>8.8010000000000002</v>
      </c>
      <c r="AR286" s="3">
        <v>2.105</v>
      </c>
      <c r="AS286" s="3">
        <v>-132.80099999999999</v>
      </c>
      <c r="AT286" s="3">
        <v>-131.97</v>
      </c>
      <c r="AU286" s="3">
        <f t="shared" si="164"/>
        <v>-0.83099999999998886</v>
      </c>
      <c r="AV286" s="3">
        <v>-0.34100000000000003</v>
      </c>
      <c r="AW286" s="3">
        <v>-0.47499999999999998</v>
      </c>
      <c r="AX286" s="3">
        <f t="shared" si="165"/>
        <v>0.13399999999999995</v>
      </c>
      <c r="AY286" s="3">
        <v>2.9000000000000001E-2</v>
      </c>
      <c r="AZ286" s="3">
        <v>0.156</v>
      </c>
      <c r="BA286" s="3">
        <f t="shared" si="166"/>
        <v>-0.127</v>
      </c>
      <c r="BB286" s="3">
        <f t="shared" ref="BB286:BC301" si="214">-(AV286+AY286)/2</f>
        <v>0.156</v>
      </c>
      <c r="BC286" s="3">
        <f t="shared" si="214"/>
        <v>0.15949999999999998</v>
      </c>
      <c r="BD286" s="3">
        <f t="shared" si="168"/>
        <v>-3.4999999999999754E-3</v>
      </c>
      <c r="BE286" s="3">
        <f t="shared" ref="BE286:BF301" si="215">AY286-AV286</f>
        <v>0.37000000000000005</v>
      </c>
      <c r="BF286" s="3">
        <f t="shared" si="215"/>
        <v>0.63100000000000001</v>
      </c>
      <c r="BG286" s="3">
        <f t="shared" si="170"/>
        <v>-0.26099999999999995</v>
      </c>
      <c r="BH286" s="3">
        <f t="shared" ref="BH286:BI301" si="216">(AV286+AY286)/2</f>
        <v>-0.156</v>
      </c>
      <c r="BI286" s="3">
        <f t="shared" si="216"/>
        <v>-0.15949999999999998</v>
      </c>
      <c r="BJ286" s="3">
        <f t="shared" si="195"/>
        <v>3.4999999999999754E-3</v>
      </c>
      <c r="BK286" s="3">
        <f t="shared" si="192"/>
        <v>3.2886486486486483E-2</v>
      </c>
      <c r="BL286" s="3">
        <f t="shared" si="193"/>
        <v>2.0158676703645E-2</v>
      </c>
      <c r="BM286" s="3">
        <f t="shared" si="172"/>
        <v>1.2727809782841482E-2</v>
      </c>
      <c r="BN286" s="3">
        <v>4.7279999999999998</v>
      </c>
      <c r="BO286" s="3">
        <v>4.9340000000000002</v>
      </c>
      <c r="BP286" s="3">
        <f t="shared" si="173"/>
        <v>-0.20600000000000041</v>
      </c>
      <c r="BQ286" s="3">
        <v>-83302.89</v>
      </c>
      <c r="BR286" s="3">
        <v>-82779.224000000002</v>
      </c>
      <c r="BS286" s="3">
        <f t="shared" si="174"/>
        <v>-523.66599999999744</v>
      </c>
      <c r="BT286" s="3">
        <v>-83320.774999999994</v>
      </c>
      <c r="BU286" s="3">
        <v>-82796.997000000003</v>
      </c>
      <c r="BV286" s="3">
        <f t="shared" si="175"/>
        <v>-523.77799999999115</v>
      </c>
    </row>
    <row r="287" spans="1:74" x14ac:dyDescent="0.25">
      <c r="A287" s="4" t="s">
        <v>465</v>
      </c>
      <c r="B287" t="s">
        <v>513</v>
      </c>
      <c r="C287" t="s">
        <v>199</v>
      </c>
      <c r="D287" s="3">
        <v>16.02</v>
      </c>
      <c r="E287" s="3">
        <v>0.54</v>
      </c>
      <c r="F287" s="3">
        <v>-967.37800000000004</v>
      </c>
      <c r="G287" s="3">
        <v>-973.13599999999997</v>
      </c>
      <c r="H287" s="3">
        <f t="shared" si="196"/>
        <v>-5.7579999999999245</v>
      </c>
      <c r="I287" s="3">
        <v>-0.34300000000000003</v>
      </c>
      <c r="J287" s="6">
        <v>-0.16300000000000001</v>
      </c>
      <c r="K287" s="3">
        <f t="shared" si="197"/>
        <v>0.18000000000000002</v>
      </c>
      <c r="L287" s="3">
        <v>5.7000000000000002E-2</v>
      </c>
      <c r="M287" s="6">
        <v>-0.09</v>
      </c>
      <c r="N287" s="3">
        <f t="shared" si="198"/>
        <v>-0.14699999999999999</v>
      </c>
      <c r="O287" s="3">
        <f t="shared" si="199"/>
        <v>0.14300000000000002</v>
      </c>
      <c r="P287" s="3">
        <f t="shared" si="200"/>
        <v>0.1265</v>
      </c>
      <c r="Q287" s="3">
        <f t="shared" si="201"/>
        <v>-1.6500000000000015E-2</v>
      </c>
      <c r="R287" s="3">
        <f t="shared" si="202"/>
        <v>0.4</v>
      </c>
      <c r="S287" s="3">
        <f t="shared" si="202"/>
        <v>7.3000000000000009E-2</v>
      </c>
      <c r="T287" s="3">
        <f t="shared" si="203"/>
        <v>-0.32700000000000001</v>
      </c>
      <c r="U287" s="3">
        <f t="shared" si="204"/>
        <v>-0.14300000000000002</v>
      </c>
      <c r="V287" s="3">
        <f t="shared" si="204"/>
        <v>-0.1265</v>
      </c>
      <c r="W287" s="3">
        <f t="shared" si="194"/>
        <v>1.6500000000000015E-2</v>
      </c>
      <c r="X287" s="3">
        <f t="shared" si="190"/>
        <v>2.5561250000000004E-2</v>
      </c>
      <c r="Y287" s="3">
        <f t="shared" si="191"/>
        <v>0.10960445205479451</v>
      </c>
      <c r="Z287" s="3">
        <f t="shared" si="205"/>
        <v>8.40432020547945E-2</v>
      </c>
      <c r="AA287" s="3">
        <v>38.939</v>
      </c>
      <c r="AB287" s="3">
        <v>38.14</v>
      </c>
      <c r="AC287" s="3">
        <f t="shared" si="206"/>
        <v>-0.79899999999999949</v>
      </c>
      <c r="AD287" s="3">
        <f>-967.077831*627.50956</f>
        <v>-606850.58421656431</v>
      </c>
      <c r="AE287" s="3">
        <f>-972.854197*627.50956</f>
        <v>-610475.30910362327</v>
      </c>
      <c r="AF287" s="3">
        <f t="shared" si="207"/>
        <v>-3624.7248870589538</v>
      </c>
      <c r="AG287" s="3">
        <f>-967.144955*627.50956</f>
        <v>-606892.70516826981</v>
      </c>
      <c r="AH287" s="3">
        <f>-972.923412*627.50956</f>
        <v>-610518.74217781867</v>
      </c>
      <c r="AI287" s="3">
        <f t="shared" si="208"/>
        <v>-3626.0370095488615</v>
      </c>
      <c r="AJ287" s="3">
        <v>-0.67</v>
      </c>
      <c r="AK287" s="3">
        <v>-0.68700000000000006</v>
      </c>
      <c r="AL287" s="3">
        <f t="shared" si="209"/>
        <v>-1.7000000000000015E-2</v>
      </c>
      <c r="AM287" s="3">
        <v>276.26499999999999</v>
      </c>
      <c r="AN287" s="3">
        <v>331.40199999999999</v>
      </c>
      <c r="AO287" s="3">
        <v>337.827</v>
      </c>
      <c r="AP287" s="3">
        <f t="shared" si="210"/>
        <v>1.4130195514324826</v>
      </c>
      <c r="AQ287" s="3">
        <v>17.548999999999999</v>
      </c>
      <c r="AR287" s="3">
        <v>4.6100000000000003</v>
      </c>
      <c r="AS287" s="3">
        <v>-76.454999999999998</v>
      </c>
      <c r="AT287" s="3">
        <v>-76.055000000000007</v>
      </c>
      <c r="AU287" s="3">
        <f t="shared" si="164"/>
        <v>-0.39999999999999147</v>
      </c>
      <c r="AV287" s="3">
        <v>-0.30399999999999999</v>
      </c>
      <c r="AW287" s="3">
        <v>-0.505</v>
      </c>
      <c r="AX287" s="3">
        <f t="shared" si="165"/>
        <v>0.20100000000000001</v>
      </c>
      <c r="AY287" s="3">
        <v>0.04</v>
      </c>
      <c r="AZ287" s="3">
        <v>0.16400000000000001</v>
      </c>
      <c r="BA287" s="3">
        <f t="shared" si="166"/>
        <v>-0.124</v>
      </c>
      <c r="BB287" s="3">
        <f t="shared" si="214"/>
        <v>0.13200000000000001</v>
      </c>
      <c r="BC287" s="3">
        <f t="shared" si="214"/>
        <v>0.17049999999999998</v>
      </c>
      <c r="BD287" s="3">
        <f t="shared" si="168"/>
        <v>-3.8499999999999979E-2</v>
      </c>
      <c r="BE287" s="3">
        <f t="shared" si="215"/>
        <v>0.34399999999999997</v>
      </c>
      <c r="BF287" s="3">
        <f t="shared" si="215"/>
        <v>0.66900000000000004</v>
      </c>
      <c r="BG287" s="3">
        <f t="shared" si="170"/>
        <v>-0.32500000000000007</v>
      </c>
      <c r="BH287" s="3">
        <f t="shared" si="216"/>
        <v>-0.13200000000000001</v>
      </c>
      <c r="BI287" s="3">
        <f t="shared" si="216"/>
        <v>-0.17049999999999998</v>
      </c>
      <c r="BJ287" s="3">
        <f t="shared" si="195"/>
        <v>3.8499999999999979E-2</v>
      </c>
      <c r="BK287" s="3">
        <f t="shared" si="192"/>
        <v>2.5325581395348844E-2</v>
      </c>
      <c r="BL287" s="3">
        <f t="shared" si="193"/>
        <v>2.1726644245141997E-2</v>
      </c>
      <c r="BM287" s="3">
        <f t="shared" si="172"/>
        <v>3.5989371502068469E-3</v>
      </c>
      <c r="BN287" s="3">
        <v>2.3010000000000002</v>
      </c>
      <c r="BO287" s="3">
        <v>2.3559999999999999</v>
      </c>
      <c r="BP287" s="3">
        <f t="shared" si="173"/>
        <v>-5.4999999999999716E-2</v>
      </c>
      <c r="BQ287" s="3">
        <v>-47960.305999999997</v>
      </c>
      <c r="BR287" s="3">
        <v>-47708.290999999997</v>
      </c>
      <c r="BS287" s="3">
        <f t="shared" si="174"/>
        <v>-252.01499999999942</v>
      </c>
      <c r="BT287" s="3">
        <v>-47973.754999999997</v>
      </c>
      <c r="BU287" s="3">
        <v>-47721.697</v>
      </c>
      <c r="BV287" s="3">
        <f t="shared" si="175"/>
        <v>-252.05799999999726</v>
      </c>
    </row>
    <row r="288" spans="1:74" x14ac:dyDescent="0.25">
      <c r="A288" s="4" t="s">
        <v>468</v>
      </c>
      <c r="B288" t="s">
        <v>513</v>
      </c>
      <c r="C288" t="s">
        <v>99</v>
      </c>
      <c r="D288" s="3">
        <v>16.03</v>
      </c>
      <c r="E288" s="3">
        <v>0.64</v>
      </c>
      <c r="F288" s="3">
        <v>-302.29000000000002</v>
      </c>
      <c r="G288" s="3">
        <v>-303.93099999999998</v>
      </c>
      <c r="H288" s="3">
        <f t="shared" si="196"/>
        <v>-1.6409999999999627</v>
      </c>
      <c r="I288" s="3">
        <v>-0.379</v>
      </c>
      <c r="J288" s="6">
        <v>-0.20699999999999999</v>
      </c>
      <c r="K288" s="3">
        <f t="shared" si="197"/>
        <v>0.17200000000000001</v>
      </c>
      <c r="L288" s="3">
        <v>0.184</v>
      </c>
      <c r="M288" s="6">
        <v>7.3999999999999996E-2</v>
      </c>
      <c r="N288" s="3">
        <f t="shared" si="198"/>
        <v>-0.11</v>
      </c>
      <c r="O288" s="3">
        <f t="shared" si="199"/>
        <v>9.7500000000000003E-2</v>
      </c>
      <c r="P288" s="3">
        <f t="shared" si="200"/>
        <v>6.6500000000000004E-2</v>
      </c>
      <c r="Q288" s="3">
        <f t="shared" si="201"/>
        <v>-3.1E-2</v>
      </c>
      <c r="R288" s="3">
        <f t="shared" si="202"/>
        <v>0.56299999999999994</v>
      </c>
      <c r="S288" s="3">
        <f t="shared" si="202"/>
        <v>0.28099999999999997</v>
      </c>
      <c r="T288" s="3">
        <f t="shared" si="203"/>
        <v>-0.28199999999999997</v>
      </c>
      <c r="U288" s="3">
        <f t="shared" si="204"/>
        <v>-9.7500000000000003E-2</v>
      </c>
      <c r="V288" s="3">
        <f t="shared" si="204"/>
        <v>-6.6500000000000004E-2</v>
      </c>
      <c r="W288" s="3">
        <f t="shared" si="194"/>
        <v>3.1E-2</v>
      </c>
      <c r="X288" s="3">
        <f t="shared" si="190"/>
        <v>8.4424955595026659E-3</v>
      </c>
      <c r="Y288" s="3">
        <f t="shared" si="191"/>
        <v>7.8687722419928854E-3</v>
      </c>
      <c r="Z288" s="3">
        <f t="shared" si="205"/>
        <v>-5.7372331750978056E-4</v>
      </c>
      <c r="AA288" s="3">
        <v>6.56</v>
      </c>
      <c r="AB288" s="3">
        <v>5.75</v>
      </c>
      <c r="AC288" s="3">
        <f t="shared" si="206"/>
        <v>-0.80999999999999961</v>
      </c>
      <c r="AD288" s="3">
        <f>-302.226093*627.50956</f>
        <v>-189649.76263894906</v>
      </c>
      <c r="AE288" s="3">
        <f>-303.871094*627.50956</f>
        <v>-190682.01649265864</v>
      </c>
      <c r="AF288" s="3">
        <f t="shared" si="207"/>
        <v>-1032.2538537095825</v>
      </c>
      <c r="AG288" s="3">
        <f>-302.25971*627.50956</f>
        <v>-189670.85762782759</v>
      </c>
      <c r="AH288" s="3">
        <f>-303.905483*627.50956</f>
        <v>-190703.59591891748</v>
      </c>
      <c r="AI288" s="3">
        <f t="shared" si="208"/>
        <v>-1032.7382910898887</v>
      </c>
      <c r="AJ288" s="3">
        <v>-0.91300000000000003</v>
      </c>
      <c r="AK288" s="3">
        <v>-0.81499999999999995</v>
      </c>
      <c r="AL288" s="3">
        <f t="shared" si="209"/>
        <v>9.8000000000000087E-2</v>
      </c>
      <c r="AM288" s="3">
        <v>75.043000000000006</v>
      </c>
      <c r="AN288" s="3">
        <v>110.533</v>
      </c>
      <c r="AO288" s="3">
        <v>97.311999999999998</v>
      </c>
      <c r="AP288" s="3">
        <f t="shared" si="210"/>
        <v>1.0805303640830608</v>
      </c>
      <c r="AQ288" s="3">
        <v>6.9660000000000002</v>
      </c>
      <c r="AR288" s="3">
        <v>1.4350000000000001</v>
      </c>
      <c r="AS288" s="3">
        <v>-132.80099999999999</v>
      </c>
      <c r="AT288" s="3">
        <v>-131.97</v>
      </c>
      <c r="AU288" s="3">
        <f t="shared" si="164"/>
        <v>-0.83099999999998886</v>
      </c>
      <c r="AV288" s="3">
        <v>-0.34100000000000003</v>
      </c>
      <c r="AW288" s="3">
        <v>-0.47499999999999998</v>
      </c>
      <c r="AX288" s="3">
        <f t="shared" si="165"/>
        <v>0.13399999999999995</v>
      </c>
      <c r="AY288" s="3">
        <v>2.9000000000000001E-2</v>
      </c>
      <c r="AZ288" s="3">
        <v>0.156</v>
      </c>
      <c r="BA288" s="3">
        <f t="shared" si="166"/>
        <v>-0.127</v>
      </c>
      <c r="BB288" s="3">
        <f t="shared" si="214"/>
        <v>0.156</v>
      </c>
      <c r="BC288" s="3">
        <f t="shared" si="214"/>
        <v>0.15949999999999998</v>
      </c>
      <c r="BD288" s="3">
        <f t="shared" si="168"/>
        <v>-3.4999999999999754E-3</v>
      </c>
      <c r="BE288" s="3">
        <f t="shared" si="215"/>
        <v>0.37000000000000005</v>
      </c>
      <c r="BF288" s="3">
        <f t="shared" si="215"/>
        <v>0.63100000000000001</v>
      </c>
      <c r="BG288" s="3">
        <f t="shared" si="170"/>
        <v>-0.26099999999999995</v>
      </c>
      <c r="BH288" s="3">
        <f t="shared" si="216"/>
        <v>-0.156</v>
      </c>
      <c r="BI288" s="3">
        <f t="shared" si="216"/>
        <v>-0.15949999999999998</v>
      </c>
      <c r="BJ288" s="3">
        <f t="shared" si="195"/>
        <v>3.4999999999999754E-3</v>
      </c>
      <c r="BK288" s="3">
        <f t="shared" si="192"/>
        <v>3.2886486486486483E-2</v>
      </c>
      <c r="BL288" s="3">
        <f t="shared" si="193"/>
        <v>2.0158676703645E-2</v>
      </c>
      <c r="BM288" s="3">
        <f t="shared" si="172"/>
        <v>1.2727809782841482E-2</v>
      </c>
      <c r="BN288" s="3">
        <v>4.7279999999999998</v>
      </c>
      <c r="BO288" s="3">
        <v>4.9340000000000002</v>
      </c>
      <c r="BP288" s="3">
        <f t="shared" si="173"/>
        <v>-0.20600000000000041</v>
      </c>
      <c r="BQ288" s="3">
        <v>-83302.89</v>
      </c>
      <c r="BR288" s="3">
        <v>-82779.224000000002</v>
      </c>
      <c r="BS288" s="3">
        <f t="shared" si="174"/>
        <v>-523.66599999999744</v>
      </c>
      <c r="BT288" s="3">
        <v>-83320.774999999994</v>
      </c>
      <c r="BU288" s="3">
        <v>-82796.997000000003</v>
      </c>
      <c r="BV288" s="3">
        <f t="shared" si="175"/>
        <v>-523.77799999999115</v>
      </c>
    </row>
    <row r="289" spans="1:74" x14ac:dyDescent="0.25">
      <c r="A289" s="4" t="s">
        <v>467</v>
      </c>
      <c r="B289" t="s">
        <v>513</v>
      </c>
      <c r="C289" t="s">
        <v>466</v>
      </c>
      <c r="D289" s="3">
        <v>16.03</v>
      </c>
      <c r="E289" s="3">
        <v>0.7</v>
      </c>
      <c r="F289" s="3">
        <v>-192.62799999999999</v>
      </c>
      <c r="G289" s="3">
        <v>-193.881</v>
      </c>
      <c r="H289" s="3">
        <f t="shared" si="196"/>
        <v>-1.2530000000000143</v>
      </c>
      <c r="I289" s="3">
        <v>-0.28499999999999998</v>
      </c>
      <c r="J289" s="6">
        <v>-0.13300000000000001</v>
      </c>
      <c r="K289" s="3">
        <f t="shared" si="197"/>
        <v>0.15199999999999997</v>
      </c>
      <c r="L289" s="3">
        <v>0.17799999999999999</v>
      </c>
      <c r="M289" s="6">
        <v>6.5000000000000002E-2</v>
      </c>
      <c r="N289" s="3">
        <f t="shared" si="198"/>
        <v>-0.11299999999999999</v>
      </c>
      <c r="O289" s="3">
        <f t="shared" si="199"/>
        <v>5.3499999999999992E-2</v>
      </c>
      <c r="P289" s="3">
        <f t="shared" si="200"/>
        <v>3.4000000000000002E-2</v>
      </c>
      <c r="Q289" s="3">
        <f t="shared" si="201"/>
        <v>-1.949999999999999E-2</v>
      </c>
      <c r="R289" s="3">
        <f t="shared" si="202"/>
        <v>0.46299999999999997</v>
      </c>
      <c r="S289" s="3">
        <f t="shared" si="202"/>
        <v>0.19800000000000001</v>
      </c>
      <c r="T289" s="3">
        <f t="shared" si="203"/>
        <v>-0.26499999999999996</v>
      </c>
      <c r="U289" s="3">
        <f t="shared" si="204"/>
        <v>-5.3499999999999992E-2</v>
      </c>
      <c r="V289" s="3">
        <f t="shared" si="204"/>
        <v>-3.4000000000000002E-2</v>
      </c>
      <c r="W289" s="3">
        <f t="shared" si="194"/>
        <v>1.949999999999999E-2</v>
      </c>
      <c r="X289" s="3">
        <f t="shared" si="190"/>
        <v>3.0909827213822889E-3</v>
      </c>
      <c r="Y289" s="3">
        <f t="shared" si="191"/>
        <v>2.9191919191919194E-3</v>
      </c>
      <c r="Z289" s="3">
        <f t="shared" si="205"/>
        <v>-1.7179080219036948E-4</v>
      </c>
      <c r="AA289" s="3">
        <v>8.2289999999999992</v>
      </c>
      <c r="AB289" s="3">
        <v>7.4550000000000001</v>
      </c>
      <c r="AC289" s="3">
        <f t="shared" si="206"/>
        <v>-0.77399999999999913</v>
      </c>
      <c r="AD289" s="3">
        <f>-192.522765*627.50956</f>
        <v>-120809.87555513339</v>
      </c>
      <c r="AE289" s="3">
        <f>-193.782877*627.50956</f>
        <v>-121600.60788180413</v>
      </c>
      <c r="AF289" s="3">
        <f t="shared" si="207"/>
        <v>-790.73232667073898</v>
      </c>
      <c r="AG289" s="3">
        <f>-192.555811*627.50956</f>
        <v>-120830.61223605316</v>
      </c>
      <c r="AH289" s="3">
        <f>-193.81641*627.50956</f>
        <v>-121621.65015987959</v>
      </c>
      <c r="AI289" s="3">
        <f t="shared" si="208"/>
        <v>-791.0379238264286</v>
      </c>
      <c r="AJ289" s="3">
        <v>-1.0920000000000001</v>
      </c>
      <c r="AK289" s="3">
        <v>-0.996</v>
      </c>
      <c r="AL289" s="3">
        <f t="shared" si="209"/>
        <v>9.6000000000000085E-2</v>
      </c>
      <c r="AM289" s="3">
        <v>59.087000000000003</v>
      </c>
      <c r="AN289" s="3">
        <v>123.53400000000001</v>
      </c>
      <c r="AO289" s="3">
        <v>116.358</v>
      </c>
      <c r="AP289" s="3">
        <f t="shared" si="210"/>
        <v>1.0719592820187858</v>
      </c>
      <c r="AQ289" s="3">
        <v>7.35</v>
      </c>
      <c r="AR289" s="3">
        <v>1.5609999999999999</v>
      </c>
      <c r="AS289" s="3">
        <v>-194.417</v>
      </c>
      <c r="AT289" s="3">
        <v>-193.17500000000001</v>
      </c>
      <c r="AU289" s="3">
        <f t="shared" si="164"/>
        <v>-1.2419999999999902</v>
      </c>
      <c r="AV289" s="3">
        <v>-0.27300000000000002</v>
      </c>
      <c r="AW289" s="3">
        <v>-0.44</v>
      </c>
      <c r="AX289" s="3">
        <f t="shared" si="165"/>
        <v>0.16699999999999998</v>
      </c>
      <c r="AY289" s="3">
        <v>4.5999999999999999E-2</v>
      </c>
      <c r="AZ289" s="3">
        <v>0.161</v>
      </c>
      <c r="BA289" s="3">
        <f t="shared" si="166"/>
        <v>-0.115</v>
      </c>
      <c r="BB289" s="3">
        <f t="shared" si="214"/>
        <v>0.11350000000000002</v>
      </c>
      <c r="BC289" s="3">
        <f t="shared" si="214"/>
        <v>0.13950000000000001</v>
      </c>
      <c r="BD289" s="3">
        <f t="shared" si="168"/>
        <v>-2.5999999999999995E-2</v>
      </c>
      <c r="BE289" s="3">
        <f t="shared" si="215"/>
        <v>0.31900000000000001</v>
      </c>
      <c r="BF289" s="3">
        <f t="shared" si="215"/>
        <v>0.60099999999999998</v>
      </c>
      <c r="BG289" s="3">
        <f t="shared" si="170"/>
        <v>-0.28199999999999997</v>
      </c>
      <c r="BH289" s="3">
        <f t="shared" si="216"/>
        <v>-0.11350000000000002</v>
      </c>
      <c r="BI289" s="3">
        <f t="shared" si="216"/>
        <v>-0.13950000000000001</v>
      </c>
      <c r="BJ289" s="3">
        <f t="shared" si="195"/>
        <v>2.5999999999999995E-2</v>
      </c>
      <c r="BK289" s="3">
        <f t="shared" si="192"/>
        <v>2.0191614420062703E-2</v>
      </c>
      <c r="BL289" s="3">
        <f t="shared" si="193"/>
        <v>1.6189891846921801E-2</v>
      </c>
      <c r="BM289" s="3">
        <f t="shared" si="172"/>
        <v>4.001722573140902E-3</v>
      </c>
      <c r="BN289" s="3">
        <v>1.869</v>
      </c>
      <c r="BO289" s="3">
        <v>1.9870000000000001</v>
      </c>
      <c r="BP289" s="3">
        <f t="shared" si="173"/>
        <v>-0.1180000000000001</v>
      </c>
      <c r="BQ289" s="3">
        <v>-121926.632</v>
      </c>
      <c r="BR289" s="3">
        <v>-121142.798</v>
      </c>
      <c r="BS289" s="3">
        <f t="shared" si="174"/>
        <v>-783.83400000000256</v>
      </c>
      <c r="BT289" s="3">
        <v>-121948.202</v>
      </c>
      <c r="BU289" s="3">
        <v>-121164.095</v>
      </c>
      <c r="BV289" s="3">
        <f t="shared" si="175"/>
        <v>-784.10700000000361</v>
      </c>
    </row>
    <row r="290" spans="1:74" x14ac:dyDescent="0.25">
      <c r="A290" s="4" t="s">
        <v>464</v>
      </c>
      <c r="B290" t="s">
        <v>513</v>
      </c>
      <c r="C290" t="s">
        <v>360</v>
      </c>
      <c r="D290" s="3">
        <v>16.649999999999999</v>
      </c>
      <c r="E290" s="3">
        <v>0.7</v>
      </c>
      <c r="F290" s="3">
        <v>-508.68200000000002</v>
      </c>
      <c r="G290" s="3">
        <v>-511.64100000000002</v>
      </c>
      <c r="H290" s="3">
        <f t="shared" si="196"/>
        <v>-2.9590000000000032</v>
      </c>
      <c r="I290" s="3">
        <v>-0.26700000000000002</v>
      </c>
      <c r="J290" s="6">
        <v>-0.188</v>
      </c>
      <c r="K290" s="3">
        <f t="shared" si="197"/>
        <v>7.9000000000000015E-2</v>
      </c>
      <c r="L290" s="3">
        <v>8.7999999999999995E-2</v>
      </c>
      <c r="M290" s="6">
        <v>-6.0999999999999999E-2</v>
      </c>
      <c r="N290" s="3">
        <f t="shared" si="198"/>
        <v>-0.14899999999999999</v>
      </c>
      <c r="O290" s="3">
        <f t="shared" si="199"/>
        <v>8.950000000000001E-2</v>
      </c>
      <c r="P290" s="3">
        <f t="shared" si="200"/>
        <v>0.1245</v>
      </c>
      <c r="Q290" s="3">
        <f t="shared" si="201"/>
        <v>3.4999999999999989E-2</v>
      </c>
      <c r="R290" s="3">
        <f t="shared" si="202"/>
        <v>0.35499999999999998</v>
      </c>
      <c r="S290" s="3">
        <f t="shared" si="202"/>
        <v>0.127</v>
      </c>
      <c r="T290" s="3">
        <f t="shared" si="203"/>
        <v>-0.22799999999999998</v>
      </c>
      <c r="U290" s="3">
        <f t="shared" si="204"/>
        <v>-8.950000000000001E-2</v>
      </c>
      <c r="V290" s="3">
        <f t="shared" si="204"/>
        <v>-0.1245</v>
      </c>
      <c r="W290" s="3">
        <f t="shared" si="194"/>
        <v>-3.4999999999999989E-2</v>
      </c>
      <c r="X290" s="3">
        <f t="shared" si="190"/>
        <v>1.128204225352113E-2</v>
      </c>
      <c r="Y290" s="3">
        <f t="shared" si="191"/>
        <v>6.1024606299212601E-2</v>
      </c>
      <c r="Z290" s="3">
        <f t="shared" si="205"/>
        <v>4.9742564045691468E-2</v>
      </c>
      <c r="AA290" s="3">
        <v>7.976</v>
      </c>
      <c r="AB290" s="3">
        <v>7.3769999999999998</v>
      </c>
      <c r="AC290" s="3">
        <f t="shared" si="206"/>
        <v>-0.5990000000000002</v>
      </c>
      <c r="AD290" s="3">
        <f>-508.572715*627.50956</f>
        <v>-319134.24061765539</v>
      </c>
      <c r="AE290" s="3">
        <f>-511.539272*627.50956</f>
        <v>-320995.78349544026</v>
      </c>
      <c r="AF290" s="3">
        <f t="shared" si="207"/>
        <v>-1861.542877784872</v>
      </c>
      <c r="AG290" s="3">
        <f>-508.613949*627.50956</f>
        <v>-319160.1153468524</v>
      </c>
      <c r="AH290" s="3">
        <f>-511.582552*627.50956</f>
        <v>-321022.94210919709</v>
      </c>
      <c r="AI290" s="3">
        <f t="shared" si="208"/>
        <v>-1862.8267623446882</v>
      </c>
      <c r="AJ290" s="3">
        <v>-0.82399999999999995</v>
      </c>
      <c r="AK290" s="3">
        <v>-0.71499999999999997</v>
      </c>
      <c r="AL290" s="3">
        <f t="shared" si="209"/>
        <v>0.10899999999999999</v>
      </c>
      <c r="AM290" s="3">
        <v>138.101</v>
      </c>
      <c r="AN290" s="3">
        <v>166.173</v>
      </c>
      <c r="AO290" s="3">
        <v>169.53299999999999</v>
      </c>
      <c r="AP290" s="3">
        <f t="shared" si="210"/>
        <v>1.1219674202488146</v>
      </c>
      <c r="AQ290" s="3">
        <v>8.8010000000000002</v>
      </c>
      <c r="AR290" s="3">
        <v>2.105</v>
      </c>
      <c r="AS290" s="3">
        <v>-248.59200000000001</v>
      </c>
      <c r="AT290" s="3">
        <v>-247.066</v>
      </c>
      <c r="AU290" s="3">
        <f t="shared" si="164"/>
        <v>-1.5260000000000105</v>
      </c>
      <c r="AV290" s="3">
        <v>-0.25</v>
      </c>
      <c r="AW290" s="3">
        <v>-0.375</v>
      </c>
      <c r="AX290" s="3">
        <f t="shared" si="165"/>
        <v>0.125</v>
      </c>
      <c r="AY290" s="3">
        <v>1.7999999999999999E-2</v>
      </c>
      <c r="AZ290" s="3">
        <v>0.157</v>
      </c>
      <c r="BA290" s="3">
        <f t="shared" si="166"/>
        <v>-0.13900000000000001</v>
      </c>
      <c r="BB290" s="3">
        <f t="shared" si="214"/>
        <v>0.11600000000000001</v>
      </c>
      <c r="BC290" s="3">
        <f t="shared" si="214"/>
        <v>0.109</v>
      </c>
      <c r="BD290" s="3">
        <f t="shared" si="168"/>
        <v>7.0000000000000062E-3</v>
      </c>
      <c r="BE290" s="3">
        <f t="shared" si="215"/>
        <v>0.26800000000000002</v>
      </c>
      <c r="BF290" s="3">
        <f t="shared" si="215"/>
        <v>0.53200000000000003</v>
      </c>
      <c r="BG290" s="3">
        <f t="shared" si="170"/>
        <v>-0.26400000000000001</v>
      </c>
      <c r="BH290" s="3">
        <f t="shared" si="216"/>
        <v>-0.11600000000000001</v>
      </c>
      <c r="BI290" s="3">
        <f t="shared" si="216"/>
        <v>-0.109</v>
      </c>
      <c r="BJ290" s="3">
        <f t="shared" si="195"/>
        <v>-7.0000000000000062E-3</v>
      </c>
      <c r="BK290" s="3">
        <f t="shared" si="192"/>
        <v>2.5104477611940297E-2</v>
      </c>
      <c r="BL290" s="3">
        <f t="shared" si="193"/>
        <v>1.1166353383458645E-2</v>
      </c>
      <c r="BM290" s="3">
        <f t="shared" si="172"/>
        <v>1.3938124228481652E-2</v>
      </c>
      <c r="BN290" s="3">
        <v>5.09</v>
      </c>
      <c r="BO290" s="3">
        <v>5.2910000000000004</v>
      </c>
      <c r="BP290" s="3">
        <f t="shared" si="173"/>
        <v>-0.20100000000000051</v>
      </c>
      <c r="BQ290" s="3">
        <v>-155925.34599999999</v>
      </c>
      <c r="BR290" s="3">
        <v>-154963.22899999999</v>
      </c>
      <c r="BS290" s="3">
        <f t="shared" si="174"/>
        <v>-962.11699999999837</v>
      </c>
      <c r="BT290" s="3">
        <v>-155948.003</v>
      </c>
      <c r="BU290" s="3">
        <v>-154985.997</v>
      </c>
      <c r="BV290" s="3">
        <f t="shared" si="175"/>
        <v>-962.00599999999395</v>
      </c>
    </row>
    <row r="291" spans="1:74" x14ac:dyDescent="0.25">
      <c r="A291" s="4" t="s">
        <v>469</v>
      </c>
      <c r="B291" t="s">
        <v>513</v>
      </c>
      <c r="C291" t="s">
        <v>199</v>
      </c>
      <c r="D291" s="3">
        <v>16.690000000000001</v>
      </c>
      <c r="E291" s="3">
        <v>0.46</v>
      </c>
      <c r="F291" s="3">
        <v>-2647.279</v>
      </c>
      <c r="G291" s="3">
        <v>-2649.4450000000002</v>
      </c>
      <c r="H291" s="3">
        <f t="shared" si="196"/>
        <v>-2.1660000000001673</v>
      </c>
      <c r="I291" s="3">
        <v>-0.32900000000000001</v>
      </c>
      <c r="J291" s="6">
        <v>-0.16500000000000001</v>
      </c>
      <c r="K291" s="3">
        <f t="shared" si="197"/>
        <v>0.16400000000000001</v>
      </c>
      <c r="L291" s="3">
        <v>0.16800000000000001</v>
      </c>
      <c r="M291" s="6">
        <v>-2E-3</v>
      </c>
      <c r="N291" s="3">
        <f t="shared" si="198"/>
        <v>-0.17</v>
      </c>
      <c r="O291" s="3">
        <f t="shared" si="199"/>
        <v>8.0500000000000002E-2</v>
      </c>
      <c r="P291" s="3">
        <f t="shared" si="200"/>
        <v>8.3500000000000005E-2</v>
      </c>
      <c r="Q291" s="3">
        <f t="shared" si="201"/>
        <v>3.0000000000000027E-3</v>
      </c>
      <c r="R291" s="3">
        <f t="shared" si="202"/>
        <v>0.497</v>
      </c>
      <c r="S291" s="3">
        <f t="shared" si="202"/>
        <v>0.16300000000000001</v>
      </c>
      <c r="T291" s="3">
        <f t="shared" si="203"/>
        <v>-0.33399999999999996</v>
      </c>
      <c r="U291" s="3">
        <f t="shared" si="204"/>
        <v>-8.0500000000000002E-2</v>
      </c>
      <c r="V291" s="3">
        <f t="shared" si="204"/>
        <v>-8.3500000000000005E-2</v>
      </c>
      <c r="W291" s="3">
        <f t="shared" si="194"/>
        <v>-3.0000000000000027E-3</v>
      </c>
      <c r="X291" s="3">
        <f t="shared" si="190"/>
        <v>6.5193661971830992E-3</v>
      </c>
      <c r="Y291" s="3">
        <f t="shared" si="191"/>
        <v>2.1387269938650311E-2</v>
      </c>
      <c r="Z291" s="3">
        <f t="shared" si="205"/>
        <v>1.4867903741467212E-2</v>
      </c>
      <c r="AA291" s="3">
        <v>4.2409999999999997</v>
      </c>
      <c r="AB291" s="3">
        <v>4.6429999999999998</v>
      </c>
      <c r="AC291" s="3">
        <f t="shared" si="206"/>
        <v>0.40200000000000014</v>
      </c>
      <c r="AD291" s="3">
        <f>-2647.274587*627.50956</f>
        <v>-1661190.1112875515</v>
      </c>
      <c r="AE291" s="3">
        <f>-2649.440532*627.50956</f>
        <v>-1662549.262481486</v>
      </c>
      <c r="AF291" s="3">
        <f t="shared" si="207"/>
        <v>-1359.1511939344928</v>
      </c>
      <c r="AG291" s="3">
        <f>-2647.300628*627.50956</f>
        <v>-1661206.4522640035</v>
      </c>
      <c r="AH291" s="3">
        <f>-2649.466559*627.50956</f>
        <v>-1662565.594672804</v>
      </c>
      <c r="AI291" s="3">
        <f t="shared" si="208"/>
        <v>-1359.1424088005442</v>
      </c>
      <c r="AJ291" s="3">
        <v>-0.89200000000000002</v>
      </c>
      <c r="AK291" s="3">
        <v>-0.93300000000000005</v>
      </c>
      <c r="AL291" s="3">
        <f t="shared" si="209"/>
        <v>-4.1000000000000036E-2</v>
      </c>
      <c r="AM291" s="3">
        <v>95.903000000000006</v>
      </c>
      <c r="AN291" s="3">
        <v>73.789000000000001</v>
      </c>
      <c r="AO291" s="3">
        <v>57.094000000000001</v>
      </c>
      <c r="AP291" s="3">
        <f t="shared" si="210"/>
        <v>1.0292493340674425</v>
      </c>
      <c r="AQ291" s="3">
        <v>5.2590000000000003</v>
      </c>
      <c r="AR291" s="3">
        <v>0.70399999999999996</v>
      </c>
      <c r="AS291" s="3">
        <v>-76.454999999999998</v>
      </c>
      <c r="AT291" s="3">
        <v>-76.055000000000007</v>
      </c>
      <c r="AU291" s="3">
        <f t="shared" si="164"/>
        <v>-0.39999999999999147</v>
      </c>
      <c r="AV291" s="3">
        <v>-0.30399999999999999</v>
      </c>
      <c r="AW291" s="3">
        <v>-0.505</v>
      </c>
      <c r="AX291" s="3">
        <f t="shared" si="165"/>
        <v>0.20100000000000001</v>
      </c>
      <c r="AY291" s="3">
        <v>0.04</v>
      </c>
      <c r="AZ291" s="3">
        <v>0.16400000000000001</v>
      </c>
      <c r="BA291" s="3">
        <f t="shared" si="166"/>
        <v>-0.124</v>
      </c>
      <c r="BB291" s="3">
        <f t="shared" si="214"/>
        <v>0.13200000000000001</v>
      </c>
      <c r="BC291" s="3">
        <f t="shared" si="214"/>
        <v>0.17049999999999998</v>
      </c>
      <c r="BD291" s="3">
        <f t="shared" si="168"/>
        <v>-3.8499999999999979E-2</v>
      </c>
      <c r="BE291" s="3">
        <f t="shared" si="215"/>
        <v>0.34399999999999997</v>
      </c>
      <c r="BF291" s="3">
        <f t="shared" si="215"/>
        <v>0.66900000000000004</v>
      </c>
      <c r="BG291" s="3">
        <f t="shared" si="170"/>
        <v>-0.32500000000000007</v>
      </c>
      <c r="BH291" s="3">
        <f t="shared" si="216"/>
        <v>-0.13200000000000001</v>
      </c>
      <c r="BI291" s="3">
        <f t="shared" si="216"/>
        <v>-0.17049999999999998</v>
      </c>
      <c r="BJ291" s="3">
        <f t="shared" si="195"/>
        <v>3.8499999999999979E-2</v>
      </c>
      <c r="BK291" s="3">
        <f t="shared" si="192"/>
        <v>2.5325581395348844E-2</v>
      </c>
      <c r="BL291" s="3">
        <f t="shared" si="193"/>
        <v>2.1726644245141997E-2</v>
      </c>
      <c r="BM291" s="3">
        <f t="shared" si="172"/>
        <v>3.5989371502068469E-3</v>
      </c>
      <c r="BN291" s="3">
        <v>2.3010000000000002</v>
      </c>
      <c r="BO291" s="3">
        <v>2.3559999999999999</v>
      </c>
      <c r="BP291" s="3">
        <f t="shared" si="173"/>
        <v>-5.4999999999999716E-2</v>
      </c>
      <c r="BQ291" s="3">
        <v>-47960.305999999997</v>
      </c>
      <c r="BR291" s="3">
        <v>-47708.290999999997</v>
      </c>
      <c r="BS291" s="3">
        <f t="shared" si="174"/>
        <v>-252.01499999999942</v>
      </c>
      <c r="BT291" s="3">
        <v>-47973.754999999997</v>
      </c>
      <c r="BU291" s="3">
        <v>-47721.697</v>
      </c>
      <c r="BV291" s="3">
        <f t="shared" si="175"/>
        <v>-252.05799999999726</v>
      </c>
    </row>
    <row r="292" spans="1:74" x14ac:dyDescent="0.25">
      <c r="A292" s="2" t="s">
        <v>470</v>
      </c>
      <c r="B292" t="s">
        <v>513</v>
      </c>
      <c r="C292" t="s">
        <v>218</v>
      </c>
      <c r="D292" s="3">
        <v>16.73</v>
      </c>
      <c r="E292" s="3">
        <v>0.63</v>
      </c>
      <c r="F292" s="3">
        <v>-1350.03</v>
      </c>
      <c r="G292" s="3">
        <v>-1358.7080000000001</v>
      </c>
      <c r="H292" s="3">
        <f t="shared" si="196"/>
        <v>-8.678000000000111</v>
      </c>
      <c r="I292" s="3">
        <v>-0.252</v>
      </c>
      <c r="J292" s="6">
        <v>-0.17299999999999999</v>
      </c>
      <c r="K292" s="3">
        <f t="shared" si="197"/>
        <v>7.9000000000000015E-2</v>
      </c>
      <c r="L292" s="3">
        <v>8.4000000000000005E-2</v>
      </c>
      <c r="M292" s="6">
        <v>-6.2E-2</v>
      </c>
      <c r="N292" s="3">
        <f t="shared" si="198"/>
        <v>-0.14600000000000002</v>
      </c>
      <c r="O292" s="3">
        <f t="shared" si="199"/>
        <v>8.3999999999999991E-2</v>
      </c>
      <c r="P292" s="3">
        <f t="shared" si="200"/>
        <v>0.11749999999999999</v>
      </c>
      <c r="Q292" s="3">
        <f t="shared" si="201"/>
        <v>3.3500000000000002E-2</v>
      </c>
      <c r="R292" s="3">
        <f t="shared" si="202"/>
        <v>0.33600000000000002</v>
      </c>
      <c r="S292" s="3">
        <f t="shared" si="202"/>
        <v>0.11099999999999999</v>
      </c>
      <c r="T292" s="3">
        <f t="shared" si="203"/>
        <v>-0.22500000000000003</v>
      </c>
      <c r="U292" s="3">
        <f t="shared" si="204"/>
        <v>-8.3999999999999991E-2</v>
      </c>
      <c r="V292" s="3">
        <f t="shared" si="204"/>
        <v>-0.11749999999999999</v>
      </c>
      <c r="W292" s="3">
        <f t="shared" si="194"/>
        <v>-3.3500000000000002E-2</v>
      </c>
      <c r="X292" s="3">
        <f t="shared" si="190"/>
        <v>1.0499999999999997E-2</v>
      </c>
      <c r="Y292" s="3">
        <f t="shared" si="191"/>
        <v>6.2190315315315318E-2</v>
      </c>
      <c r="Z292" s="3">
        <f t="shared" si="205"/>
        <v>5.1690315315315323E-2</v>
      </c>
      <c r="AA292" s="3">
        <v>11.108000000000001</v>
      </c>
      <c r="AB292" s="3">
        <v>10.897</v>
      </c>
      <c r="AC292" s="3">
        <f t="shared" si="206"/>
        <v>-0.2110000000000003</v>
      </c>
      <c r="AD292" s="3">
        <f>-1349.526421*627.50956</f>
        <v>-846840.73065008468</v>
      </c>
      <c r="AE292" s="3">
        <f>-1358.233968*627.50956</f>
        <v>-852304.79963673407</v>
      </c>
      <c r="AF292" s="3">
        <f t="shared" si="207"/>
        <v>-5464.0689866493922</v>
      </c>
      <c r="AG292" s="3">
        <f>-1349.611073*627.50956</f>
        <v>-846893.8505893579</v>
      </c>
      <c r="AH292" s="3">
        <f>-1358.321833*627.50956</f>
        <v>-852359.93576422345</v>
      </c>
      <c r="AI292" s="3">
        <f t="shared" si="208"/>
        <v>-5466.085174865555</v>
      </c>
      <c r="AJ292" s="3">
        <v>-0.88700000000000001</v>
      </c>
      <c r="AK292" s="3">
        <v>-0.73099999999999998</v>
      </c>
      <c r="AL292" s="3">
        <f t="shared" si="209"/>
        <v>0.15600000000000003</v>
      </c>
      <c r="AM292" s="3">
        <v>429.512</v>
      </c>
      <c r="AN292" s="3">
        <v>494.14299999999997</v>
      </c>
      <c r="AO292" s="3">
        <v>614.30700000000002</v>
      </c>
      <c r="AP292" s="3">
        <f t="shared" si="210"/>
        <v>1.4142242780768979</v>
      </c>
      <c r="AQ292" s="3">
        <v>17.117000000000001</v>
      </c>
      <c r="AR292" s="3">
        <v>4.1749999999999998</v>
      </c>
      <c r="AS292" s="3">
        <v>-232.511</v>
      </c>
      <c r="AT292" s="3">
        <v>-231.03200000000001</v>
      </c>
      <c r="AU292" s="3">
        <f t="shared" si="164"/>
        <v>-1.478999999999985</v>
      </c>
      <c r="AV292" s="3">
        <v>-0.246</v>
      </c>
      <c r="AW292" s="3">
        <v>-0.40400000000000003</v>
      </c>
      <c r="AX292" s="3">
        <f t="shared" si="165"/>
        <v>0.15800000000000003</v>
      </c>
      <c r="AY292" s="3">
        <v>3.5999999999999997E-2</v>
      </c>
      <c r="AZ292" s="3">
        <v>0.15</v>
      </c>
      <c r="BA292" s="3">
        <f t="shared" si="166"/>
        <v>-0.11399999999999999</v>
      </c>
      <c r="BB292" s="3">
        <f t="shared" si="214"/>
        <v>0.105</v>
      </c>
      <c r="BC292" s="3">
        <f t="shared" si="214"/>
        <v>0.127</v>
      </c>
      <c r="BD292" s="3">
        <f t="shared" si="168"/>
        <v>-2.2000000000000006E-2</v>
      </c>
      <c r="BE292" s="3">
        <f t="shared" si="215"/>
        <v>0.28199999999999997</v>
      </c>
      <c r="BF292" s="3">
        <f t="shared" si="215"/>
        <v>0.55400000000000005</v>
      </c>
      <c r="BG292" s="3">
        <f t="shared" si="170"/>
        <v>-0.27200000000000008</v>
      </c>
      <c r="BH292" s="3">
        <f t="shared" si="216"/>
        <v>-0.105</v>
      </c>
      <c r="BI292" s="3">
        <f t="shared" si="216"/>
        <v>-0.127</v>
      </c>
      <c r="BJ292" s="3">
        <f t="shared" si="195"/>
        <v>2.2000000000000006E-2</v>
      </c>
      <c r="BK292" s="3">
        <f t="shared" si="192"/>
        <v>1.9547872340425532E-2</v>
      </c>
      <c r="BL292" s="3">
        <f t="shared" si="193"/>
        <v>1.4556859205776172E-2</v>
      </c>
      <c r="BM292" s="3">
        <f t="shared" si="172"/>
        <v>4.9910131346493601E-3</v>
      </c>
      <c r="BN292" s="3">
        <v>2.206</v>
      </c>
      <c r="BO292" s="3">
        <v>2.2749999999999999</v>
      </c>
      <c r="BP292" s="3">
        <f t="shared" si="173"/>
        <v>-6.899999999999995E-2</v>
      </c>
      <c r="BQ292" s="3">
        <v>-145827.45000000001</v>
      </c>
      <c r="BR292" s="3">
        <v>-144894.345</v>
      </c>
      <c r="BS292" s="3">
        <f t="shared" si="174"/>
        <v>-933.10500000001048</v>
      </c>
      <c r="BT292" s="3">
        <v>-145847.03599999999</v>
      </c>
      <c r="BU292" s="3">
        <v>-144913.766</v>
      </c>
      <c r="BV292" s="3">
        <f t="shared" si="175"/>
        <v>-933.26999999998952</v>
      </c>
    </row>
    <row r="293" spans="1:74" x14ac:dyDescent="0.25">
      <c r="A293" s="4" t="s">
        <v>471</v>
      </c>
      <c r="B293" t="s">
        <v>513</v>
      </c>
      <c r="C293" t="s">
        <v>99</v>
      </c>
      <c r="D293" s="3">
        <v>16.82</v>
      </c>
      <c r="E293" s="3">
        <v>0.7</v>
      </c>
      <c r="F293" s="3">
        <v>-417.952</v>
      </c>
      <c r="G293" s="3">
        <v>-420.46800000000002</v>
      </c>
      <c r="H293" s="3">
        <f t="shared" si="196"/>
        <v>-2.5160000000000196</v>
      </c>
      <c r="I293" s="3">
        <v>-0.32700000000000001</v>
      </c>
      <c r="J293" s="6">
        <v>-0.20599999999999999</v>
      </c>
      <c r="K293" s="3">
        <f t="shared" si="197"/>
        <v>0.12100000000000002</v>
      </c>
      <c r="L293" s="3">
        <v>0.125</v>
      </c>
      <c r="M293" s="6">
        <v>-1.4999999999999999E-2</v>
      </c>
      <c r="N293" s="3">
        <f t="shared" si="198"/>
        <v>-0.14000000000000001</v>
      </c>
      <c r="O293" s="3">
        <f t="shared" si="199"/>
        <v>0.10100000000000001</v>
      </c>
      <c r="P293" s="3">
        <f t="shared" si="200"/>
        <v>0.11049999999999999</v>
      </c>
      <c r="Q293" s="3">
        <f t="shared" si="201"/>
        <v>9.4999999999999807E-3</v>
      </c>
      <c r="R293" s="3">
        <f t="shared" si="202"/>
        <v>0.45200000000000001</v>
      </c>
      <c r="S293" s="3">
        <f t="shared" si="202"/>
        <v>0.191</v>
      </c>
      <c r="T293" s="3">
        <f t="shared" si="203"/>
        <v>-0.26100000000000001</v>
      </c>
      <c r="U293" s="3">
        <f t="shared" si="204"/>
        <v>-0.10100000000000001</v>
      </c>
      <c r="V293" s="3">
        <f t="shared" si="204"/>
        <v>-0.11049999999999999</v>
      </c>
      <c r="W293" s="3">
        <f t="shared" si="194"/>
        <v>-9.4999999999999807E-3</v>
      </c>
      <c r="X293" s="3">
        <f t="shared" si="190"/>
        <v>1.1284292035398233E-2</v>
      </c>
      <c r="Y293" s="3">
        <f t="shared" si="191"/>
        <v>3.1964005235602083E-2</v>
      </c>
      <c r="Z293" s="3">
        <f t="shared" si="205"/>
        <v>2.0679713200203849E-2</v>
      </c>
      <c r="AA293" s="3">
        <v>12.092000000000001</v>
      </c>
      <c r="AB293" s="3">
        <v>11.276999999999999</v>
      </c>
      <c r="AC293" s="3">
        <f t="shared" si="206"/>
        <v>-0.81500000000000128</v>
      </c>
      <c r="AD293" s="3">
        <f>-417.835535*627.50956</f>
        <v>-262195.79272021458</v>
      </c>
      <c r="AE293" s="3">
        <f>-420.358579*627.50956</f>
        <v>-263779.02695051522</v>
      </c>
      <c r="AF293" s="3">
        <f t="shared" si="207"/>
        <v>-1583.2342303006444</v>
      </c>
      <c r="AG293" s="3">
        <f>-417.875554*627.50956</f>
        <v>-262220.90502529626</v>
      </c>
      <c r="AH293" s="3">
        <f>-420.399047*627.50956</f>
        <v>-263804.42100738932</v>
      </c>
      <c r="AI293" s="3">
        <f t="shared" si="208"/>
        <v>-1583.5159820930567</v>
      </c>
      <c r="AJ293" s="3">
        <v>-0.90300000000000002</v>
      </c>
      <c r="AK293" s="3">
        <v>-0.80500000000000005</v>
      </c>
      <c r="AL293" s="3">
        <f t="shared" si="209"/>
        <v>9.7999999999999976E-2</v>
      </c>
      <c r="AM293" s="3">
        <v>121.113</v>
      </c>
      <c r="AN293" s="3">
        <v>164.511</v>
      </c>
      <c r="AO293" s="3">
        <v>168.07990000000001</v>
      </c>
      <c r="AP293" s="3">
        <f t="shared" si="210"/>
        <v>1.1171385501061135</v>
      </c>
      <c r="AQ293" s="3">
        <v>8.82</v>
      </c>
      <c r="AR293" s="3">
        <v>2.1040000000000001</v>
      </c>
      <c r="AS293" s="3">
        <v>-132.80099999999999</v>
      </c>
      <c r="AT293" s="3">
        <v>-131.97</v>
      </c>
      <c r="AU293" s="3">
        <f t="shared" si="164"/>
        <v>-0.83099999999998886</v>
      </c>
      <c r="AV293" s="3">
        <v>-0.34100000000000003</v>
      </c>
      <c r="AW293" s="3">
        <v>-0.47499999999999998</v>
      </c>
      <c r="AX293" s="3">
        <f t="shared" si="165"/>
        <v>0.13399999999999995</v>
      </c>
      <c r="AY293" s="3">
        <v>2.9000000000000001E-2</v>
      </c>
      <c r="AZ293" s="3">
        <v>0.156</v>
      </c>
      <c r="BA293" s="3">
        <f t="shared" si="166"/>
        <v>-0.127</v>
      </c>
      <c r="BB293" s="3">
        <f t="shared" si="214"/>
        <v>0.156</v>
      </c>
      <c r="BC293" s="3">
        <f t="shared" si="214"/>
        <v>0.15949999999999998</v>
      </c>
      <c r="BD293" s="3">
        <f t="shared" si="168"/>
        <v>-3.4999999999999754E-3</v>
      </c>
      <c r="BE293" s="3">
        <f t="shared" si="215"/>
        <v>0.37000000000000005</v>
      </c>
      <c r="BF293" s="3">
        <f t="shared" si="215"/>
        <v>0.63100000000000001</v>
      </c>
      <c r="BG293" s="3">
        <f t="shared" si="170"/>
        <v>-0.26099999999999995</v>
      </c>
      <c r="BH293" s="3">
        <f t="shared" si="216"/>
        <v>-0.156</v>
      </c>
      <c r="BI293" s="3">
        <f t="shared" si="216"/>
        <v>-0.15949999999999998</v>
      </c>
      <c r="BJ293" s="3">
        <f t="shared" si="195"/>
        <v>3.4999999999999754E-3</v>
      </c>
      <c r="BK293" s="3">
        <f t="shared" si="192"/>
        <v>3.2886486486486483E-2</v>
      </c>
      <c r="BL293" s="3">
        <f t="shared" si="193"/>
        <v>2.0158676703645E-2</v>
      </c>
      <c r="BM293" s="3">
        <f t="shared" si="172"/>
        <v>1.2727809782841482E-2</v>
      </c>
      <c r="BN293" s="3">
        <v>4.7279999999999998</v>
      </c>
      <c r="BO293" s="3">
        <v>4.9340000000000002</v>
      </c>
      <c r="BP293" s="3">
        <f t="shared" si="173"/>
        <v>-0.20600000000000041</v>
      </c>
      <c r="BQ293" s="3">
        <v>-83302.89</v>
      </c>
      <c r="BR293" s="3">
        <v>-82779.224000000002</v>
      </c>
      <c r="BS293" s="3">
        <f t="shared" si="174"/>
        <v>-523.66599999999744</v>
      </c>
      <c r="BT293" s="3">
        <v>-83320.774999999994</v>
      </c>
      <c r="BU293" s="3">
        <v>-82796.997000000003</v>
      </c>
      <c r="BV293" s="3">
        <f t="shared" si="175"/>
        <v>-523.77799999999115</v>
      </c>
    </row>
    <row r="294" spans="1:74" x14ac:dyDescent="0.25">
      <c r="A294" s="4" t="s">
        <v>472</v>
      </c>
      <c r="B294" t="s">
        <v>513</v>
      </c>
      <c r="C294" t="s">
        <v>99</v>
      </c>
      <c r="D294" s="3">
        <v>16.899999999999999</v>
      </c>
      <c r="E294" s="3">
        <v>0.75</v>
      </c>
      <c r="F294" s="3">
        <v>-227.39500000000001</v>
      </c>
      <c r="G294" s="3">
        <v>-228.678</v>
      </c>
      <c r="H294" s="3">
        <f t="shared" si="196"/>
        <v>-1.282999999999987</v>
      </c>
      <c r="I294" s="3">
        <v>-0.36299999999999999</v>
      </c>
      <c r="J294" s="6">
        <v>-0.19400000000000001</v>
      </c>
      <c r="K294" s="3">
        <f t="shared" si="197"/>
        <v>0.16899999999999998</v>
      </c>
      <c r="L294" s="3">
        <v>0.186</v>
      </c>
      <c r="M294" s="6">
        <v>7.3999999999999996E-2</v>
      </c>
      <c r="N294" s="3">
        <f t="shared" si="198"/>
        <v>-0.112</v>
      </c>
      <c r="O294" s="3">
        <f t="shared" si="199"/>
        <v>8.8499999999999995E-2</v>
      </c>
      <c r="P294" s="3">
        <f t="shared" si="200"/>
        <v>6.0000000000000005E-2</v>
      </c>
      <c r="Q294" s="3">
        <f t="shared" si="201"/>
        <v>-2.8499999999999991E-2</v>
      </c>
      <c r="R294" s="3">
        <f t="shared" si="202"/>
        <v>0.54899999999999993</v>
      </c>
      <c r="S294" s="3">
        <f t="shared" si="202"/>
        <v>0.26800000000000002</v>
      </c>
      <c r="T294" s="3">
        <f t="shared" si="203"/>
        <v>-0.28099999999999992</v>
      </c>
      <c r="U294" s="3">
        <f t="shared" si="204"/>
        <v>-8.8499999999999995E-2</v>
      </c>
      <c r="V294" s="3">
        <f t="shared" si="204"/>
        <v>-6.0000000000000005E-2</v>
      </c>
      <c r="W294" s="3">
        <f t="shared" si="194"/>
        <v>2.8499999999999991E-2</v>
      </c>
      <c r="X294" s="3">
        <f t="shared" si="190"/>
        <v>7.1331967213114755E-3</v>
      </c>
      <c r="Y294" s="3">
        <f t="shared" si="191"/>
        <v>6.716417910447762E-3</v>
      </c>
      <c r="Z294" s="3">
        <f t="shared" si="205"/>
        <v>-4.1677881086371344E-4</v>
      </c>
      <c r="AA294" s="3">
        <v>4.9240000000000004</v>
      </c>
      <c r="AB294" s="3">
        <v>4.3029999999999999</v>
      </c>
      <c r="AC294" s="3">
        <f t="shared" si="206"/>
        <v>-0.62100000000000044</v>
      </c>
      <c r="AD294" s="3">
        <f>-227.337655*627.50956</f>
        <v>-142656.55186048179</v>
      </c>
      <c r="AE294" s="3">
        <f>-228.624211*627.50956</f>
        <v>-143463.87804995716</v>
      </c>
      <c r="AF294" s="3">
        <f t="shared" si="207"/>
        <v>-807.32618947536685</v>
      </c>
      <c r="AG294" s="3">
        <f>-227.370069*627.50956</f>
        <v>-142676.89195535964</v>
      </c>
      <c r="AH294" s="3">
        <f>-228.656779*627.50956</f>
        <v>-143484.31478130724</v>
      </c>
      <c r="AI294" s="3">
        <f t="shared" si="208"/>
        <v>-807.42282594760763</v>
      </c>
      <c r="AJ294" s="3">
        <v>-0.92</v>
      </c>
      <c r="AK294" s="3">
        <v>-0.82299999999999995</v>
      </c>
      <c r="AL294" s="3">
        <f t="shared" si="209"/>
        <v>9.7000000000000086E-2</v>
      </c>
      <c r="AM294" s="3">
        <v>59.043999999999997</v>
      </c>
      <c r="AN294" s="3">
        <v>100.2406</v>
      </c>
      <c r="AO294" s="3">
        <v>86.027000000000001</v>
      </c>
      <c r="AP294" s="3">
        <f t="shared" si="210"/>
        <v>1.0638402618051135</v>
      </c>
      <c r="AQ294" s="3">
        <v>5.98</v>
      </c>
      <c r="AR294" s="3">
        <v>1.2566999999999999</v>
      </c>
      <c r="AS294" s="3">
        <v>-132.80099999999999</v>
      </c>
      <c r="AT294" s="3">
        <v>-131.97</v>
      </c>
      <c r="AU294" s="3">
        <f t="shared" si="164"/>
        <v>-0.83099999999998886</v>
      </c>
      <c r="AV294" s="3">
        <v>-0.34100000000000003</v>
      </c>
      <c r="AW294" s="3">
        <v>-0.47499999999999998</v>
      </c>
      <c r="AX294" s="3">
        <f t="shared" si="165"/>
        <v>0.13399999999999995</v>
      </c>
      <c r="AY294" s="3">
        <v>2.9000000000000001E-2</v>
      </c>
      <c r="AZ294" s="3">
        <v>0.156</v>
      </c>
      <c r="BA294" s="3">
        <f t="shared" si="166"/>
        <v>-0.127</v>
      </c>
      <c r="BB294" s="3">
        <f t="shared" si="214"/>
        <v>0.156</v>
      </c>
      <c r="BC294" s="3">
        <f t="shared" si="214"/>
        <v>0.15949999999999998</v>
      </c>
      <c r="BD294" s="3">
        <f t="shared" si="168"/>
        <v>-3.4999999999999754E-3</v>
      </c>
      <c r="BE294" s="3">
        <f t="shared" si="215"/>
        <v>0.37000000000000005</v>
      </c>
      <c r="BF294" s="3">
        <f t="shared" si="215"/>
        <v>0.63100000000000001</v>
      </c>
      <c r="BG294" s="3">
        <f t="shared" si="170"/>
        <v>-0.26099999999999995</v>
      </c>
      <c r="BH294" s="3">
        <f t="shared" si="216"/>
        <v>-0.156</v>
      </c>
      <c r="BI294" s="3">
        <f t="shared" si="216"/>
        <v>-0.15949999999999998</v>
      </c>
      <c r="BJ294" s="3">
        <f t="shared" si="195"/>
        <v>3.4999999999999754E-3</v>
      </c>
      <c r="BK294" s="3">
        <f t="shared" si="192"/>
        <v>3.2886486486486483E-2</v>
      </c>
      <c r="BL294" s="3">
        <f t="shared" si="193"/>
        <v>2.0158676703645E-2</v>
      </c>
      <c r="BM294" s="3">
        <f t="shared" si="172"/>
        <v>1.2727809782841482E-2</v>
      </c>
      <c r="BN294" s="3">
        <v>4.7279999999999998</v>
      </c>
      <c r="BO294" s="3">
        <v>4.9340000000000002</v>
      </c>
      <c r="BP294" s="3">
        <f t="shared" si="173"/>
        <v>-0.20600000000000041</v>
      </c>
      <c r="BQ294" s="3">
        <v>-83302.89</v>
      </c>
      <c r="BR294" s="3">
        <v>-82779.224000000002</v>
      </c>
      <c r="BS294" s="3">
        <f t="shared" si="174"/>
        <v>-523.66599999999744</v>
      </c>
      <c r="BT294" s="3">
        <v>-83320.774999999994</v>
      </c>
      <c r="BU294" s="3">
        <v>-82796.997000000003</v>
      </c>
      <c r="BV294" s="3">
        <f t="shared" si="175"/>
        <v>-523.77799999999115</v>
      </c>
    </row>
    <row r="295" spans="1:74" x14ac:dyDescent="0.25">
      <c r="A295" s="4" t="s">
        <v>473</v>
      </c>
      <c r="B295" t="s">
        <v>513</v>
      </c>
      <c r="C295" t="s">
        <v>441</v>
      </c>
      <c r="D295" s="3">
        <v>17.03</v>
      </c>
      <c r="E295" s="3">
        <v>0.5</v>
      </c>
      <c r="F295" s="3">
        <v>-192.63200000000001</v>
      </c>
      <c r="G295" s="3">
        <v>-193.887</v>
      </c>
      <c r="H295" s="3">
        <f t="shared" si="196"/>
        <v>-1.2549999999999955</v>
      </c>
      <c r="I295" s="3">
        <v>-0.28399999999999997</v>
      </c>
      <c r="J295" s="6">
        <v>-0.13700000000000001</v>
      </c>
      <c r="K295" s="3">
        <f t="shared" si="197"/>
        <v>0.14699999999999996</v>
      </c>
      <c r="L295" s="3">
        <v>0.183</v>
      </c>
      <c r="M295" s="6">
        <v>6.9000000000000006E-2</v>
      </c>
      <c r="N295" s="3">
        <f t="shared" si="198"/>
        <v>-0.11399999999999999</v>
      </c>
      <c r="O295" s="3">
        <f t="shared" si="199"/>
        <v>5.0499999999999989E-2</v>
      </c>
      <c r="P295" s="3">
        <f t="shared" si="200"/>
        <v>3.4000000000000002E-2</v>
      </c>
      <c r="Q295" s="3">
        <f t="shared" si="201"/>
        <v>-1.6499999999999987E-2</v>
      </c>
      <c r="R295" s="3">
        <f t="shared" si="202"/>
        <v>0.46699999999999997</v>
      </c>
      <c r="S295" s="3">
        <f t="shared" si="202"/>
        <v>0.20600000000000002</v>
      </c>
      <c r="T295" s="3">
        <f t="shared" si="203"/>
        <v>-0.26099999999999995</v>
      </c>
      <c r="U295" s="3">
        <f t="shared" si="204"/>
        <v>-5.0499999999999989E-2</v>
      </c>
      <c r="V295" s="3">
        <f t="shared" si="204"/>
        <v>-3.4000000000000002E-2</v>
      </c>
      <c r="W295" s="3">
        <f t="shared" si="194"/>
        <v>1.6499999999999987E-2</v>
      </c>
      <c r="X295" s="3">
        <f t="shared" si="190"/>
        <v>2.7304603854389712E-3</v>
      </c>
      <c r="Y295" s="3">
        <f t="shared" si="191"/>
        <v>2.8058252427184465E-3</v>
      </c>
      <c r="Z295" s="3">
        <f t="shared" si="205"/>
        <v>7.5364857279475346E-5</v>
      </c>
      <c r="AA295" s="3">
        <v>5.6619999999999999</v>
      </c>
      <c r="AB295" s="3">
        <v>4.835</v>
      </c>
      <c r="AC295" s="3">
        <f t="shared" si="206"/>
        <v>-0.82699999999999996</v>
      </c>
      <c r="AD295" s="3">
        <f>-192.528033*627.50956</f>
        <v>-120813.18127549547</v>
      </c>
      <c r="AE295" s="3">
        <f>-193.78939*627.50956</f>
        <v>-121604.69485156839</v>
      </c>
      <c r="AF295" s="3">
        <f t="shared" si="207"/>
        <v>-791.5135760729172</v>
      </c>
      <c r="AG295" s="3">
        <f>-192.560668*627.50956</f>
        <v>-120833.66004998607</v>
      </c>
      <c r="AH295" s="3">
        <f>-193.822558*627.50956</f>
        <v>-121625.50808865446</v>
      </c>
      <c r="AI295" s="3">
        <f t="shared" si="208"/>
        <v>-791.84803866839502</v>
      </c>
      <c r="AJ295" s="3">
        <v>-1.1000000000000001</v>
      </c>
      <c r="AK295" s="3">
        <v>-1.0009999999999999</v>
      </c>
      <c r="AL295" s="3">
        <f t="shared" si="209"/>
        <v>9.9000000000000199E-2</v>
      </c>
      <c r="AM295" s="3">
        <v>59.087000000000003</v>
      </c>
      <c r="AN295" s="3">
        <v>123.13200000000001</v>
      </c>
      <c r="AO295" s="3">
        <v>116.2848</v>
      </c>
      <c r="AP295" s="3">
        <f t="shared" si="210"/>
        <v>1.0689192965690082</v>
      </c>
      <c r="AQ295" s="3">
        <v>6.718</v>
      </c>
      <c r="AR295" s="3">
        <v>1.3688</v>
      </c>
      <c r="AS295" s="3">
        <v>-194.423</v>
      </c>
      <c r="AT295" s="3">
        <v>-193.18</v>
      </c>
      <c r="AU295" s="3">
        <f t="shared" si="164"/>
        <v>-1.242999999999995</v>
      </c>
      <c r="AV295" s="3">
        <v>-0.27300000000000002</v>
      </c>
      <c r="AW295" s="3">
        <v>-0.435</v>
      </c>
      <c r="AX295" s="3">
        <f t="shared" si="165"/>
        <v>0.16199999999999998</v>
      </c>
      <c r="AY295" s="3">
        <v>3.7999999999999999E-2</v>
      </c>
      <c r="AZ295" s="3">
        <v>0.155</v>
      </c>
      <c r="BA295" s="3">
        <f t="shared" si="166"/>
        <v>-0.11699999999999999</v>
      </c>
      <c r="BB295" s="3">
        <f t="shared" si="214"/>
        <v>0.11750000000000001</v>
      </c>
      <c r="BC295" s="3">
        <f t="shared" si="214"/>
        <v>0.14000000000000001</v>
      </c>
      <c r="BD295" s="3">
        <f t="shared" si="168"/>
        <v>-2.2500000000000006E-2</v>
      </c>
      <c r="BE295" s="3">
        <f t="shared" si="215"/>
        <v>0.311</v>
      </c>
      <c r="BF295" s="3">
        <f t="shared" si="215"/>
        <v>0.59</v>
      </c>
      <c r="BG295" s="3">
        <f t="shared" si="170"/>
        <v>-0.27899999999999997</v>
      </c>
      <c r="BH295" s="3">
        <f t="shared" si="216"/>
        <v>-0.11750000000000001</v>
      </c>
      <c r="BI295" s="3">
        <f t="shared" si="216"/>
        <v>-0.14000000000000001</v>
      </c>
      <c r="BJ295" s="3">
        <f t="shared" si="195"/>
        <v>2.2500000000000006E-2</v>
      </c>
      <c r="BK295" s="3">
        <f t="shared" si="192"/>
        <v>2.2196543408360133E-2</v>
      </c>
      <c r="BL295" s="3">
        <f t="shared" si="193"/>
        <v>1.6610169491525426E-2</v>
      </c>
      <c r="BM295" s="3">
        <f t="shared" si="172"/>
        <v>5.5863739168347075E-3</v>
      </c>
      <c r="BN295" s="3">
        <v>1.9770000000000001</v>
      </c>
      <c r="BO295" s="3">
        <v>2.0880000000000001</v>
      </c>
      <c r="BP295" s="3">
        <f t="shared" si="173"/>
        <v>-0.11099999999999999</v>
      </c>
      <c r="BQ295" s="3">
        <v>-121930.747</v>
      </c>
      <c r="BR295" s="3">
        <v>-121146.357</v>
      </c>
      <c r="BS295" s="3">
        <f t="shared" si="174"/>
        <v>-784.38999999999942</v>
      </c>
      <c r="BT295" s="3">
        <v>-121951.989</v>
      </c>
      <c r="BU295" s="3">
        <v>-121167.321</v>
      </c>
      <c r="BV295" s="3">
        <f t="shared" si="175"/>
        <v>-784.66800000000512</v>
      </c>
    </row>
    <row r="296" spans="1:74" x14ac:dyDescent="0.25">
      <c r="A296" s="4" t="s">
        <v>474</v>
      </c>
      <c r="B296" t="s">
        <v>513</v>
      </c>
      <c r="C296" t="s">
        <v>199</v>
      </c>
      <c r="D296" s="3">
        <v>17.43</v>
      </c>
      <c r="E296" s="3">
        <v>0.5</v>
      </c>
      <c r="F296" s="3">
        <v>-696.23500000000001</v>
      </c>
      <c r="G296" s="3">
        <v>-700.15599999999995</v>
      </c>
      <c r="H296" s="3">
        <f t="shared" si="196"/>
        <v>-3.9209999999999354</v>
      </c>
      <c r="I296" s="3">
        <v>-0.34799999999999998</v>
      </c>
      <c r="J296" s="6">
        <v>-0.17699999999999999</v>
      </c>
      <c r="K296" s="3">
        <f t="shared" si="197"/>
        <v>0.17099999999999999</v>
      </c>
      <c r="L296" s="3">
        <v>4.2999999999999997E-2</v>
      </c>
      <c r="M296" s="6">
        <v>-0.104</v>
      </c>
      <c r="N296" s="3">
        <f t="shared" si="198"/>
        <v>-0.14699999999999999</v>
      </c>
      <c r="O296" s="3">
        <f t="shared" si="199"/>
        <v>0.1525</v>
      </c>
      <c r="P296" s="3">
        <f t="shared" si="200"/>
        <v>0.14049999999999999</v>
      </c>
      <c r="Q296" s="3">
        <f t="shared" si="201"/>
        <v>-1.2000000000000011E-2</v>
      </c>
      <c r="R296" s="3">
        <f t="shared" si="202"/>
        <v>0.39099999999999996</v>
      </c>
      <c r="S296" s="3">
        <f t="shared" si="202"/>
        <v>7.2999999999999995E-2</v>
      </c>
      <c r="T296" s="3">
        <f t="shared" si="203"/>
        <v>-0.31799999999999995</v>
      </c>
      <c r="U296" s="3">
        <f t="shared" si="204"/>
        <v>-0.1525</v>
      </c>
      <c r="V296" s="3">
        <f t="shared" si="204"/>
        <v>-0.14049999999999999</v>
      </c>
      <c r="W296" s="3">
        <f t="shared" si="194"/>
        <v>1.2000000000000011E-2</v>
      </c>
      <c r="X296" s="3">
        <f t="shared" si="190"/>
        <v>2.9739450127877241E-2</v>
      </c>
      <c r="Y296" s="3">
        <f t="shared" si="191"/>
        <v>0.13520719178082191</v>
      </c>
      <c r="Z296" s="3">
        <f t="shared" si="205"/>
        <v>0.10546774165294467</v>
      </c>
      <c r="AA296" s="3">
        <v>14.704000000000001</v>
      </c>
      <c r="AB296" s="3">
        <v>13.336</v>
      </c>
      <c r="AC296" s="3">
        <f t="shared" si="206"/>
        <v>-1.3680000000000003</v>
      </c>
      <c r="AD296" s="3">
        <f>-696.108055*627.50956</f>
        <v>-436814.45930550579</v>
      </c>
      <c r="AE296" s="3">
        <f>-700.036883*627.50956</f>
        <v>-439279.83643510146</v>
      </c>
      <c r="AF296" s="3">
        <f t="shared" si="207"/>
        <v>-2465.3771295956685</v>
      </c>
      <c r="AG296" s="3">
        <f>-696.157233*627.50956</f>
        <v>-436845.31897064747</v>
      </c>
      <c r="AH296" s="3">
        <f>-700.086382*627.50956</f>
        <v>-439310.8975308119</v>
      </c>
      <c r="AI296" s="3">
        <f t="shared" si="208"/>
        <v>-2465.5785601644311</v>
      </c>
      <c r="AJ296" s="3">
        <v>-0.64500000000000002</v>
      </c>
      <c r="AK296" s="3">
        <v>-0.63</v>
      </c>
      <c r="AL296" s="3">
        <f t="shared" si="209"/>
        <v>1.5000000000000013E-2</v>
      </c>
      <c r="AM296" s="3">
        <v>182.11</v>
      </c>
      <c r="AN296" s="3">
        <v>198.90899999999999</v>
      </c>
      <c r="AO296" s="3">
        <v>207.1129</v>
      </c>
      <c r="AP296" s="3">
        <f t="shared" si="210"/>
        <v>1.1751833180306179</v>
      </c>
      <c r="AQ296" s="3">
        <v>11.629</v>
      </c>
      <c r="AR296" s="3">
        <v>2.95</v>
      </c>
      <c r="AS296" s="3">
        <v>-76.454999999999998</v>
      </c>
      <c r="AT296" s="3">
        <v>-76.055000000000007</v>
      </c>
      <c r="AU296" s="3">
        <f t="shared" si="164"/>
        <v>-0.39999999999999147</v>
      </c>
      <c r="AV296" s="3">
        <v>-0.30399999999999999</v>
      </c>
      <c r="AW296" s="3">
        <v>-0.505</v>
      </c>
      <c r="AX296" s="3">
        <f t="shared" si="165"/>
        <v>0.20100000000000001</v>
      </c>
      <c r="AY296" s="3">
        <v>0.04</v>
      </c>
      <c r="AZ296" s="3">
        <v>0.16400000000000001</v>
      </c>
      <c r="BA296" s="3">
        <f t="shared" si="166"/>
        <v>-0.124</v>
      </c>
      <c r="BB296" s="3">
        <f t="shared" si="214"/>
        <v>0.13200000000000001</v>
      </c>
      <c r="BC296" s="3">
        <f t="shared" si="214"/>
        <v>0.17049999999999998</v>
      </c>
      <c r="BD296" s="3">
        <f t="shared" si="168"/>
        <v>-3.8499999999999979E-2</v>
      </c>
      <c r="BE296" s="3">
        <f t="shared" si="215"/>
        <v>0.34399999999999997</v>
      </c>
      <c r="BF296" s="3">
        <f t="shared" si="215"/>
        <v>0.66900000000000004</v>
      </c>
      <c r="BG296" s="3">
        <f t="shared" si="170"/>
        <v>-0.32500000000000007</v>
      </c>
      <c r="BH296" s="3">
        <f t="shared" si="216"/>
        <v>-0.13200000000000001</v>
      </c>
      <c r="BI296" s="3">
        <f t="shared" si="216"/>
        <v>-0.17049999999999998</v>
      </c>
      <c r="BJ296" s="3">
        <f t="shared" si="195"/>
        <v>3.8499999999999979E-2</v>
      </c>
      <c r="BK296" s="3">
        <f t="shared" si="192"/>
        <v>2.5325581395348844E-2</v>
      </c>
      <c r="BL296" s="3">
        <f t="shared" si="193"/>
        <v>2.1726644245141997E-2</v>
      </c>
      <c r="BM296" s="3">
        <f t="shared" si="172"/>
        <v>3.5989371502068469E-3</v>
      </c>
      <c r="BN296" s="3">
        <v>2.3010000000000002</v>
      </c>
      <c r="BO296" s="3">
        <v>2.3559999999999999</v>
      </c>
      <c r="BP296" s="3">
        <f t="shared" si="173"/>
        <v>-5.4999999999999716E-2</v>
      </c>
      <c r="BQ296" s="3">
        <v>-47960.305999999997</v>
      </c>
      <c r="BR296" s="3">
        <v>-47708.290999999997</v>
      </c>
      <c r="BS296" s="3">
        <f t="shared" si="174"/>
        <v>-252.01499999999942</v>
      </c>
      <c r="BT296" s="3">
        <v>-47973.754999999997</v>
      </c>
      <c r="BU296" s="3">
        <v>-47721.697</v>
      </c>
      <c r="BV296" s="3">
        <f t="shared" si="175"/>
        <v>-252.05799999999726</v>
      </c>
    </row>
    <row r="297" spans="1:74" x14ac:dyDescent="0.25">
      <c r="A297" s="2" t="s">
        <v>475</v>
      </c>
      <c r="B297" t="s">
        <v>513</v>
      </c>
      <c r="C297" t="s">
        <v>199</v>
      </c>
      <c r="D297" s="3">
        <v>17.84</v>
      </c>
      <c r="E297" s="3">
        <v>0.46</v>
      </c>
      <c r="F297" s="3">
        <v>-606.62099999999998</v>
      </c>
      <c r="G297" s="3">
        <v>-610.15099999999995</v>
      </c>
      <c r="H297" s="3">
        <f t="shared" si="196"/>
        <v>-3.5299999999999727</v>
      </c>
      <c r="I297" s="3">
        <v>-0.315</v>
      </c>
      <c r="J297" s="6">
        <v>-0.16600000000000001</v>
      </c>
      <c r="K297" s="3">
        <f t="shared" si="197"/>
        <v>0.14899999999999999</v>
      </c>
      <c r="L297" s="3">
        <v>0.11700000000000001</v>
      </c>
      <c r="M297" s="6">
        <v>-2.5999999999999999E-2</v>
      </c>
      <c r="N297" s="3">
        <f t="shared" si="198"/>
        <v>-0.14300000000000002</v>
      </c>
      <c r="O297" s="3">
        <f t="shared" si="199"/>
        <v>9.9000000000000005E-2</v>
      </c>
      <c r="P297" s="3">
        <f t="shared" si="200"/>
        <v>9.6000000000000002E-2</v>
      </c>
      <c r="Q297" s="3">
        <f t="shared" si="201"/>
        <v>-3.0000000000000027E-3</v>
      </c>
      <c r="R297" s="3">
        <f t="shared" si="202"/>
        <v>0.432</v>
      </c>
      <c r="S297" s="3">
        <f t="shared" si="202"/>
        <v>0.14000000000000001</v>
      </c>
      <c r="T297" s="3">
        <f t="shared" si="203"/>
        <v>-0.29199999999999998</v>
      </c>
      <c r="U297" s="3">
        <f t="shared" si="204"/>
        <v>-9.9000000000000005E-2</v>
      </c>
      <c r="V297" s="3">
        <f t="shared" si="204"/>
        <v>-9.6000000000000002E-2</v>
      </c>
      <c r="W297" s="3">
        <f t="shared" si="194"/>
        <v>3.0000000000000027E-3</v>
      </c>
      <c r="X297" s="3">
        <f t="shared" si="190"/>
        <v>1.1343750000000001E-2</v>
      </c>
      <c r="Y297" s="3">
        <f t="shared" si="191"/>
        <v>3.2914285714285715E-2</v>
      </c>
      <c r="Z297" s="3">
        <f t="shared" si="205"/>
        <v>2.1570535714285716E-2</v>
      </c>
      <c r="AA297" s="3">
        <v>20.652999999999999</v>
      </c>
      <c r="AB297" s="3">
        <v>20.28</v>
      </c>
      <c r="AC297" s="3">
        <f t="shared" si="206"/>
        <v>-0.37299999999999756</v>
      </c>
      <c r="AD297" s="3">
        <f>-606.462894*627.50956</f>
        <v>-380561.26377026661</v>
      </c>
      <c r="AE297" s="3">
        <f>-610.001561*627.50956</f>
        <v>-382781.81114242319</v>
      </c>
      <c r="AF297" s="3">
        <f t="shared" si="207"/>
        <v>-2220.5473721565795</v>
      </c>
      <c r="AG297" s="3">
        <f>-606.511018*627.50956</f>
        <v>-380591.46204033209</v>
      </c>
      <c r="AH297" s="3">
        <f>-610.050611*627.50956</f>
        <v>-382812.59048634116</v>
      </c>
      <c r="AI297" s="3">
        <f t="shared" si="208"/>
        <v>-2221.1284460090683</v>
      </c>
      <c r="AJ297" s="3">
        <v>-0.65500000000000003</v>
      </c>
      <c r="AK297" s="3">
        <v>-0.66700000000000004</v>
      </c>
      <c r="AL297" s="3">
        <f t="shared" si="209"/>
        <v>-1.2000000000000011E-2</v>
      </c>
      <c r="AM297" s="3">
        <v>167.1387</v>
      </c>
      <c r="AN297" s="3">
        <v>209.18100000000001</v>
      </c>
      <c r="AO297" s="3">
        <v>219.5369</v>
      </c>
      <c r="AP297" s="3">
        <f t="shared" si="210"/>
        <v>1.1887937147863661</v>
      </c>
      <c r="AQ297" s="3">
        <v>12.212</v>
      </c>
      <c r="AR297" s="3">
        <v>2.831</v>
      </c>
      <c r="AS297" s="3">
        <v>-76.454999999999998</v>
      </c>
      <c r="AT297" s="3">
        <v>-76.055000000000007</v>
      </c>
      <c r="AU297" s="3">
        <f t="shared" si="164"/>
        <v>-0.39999999999999147</v>
      </c>
      <c r="AV297" s="3">
        <v>-0.30399999999999999</v>
      </c>
      <c r="AW297" s="3">
        <v>-0.505</v>
      </c>
      <c r="AX297" s="3">
        <f t="shared" si="165"/>
        <v>0.20100000000000001</v>
      </c>
      <c r="AY297" s="3">
        <v>0.04</v>
      </c>
      <c r="AZ297" s="3">
        <v>0.16400000000000001</v>
      </c>
      <c r="BA297" s="3">
        <f t="shared" si="166"/>
        <v>-0.124</v>
      </c>
      <c r="BB297" s="3">
        <f t="shared" si="214"/>
        <v>0.13200000000000001</v>
      </c>
      <c r="BC297" s="3">
        <f t="shared" si="214"/>
        <v>0.17049999999999998</v>
      </c>
      <c r="BD297" s="3">
        <f t="shared" si="168"/>
        <v>-3.8499999999999979E-2</v>
      </c>
      <c r="BE297" s="3">
        <f t="shared" si="215"/>
        <v>0.34399999999999997</v>
      </c>
      <c r="BF297" s="3">
        <f t="shared" si="215"/>
        <v>0.66900000000000004</v>
      </c>
      <c r="BG297" s="3">
        <f t="shared" si="170"/>
        <v>-0.32500000000000007</v>
      </c>
      <c r="BH297" s="3">
        <f t="shared" si="216"/>
        <v>-0.13200000000000001</v>
      </c>
      <c r="BI297" s="3">
        <f t="shared" si="216"/>
        <v>-0.17049999999999998</v>
      </c>
      <c r="BJ297" s="3">
        <f t="shared" si="195"/>
        <v>3.8499999999999979E-2</v>
      </c>
      <c r="BK297" s="3">
        <f t="shared" si="192"/>
        <v>2.5325581395348844E-2</v>
      </c>
      <c r="BL297" s="3">
        <f t="shared" si="193"/>
        <v>2.1726644245141997E-2</v>
      </c>
      <c r="BM297" s="3">
        <f t="shared" si="172"/>
        <v>3.5989371502068469E-3</v>
      </c>
      <c r="BN297" s="3">
        <v>2.3010000000000002</v>
      </c>
      <c r="BO297" s="3">
        <v>2.3559999999999999</v>
      </c>
      <c r="BP297" s="3">
        <f t="shared" si="173"/>
        <v>-5.4999999999999716E-2</v>
      </c>
      <c r="BQ297" s="3">
        <v>-47960.305999999997</v>
      </c>
      <c r="BR297" s="3">
        <v>-47708.290999999997</v>
      </c>
      <c r="BS297" s="3">
        <f t="shared" si="174"/>
        <v>-252.01499999999942</v>
      </c>
      <c r="BT297" s="3">
        <v>-47973.754999999997</v>
      </c>
      <c r="BU297" s="3">
        <v>-47721.697</v>
      </c>
      <c r="BV297" s="3">
        <f t="shared" si="175"/>
        <v>-252.05799999999726</v>
      </c>
    </row>
    <row r="298" spans="1:74" x14ac:dyDescent="0.25">
      <c r="A298" s="4" t="s">
        <v>476</v>
      </c>
      <c r="B298" t="s">
        <v>513</v>
      </c>
      <c r="C298" t="s">
        <v>360</v>
      </c>
      <c r="D298" s="3">
        <v>17.850000000000001</v>
      </c>
      <c r="E298" s="3">
        <v>0.71</v>
      </c>
      <c r="F298" s="3">
        <v>-396.91500000000002</v>
      </c>
      <c r="G298" s="3">
        <v>-399.35300000000001</v>
      </c>
      <c r="H298" s="3">
        <f t="shared" si="196"/>
        <v>-2.4379999999999882</v>
      </c>
      <c r="I298" s="3">
        <v>-0.25600000000000001</v>
      </c>
      <c r="J298" s="6">
        <v>-0.17799999999999999</v>
      </c>
      <c r="K298" s="3">
        <f t="shared" si="197"/>
        <v>7.8000000000000014E-2</v>
      </c>
      <c r="L298" s="3">
        <v>0.14299999999999999</v>
      </c>
      <c r="M298" s="6">
        <v>-4.0000000000000001E-3</v>
      </c>
      <c r="N298" s="3">
        <f t="shared" si="198"/>
        <v>-0.14699999999999999</v>
      </c>
      <c r="O298" s="3">
        <f t="shared" si="199"/>
        <v>5.6500000000000009E-2</v>
      </c>
      <c r="P298" s="3">
        <f t="shared" si="200"/>
        <v>9.0999999999999998E-2</v>
      </c>
      <c r="Q298" s="3">
        <f t="shared" si="201"/>
        <v>3.4499999999999989E-2</v>
      </c>
      <c r="R298" s="3">
        <f t="shared" si="202"/>
        <v>0.39900000000000002</v>
      </c>
      <c r="S298" s="3">
        <f t="shared" si="202"/>
        <v>0.17399999999999999</v>
      </c>
      <c r="T298" s="3">
        <f t="shared" si="203"/>
        <v>-0.22500000000000003</v>
      </c>
      <c r="U298" s="3">
        <f t="shared" si="204"/>
        <v>-5.6500000000000009E-2</v>
      </c>
      <c r="V298" s="3">
        <f t="shared" si="204"/>
        <v>-9.0999999999999998E-2</v>
      </c>
      <c r="W298" s="3">
        <f t="shared" si="194"/>
        <v>-3.4499999999999989E-2</v>
      </c>
      <c r="X298" s="3">
        <f t="shared" si="190"/>
        <v>4.0003132832080214E-3</v>
      </c>
      <c r="Y298" s="3">
        <f t="shared" si="191"/>
        <v>2.3795977011494256E-2</v>
      </c>
      <c r="Z298" s="3">
        <f t="shared" si="205"/>
        <v>1.9795663728286235E-2</v>
      </c>
      <c r="AA298" s="3">
        <v>2.3570000000000002</v>
      </c>
      <c r="AB298" s="3">
        <v>1.55</v>
      </c>
      <c r="AC298" s="3">
        <f t="shared" si="206"/>
        <v>-0.80700000000000016</v>
      </c>
      <c r="AD298" s="3">
        <f>-396.811409*627.50956</f>
        <v>-249002.95266457004</v>
      </c>
      <c r="AE298" s="3">
        <f>-399.255237*627.50956</f>
        <v>-250536.47809756573</v>
      </c>
      <c r="AF298" s="3">
        <f t="shared" si="207"/>
        <v>-1533.5254329956952</v>
      </c>
      <c r="AG298" s="3">
        <f>-396.850069*627.50956</f>
        <v>-249027.21218415964</v>
      </c>
      <c r="AH298" s="3">
        <f>-399.294658*627.50956</f>
        <v>-250561.21515193049</v>
      </c>
      <c r="AI298" s="3">
        <f t="shared" si="208"/>
        <v>-1534.0029677708517</v>
      </c>
      <c r="AJ298" s="3">
        <v>-0.874</v>
      </c>
      <c r="AK298" s="3">
        <v>-0.76800000000000002</v>
      </c>
      <c r="AL298" s="3">
        <f t="shared" si="209"/>
        <v>0.10599999999999998</v>
      </c>
      <c r="AM298" s="3">
        <v>118.1127</v>
      </c>
      <c r="AN298" s="3">
        <v>164.66200000000001</v>
      </c>
      <c r="AO298" s="3">
        <v>165.19970000000001</v>
      </c>
      <c r="AP298" s="3">
        <f t="shared" si="210"/>
        <v>1.1311230007227988</v>
      </c>
      <c r="AQ298" s="3">
        <v>9.7970000000000006</v>
      </c>
      <c r="AR298" s="3">
        <v>2.2357</v>
      </c>
      <c r="AS298" s="3">
        <v>-248.59200000000001</v>
      </c>
      <c r="AT298" s="3">
        <v>-247.066</v>
      </c>
      <c r="AU298" s="3">
        <f t="shared" si="164"/>
        <v>-1.5260000000000105</v>
      </c>
      <c r="AV298" s="3">
        <v>-0.25</v>
      </c>
      <c r="AW298" s="3">
        <v>-0.375</v>
      </c>
      <c r="AX298" s="3">
        <f t="shared" si="165"/>
        <v>0.125</v>
      </c>
      <c r="AY298" s="3">
        <v>1.7999999999999999E-2</v>
      </c>
      <c r="AZ298" s="3">
        <v>0.157</v>
      </c>
      <c r="BA298" s="3">
        <f t="shared" si="166"/>
        <v>-0.13900000000000001</v>
      </c>
      <c r="BB298" s="3">
        <f t="shared" si="214"/>
        <v>0.11600000000000001</v>
      </c>
      <c r="BC298" s="3">
        <f t="shared" si="214"/>
        <v>0.109</v>
      </c>
      <c r="BD298" s="3">
        <f t="shared" si="168"/>
        <v>7.0000000000000062E-3</v>
      </c>
      <c r="BE298" s="3">
        <f t="shared" si="215"/>
        <v>0.26800000000000002</v>
      </c>
      <c r="BF298" s="3">
        <f t="shared" si="215"/>
        <v>0.53200000000000003</v>
      </c>
      <c r="BG298" s="3">
        <f t="shared" si="170"/>
        <v>-0.26400000000000001</v>
      </c>
      <c r="BH298" s="3">
        <f t="shared" si="216"/>
        <v>-0.11600000000000001</v>
      </c>
      <c r="BI298" s="3">
        <f t="shared" si="216"/>
        <v>-0.109</v>
      </c>
      <c r="BJ298" s="3">
        <f t="shared" si="195"/>
        <v>-7.0000000000000062E-3</v>
      </c>
      <c r="BK298" s="3">
        <f t="shared" si="192"/>
        <v>2.5104477611940297E-2</v>
      </c>
      <c r="BL298" s="3">
        <f t="shared" si="193"/>
        <v>1.1166353383458645E-2</v>
      </c>
      <c r="BM298" s="3">
        <f t="shared" si="172"/>
        <v>1.3938124228481652E-2</v>
      </c>
      <c r="BN298" s="3">
        <v>5.09</v>
      </c>
      <c r="BO298" s="3">
        <v>5.2910000000000004</v>
      </c>
      <c r="BP298" s="3">
        <f t="shared" si="173"/>
        <v>-0.20100000000000051</v>
      </c>
      <c r="BQ298" s="3">
        <v>-155925.34599999999</v>
      </c>
      <c r="BR298" s="3">
        <v>-154963.22899999999</v>
      </c>
      <c r="BS298" s="3">
        <f t="shared" si="174"/>
        <v>-962.11699999999837</v>
      </c>
      <c r="BT298" s="3">
        <v>-155948.003</v>
      </c>
      <c r="BU298" s="3">
        <v>-154985.997</v>
      </c>
      <c r="BV298" s="3">
        <f t="shared" si="175"/>
        <v>-962.00599999999395</v>
      </c>
    </row>
    <row r="299" spans="1:74" x14ac:dyDescent="0.25">
      <c r="A299" s="4" t="s">
        <v>477</v>
      </c>
      <c r="B299" t="s">
        <v>513</v>
      </c>
      <c r="C299" t="s">
        <v>199</v>
      </c>
      <c r="D299" s="3">
        <v>17.93</v>
      </c>
      <c r="E299" s="3">
        <v>0.5</v>
      </c>
      <c r="F299" s="3">
        <v>-1410.5509999999999</v>
      </c>
      <c r="G299" s="3">
        <v>-1414.837</v>
      </c>
      <c r="H299" s="3">
        <f t="shared" si="196"/>
        <v>-4.2860000000000582</v>
      </c>
      <c r="I299" s="3">
        <v>-0.34499999999999997</v>
      </c>
      <c r="J299" s="6">
        <v>-0.17399999999999999</v>
      </c>
      <c r="K299" s="3">
        <f t="shared" si="197"/>
        <v>0.17099999999999999</v>
      </c>
      <c r="L299" s="3">
        <v>8.5000000000000006E-2</v>
      </c>
      <c r="M299" s="6">
        <v>-5.3999999999999999E-2</v>
      </c>
      <c r="N299" s="3">
        <f t="shared" si="198"/>
        <v>-0.13900000000000001</v>
      </c>
      <c r="O299" s="3">
        <f t="shared" si="199"/>
        <v>0.12999999999999998</v>
      </c>
      <c r="P299" s="3">
        <f t="shared" si="200"/>
        <v>0.11399999999999999</v>
      </c>
      <c r="Q299" s="3">
        <f t="shared" si="201"/>
        <v>-1.5999999999999986E-2</v>
      </c>
      <c r="R299" s="3">
        <f t="shared" si="202"/>
        <v>0.43</v>
      </c>
      <c r="S299" s="3">
        <f t="shared" si="202"/>
        <v>0.12</v>
      </c>
      <c r="T299" s="3">
        <f t="shared" si="203"/>
        <v>-0.31</v>
      </c>
      <c r="U299" s="3">
        <f t="shared" si="204"/>
        <v>-0.12999999999999998</v>
      </c>
      <c r="V299" s="3">
        <f t="shared" si="204"/>
        <v>-0.11399999999999999</v>
      </c>
      <c r="W299" s="3">
        <f t="shared" si="194"/>
        <v>1.5999999999999986E-2</v>
      </c>
      <c r="X299" s="3">
        <f t="shared" si="190"/>
        <v>1.965116279069767E-2</v>
      </c>
      <c r="Y299" s="3">
        <f t="shared" si="191"/>
        <v>5.414999999999999E-2</v>
      </c>
      <c r="Z299" s="3">
        <f t="shared" si="205"/>
        <v>3.4498837209302316E-2</v>
      </c>
      <c r="AA299" s="3">
        <v>17.423999999999999</v>
      </c>
      <c r="AB299" s="3">
        <v>16.611000000000001</v>
      </c>
      <c r="AC299" s="3">
        <f t="shared" si="206"/>
        <v>-0.81299999999999883</v>
      </c>
      <c r="AD299" s="3">
        <f>-1410.447041*627.50956</f>
        <v>-885069.00210121181</v>
      </c>
      <c r="AE299" s="3">
        <f>-1414.740261*627.50956</f>
        <v>-887763.0386943951</v>
      </c>
      <c r="AF299" s="3">
        <f t="shared" si="207"/>
        <v>-2694.036593183293</v>
      </c>
      <c r="AG299" s="3">
        <f>-1410.4953788*627.50956</f>
        <v>-885099.33453282132</v>
      </c>
      <c r="AH299" s="3">
        <f>-1414.789381*627.50956</f>
        <v>-887793.86196398234</v>
      </c>
      <c r="AI299" s="3">
        <f t="shared" si="208"/>
        <v>-2694.5274311610265</v>
      </c>
      <c r="AJ299" s="3">
        <v>-0.64400000000000002</v>
      </c>
      <c r="AK299" s="3">
        <v>-0.64600000000000002</v>
      </c>
      <c r="AL299" s="3">
        <f t="shared" si="209"/>
        <v>-2.0000000000000018E-3</v>
      </c>
      <c r="AM299" s="3">
        <v>206.00299999999999</v>
      </c>
      <c r="AN299" s="3">
        <v>208.06100000000001</v>
      </c>
      <c r="AO299" s="3">
        <v>217.57900000000001</v>
      </c>
      <c r="AP299" s="3">
        <f t="shared" si="210"/>
        <v>1.1895115069649844</v>
      </c>
      <c r="AQ299" s="3">
        <v>10.817</v>
      </c>
      <c r="AR299" s="3">
        <v>2.8929999999999998</v>
      </c>
      <c r="AS299" s="3">
        <v>-76.454999999999998</v>
      </c>
      <c r="AT299" s="3">
        <v>-76.055000000000007</v>
      </c>
      <c r="AU299" s="3">
        <f t="shared" si="164"/>
        <v>-0.39999999999999147</v>
      </c>
      <c r="AV299" s="3">
        <v>-0.30399999999999999</v>
      </c>
      <c r="AW299" s="3">
        <v>-0.505</v>
      </c>
      <c r="AX299" s="3">
        <f t="shared" si="165"/>
        <v>0.20100000000000001</v>
      </c>
      <c r="AY299" s="3">
        <v>0.04</v>
      </c>
      <c r="AZ299" s="3">
        <v>0.16400000000000001</v>
      </c>
      <c r="BA299" s="3">
        <f t="shared" si="166"/>
        <v>-0.124</v>
      </c>
      <c r="BB299" s="3">
        <f t="shared" si="214"/>
        <v>0.13200000000000001</v>
      </c>
      <c r="BC299" s="3">
        <f t="shared" si="214"/>
        <v>0.17049999999999998</v>
      </c>
      <c r="BD299" s="3">
        <f t="shared" si="168"/>
        <v>-3.8499999999999979E-2</v>
      </c>
      <c r="BE299" s="3">
        <f t="shared" si="215"/>
        <v>0.34399999999999997</v>
      </c>
      <c r="BF299" s="3">
        <f t="shared" si="215"/>
        <v>0.66900000000000004</v>
      </c>
      <c r="BG299" s="3">
        <f t="shared" si="170"/>
        <v>-0.32500000000000007</v>
      </c>
      <c r="BH299" s="3">
        <f t="shared" si="216"/>
        <v>-0.13200000000000001</v>
      </c>
      <c r="BI299" s="3">
        <f t="shared" si="216"/>
        <v>-0.17049999999999998</v>
      </c>
      <c r="BJ299" s="3">
        <f t="shared" si="195"/>
        <v>3.8499999999999979E-2</v>
      </c>
      <c r="BK299" s="3">
        <f t="shared" si="192"/>
        <v>2.5325581395348844E-2</v>
      </c>
      <c r="BL299" s="3">
        <f t="shared" si="193"/>
        <v>2.1726644245141997E-2</v>
      </c>
      <c r="BM299" s="3">
        <f t="shared" si="172"/>
        <v>3.5989371502068469E-3</v>
      </c>
      <c r="BN299" s="3">
        <v>2.3010000000000002</v>
      </c>
      <c r="BO299" s="3">
        <v>2.3559999999999999</v>
      </c>
      <c r="BP299" s="3">
        <f t="shared" si="173"/>
        <v>-5.4999999999999716E-2</v>
      </c>
      <c r="BQ299" s="3">
        <v>-47960.305999999997</v>
      </c>
      <c r="BR299" s="3">
        <v>-47708.290999999997</v>
      </c>
      <c r="BS299" s="3">
        <f t="shared" si="174"/>
        <v>-252.01499999999942</v>
      </c>
      <c r="BT299" s="3">
        <v>-47973.754999999997</v>
      </c>
      <c r="BU299" s="3">
        <v>-47721.697</v>
      </c>
      <c r="BV299" s="3">
        <f t="shared" si="175"/>
        <v>-252.05799999999726</v>
      </c>
    </row>
    <row r="300" spans="1:74" x14ac:dyDescent="0.25">
      <c r="A300" s="2" t="s">
        <v>478</v>
      </c>
      <c r="B300" t="s">
        <v>513</v>
      </c>
      <c r="C300" t="s">
        <v>199</v>
      </c>
      <c r="D300" s="3">
        <v>17.989999999999998</v>
      </c>
      <c r="E300" s="3">
        <v>0.47</v>
      </c>
      <c r="F300" s="3">
        <v>-591.58000000000004</v>
      </c>
      <c r="G300" s="3">
        <v>-594.85500000000002</v>
      </c>
      <c r="H300" s="3">
        <f t="shared" si="196"/>
        <v>-3.2749999999999773</v>
      </c>
      <c r="I300" s="3">
        <v>-0.33700000000000002</v>
      </c>
      <c r="J300" s="6">
        <v>-0.17299999999999999</v>
      </c>
      <c r="K300" s="3">
        <f t="shared" si="197"/>
        <v>0.16400000000000003</v>
      </c>
      <c r="L300" s="3">
        <v>0.114</v>
      </c>
      <c r="M300" s="6">
        <v>-3.4000000000000002E-2</v>
      </c>
      <c r="N300" s="3">
        <f t="shared" si="198"/>
        <v>-0.14800000000000002</v>
      </c>
      <c r="O300" s="3">
        <f t="shared" si="199"/>
        <v>0.11150000000000002</v>
      </c>
      <c r="P300" s="3">
        <f t="shared" si="200"/>
        <v>0.10349999999999999</v>
      </c>
      <c r="Q300" s="3">
        <f t="shared" si="201"/>
        <v>-8.000000000000021E-3</v>
      </c>
      <c r="R300" s="3">
        <f t="shared" si="202"/>
        <v>0.45100000000000001</v>
      </c>
      <c r="S300" s="3">
        <f t="shared" si="202"/>
        <v>0.13899999999999998</v>
      </c>
      <c r="T300" s="3">
        <f t="shared" si="203"/>
        <v>-0.31200000000000006</v>
      </c>
      <c r="U300" s="3">
        <f t="shared" si="204"/>
        <v>-0.11150000000000002</v>
      </c>
      <c r="V300" s="3">
        <f t="shared" si="204"/>
        <v>-0.10349999999999999</v>
      </c>
      <c r="W300" s="3">
        <f t="shared" si="194"/>
        <v>8.000000000000021E-3</v>
      </c>
      <c r="X300" s="3">
        <f t="shared" si="190"/>
        <v>1.3782982261640802E-2</v>
      </c>
      <c r="Y300" s="3">
        <f t="shared" si="191"/>
        <v>3.8533273381294968E-2</v>
      </c>
      <c r="Z300" s="3">
        <f t="shared" si="205"/>
        <v>2.4750291119654166E-2</v>
      </c>
      <c r="AA300" s="3">
        <v>11.811</v>
      </c>
      <c r="AB300" s="3">
        <v>11.384</v>
      </c>
      <c r="AC300" s="3">
        <f t="shared" si="206"/>
        <v>-0.4269999999999996</v>
      </c>
      <c r="AD300" s="3">
        <f>-591.466824*627.50956</f>
        <v>-371151.08648283739</v>
      </c>
      <c r="AE300" s="3">
        <f>-594.748048*627.50956</f>
        <v>-373210.08591133886</v>
      </c>
      <c r="AF300" s="3">
        <f t="shared" si="207"/>
        <v>-2058.9994285014691</v>
      </c>
      <c r="AG300" s="3">
        <f>-591.510702*627.50956</f>
        <v>-371178.62034731114</v>
      </c>
      <c r="AH300" s="3">
        <f>-594.792677*627.50956</f>
        <v>-373238.09103549214</v>
      </c>
      <c r="AI300" s="3">
        <f t="shared" si="208"/>
        <v>-2059.470688180998</v>
      </c>
      <c r="AJ300" s="3">
        <v>-0.65500000000000003</v>
      </c>
      <c r="AK300" s="3">
        <v>-0.67100000000000004</v>
      </c>
      <c r="AL300" s="3">
        <f t="shared" si="209"/>
        <v>-1.6000000000000014E-2</v>
      </c>
      <c r="AM300" s="3">
        <v>155.10300000000001</v>
      </c>
      <c r="AN300" s="3">
        <v>176.0865</v>
      </c>
      <c r="AO300" s="3">
        <v>181.80199999999999</v>
      </c>
      <c r="AP300" s="3">
        <f t="shared" si="210"/>
        <v>1.1347919349772726</v>
      </c>
      <c r="AQ300" s="3">
        <v>9.4719999999999995</v>
      </c>
      <c r="AR300" s="3">
        <v>2.4687999999999999</v>
      </c>
      <c r="AS300" s="3">
        <v>-76.454999999999998</v>
      </c>
      <c r="AT300" s="3">
        <v>-76.055000000000007</v>
      </c>
      <c r="AU300" s="3">
        <f t="shared" si="164"/>
        <v>-0.39999999999999147</v>
      </c>
      <c r="AV300" s="3">
        <v>-0.30399999999999999</v>
      </c>
      <c r="AW300" s="3">
        <v>-0.505</v>
      </c>
      <c r="AX300" s="3">
        <f t="shared" si="165"/>
        <v>0.20100000000000001</v>
      </c>
      <c r="AY300" s="3">
        <v>0.04</v>
      </c>
      <c r="AZ300" s="3">
        <v>0.16400000000000001</v>
      </c>
      <c r="BA300" s="3">
        <f t="shared" si="166"/>
        <v>-0.124</v>
      </c>
      <c r="BB300" s="3">
        <f t="shared" si="214"/>
        <v>0.13200000000000001</v>
      </c>
      <c r="BC300" s="3">
        <f t="shared" si="214"/>
        <v>0.17049999999999998</v>
      </c>
      <c r="BD300" s="3">
        <f t="shared" si="168"/>
        <v>-3.8499999999999979E-2</v>
      </c>
      <c r="BE300" s="3">
        <f t="shared" si="215"/>
        <v>0.34399999999999997</v>
      </c>
      <c r="BF300" s="3">
        <f t="shared" si="215"/>
        <v>0.66900000000000004</v>
      </c>
      <c r="BG300" s="3">
        <f t="shared" si="170"/>
        <v>-0.32500000000000007</v>
      </c>
      <c r="BH300" s="3">
        <f t="shared" si="216"/>
        <v>-0.13200000000000001</v>
      </c>
      <c r="BI300" s="3">
        <f t="shared" si="216"/>
        <v>-0.17049999999999998</v>
      </c>
      <c r="BJ300" s="3">
        <f t="shared" si="195"/>
        <v>3.8499999999999979E-2</v>
      </c>
      <c r="BK300" s="3">
        <f t="shared" si="192"/>
        <v>2.5325581395348844E-2</v>
      </c>
      <c r="BL300" s="3">
        <f t="shared" si="193"/>
        <v>2.1726644245141997E-2</v>
      </c>
      <c r="BM300" s="3">
        <f t="shared" si="172"/>
        <v>3.5989371502068469E-3</v>
      </c>
      <c r="BN300" s="3">
        <v>2.3010000000000002</v>
      </c>
      <c r="BO300" s="3">
        <v>2.3559999999999999</v>
      </c>
      <c r="BP300" s="3">
        <f t="shared" si="173"/>
        <v>-5.4999999999999716E-2</v>
      </c>
      <c r="BQ300" s="3">
        <v>-47960.305999999997</v>
      </c>
      <c r="BR300" s="3">
        <v>-47708.290999999997</v>
      </c>
      <c r="BS300" s="3">
        <f t="shared" si="174"/>
        <v>-252.01499999999942</v>
      </c>
      <c r="BT300" s="3">
        <v>-47973.754999999997</v>
      </c>
      <c r="BU300" s="3">
        <v>-47721.697</v>
      </c>
      <c r="BV300" s="3">
        <f t="shared" si="175"/>
        <v>-252.05799999999726</v>
      </c>
    </row>
    <row r="301" spans="1:74" x14ac:dyDescent="0.25">
      <c r="A301" s="2" t="s">
        <v>479</v>
      </c>
      <c r="B301" t="s">
        <v>513</v>
      </c>
      <c r="C301" t="s">
        <v>199</v>
      </c>
      <c r="D301" s="3">
        <v>18.190000000000001</v>
      </c>
      <c r="E301" s="3">
        <v>0.47</v>
      </c>
      <c r="F301" s="3">
        <v>-951.63099999999997</v>
      </c>
      <c r="G301" s="3">
        <v>-955.21699999999998</v>
      </c>
      <c r="H301" s="3">
        <f t="shared" si="196"/>
        <v>-3.5860000000000127</v>
      </c>
      <c r="I301" s="3">
        <v>-0.33800000000000002</v>
      </c>
      <c r="J301" s="6">
        <v>-0.17100000000000001</v>
      </c>
      <c r="K301" s="3">
        <f t="shared" si="197"/>
        <v>0.16700000000000001</v>
      </c>
      <c r="L301" s="3">
        <v>9.5000000000000001E-2</v>
      </c>
      <c r="M301" s="6">
        <v>-4.4999999999999998E-2</v>
      </c>
      <c r="N301" s="3">
        <f t="shared" si="198"/>
        <v>-0.14000000000000001</v>
      </c>
      <c r="O301" s="3">
        <f t="shared" si="199"/>
        <v>0.12150000000000001</v>
      </c>
      <c r="P301" s="3">
        <f t="shared" si="200"/>
        <v>0.10800000000000001</v>
      </c>
      <c r="Q301" s="3">
        <f t="shared" si="201"/>
        <v>-1.3499999999999998E-2</v>
      </c>
      <c r="R301" s="3">
        <f t="shared" si="202"/>
        <v>0.43300000000000005</v>
      </c>
      <c r="S301" s="3">
        <f t="shared" si="202"/>
        <v>0.126</v>
      </c>
      <c r="T301" s="3">
        <f t="shared" si="203"/>
        <v>-0.30700000000000005</v>
      </c>
      <c r="U301" s="3">
        <f t="shared" si="204"/>
        <v>-0.12150000000000001</v>
      </c>
      <c r="V301" s="3">
        <f t="shared" si="204"/>
        <v>-0.10800000000000001</v>
      </c>
      <c r="W301" s="3">
        <f t="shared" si="194"/>
        <v>1.3499999999999998E-2</v>
      </c>
      <c r="X301" s="3">
        <f t="shared" si="190"/>
        <v>1.7046478060046191E-2</v>
      </c>
      <c r="Y301" s="3">
        <f t="shared" si="191"/>
        <v>4.6285714285714298E-2</v>
      </c>
      <c r="Z301" s="3">
        <f t="shared" si="205"/>
        <v>2.9239236225668108E-2</v>
      </c>
      <c r="AA301" s="3">
        <v>16.959</v>
      </c>
      <c r="AB301" s="3">
        <v>16.158999999999999</v>
      </c>
      <c r="AC301" s="3">
        <f t="shared" si="206"/>
        <v>-0.80000000000000071</v>
      </c>
      <c r="AD301" s="3">
        <f>-951.518483*627.50956</f>
        <v>-597086.94459919736</v>
      </c>
      <c r="AE301" s="3">
        <f>-955.111502*627.50956</f>
        <v>-599341.59837095905</v>
      </c>
      <c r="AF301" s="3">
        <f t="shared" si="207"/>
        <v>-2254.6537717616884</v>
      </c>
      <c r="AG301" s="3">
        <f>-951.563385*627.50956</f>
        <v>-597115.1210334606</v>
      </c>
      <c r="AH301" s="3">
        <f>-955.157464*627.50956</f>
        <v>-599370.43996535579</v>
      </c>
      <c r="AI301" s="3">
        <f t="shared" si="208"/>
        <v>-2255.3189318951918</v>
      </c>
      <c r="AJ301" s="3">
        <v>-0.64900000000000002</v>
      </c>
      <c r="AK301" s="3">
        <v>-0.65300000000000002</v>
      </c>
      <c r="AL301" s="3">
        <f t="shared" si="209"/>
        <v>-4.0000000000000036E-3</v>
      </c>
      <c r="AM301" s="3">
        <v>171.55779999999999</v>
      </c>
      <c r="AN301" s="3">
        <v>192.5718</v>
      </c>
      <c r="AO301" s="3">
        <v>199.13589999999999</v>
      </c>
      <c r="AP301" s="3">
        <f t="shared" si="210"/>
        <v>1.1679267334892143</v>
      </c>
      <c r="AQ301" s="3">
        <v>10.814</v>
      </c>
      <c r="AR301" s="3">
        <v>2.7</v>
      </c>
      <c r="AS301" s="3">
        <v>-76.454999999999998</v>
      </c>
      <c r="AT301" s="3">
        <v>-76.055000000000007</v>
      </c>
      <c r="AU301" s="3">
        <f t="shared" si="164"/>
        <v>-0.39999999999999147</v>
      </c>
      <c r="AV301" s="3">
        <v>-0.30399999999999999</v>
      </c>
      <c r="AW301" s="3">
        <v>-0.505</v>
      </c>
      <c r="AX301" s="3">
        <f t="shared" si="165"/>
        <v>0.20100000000000001</v>
      </c>
      <c r="AY301" s="3">
        <v>0.04</v>
      </c>
      <c r="AZ301" s="3">
        <v>0.16400000000000001</v>
      </c>
      <c r="BA301" s="3">
        <f t="shared" si="166"/>
        <v>-0.124</v>
      </c>
      <c r="BB301" s="3">
        <f t="shared" si="214"/>
        <v>0.13200000000000001</v>
      </c>
      <c r="BC301" s="3">
        <f t="shared" si="214"/>
        <v>0.17049999999999998</v>
      </c>
      <c r="BD301" s="3">
        <f t="shared" si="168"/>
        <v>-3.8499999999999979E-2</v>
      </c>
      <c r="BE301" s="3">
        <f t="shared" si="215"/>
        <v>0.34399999999999997</v>
      </c>
      <c r="BF301" s="3">
        <f t="shared" si="215"/>
        <v>0.66900000000000004</v>
      </c>
      <c r="BG301" s="3">
        <f t="shared" si="170"/>
        <v>-0.32500000000000007</v>
      </c>
      <c r="BH301" s="3">
        <f t="shared" si="216"/>
        <v>-0.13200000000000001</v>
      </c>
      <c r="BI301" s="3">
        <f t="shared" si="216"/>
        <v>-0.17049999999999998</v>
      </c>
      <c r="BJ301" s="3">
        <f t="shared" si="195"/>
        <v>3.8499999999999979E-2</v>
      </c>
      <c r="BK301" s="3">
        <f t="shared" si="192"/>
        <v>2.5325581395348844E-2</v>
      </c>
      <c r="BL301" s="3">
        <f t="shared" si="193"/>
        <v>2.1726644245141997E-2</v>
      </c>
      <c r="BM301" s="3">
        <f t="shared" si="172"/>
        <v>3.5989371502068469E-3</v>
      </c>
      <c r="BN301" s="3">
        <v>2.3010000000000002</v>
      </c>
      <c r="BO301" s="3">
        <v>2.3559999999999999</v>
      </c>
      <c r="BP301" s="3">
        <f t="shared" si="173"/>
        <v>-5.4999999999999716E-2</v>
      </c>
      <c r="BQ301" s="3">
        <v>-47960.305999999997</v>
      </c>
      <c r="BR301" s="3">
        <v>-47708.290999999997</v>
      </c>
      <c r="BS301" s="3">
        <f t="shared" si="174"/>
        <v>-252.01499999999942</v>
      </c>
      <c r="BT301" s="3">
        <v>-47973.754999999997</v>
      </c>
      <c r="BU301" s="3">
        <v>-47721.697</v>
      </c>
      <c r="BV301" s="3">
        <f t="shared" si="175"/>
        <v>-252.05799999999726</v>
      </c>
    </row>
    <row r="302" spans="1:74" x14ac:dyDescent="0.25">
      <c r="A302" s="4" t="s">
        <v>480</v>
      </c>
      <c r="B302" t="s">
        <v>513</v>
      </c>
      <c r="C302" t="s">
        <v>99</v>
      </c>
      <c r="D302" s="3">
        <v>18.32</v>
      </c>
      <c r="E302" s="3">
        <v>0.82</v>
      </c>
      <c r="F302" s="3">
        <v>-764.06600000000003</v>
      </c>
      <c r="G302" s="3">
        <v>-766.69299999999998</v>
      </c>
      <c r="H302" s="3">
        <f t="shared" si="196"/>
        <v>-2.6269999999999527</v>
      </c>
      <c r="I302" s="3">
        <v>-0.24399999999999999</v>
      </c>
      <c r="J302" s="6">
        <v>-0.16200000000000001</v>
      </c>
      <c r="K302" s="3">
        <f t="shared" si="197"/>
        <v>8.199999999999999E-2</v>
      </c>
      <c r="L302" s="3">
        <v>0.14899999999999999</v>
      </c>
      <c r="M302" s="6">
        <v>0.01</v>
      </c>
      <c r="N302" s="3">
        <f t="shared" si="198"/>
        <v>-0.13899999999999998</v>
      </c>
      <c r="O302" s="3">
        <f t="shared" si="199"/>
        <v>4.7500000000000001E-2</v>
      </c>
      <c r="P302" s="3">
        <f t="shared" si="200"/>
        <v>7.5999999999999998E-2</v>
      </c>
      <c r="Q302" s="3">
        <f t="shared" si="201"/>
        <v>2.8499999999999998E-2</v>
      </c>
      <c r="R302" s="3">
        <f t="shared" si="202"/>
        <v>0.39300000000000002</v>
      </c>
      <c r="S302" s="3">
        <f t="shared" si="202"/>
        <v>0.17200000000000001</v>
      </c>
      <c r="T302" s="3">
        <f t="shared" si="203"/>
        <v>-0.221</v>
      </c>
      <c r="U302" s="3">
        <f t="shared" si="204"/>
        <v>-4.7500000000000001E-2</v>
      </c>
      <c r="V302" s="3">
        <f t="shared" si="204"/>
        <v>-7.5999999999999998E-2</v>
      </c>
      <c r="W302" s="3">
        <f t="shared" si="194"/>
        <v>-2.8499999999999998E-2</v>
      </c>
      <c r="X302" s="3">
        <f t="shared" si="190"/>
        <v>2.8705470737913487E-3</v>
      </c>
      <c r="Y302" s="3">
        <f t="shared" si="191"/>
        <v>1.6790697674418605E-2</v>
      </c>
      <c r="Z302" s="3">
        <f t="shared" si="205"/>
        <v>1.3920150600627255E-2</v>
      </c>
      <c r="AA302" s="3">
        <v>7.641</v>
      </c>
      <c r="AB302" s="3">
        <v>6.9340000000000002</v>
      </c>
      <c r="AC302" s="3">
        <f t="shared" si="206"/>
        <v>-0.70699999999999985</v>
      </c>
      <c r="AD302" s="3">
        <f>-763.971892*627.50956</f>
        <v>-479399.66580128751</v>
      </c>
      <c r="AE302" s="3">
        <f>-766.603918*627.50956</f>
        <v>-481051.28727845609</v>
      </c>
      <c r="AF302" s="3">
        <f t="shared" si="207"/>
        <v>-1651.6214771685773</v>
      </c>
      <c r="AG302" s="3">
        <f>-764.00903*627.50956</f>
        <v>-479422.9702513268</v>
      </c>
      <c r="AH302" s="3">
        <f>-766.642515*627.50956</f>
        <v>-481075.50726494339</v>
      </c>
      <c r="AI302" s="3">
        <f t="shared" si="208"/>
        <v>-1652.5370136165875</v>
      </c>
      <c r="AJ302" s="3">
        <v>-0.92100000000000004</v>
      </c>
      <c r="AK302" s="3">
        <v>-0.81399999999999995</v>
      </c>
      <c r="AL302" s="3">
        <f t="shared" si="209"/>
        <v>0.1070000000000001</v>
      </c>
      <c r="AM302" s="3">
        <v>127.548</v>
      </c>
      <c r="AN302" s="3">
        <v>160.3937</v>
      </c>
      <c r="AO302" s="3">
        <v>161.71600000000001</v>
      </c>
      <c r="AP302" s="3">
        <f t="shared" si="210"/>
        <v>1.1175696417711194</v>
      </c>
      <c r="AQ302" s="3">
        <v>9.1980000000000004</v>
      </c>
      <c r="AR302" s="3">
        <v>2.1880000000000002</v>
      </c>
      <c r="AS302" s="3">
        <v>-132.80099999999999</v>
      </c>
      <c r="AT302" s="3">
        <v>-131.97</v>
      </c>
      <c r="AU302" s="3">
        <f t="shared" si="164"/>
        <v>-0.83099999999998886</v>
      </c>
      <c r="AV302" s="3">
        <v>-0.34100000000000003</v>
      </c>
      <c r="AW302" s="3">
        <v>-0.47499999999999998</v>
      </c>
      <c r="AX302" s="3">
        <f t="shared" si="165"/>
        <v>0.13399999999999995</v>
      </c>
      <c r="AY302" s="3">
        <v>2.9000000000000001E-2</v>
      </c>
      <c r="AZ302" s="3">
        <v>0.156</v>
      </c>
      <c r="BA302" s="3">
        <f t="shared" si="166"/>
        <v>-0.127</v>
      </c>
      <c r="BB302" s="3">
        <f t="shared" ref="BB302:BC317" si="217">-(AV302+AY302)/2</f>
        <v>0.156</v>
      </c>
      <c r="BC302" s="3">
        <f t="shared" si="217"/>
        <v>0.15949999999999998</v>
      </c>
      <c r="BD302" s="3">
        <f t="shared" si="168"/>
        <v>-3.4999999999999754E-3</v>
      </c>
      <c r="BE302" s="3">
        <f t="shared" ref="BE302:BF317" si="218">AY302-AV302</f>
        <v>0.37000000000000005</v>
      </c>
      <c r="BF302" s="3">
        <f t="shared" si="218"/>
        <v>0.63100000000000001</v>
      </c>
      <c r="BG302" s="3">
        <f t="shared" si="170"/>
        <v>-0.26099999999999995</v>
      </c>
      <c r="BH302" s="3">
        <f t="shared" ref="BH302:BI317" si="219">(AV302+AY302)/2</f>
        <v>-0.156</v>
      </c>
      <c r="BI302" s="3">
        <f t="shared" si="219"/>
        <v>-0.15949999999999998</v>
      </c>
      <c r="BJ302" s="3">
        <f t="shared" si="195"/>
        <v>3.4999999999999754E-3</v>
      </c>
      <c r="BK302" s="3">
        <f t="shared" si="192"/>
        <v>3.2886486486486483E-2</v>
      </c>
      <c r="BL302" s="3">
        <f t="shared" si="193"/>
        <v>2.0158676703645E-2</v>
      </c>
      <c r="BM302" s="3">
        <f t="shared" si="172"/>
        <v>1.2727809782841482E-2</v>
      </c>
      <c r="BN302" s="3">
        <v>4.7279999999999998</v>
      </c>
      <c r="BO302" s="3">
        <v>4.9340000000000002</v>
      </c>
      <c r="BP302" s="3">
        <f t="shared" si="173"/>
        <v>-0.20600000000000041</v>
      </c>
      <c r="BQ302" s="3">
        <v>-83302.89</v>
      </c>
      <c r="BR302" s="3">
        <v>-82779.224000000002</v>
      </c>
      <c r="BS302" s="3">
        <f t="shared" si="174"/>
        <v>-523.66599999999744</v>
      </c>
      <c r="BT302" s="3">
        <v>-83320.774999999994</v>
      </c>
      <c r="BU302" s="3">
        <v>-82796.997000000003</v>
      </c>
      <c r="BV302" s="3">
        <f t="shared" si="175"/>
        <v>-523.77799999999115</v>
      </c>
    </row>
    <row r="303" spans="1:74" x14ac:dyDescent="0.25">
      <c r="A303" s="4" t="s">
        <v>481</v>
      </c>
      <c r="B303" t="s">
        <v>513</v>
      </c>
      <c r="C303" t="s">
        <v>99</v>
      </c>
      <c r="D303" s="3">
        <v>18.39</v>
      </c>
      <c r="E303" s="3">
        <v>0.69</v>
      </c>
      <c r="F303" s="3">
        <v>-640.86199999999997</v>
      </c>
      <c r="G303" s="3">
        <v>-644.21699999999998</v>
      </c>
      <c r="H303" s="3">
        <f t="shared" si="196"/>
        <v>-3.3550000000000182</v>
      </c>
      <c r="I303" s="3">
        <v>-0.253</v>
      </c>
      <c r="J303" s="6">
        <v>-0.17100000000000001</v>
      </c>
      <c r="K303" s="3">
        <f t="shared" si="197"/>
        <v>8.199999999999999E-2</v>
      </c>
      <c r="L303" s="3">
        <v>0.14399999999999999</v>
      </c>
      <c r="M303" s="6">
        <v>0</v>
      </c>
      <c r="N303" s="3">
        <f t="shared" si="198"/>
        <v>-0.14399999999999999</v>
      </c>
      <c r="O303" s="3">
        <f t="shared" si="199"/>
        <v>5.4500000000000007E-2</v>
      </c>
      <c r="P303" s="3">
        <f t="shared" si="200"/>
        <v>8.5500000000000007E-2</v>
      </c>
      <c r="Q303" s="3">
        <f t="shared" si="201"/>
        <v>3.1E-2</v>
      </c>
      <c r="R303" s="3">
        <f t="shared" si="202"/>
        <v>0.39700000000000002</v>
      </c>
      <c r="S303" s="3">
        <f t="shared" si="202"/>
        <v>0.17100000000000001</v>
      </c>
      <c r="T303" s="3">
        <f t="shared" si="203"/>
        <v>-0.22600000000000001</v>
      </c>
      <c r="U303" s="3">
        <f t="shared" si="204"/>
        <v>-5.4500000000000007E-2</v>
      </c>
      <c r="V303" s="3">
        <f t="shared" si="204"/>
        <v>-8.5500000000000007E-2</v>
      </c>
      <c r="W303" s="3">
        <f t="shared" si="194"/>
        <v>-3.1E-2</v>
      </c>
      <c r="X303" s="3">
        <f t="shared" si="190"/>
        <v>3.7408690176322424E-3</v>
      </c>
      <c r="Y303" s="3">
        <f t="shared" si="191"/>
        <v>2.1375000000000002E-2</v>
      </c>
      <c r="Z303" s="3">
        <f t="shared" si="205"/>
        <v>1.7634130982367758E-2</v>
      </c>
      <c r="AA303" s="3">
        <v>6.258</v>
      </c>
      <c r="AB303" s="3">
        <v>5.5359999999999996</v>
      </c>
      <c r="AC303" s="3">
        <f t="shared" si="206"/>
        <v>-0.72200000000000042</v>
      </c>
      <c r="AD303" s="3">
        <f>-640.749882*627.50956</f>
        <v>-402076.67652387189</v>
      </c>
      <c r="AE303" s="3">
        <f>-644.111507*627.50956</f>
        <v>-404186.12834850687</v>
      </c>
      <c r="AF303" s="3">
        <f t="shared" si="207"/>
        <v>-2109.4518246349762</v>
      </c>
      <c r="AG303" s="3">
        <f>-640.792605*627.50956</f>
        <v>-402103.48561480379</v>
      </c>
      <c r="AH303" s="3">
        <f>-644.155422*627.50956</f>
        <v>-404213.6854308343</v>
      </c>
      <c r="AI303" s="3">
        <f t="shared" si="208"/>
        <v>-2110.1998160305084</v>
      </c>
      <c r="AJ303" s="3">
        <v>-0.90300000000000002</v>
      </c>
      <c r="AK303" s="3">
        <v>-0.79500000000000004</v>
      </c>
      <c r="AL303" s="3">
        <f t="shared" si="209"/>
        <v>0.10799999999999998</v>
      </c>
      <c r="AM303" s="3">
        <v>161.101</v>
      </c>
      <c r="AN303" s="3">
        <v>173.55680000000001</v>
      </c>
      <c r="AO303" s="3">
        <v>178.4768</v>
      </c>
      <c r="AP303" s="3">
        <f t="shared" si="210"/>
        <v>1.1323388397031904</v>
      </c>
      <c r="AQ303" s="3">
        <v>8.7219999999999995</v>
      </c>
      <c r="AR303" s="3">
        <v>2.1716000000000002</v>
      </c>
      <c r="AS303" s="3">
        <v>-132.80099999999999</v>
      </c>
      <c r="AT303" s="3">
        <v>-131.97</v>
      </c>
      <c r="AU303" s="3">
        <f t="shared" si="164"/>
        <v>-0.83099999999998886</v>
      </c>
      <c r="AV303" s="3">
        <v>-0.34100000000000003</v>
      </c>
      <c r="AW303" s="3">
        <v>-0.47499999999999998</v>
      </c>
      <c r="AX303" s="3">
        <f t="shared" si="165"/>
        <v>0.13399999999999995</v>
      </c>
      <c r="AY303" s="3">
        <v>2.9000000000000001E-2</v>
      </c>
      <c r="AZ303" s="3">
        <v>0.156</v>
      </c>
      <c r="BA303" s="3">
        <f t="shared" si="166"/>
        <v>-0.127</v>
      </c>
      <c r="BB303" s="3">
        <f t="shared" si="217"/>
        <v>0.156</v>
      </c>
      <c r="BC303" s="3">
        <f t="shared" si="217"/>
        <v>0.15949999999999998</v>
      </c>
      <c r="BD303" s="3">
        <f t="shared" si="168"/>
        <v>-3.4999999999999754E-3</v>
      </c>
      <c r="BE303" s="3">
        <f t="shared" si="218"/>
        <v>0.37000000000000005</v>
      </c>
      <c r="BF303" s="3">
        <f t="shared" si="218"/>
        <v>0.63100000000000001</v>
      </c>
      <c r="BG303" s="3">
        <f t="shared" si="170"/>
        <v>-0.26099999999999995</v>
      </c>
      <c r="BH303" s="3">
        <f t="shared" si="219"/>
        <v>-0.156</v>
      </c>
      <c r="BI303" s="3">
        <f t="shared" si="219"/>
        <v>-0.15949999999999998</v>
      </c>
      <c r="BJ303" s="3">
        <f t="shared" si="195"/>
        <v>3.4999999999999754E-3</v>
      </c>
      <c r="BK303" s="3">
        <f t="shared" si="192"/>
        <v>3.2886486486486483E-2</v>
      </c>
      <c r="BL303" s="3">
        <f t="shared" si="193"/>
        <v>2.0158676703645E-2</v>
      </c>
      <c r="BM303" s="3">
        <f t="shared" si="172"/>
        <v>1.2727809782841482E-2</v>
      </c>
      <c r="BN303" s="3">
        <v>4.7279999999999998</v>
      </c>
      <c r="BO303" s="3">
        <v>4.9340000000000002</v>
      </c>
      <c r="BP303" s="3">
        <f t="shared" si="173"/>
        <v>-0.20600000000000041</v>
      </c>
      <c r="BQ303" s="3">
        <v>-83302.89</v>
      </c>
      <c r="BR303" s="3">
        <v>-82779.224000000002</v>
      </c>
      <c r="BS303" s="3">
        <f t="shared" si="174"/>
        <v>-523.66599999999744</v>
      </c>
      <c r="BT303" s="3">
        <v>-83320.774999999994</v>
      </c>
      <c r="BU303" s="3">
        <v>-82796.997000000003</v>
      </c>
      <c r="BV303" s="3">
        <f t="shared" si="175"/>
        <v>-523.77799999999115</v>
      </c>
    </row>
    <row r="304" spans="1:74" x14ac:dyDescent="0.25">
      <c r="A304" s="4" t="s">
        <v>482</v>
      </c>
      <c r="B304" t="s">
        <v>513</v>
      </c>
      <c r="C304" t="s">
        <v>199</v>
      </c>
      <c r="D304" s="3">
        <v>18.43</v>
      </c>
      <c r="E304" s="3">
        <v>0.46</v>
      </c>
      <c r="F304" s="3">
        <v>-679.89300000000003</v>
      </c>
      <c r="G304" s="3">
        <v>-683.74</v>
      </c>
      <c r="H304" s="3">
        <f t="shared" si="196"/>
        <v>-3.84699999999998</v>
      </c>
      <c r="I304" s="3">
        <v>-0.32700000000000001</v>
      </c>
      <c r="J304" s="6">
        <v>-0.159</v>
      </c>
      <c r="K304" s="3">
        <f t="shared" si="197"/>
        <v>0.16800000000000001</v>
      </c>
      <c r="L304" s="3">
        <v>0.125</v>
      </c>
      <c r="M304" s="6">
        <v>-1.4999999999999999E-2</v>
      </c>
      <c r="N304" s="3">
        <f t="shared" si="198"/>
        <v>-0.14000000000000001</v>
      </c>
      <c r="O304" s="3">
        <f t="shared" si="199"/>
        <v>0.10100000000000001</v>
      </c>
      <c r="P304" s="3">
        <f t="shared" si="200"/>
        <v>8.6999999999999994E-2</v>
      </c>
      <c r="Q304" s="3">
        <f t="shared" si="201"/>
        <v>-1.4000000000000012E-2</v>
      </c>
      <c r="R304" s="3">
        <f t="shared" si="202"/>
        <v>0.45200000000000001</v>
      </c>
      <c r="S304" s="3">
        <f t="shared" si="202"/>
        <v>0.14400000000000002</v>
      </c>
      <c r="T304" s="3">
        <f t="shared" si="203"/>
        <v>-0.308</v>
      </c>
      <c r="U304" s="3">
        <f t="shared" si="204"/>
        <v>-0.10100000000000001</v>
      </c>
      <c r="V304" s="3">
        <f t="shared" si="204"/>
        <v>-8.6999999999999994E-2</v>
      </c>
      <c r="W304" s="3">
        <f t="shared" si="194"/>
        <v>1.4000000000000012E-2</v>
      </c>
      <c r="X304" s="3">
        <f t="shared" si="190"/>
        <v>1.1284292035398233E-2</v>
      </c>
      <c r="Y304" s="3">
        <f t="shared" si="191"/>
        <v>2.6281249999999996E-2</v>
      </c>
      <c r="Z304" s="3">
        <f t="shared" si="205"/>
        <v>1.4996957964601763E-2</v>
      </c>
      <c r="AA304" s="3">
        <v>18.324999999999999</v>
      </c>
      <c r="AB304" s="3">
        <v>17.268999999999998</v>
      </c>
      <c r="AC304" s="3">
        <f t="shared" si="206"/>
        <v>-1.0560000000000009</v>
      </c>
      <c r="AD304" s="3">
        <f>-679.766378*627.50956</f>
        <v>-426559.90076157369</v>
      </c>
      <c r="AE304" s="3">
        <f>-683.621525*627.50956</f>
        <v>-428979.042359279</v>
      </c>
      <c r="AF304" s="3">
        <f t="shared" si="207"/>
        <v>-2419.1415977053111</v>
      </c>
      <c r="AG304" s="3">
        <f>-679.814581*627.50956</f>
        <v>-426590.14860489435</v>
      </c>
      <c r="AH304" s="3">
        <f>-683.670678*627.50956</f>
        <v>-429009.88633668161</v>
      </c>
      <c r="AI304" s="3">
        <f t="shared" si="208"/>
        <v>-2419.7377317872597</v>
      </c>
      <c r="AJ304" s="3">
        <v>-0.67</v>
      </c>
      <c r="AK304" s="3">
        <v>-0.69</v>
      </c>
      <c r="AL304" s="3">
        <f t="shared" si="209"/>
        <v>-1.9999999999999907E-2</v>
      </c>
      <c r="AM304" s="3">
        <v>180.114</v>
      </c>
      <c r="AN304" s="3">
        <v>201.94649999999999</v>
      </c>
      <c r="AO304" s="3">
        <v>211.57550000000001</v>
      </c>
      <c r="AP304" s="3">
        <f t="shared" si="210"/>
        <v>1.1762925970255056</v>
      </c>
      <c r="AQ304" s="3">
        <v>10.146000000000001</v>
      </c>
      <c r="AR304" s="3">
        <v>2.4489999999999998</v>
      </c>
      <c r="AS304" s="3">
        <v>-76.454999999999998</v>
      </c>
      <c r="AT304" s="3">
        <v>-76.055000000000007</v>
      </c>
      <c r="AU304" s="3">
        <f t="shared" si="164"/>
        <v>-0.39999999999999147</v>
      </c>
      <c r="AV304" s="3">
        <v>-0.30399999999999999</v>
      </c>
      <c r="AW304" s="3">
        <v>-0.505</v>
      </c>
      <c r="AX304" s="3">
        <f t="shared" si="165"/>
        <v>0.20100000000000001</v>
      </c>
      <c r="AY304" s="3">
        <v>0.04</v>
      </c>
      <c r="AZ304" s="3">
        <v>0.16400000000000001</v>
      </c>
      <c r="BA304" s="3">
        <f t="shared" si="166"/>
        <v>-0.124</v>
      </c>
      <c r="BB304" s="3">
        <f t="shared" si="217"/>
        <v>0.13200000000000001</v>
      </c>
      <c r="BC304" s="3">
        <f t="shared" si="217"/>
        <v>0.17049999999999998</v>
      </c>
      <c r="BD304" s="3">
        <f t="shared" si="168"/>
        <v>-3.8499999999999979E-2</v>
      </c>
      <c r="BE304" s="3">
        <f t="shared" si="218"/>
        <v>0.34399999999999997</v>
      </c>
      <c r="BF304" s="3">
        <f t="shared" si="218"/>
        <v>0.66900000000000004</v>
      </c>
      <c r="BG304" s="3">
        <f t="shared" si="170"/>
        <v>-0.32500000000000007</v>
      </c>
      <c r="BH304" s="3">
        <f t="shared" si="219"/>
        <v>-0.13200000000000001</v>
      </c>
      <c r="BI304" s="3">
        <f t="shared" si="219"/>
        <v>-0.17049999999999998</v>
      </c>
      <c r="BJ304" s="3">
        <f t="shared" si="195"/>
        <v>3.8499999999999979E-2</v>
      </c>
      <c r="BK304" s="3">
        <f t="shared" si="192"/>
        <v>2.5325581395348844E-2</v>
      </c>
      <c r="BL304" s="3">
        <f t="shared" si="193"/>
        <v>2.1726644245141997E-2</v>
      </c>
      <c r="BM304" s="3">
        <f t="shared" si="172"/>
        <v>3.5989371502068469E-3</v>
      </c>
      <c r="BN304" s="3">
        <v>2.3010000000000002</v>
      </c>
      <c r="BO304" s="3">
        <v>2.3559999999999999</v>
      </c>
      <c r="BP304" s="3">
        <f t="shared" si="173"/>
        <v>-5.4999999999999716E-2</v>
      </c>
      <c r="BQ304" s="3">
        <v>-47960.305999999997</v>
      </c>
      <c r="BR304" s="3">
        <v>-47708.290999999997</v>
      </c>
      <c r="BS304" s="3">
        <f t="shared" si="174"/>
        <v>-252.01499999999942</v>
      </c>
      <c r="BT304" s="3">
        <v>-47973.754999999997</v>
      </c>
      <c r="BU304" s="3">
        <v>-47721.697</v>
      </c>
      <c r="BV304" s="3">
        <f t="shared" si="175"/>
        <v>-252.05799999999726</v>
      </c>
    </row>
    <row r="305" spans="1:74" x14ac:dyDescent="0.25">
      <c r="A305" s="4" t="s">
        <v>481</v>
      </c>
      <c r="B305" t="s">
        <v>513</v>
      </c>
      <c r="C305" t="s">
        <v>200</v>
      </c>
      <c r="D305" s="3">
        <v>18.47</v>
      </c>
      <c r="E305" s="3">
        <v>0.61</v>
      </c>
      <c r="F305" s="3">
        <v>-640.86300000000006</v>
      </c>
      <c r="G305" s="3">
        <v>-644.21699999999998</v>
      </c>
      <c r="H305" s="3">
        <f t="shared" si="196"/>
        <v>-3.3539999999999281</v>
      </c>
      <c r="I305" s="3">
        <v>-0.254</v>
      </c>
      <c r="J305" s="6">
        <v>-0.17199999999999999</v>
      </c>
      <c r="K305" s="3">
        <f t="shared" si="197"/>
        <v>8.2000000000000017E-2</v>
      </c>
      <c r="L305" s="3">
        <v>0.14299999999999999</v>
      </c>
      <c r="M305" s="6">
        <v>-1E-3</v>
      </c>
      <c r="N305" s="3">
        <f t="shared" si="198"/>
        <v>-0.14399999999999999</v>
      </c>
      <c r="O305" s="3">
        <f t="shared" si="199"/>
        <v>5.5500000000000008E-2</v>
      </c>
      <c r="P305" s="3">
        <f t="shared" si="200"/>
        <v>8.6499999999999994E-2</v>
      </c>
      <c r="Q305" s="3">
        <f t="shared" si="201"/>
        <v>3.0999999999999986E-2</v>
      </c>
      <c r="R305" s="3">
        <f t="shared" si="202"/>
        <v>0.39700000000000002</v>
      </c>
      <c r="S305" s="3">
        <f t="shared" si="202"/>
        <v>0.17099999999999999</v>
      </c>
      <c r="T305" s="3">
        <f t="shared" si="203"/>
        <v>-0.22600000000000003</v>
      </c>
      <c r="U305" s="3">
        <f t="shared" si="204"/>
        <v>-5.5500000000000008E-2</v>
      </c>
      <c r="V305" s="3">
        <f t="shared" si="204"/>
        <v>-8.6499999999999994E-2</v>
      </c>
      <c r="W305" s="3">
        <f t="shared" si="194"/>
        <v>-3.0999999999999986E-2</v>
      </c>
      <c r="X305" s="3">
        <f t="shared" si="190"/>
        <v>3.8794080604534014E-3</v>
      </c>
      <c r="Y305" s="3">
        <f t="shared" si="191"/>
        <v>2.1877923976608187E-2</v>
      </c>
      <c r="Z305" s="3">
        <f t="shared" si="205"/>
        <v>1.7998515916154787E-2</v>
      </c>
      <c r="AA305" s="3">
        <v>6.2859999999999996</v>
      </c>
      <c r="AB305" s="3">
        <v>5.5620000000000003</v>
      </c>
      <c r="AC305" s="3">
        <f t="shared" si="206"/>
        <v>-0.72399999999999931</v>
      </c>
      <c r="AD305" s="3">
        <f>-640.750557*627.50956</f>
        <v>-402077.1000928249</v>
      </c>
      <c r="AE305" s="3">
        <f>-644.112143*627.50956</f>
        <v>-404186.52744458703</v>
      </c>
      <c r="AF305" s="3">
        <f t="shared" si="207"/>
        <v>-2109.4273517621332</v>
      </c>
      <c r="AG305" s="3">
        <f>-640.793285*627.50956</f>
        <v>-402103.91232130455</v>
      </c>
      <c r="AH305" s="3">
        <f>-644.156064*627.50956</f>
        <v>-404214.08829197183</v>
      </c>
      <c r="AI305" s="3">
        <f t="shared" si="208"/>
        <v>-2110.1759706672747</v>
      </c>
      <c r="AJ305" s="3">
        <v>-0.90300000000000002</v>
      </c>
      <c r="AK305" s="3">
        <v>-0.79600000000000004</v>
      </c>
      <c r="AL305" s="3">
        <f t="shared" si="209"/>
        <v>0.10699999999999998</v>
      </c>
      <c r="AM305" s="3">
        <v>161.101</v>
      </c>
      <c r="AN305" s="3">
        <v>173.55690000000001</v>
      </c>
      <c r="AO305" s="3">
        <v>178.476</v>
      </c>
      <c r="AP305" s="3">
        <f t="shared" si="210"/>
        <v>1.1323428758608167</v>
      </c>
      <c r="AQ305" s="3">
        <v>8.7219999999999995</v>
      </c>
      <c r="AR305" s="3">
        <v>2.1716000000000002</v>
      </c>
      <c r="AS305" s="3">
        <v>-553.27200000000005</v>
      </c>
      <c r="AT305" s="3">
        <v>-551.61699999999996</v>
      </c>
      <c r="AU305" s="3">
        <f t="shared" si="164"/>
        <v>-1.6550000000000864</v>
      </c>
      <c r="AV305" s="3">
        <v>-0.23699999999999999</v>
      </c>
      <c r="AW305" s="3">
        <v>-0.36899999999999999</v>
      </c>
      <c r="AX305" s="3">
        <f t="shared" si="165"/>
        <v>0.13200000000000001</v>
      </c>
      <c r="AY305" s="3">
        <v>2.8000000000000001E-2</v>
      </c>
      <c r="AZ305" s="3">
        <v>0.154</v>
      </c>
      <c r="BA305" s="3">
        <f t="shared" si="166"/>
        <v>-0.126</v>
      </c>
      <c r="BB305" s="3">
        <f t="shared" si="217"/>
        <v>0.1045</v>
      </c>
      <c r="BC305" s="3">
        <f t="shared" si="217"/>
        <v>0.1075</v>
      </c>
      <c r="BD305" s="3">
        <f t="shared" si="168"/>
        <v>-3.0000000000000027E-3</v>
      </c>
      <c r="BE305" s="3">
        <f t="shared" si="218"/>
        <v>0.26500000000000001</v>
      </c>
      <c r="BF305" s="3">
        <f t="shared" si="218"/>
        <v>0.52300000000000002</v>
      </c>
      <c r="BG305" s="3">
        <f t="shared" si="170"/>
        <v>-0.25800000000000001</v>
      </c>
      <c r="BH305" s="3">
        <f t="shared" si="219"/>
        <v>-0.1045</v>
      </c>
      <c r="BI305" s="3">
        <f t="shared" si="219"/>
        <v>-0.1075</v>
      </c>
      <c r="BJ305" s="3">
        <f t="shared" si="195"/>
        <v>3.0000000000000027E-3</v>
      </c>
      <c r="BK305" s="3">
        <f t="shared" si="192"/>
        <v>2.0604245283018865E-2</v>
      </c>
      <c r="BL305" s="3">
        <f t="shared" si="193"/>
        <v>1.104804015296367E-2</v>
      </c>
      <c r="BM305" s="3">
        <f t="shared" si="172"/>
        <v>9.5562051300551957E-3</v>
      </c>
      <c r="BN305" s="3">
        <v>5.4870000000000001</v>
      </c>
      <c r="BO305" s="3">
        <v>6.0839999999999996</v>
      </c>
      <c r="BP305" s="3">
        <f t="shared" si="173"/>
        <v>-0.59699999999999953</v>
      </c>
      <c r="BQ305" s="3">
        <v>-347129.96399999998</v>
      </c>
      <c r="BR305" s="3">
        <v>-346087.64600000001</v>
      </c>
      <c r="BS305" s="3">
        <f t="shared" si="174"/>
        <v>-1042.3179999999702</v>
      </c>
      <c r="BT305" s="3">
        <v>-347152.04599999997</v>
      </c>
      <c r="BU305" s="3">
        <v>-346109.22600000002</v>
      </c>
      <c r="BV305" s="3">
        <f t="shared" si="175"/>
        <v>-1042.8199999999488</v>
      </c>
    </row>
    <row r="306" spans="1:74" x14ac:dyDescent="0.25">
      <c r="A306" s="4" t="s">
        <v>483</v>
      </c>
      <c r="B306" t="s">
        <v>513</v>
      </c>
      <c r="C306" t="s">
        <v>99</v>
      </c>
      <c r="D306" s="3">
        <v>18.53</v>
      </c>
      <c r="E306" s="3">
        <v>0.85</v>
      </c>
      <c r="F306" s="3">
        <v>-305.13900000000001</v>
      </c>
      <c r="G306" s="3">
        <v>-307.065</v>
      </c>
      <c r="H306" s="3">
        <f t="shared" si="196"/>
        <v>-1.9259999999999877</v>
      </c>
      <c r="I306" s="3">
        <v>-0.23799999999999999</v>
      </c>
      <c r="J306" s="6">
        <v>-0.156</v>
      </c>
      <c r="K306" s="3">
        <f t="shared" si="197"/>
        <v>8.199999999999999E-2</v>
      </c>
      <c r="L306" s="3">
        <v>0.161</v>
      </c>
      <c r="M306" s="6">
        <v>2.1999999999999999E-2</v>
      </c>
      <c r="N306" s="3">
        <f t="shared" si="198"/>
        <v>-0.13900000000000001</v>
      </c>
      <c r="O306" s="3">
        <f t="shared" si="199"/>
        <v>3.8499999999999993E-2</v>
      </c>
      <c r="P306" s="3">
        <f t="shared" si="200"/>
        <v>6.7000000000000004E-2</v>
      </c>
      <c r="Q306" s="3">
        <f t="shared" si="201"/>
        <v>2.8500000000000011E-2</v>
      </c>
      <c r="R306" s="3">
        <f t="shared" si="202"/>
        <v>0.39900000000000002</v>
      </c>
      <c r="S306" s="3">
        <f t="shared" si="202"/>
        <v>0.17799999999999999</v>
      </c>
      <c r="T306" s="3">
        <f t="shared" si="203"/>
        <v>-0.22100000000000003</v>
      </c>
      <c r="U306" s="3">
        <f t="shared" si="204"/>
        <v>-3.8499999999999993E-2</v>
      </c>
      <c r="V306" s="3">
        <f t="shared" si="204"/>
        <v>-6.7000000000000004E-2</v>
      </c>
      <c r="W306" s="3">
        <f t="shared" si="194"/>
        <v>-2.8500000000000011E-2</v>
      </c>
      <c r="X306" s="3">
        <f t="shared" si="190"/>
        <v>1.8574561403508763E-3</v>
      </c>
      <c r="Y306" s="3">
        <f t="shared" si="191"/>
        <v>1.2609550561797757E-2</v>
      </c>
      <c r="Z306" s="3">
        <f t="shared" si="205"/>
        <v>1.0752094421446881E-2</v>
      </c>
      <c r="AA306" s="3">
        <v>6.7480000000000002</v>
      </c>
      <c r="AB306" s="3">
        <v>5.9080000000000004</v>
      </c>
      <c r="AC306" s="3">
        <f t="shared" si="206"/>
        <v>-0.83999999999999986</v>
      </c>
      <c r="AD306" s="3">
        <f>-305.035928*627.50956</f>
        <v>-191412.96096347168</v>
      </c>
      <c r="AE306" s="3">
        <f>-306.968589*627.50956</f>
        <v>-192625.72421721084</v>
      </c>
      <c r="AF306" s="3">
        <f t="shared" si="207"/>
        <v>-1212.7632537391619</v>
      </c>
      <c r="AG306" s="3">
        <f>-305.070293*627.50956</f>
        <v>-191434.52532950108</v>
      </c>
      <c r="AH306" s="3">
        <f>-307.003552*627.50956</f>
        <v>-192647.66383395711</v>
      </c>
      <c r="AI306" s="3">
        <f t="shared" si="208"/>
        <v>-1213.1385044560302</v>
      </c>
      <c r="AJ306" s="3">
        <v>-0.93600000000000005</v>
      </c>
      <c r="AK306" s="3">
        <v>-0.82899999999999996</v>
      </c>
      <c r="AL306" s="3">
        <f t="shared" si="209"/>
        <v>0.1070000000000001</v>
      </c>
      <c r="AM306" s="3">
        <v>93.102999999999994</v>
      </c>
      <c r="AN306" s="3">
        <v>144.4939</v>
      </c>
      <c r="AO306" s="3">
        <v>142.9325</v>
      </c>
      <c r="AP306" s="3">
        <f t="shared" si="210"/>
        <v>1.0931626974088648</v>
      </c>
      <c r="AQ306" s="3">
        <v>7.9779999999999998</v>
      </c>
      <c r="AR306" s="3">
        <v>1.724</v>
      </c>
      <c r="AS306" s="3">
        <v>-132.80099999999999</v>
      </c>
      <c r="AT306" s="3">
        <v>-131.97</v>
      </c>
      <c r="AU306" s="3">
        <f t="shared" si="164"/>
        <v>-0.83099999999998886</v>
      </c>
      <c r="AV306" s="3">
        <v>-0.34100000000000003</v>
      </c>
      <c r="AW306" s="3">
        <v>-0.47499999999999998</v>
      </c>
      <c r="AX306" s="3">
        <f t="shared" si="165"/>
        <v>0.13399999999999995</v>
      </c>
      <c r="AY306" s="3">
        <v>2.9000000000000001E-2</v>
      </c>
      <c r="AZ306" s="3">
        <v>0.156</v>
      </c>
      <c r="BA306" s="3">
        <f t="shared" si="166"/>
        <v>-0.127</v>
      </c>
      <c r="BB306" s="3">
        <f t="shared" si="217"/>
        <v>0.156</v>
      </c>
      <c r="BC306" s="3">
        <f t="shared" si="217"/>
        <v>0.15949999999999998</v>
      </c>
      <c r="BD306" s="3">
        <f t="shared" si="168"/>
        <v>-3.4999999999999754E-3</v>
      </c>
      <c r="BE306" s="3">
        <f t="shared" si="218"/>
        <v>0.37000000000000005</v>
      </c>
      <c r="BF306" s="3">
        <f t="shared" si="218"/>
        <v>0.63100000000000001</v>
      </c>
      <c r="BG306" s="3">
        <f t="shared" si="170"/>
        <v>-0.26099999999999995</v>
      </c>
      <c r="BH306" s="3">
        <f t="shared" si="219"/>
        <v>-0.156</v>
      </c>
      <c r="BI306" s="3">
        <f t="shared" si="219"/>
        <v>-0.15949999999999998</v>
      </c>
      <c r="BJ306" s="3">
        <f t="shared" si="195"/>
        <v>3.4999999999999754E-3</v>
      </c>
      <c r="BK306" s="3">
        <f t="shared" si="192"/>
        <v>3.2886486486486483E-2</v>
      </c>
      <c r="BL306" s="3">
        <f t="shared" si="193"/>
        <v>2.0158676703645E-2</v>
      </c>
      <c r="BM306" s="3">
        <f t="shared" si="172"/>
        <v>1.2727809782841482E-2</v>
      </c>
      <c r="BN306" s="3">
        <v>4.7279999999999998</v>
      </c>
      <c r="BO306" s="3">
        <v>4.9340000000000002</v>
      </c>
      <c r="BP306" s="3">
        <f t="shared" si="173"/>
        <v>-0.20600000000000041</v>
      </c>
      <c r="BQ306" s="3">
        <v>-83302.89</v>
      </c>
      <c r="BR306" s="3">
        <v>-82779.224000000002</v>
      </c>
      <c r="BS306" s="3">
        <f t="shared" si="174"/>
        <v>-523.66599999999744</v>
      </c>
      <c r="BT306" s="3">
        <v>-83320.774999999994</v>
      </c>
      <c r="BU306" s="3">
        <v>-82796.997000000003</v>
      </c>
      <c r="BV306" s="3">
        <f t="shared" si="175"/>
        <v>-523.77799999999115</v>
      </c>
    </row>
    <row r="307" spans="1:74" x14ac:dyDescent="0.25">
      <c r="A307" s="4" t="s">
        <v>484</v>
      </c>
      <c r="B307" t="s">
        <v>513</v>
      </c>
      <c r="C307" t="s">
        <v>199</v>
      </c>
      <c r="D307" s="3">
        <v>18.559999999999999</v>
      </c>
      <c r="E307" s="3">
        <v>0.48</v>
      </c>
      <c r="F307" s="3">
        <v>-1065.5409999999999</v>
      </c>
      <c r="G307" s="3">
        <v>-1069.771</v>
      </c>
      <c r="H307" s="3">
        <f t="shared" si="196"/>
        <v>-4.2300000000000182</v>
      </c>
      <c r="I307" s="3">
        <v>-0.32100000000000001</v>
      </c>
      <c r="J307" s="6">
        <v>-0.16800000000000001</v>
      </c>
      <c r="K307" s="3">
        <f t="shared" si="197"/>
        <v>0.153</v>
      </c>
      <c r="L307" s="3">
        <v>0.11</v>
      </c>
      <c r="M307" s="6">
        <v>-3.4000000000000002E-2</v>
      </c>
      <c r="N307" s="3">
        <f t="shared" si="198"/>
        <v>-0.14400000000000002</v>
      </c>
      <c r="O307" s="3">
        <f t="shared" si="199"/>
        <v>0.10550000000000001</v>
      </c>
      <c r="P307" s="3">
        <f t="shared" si="200"/>
        <v>0.10100000000000001</v>
      </c>
      <c r="Q307" s="3">
        <f t="shared" si="201"/>
        <v>-4.500000000000004E-3</v>
      </c>
      <c r="R307" s="3">
        <f t="shared" si="202"/>
        <v>0.43099999999999999</v>
      </c>
      <c r="S307" s="3">
        <f t="shared" si="202"/>
        <v>0.13400000000000001</v>
      </c>
      <c r="T307" s="3">
        <f t="shared" si="203"/>
        <v>-0.29699999999999999</v>
      </c>
      <c r="U307" s="3">
        <f t="shared" si="204"/>
        <v>-0.10550000000000001</v>
      </c>
      <c r="V307" s="3">
        <f t="shared" si="204"/>
        <v>-0.10100000000000001</v>
      </c>
      <c r="W307" s="3">
        <f t="shared" si="194"/>
        <v>4.500000000000004E-3</v>
      </c>
      <c r="X307" s="3">
        <f t="shared" si="190"/>
        <v>1.291212296983759E-2</v>
      </c>
      <c r="Y307" s="3">
        <f t="shared" si="191"/>
        <v>3.80634328358209E-2</v>
      </c>
      <c r="Z307" s="3">
        <f t="shared" si="205"/>
        <v>2.515130986598331E-2</v>
      </c>
      <c r="AA307" s="3">
        <v>21.03</v>
      </c>
      <c r="AB307" s="3">
        <v>20.707999999999998</v>
      </c>
      <c r="AC307" s="3">
        <f t="shared" si="206"/>
        <v>-0.32200000000000273</v>
      </c>
      <c r="AD307" s="3">
        <f>-1065.390988*627.50956</f>
        <v>-668543.03010784532</v>
      </c>
      <c r="AE307" s="3">
        <f>-1069.629887*627.50956</f>
        <v>-671202.97975421976</v>
      </c>
      <c r="AF307" s="3">
        <f t="shared" si="207"/>
        <v>-2659.9496463744435</v>
      </c>
      <c r="AG307" s="3">
        <f>-1065.441669*627.50956</f>
        <v>-668574.8329198556</v>
      </c>
      <c r="AH307" s="3">
        <f>-1069.681642*627.50956</f>
        <v>-671235.4565114975</v>
      </c>
      <c r="AI307" s="3">
        <f t="shared" si="208"/>
        <v>-2660.6235916418955</v>
      </c>
      <c r="AJ307" s="3">
        <v>-0.65200000000000002</v>
      </c>
      <c r="AK307" s="3">
        <v>-0.66100000000000003</v>
      </c>
      <c r="AL307" s="3">
        <f t="shared" si="209"/>
        <v>-9.000000000000008E-3</v>
      </c>
      <c r="AM307" s="3">
        <v>201.5838</v>
      </c>
      <c r="AN307" s="3">
        <v>224.0549</v>
      </c>
      <c r="AO307" s="3">
        <v>237.77070000000001</v>
      </c>
      <c r="AP307" s="3">
        <f t="shared" si="210"/>
        <v>1.2073638610682456</v>
      </c>
      <c r="AQ307" s="3">
        <v>12.196999999999999</v>
      </c>
      <c r="AR307" s="3">
        <v>2.9386999999999999</v>
      </c>
      <c r="AS307" s="3">
        <v>-76.454999999999998</v>
      </c>
      <c r="AT307" s="3">
        <v>-76.055000000000007</v>
      </c>
      <c r="AU307" s="3">
        <f t="shared" si="164"/>
        <v>-0.39999999999999147</v>
      </c>
      <c r="AV307" s="3">
        <v>-0.30399999999999999</v>
      </c>
      <c r="AW307" s="3">
        <v>-0.505</v>
      </c>
      <c r="AX307" s="3">
        <f t="shared" si="165"/>
        <v>0.20100000000000001</v>
      </c>
      <c r="AY307" s="3">
        <v>0.04</v>
      </c>
      <c r="AZ307" s="3">
        <v>0.16400000000000001</v>
      </c>
      <c r="BA307" s="3">
        <f t="shared" si="166"/>
        <v>-0.124</v>
      </c>
      <c r="BB307" s="3">
        <f t="shared" si="217"/>
        <v>0.13200000000000001</v>
      </c>
      <c r="BC307" s="3">
        <f t="shared" si="217"/>
        <v>0.17049999999999998</v>
      </c>
      <c r="BD307" s="3">
        <f t="shared" si="168"/>
        <v>-3.8499999999999979E-2</v>
      </c>
      <c r="BE307" s="3">
        <f t="shared" si="218"/>
        <v>0.34399999999999997</v>
      </c>
      <c r="BF307" s="3">
        <f t="shared" si="218"/>
        <v>0.66900000000000004</v>
      </c>
      <c r="BG307" s="3">
        <f t="shared" si="170"/>
        <v>-0.32500000000000007</v>
      </c>
      <c r="BH307" s="3">
        <f t="shared" si="219"/>
        <v>-0.13200000000000001</v>
      </c>
      <c r="BI307" s="3">
        <f t="shared" si="219"/>
        <v>-0.17049999999999998</v>
      </c>
      <c r="BJ307" s="3">
        <f t="shared" si="195"/>
        <v>3.8499999999999979E-2</v>
      </c>
      <c r="BK307" s="3">
        <f t="shared" si="192"/>
        <v>2.5325581395348844E-2</v>
      </c>
      <c r="BL307" s="3">
        <f t="shared" si="193"/>
        <v>2.1726644245141997E-2</v>
      </c>
      <c r="BM307" s="3">
        <f t="shared" si="172"/>
        <v>3.5989371502068469E-3</v>
      </c>
      <c r="BN307" s="3">
        <v>2.3010000000000002</v>
      </c>
      <c r="BO307" s="3">
        <v>2.3559999999999999</v>
      </c>
      <c r="BP307" s="3">
        <f t="shared" si="173"/>
        <v>-5.4999999999999716E-2</v>
      </c>
      <c r="BQ307" s="3">
        <v>-47960.305999999997</v>
      </c>
      <c r="BR307" s="3">
        <v>-47708.290999999997</v>
      </c>
      <c r="BS307" s="3">
        <f t="shared" si="174"/>
        <v>-252.01499999999942</v>
      </c>
      <c r="BT307" s="3">
        <v>-47973.754999999997</v>
      </c>
      <c r="BU307" s="3">
        <v>-47721.697</v>
      </c>
      <c r="BV307" s="3">
        <f t="shared" si="175"/>
        <v>-252.05799999999726</v>
      </c>
    </row>
    <row r="308" spans="1:74" x14ac:dyDescent="0.25">
      <c r="A308" s="4" t="s">
        <v>485</v>
      </c>
      <c r="B308" t="s">
        <v>513</v>
      </c>
      <c r="C308" t="s">
        <v>199</v>
      </c>
      <c r="D308" s="3">
        <v>18.57</v>
      </c>
      <c r="E308" s="3">
        <v>0.43</v>
      </c>
      <c r="F308" s="3">
        <v>-492.709</v>
      </c>
      <c r="G308" s="3">
        <v>-495.59500000000003</v>
      </c>
      <c r="H308" s="3">
        <f t="shared" si="196"/>
        <v>-2.8860000000000241</v>
      </c>
      <c r="I308" s="3">
        <v>-0.33500000000000002</v>
      </c>
      <c r="J308" s="6">
        <v>-0.16800000000000001</v>
      </c>
      <c r="K308" s="3">
        <f t="shared" si="197"/>
        <v>0.16700000000000001</v>
      </c>
      <c r="L308" s="3">
        <v>0.105</v>
      </c>
      <c r="M308" s="6">
        <v>-3.5999999999999997E-2</v>
      </c>
      <c r="N308" s="3">
        <f t="shared" si="198"/>
        <v>-0.14099999999999999</v>
      </c>
      <c r="O308" s="3">
        <f t="shared" si="199"/>
        <v>0.11500000000000002</v>
      </c>
      <c r="P308" s="3">
        <f t="shared" si="200"/>
        <v>0.10200000000000001</v>
      </c>
      <c r="Q308" s="3">
        <f t="shared" si="201"/>
        <v>-1.3000000000000012E-2</v>
      </c>
      <c r="R308" s="3">
        <f t="shared" si="202"/>
        <v>0.44</v>
      </c>
      <c r="S308" s="3">
        <f t="shared" si="202"/>
        <v>0.13200000000000001</v>
      </c>
      <c r="T308" s="3">
        <f t="shared" si="203"/>
        <v>-0.308</v>
      </c>
      <c r="U308" s="3">
        <f t="shared" si="204"/>
        <v>-0.11500000000000002</v>
      </c>
      <c r="V308" s="3">
        <f t="shared" si="204"/>
        <v>-0.10200000000000001</v>
      </c>
      <c r="W308" s="3">
        <f t="shared" si="194"/>
        <v>1.3000000000000012E-2</v>
      </c>
      <c r="X308" s="3">
        <f t="shared" si="190"/>
        <v>1.5028409090909096E-2</v>
      </c>
      <c r="Y308" s="3">
        <f t="shared" si="191"/>
        <v>3.9409090909090914E-2</v>
      </c>
      <c r="Z308" s="3">
        <f t="shared" si="205"/>
        <v>2.4380681818181819E-2</v>
      </c>
      <c r="AA308" s="3">
        <v>15.76</v>
      </c>
      <c r="AB308" s="3">
        <v>14.956</v>
      </c>
      <c r="AC308" s="3">
        <f t="shared" si="206"/>
        <v>-0.80400000000000027</v>
      </c>
      <c r="AD308" s="3">
        <f>-492.5873*627.50956</f>
        <v>-309103.23988458799</v>
      </c>
      <c r="AE308" s="3">
        <f>-495.480338*627.50956</f>
        <v>-310918.64888703125</v>
      </c>
      <c r="AF308" s="3">
        <f t="shared" si="207"/>
        <v>-1815.4090024432517</v>
      </c>
      <c r="AG308" s="3">
        <f>-492.629193*627.50956</f>
        <v>-309129.52814258507</v>
      </c>
      <c r="AH308" s="3">
        <f>-495.52295*627.50956</f>
        <v>-310945.38832440198</v>
      </c>
      <c r="AI308" s="3">
        <f t="shared" si="208"/>
        <v>-1815.8601818169118</v>
      </c>
      <c r="AJ308" s="3">
        <v>-0.65500000000000003</v>
      </c>
      <c r="AK308" s="3">
        <v>-0.66100000000000003</v>
      </c>
      <c r="AL308" s="3">
        <f t="shared" si="209"/>
        <v>-6.0000000000000053E-3</v>
      </c>
      <c r="AM308" s="3">
        <v>137.11279999999999</v>
      </c>
      <c r="AN308" s="3">
        <v>176.98759999999999</v>
      </c>
      <c r="AO308" s="3">
        <v>180.62700000000001</v>
      </c>
      <c r="AP308" s="3">
        <f t="shared" si="210"/>
        <v>1.1455402271602255</v>
      </c>
      <c r="AQ308" s="3">
        <v>10.186999999999999</v>
      </c>
      <c r="AR308" s="3">
        <v>2.331</v>
      </c>
      <c r="AS308" s="3">
        <v>-76.454999999999998</v>
      </c>
      <c r="AT308" s="3">
        <v>-76.055000000000007</v>
      </c>
      <c r="AU308" s="3">
        <f t="shared" si="164"/>
        <v>-0.39999999999999147</v>
      </c>
      <c r="AV308" s="3">
        <v>-0.30399999999999999</v>
      </c>
      <c r="AW308" s="3">
        <v>-0.505</v>
      </c>
      <c r="AX308" s="3">
        <f t="shared" si="165"/>
        <v>0.20100000000000001</v>
      </c>
      <c r="AY308" s="3">
        <v>0.04</v>
      </c>
      <c r="AZ308" s="3">
        <v>0.16400000000000001</v>
      </c>
      <c r="BA308" s="3">
        <f t="shared" si="166"/>
        <v>-0.124</v>
      </c>
      <c r="BB308" s="3">
        <f t="shared" si="217"/>
        <v>0.13200000000000001</v>
      </c>
      <c r="BC308" s="3">
        <f t="shared" si="217"/>
        <v>0.17049999999999998</v>
      </c>
      <c r="BD308" s="3">
        <f t="shared" si="168"/>
        <v>-3.8499999999999979E-2</v>
      </c>
      <c r="BE308" s="3">
        <f t="shared" si="218"/>
        <v>0.34399999999999997</v>
      </c>
      <c r="BF308" s="3">
        <f t="shared" si="218"/>
        <v>0.66900000000000004</v>
      </c>
      <c r="BG308" s="3">
        <f t="shared" si="170"/>
        <v>-0.32500000000000007</v>
      </c>
      <c r="BH308" s="3">
        <f t="shared" si="219"/>
        <v>-0.13200000000000001</v>
      </c>
      <c r="BI308" s="3">
        <f t="shared" si="219"/>
        <v>-0.17049999999999998</v>
      </c>
      <c r="BJ308" s="3">
        <f t="shared" si="195"/>
        <v>3.8499999999999979E-2</v>
      </c>
      <c r="BK308" s="3">
        <f t="shared" si="192"/>
        <v>2.5325581395348844E-2</v>
      </c>
      <c r="BL308" s="3">
        <f t="shared" si="193"/>
        <v>2.1726644245141997E-2</v>
      </c>
      <c r="BM308" s="3">
        <f t="shared" si="172"/>
        <v>3.5989371502068469E-3</v>
      </c>
      <c r="BN308" s="3">
        <v>2.3010000000000002</v>
      </c>
      <c r="BO308" s="3">
        <v>2.3559999999999999</v>
      </c>
      <c r="BP308" s="3">
        <f t="shared" si="173"/>
        <v>-5.4999999999999716E-2</v>
      </c>
      <c r="BQ308" s="3">
        <v>-47960.305999999997</v>
      </c>
      <c r="BR308" s="3">
        <v>-47708.290999999997</v>
      </c>
      <c r="BS308" s="3">
        <f t="shared" si="174"/>
        <v>-252.01499999999942</v>
      </c>
      <c r="BT308" s="3">
        <v>-47973.754999999997</v>
      </c>
      <c r="BU308" s="3">
        <v>-47721.697</v>
      </c>
      <c r="BV308" s="3">
        <f t="shared" si="175"/>
        <v>-252.05799999999726</v>
      </c>
    </row>
    <row r="309" spans="1:74" x14ac:dyDescent="0.25">
      <c r="A309" s="4" t="s">
        <v>459</v>
      </c>
      <c r="B309" t="s">
        <v>513</v>
      </c>
      <c r="C309" t="s">
        <v>440</v>
      </c>
      <c r="D309" s="3">
        <v>18.739999999999998</v>
      </c>
      <c r="E309" s="3">
        <v>0.68</v>
      </c>
      <c r="F309" s="3">
        <v>-621.48</v>
      </c>
      <c r="G309" s="3">
        <v>-625.03</v>
      </c>
      <c r="H309" s="3">
        <f t="shared" si="196"/>
        <v>-3.5499999999999545</v>
      </c>
      <c r="I309" s="3">
        <v>-0.34899999999999998</v>
      </c>
      <c r="J309" s="6">
        <v>-0.21199999999999999</v>
      </c>
      <c r="K309" s="3">
        <f t="shared" si="197"/>
        <v>0.13699999999999998</v>
      </c>
      <c r="L309" s="3">
        <v>5.6000000000000001E-2</v>
      </c>
      <c r="M309" s="6">
        <v>-9.4E-2</v>
      </c>
      <c r="N309" s="3">
        <f t="shared" si="198"/>
        <v>-0.15</v>
      </c>
      <c r="O309" s="3">
        <f t="shared" si="199"/>
        <v>0.14649999999999999</v>
      </c>
      <c r="P309" s="3">
        <f t="shared" si="200"/>
        <v>0.153</v>
      </c>
      <c r="Q309" s="3">
        <f t="shared" si="201"/>
        <v>6.5000000000000058E-3</v>
      </c>
      <c r="R309" s="3">
        <f t="shared" si="202"/>
        <v>0.40499999999999997</v>
      </c>
      <c r="S309" s="3">
        <f t="shared" si="202"/>
        <v>0.11799999999999999</v>
      </c>
      <c r="T309" s="3">
        <f t="shared" si="203"/>
        <v>-0.28699999999999998</v>
      </c>
      <c r="U309" s="3">
        <f t="shared" si="204"/>
        <v>-0.14649999999999999</v>
      </c>
      <c r="V309" s="3">
        <f t="shared" si="204"/>
        <v>-0.153</v>
      </c>
      <c r="W309" s="3">
        <f t="shared" si="194"/>
        <v>-6.5000000000000058E-3</v>
      </c>
      <c r="X309" s="3">
        <f t="shared" si="190"/>
        <v>2.6496604938271606E-2</v>
      </c>
      <c r="Y309" s="3">
        <f t="shared" si="191"/>
        <v>9.9190677966101704E-2</v>
      </c>
      <c r="Z309" s="3">
        <f t="shared" si="205"/>
        <v>7.2694073027830097E-2</v>
      </c>
      <c r="AA309" s="3">
        <v>10.871</v>
      </c>
      <c r="AB309" s="3">
        <v>10.273999999999999</v>
      </c>
      <c r="AC309" s="3">
        <f t="shared" si="206"/>
        <v>-0.59700000000000131</v>
      </c>
      <c r="AD309" s="3">
        <f>-621.357559*627.50956</f>
        <v>-389907.80845076405</v>
      </c>
      <c r="AE309" s="3">
        <f>-624.915287*627.50956</f>
        <v>-392140.31678264373</v>
      </c>
      <c r="AF309" s="3">
        <f t="shared" si="207"/>
        <v>-2232.5083318796824</v>
      </c>
      <c r="AG309" s="3">
        <f>-621.405381*627.50956</f>
        <v>-389937.81721294235</v>
      </c>
      <c r="AH309" s="3">
        <f>-624.96363*627.50956</f>
        <v>-392170.65247730276</v>
      </c>
      <c r="AI309" s="3">
        <f t="shared" si="208"/>
        <v>-2232.8352643604157</v>
      </c>
      <c r="AJ309" s="3">
        <v>-0.88900000000000001</v>
      </c>
      <c r="AK309" s="3">
        <v>-0.78900000000000003</v>
      </c>
      <c r="AL309" s="3">
        <f t="shared" si="209"/>
        <v>9.9999999999999978E-2</v>
      </c>
      <c r="AM309" s="3">
        <v>166.11089999999999</v>
      </c>
      <c r="AN309" s="3">
        <v>186.55699999999999</v>
      </c>
      <c r="AO309" s="3">
        <v>194.6799</v>
      </c>
      <c r="AP309" s="3">
        <f t="shared" si="210"/>
        <v>1.1486474603369927</v>
      </c>
      <c r="AQ309" s="3">
        <v>10.302</v>
      </c>
      <c r="AR309" s="3">
        <v>2.7170000000000001</v>
      </c>
      <c r="AS309" s="3">
        <v>-193.21899999999999</v>
      </c>
      <c r="AT309" s="3">
        <v>-192.02</v>
      </c>
      <c r="AU309" s="3">
        <f t="shared" si="164"/>
        <v>-1.1989999999999839</v>
      </c>
      <c r="AV309" s="3">
        <v>-0.25700000000000001</v>
      </c>
      <c r="AW309" s="3">
        <v>-0.41299999999999998</v>
      </c>
      <c r="AX309" s="3">
        <f t="shared" si="165"/>
        <v>0.15599999999999997</v>
      </c>
      <c r="AY309" s="3">
        <v>-2.1000000000000001E-2</v>
      </c>
      <c r="AZ309" s="3">
        <v>0.155</v>
      </c>
      <c r="BA309" s="3">
        <f t="shared" si="166"/>
        <v>-0.17599999999999999</v>
      </c>
      <c r="BB309" s="3">
        <f t="shared" si="217"/>
        <v>0.13900000000000001</v>
      </c>
      <c r="BC309" s="3">
        <f t="shared" si="217"/>
        <v>0.129</v>
      </c>
      <c r="BD309" s="3">
        <f t="shared" si="168"/>
        <v>1.0000000000000009E-2</v>
      </c>
      <c r="BE309" s="3">
        <f t="shared" si="218"/>
        <v>0.23600000000000002</v>
      </c>
      <c r="BF309" s="3">
        <f t="shared" si="218"/>
        <v>0.56799999999999995</v>
      </c>
      <c r="BG309" s="3">
        <f t="shared" si="170"/>
        <v>-0.33199999999999996</v>
      </c>
      <c r="BH309" s="3">
        <f t="shared" si="219"/>
        <v>-0.13900000000000001</v>
      </c>
      <c r="BI309" s="3">
        <f t="shared" si="219"/>
        <v>-0.129</v>
      </c>
      <c r="BJ309" s="3">
        <f t="shared" si="195"/>
        <v>-1.0000000000000009E-2</v>
      </c>
      <c r="BK309" s="3">
        <f t="shared" si="192"/>
        <v>4.093432203389831E-2</v>
      </c>
      <c r="BL309" s="3">
        <f t="shared" si="193"/>
        <v>1.4648767605633804E-2</v>
      </c>
      <c r="BM309" s="3">
        <f t="shared" si="172"/>
        <v>2.6285554428264506E-2</v>
      </c>
      <c r="BN309" s="3">
        <v>3.6030000000000002</v>
      </c>
      <c r="BO309" s="3">
        <v>3.919</v>
      </c>
      <c r="BP309" s="3">
        <f t="shared" si="173"/>
        <v>-0.31599999999999984</v>
      </c>
      <c r="BQ309" s="3">
        <v>-121191.08900000001</v>
      </c>
      <c r="BR309" s="3">
        <v>-120435.72900000001</v>
      </c>
      <c r="BS309" s="3">
        <f t="shared" si="174"/>
        <v>-755.36000000000058</v>
      </c>
      <c r="BT309" s="3">
        <v>-121211.421</v>
      </c>
      <c r="BU309" s="3">
        <v>-120455.894</v>
      </c>
      <c r="BV309" s="3">
        <f t="shared" si="175"/>
        <v>-755.52700000000186</v>
      </c>
    </row>
    <row r="310" spans="1:74" x14ac:dyDescent="0.25">
      <c r="A310" s="4" t="s">
        <v>476</v>
      </c>
      <c r="B310" t="s">
        <v>513</v>
      </c>
      <c r="C310" t="s">
        <v>200</v>
      </c>
      <c r="D310" s="3">
        <v>18.78</v>
      </c>
      <c r="E310" s="3">
        <v>0.56999999999999995</v>
      </c>
      <c r="F310" s="3">
        <v>-396.916</v>
      </c>
      <c r="G310" s="3">
        <v>-399.35399999999998</v>
      </c>
      <c r="H310" s="3">
        <f t="shared" si="196"/>
        <v>-2.4379999999999882</v>
      </c>
      <c r="I310" s="3">
        <v>-0.25600000000000001</v>
      </c>
      <c r="J310" s="6">
        <v>-0.17899999999999999</v>
      </c>
      <c r="K310" s="3">
        <f t="shared" si="197"/>
        <v>7.7000000000000013E-2</v>
      </c>
      <c r="L310" s="3">
        <v>0.14199999999999999</v>
      </c>
      <c r="M310" s="6">
        <v>-5.0000000000000001E-3</v>
      </c>
      <c r="N310" s="3">
        <f t="shared" si="198"/>
        <v>-0.14699999999999999</v>
      </c>
      <c r="O310" s="3">
        <f t="shared" si="199"/>
        <v>5.7000000000000009E-2</v>
      </c>
      <c r="P310" s="3">
        <f t="shared" si="200"/>
        <v>9.1999999999999998E-2</v>
      </c>
      <c r="Q310" s="3">
        <f t="shared" si="201"/>
        <v>3.4999999999999989E-2</v>
      </c>
      <c r="R310" s="3">
        <f t="shared" si="202"/>
        <v>0.39800000000000002</v>
      </c>
      <c r="S310" s="3">
        <f t="shared" si="202"/>
        <v>0.17399999999999999</v>
      </c>
      <c r="T310" s="3">
        <f t="shared" si="203"/>
        <v>-0.22400000000000003</v>
      </c>
      <c r="U310" s="3">
        <f t="shared" si="204"/>
        <v>-5.7000000000000009E-2</v>
      </c>
      <c r="V310" s="3">
        <f t="shared" si="204"/>
        <v>-9.1999999999999998E-2</v>
      </c>
      <c r="W310" s="3">
        <f t="shared" si="194"/>
        <v>-3.4999999999999989E-2</v>
      </c>
      <c r="X310" s="3">
        <f t="shared" si="190"/>
        <v>4.0816582914572873E-3</v>
      </c>
      <c r="Y310" s="3">
        <f t="shared" si="191"/>
        <v>2.4321839080459769E-2</v>
      </c>
      <c r="Z310" s="3">
        <f t="shared" si="205"/>
        <v>2.0240180789002481E-2</v>
      </c>
      <c r="AA310" s="3">
        <v>2.3719999999999999</v>
      </c>
      <c r="AB310" s="3">
        <v>1.5620000000000001</v>
      </c>
      <c r="AC310" s="3">
        <f t="shared" si="206"/>
        <v>-0.80999999999999983</v>
      </c>
      <c r="AD310" s="3">
        <f>-396.811919*627.50956</f>
        <v>-249003.27269444562</v>
      </c>
      <c r="AE310" s="3">
        <f>-399.255718*627.50956</f>
        <v>-250536.77992966407</v>
      </c>
      <c r="AF310" s="3">
        <f t="shared" si="207"/>
        <v>-1533.5072352184507</v>
      </c>
      <c r="AG310" s="3">
        <f>-396.850578*627.50956</f>
        <v>-249027.53158652567</v>
      </c>
      <c r="AH310" s="3">
        <f>-399.295137*627.50956</f>
        <v>-250561.51572900973</v>
      </c>
      <c r="AI310" s="3">
        <f t="shared" si="208"/>
        <v>-1533.9841424840561</v>
      </c>
      <c r="AJ310" s="3">
        <v>-0.875</v>
      </c>
      <c r="AK310" s="3">
        <v>-0.76800000000000002</v>
      </c>
      <c r="AL310" s="3">
        <f t="shared" si="209"/>
        <v>0.10699999999999998</v>
      </c>
      <c r="AM310" s="3">
        <v>118.1127</v>
      </c>
      <c r="AN310" s="3">
        <v>164.66200000000001</v>
      </c>
      <c r="AO310" s="3">
        <v>165.203</v>
      </c>
      <c r="AP310" s="3">
        <f t="shared" si="210"/>
        <v>1.1311079375648274</v>
      </c>
      <c r="AQ310" s="3">
        <v>9.7970000000000006</v>
      </c>
      <c r="AR310" s="3">
        <v>2.2355999999999998</v>
      </c>
      <c r="AS310" s="3">
        <v>-553.27200000000005</v>
      </c>
      <c r="AT310" s="3">
        <v>-551.61699999999996</v>
      </c>
      <c r="AU310" s="3">
        <f t="shared" si="164"/>
        <v>-1.6550000000000864</v>
      </c>
      <c r="AV310" s="3">
        <v>-0.23699999999999999</v>
      </c>
      <c r="AW310" s="3">
        <v>-0.36899999999999999</v>
      </c>
      <c r="AX310" s="3">
        <f t="shared" si="165"/>
        <v>0.13200000000000001</v>
      </c>
      <c r="AY310" s="3">
        <v>2.8000000000000001E-2</v>
      </c>
      <c r="AZ310" s="3">
        <v>0.154</v>
      </c>
      <c r="BA310" s="3">
        <f t="shared" si="166"/>
        <v>-0.126</v>
      </c>
      <c r="BB310" s="3">
        <f t="shared" si="217"/>
        <v>0.1045</v>
      </c>
      <c r="BC310" s="3">
        <f t="shared" si="217"/>
        <v>0.1075</v>
      </c>
      <c r="BD310" s="3">
        <f t="shared" si="168"/>
        <v>-3.0000000000000027E-3</v>
      </c>
      <c r="BE310" s="3">
        <f t="shared" si="218"/>
        <v>0.26500000000000001</v>
      </c>
      <c r="BF310" s="3">
        <f t="shared" si="218"/>
        <v>0.52300000000000002</v>
      </c>
      <c r="BG310" s="3">
        <f t="shared" si="170"/>
        <v>-0.25800000000000001</v>
      </c>
      <c r="BH310" s="3">
        <f t="shared" si="219"/>
        <v>-0.1045</v>
      </c>
      <c r="BI310" s="3">
        <f t="shared" si="219"/>
        <v>-0.1075</v>
      </c>
      <c r="BJ310" s="3">
        <f t="shared" si="195"/>
        <v>3.0000000000000027E-3</v>
      </c>
      <c r="BK310" s="3">
        <f t="shared" si="192"/>
        <v>2.0604245283018865E-2</v>
      </c>
      <c r="BL310" s="3">
        <f t="shared" si="193"/>
        <v>1.104804015296367E-2</v>
      </c>
      <c r="BM310" s="3">
        <f t="shared" si="172"/>
        <v>9.5562051300551957E-3</v>
      </c>
      <c r="BN310" s="3">
        <v>5.4870000000000001</v>
      </c>
      <c r="BO310" s="3">
        <v>6.0839999999999996</v>
      </c>
      <c r="BP310" s="3">
        <f t="shared" si="173"/>
        <v>-0.59699999999999953</v>
      </c>
      <c r="BQ310" s="3">
        <v>-347129.96399999998</v>
      </c>
      <c r="BR310" s="3">
        <v>-346087.64600000001</v>
      </c>
      <c r="BS310" s="3">
        <f t="shared" si="174"/>
        <v>-1042.3179999999702</v>
      </c>
      <c r="BT310" s="3">
        <v>-347152.04599999997</v>
      </c>
      <c r="BU310" s="3">
        <v>-346109.22600000002</v>
      </c>
      <c r="BV310" s="3">
        <f t="shared" si="175"/>
        <v>-1042.8199999999488</v>
      </c>
    </row>
    <row r="311" spans="1:74" x14ac:dyDescent="0.25">
      <c r="A311" s="4" t="s">
        <v>486</v>
      </c>
      <c r="B311" t="s">
        <v>513</v>
      </c>
      <c r="C311" t="s">
        <v>440</v>
      </c>
      <c r="D311" s="3">
        <v>18.8</v>
      </c>
      <c r="E311" s="3">
        <v>0.62</v>
      </c>
      <c r="F311" s="3">
        <v>-825.00599999999997</v>
      </c>
      <c r="G311" s="3">
        <v>-829.58799999999997</v>
      </c>
      <c r="H311" s="3">
        <f t="shared" si="196"/>
        <v>-4.5819999999999936</v>
      </c>
      <c r="I311" s="3">
        <v>-0.36799999999999999</v>
      </c>
      <c r="J311" s="6">
        <v>-0.22</v>
      </c>
      <c r="K311" s="3">
        <f t="shared" si="197"/>
        <v>0.14799999999999999</v>
      </c>
      <c r="L311" s="3">
        <v>4.3999999999999997E-2</v>
      </c>
      <c r="M311" s="6">
        <v>-0.105</v>
      </c>
      <c r="N311" s="3">
        <f t="shared" si="198"/>
        <v>-0.14899999999999999</v>
      </c>
      <c r="O311" s="3">
        <f t="shared" si="199"/>
        <v>0.16200000000000001</v>
      </c>
      <c r="P311" s="3">
        <f t="shared" si="200"/>
        <v>0.16250000000000001</v>
      </c>
      <c r="Q311" s="3">
        <f t="shared" si="201"/>
        <v>5.0000000000000044E-4</v>
      </c>
      <c r="R311" s="3">
        <f t="shared" si="202"/>
        <v>0.41199999999999998</v>
      </c>
      <c r="S311" s="3">
        <f t="shared" si="202"/>
        <v>0.115</v>
      </c>
      <c r="T311" s="3">
        <f t="shared" si="203"/>
        <v>-0.29699999999999999</v>
      </c>
      <c r="U311" s="3">
        <f t="shared" si="204"/>
        <v>-0.16200000000000001</v>
      </c>
      <c r="V311" s="3">
        <f t="shared" si="204"/>
        <v>-0.16250000000000001</v>
      </c>
      <c r="W311" s="3">
        <f t="shared" si="194"/>
        <v>-5.0000000000000044E-4</v>
      </c>
      <c r="X311" s="3">
        <f t="shared" si="190"/>
        <v>3.18495145631068E-2</v>
      </c>
      <c r="Y311" s="3">
        <f t="shared" si="191"/>
        <v>0.11480978260869566</v>
      </c>
      <c r="Z311" s="3">
        <f t="shared" si="205"/>
        <v>8.296026804558887E-2</v>
      </c>
      <c r="AA311" s="3">
        <v>10.914999999999999</v>
      </c>
      <c r="AB311" s="3">
        <v>10.444000000000001</v>
      </c>
      <c r="AC311" s="3">
        <f t="shared" si="206"/>
        <v>-0.47099999999999831</v>
      </c>
      <c r="AD311" s="3">
        <f>-824.876953*627.50956</f>
        <v>-517618.1738311706</v>
      </c>
      <c r="AE311" s="3">
        <f>-829.468328*627.50956</f>
        <v>-520499.30553721567</v>
      </c>
      <c r="AF311" s="3">
        <f t="shared" si="207"/>
        <v>-2881.1317060450674</v>
      </c>
      <c r="AG311" s="3">
        <f>-824.930332*627.50956</f>
        <v>-517651.66966397391</v>
      </c>
      <c r="AH311" s="3">
        <f>-829.522905*627.50956</f>
        <v>-520533.55312647182</v>
      </c>
      <c r="AI311" s="3">
        <f t="shared" si="208"/>
        <v>-2881.8834624979063</v>
      </c>
      <c r="AJ311" s="3">
        <v>-0.88400000000000001</v>
      </c>
      <c r="AK311" s="3">
        <v>-0.78100000000000003</v>
      </c>
      <c r="AL311" s="3">
        <f t="shared" si="209"/>
        <v>0.10299999999999998</v>
      </c>
      <c r="AM311" s="3">
        <v>211.10849999999999</v>
      </c>
      <c r="AN311" s="3">
        <v>208.82089999999999</v>
      </c>
      <c r="AO311" s="3">
        <v>221.43350000000001</v>
      </c>
      <c r="AP311" s="3">
        <f t="shared" si="210"/>
        <v>1.1799611193241146</v>
      </c>
      <c r="AQ311" s="3">
        <v>10.135999999999999</v>
      </c>
      <c r="AR311" s="3">
        <v>2.8738999999999999</v>
      </c>
      <c r="AS311" s="3">
        <v>-193.21899999999999</v>
      </c>
      <c r="AT311" s="3">
        <v>-192.02</v>
      </c>
      <c r="AU311" s="3">
        <f t="shared" si="164"/>
        <v>-1.1989999999999839</v>
      </c>
      <c r="AV311" s="3">
        <v>-0.25700000000000001</v>
      </c>
      <c r="AW311" s="3">
        <v>-0.41299999999999998</v>
      </c>
      <c r="AX311" s="3">
        <f t="shared" si="165"/>
        <v>0.15599999999999997</v>
      </c>
      <c r="AY311" s="3">
        <v>-2.1000000000000001E-2</v>
      </c>
      <c r="AZ311" s="3">
        <v>0.155</v>
      </c>
      <c r="BA311" s="3">
        <f t="shared" si="166"/>
        <v>-0.17599999999999999</v>
      </c>
      <c r="BB311" s="3">
        <f t="shared" si="217"/>
        <v>0.13900000000000001</v>
      </c>
      <c r="BC311" s="3">
        <f t="shared" si="217"/>
        <v>0.129</v>
      </c>
      <c r="BD311" s="3">
        <f t="shared" si="168"/>
        <v>1.0000000000000009E-2</v>
      </c>
      <c r="BE311" s="3">
        <f t="shared" si="218"/>
        <v>0.23600000000000002</v>
      </c>
      <c r="BF311" s="3">
        <f t="shared" si="218"/>
        <v>0.56799999999999995</v>
      </c>
      <c r="BG311" s="3">
        <f t="shared" si="170"/>
        <v>-0.33199999999999996</v>
      </c>
      <c r="BH311" s="3">
        <f t="shared" si="219"/>
        <v>-0.13900000000000001</v>
      </c>
      <c r="BI311" s="3">
        <f t="shared" si="219"/>
        <v>-0.129</v>
      </c>
      <c r="BJ311" s="3">
        <f t="shared" si="195"/>
        <v>-1.0000000000000009E-2</v>
      </c>
      <c r="BK311" s="3">
        <f t="shared" si="192"/>
        <v>4.093432203389831E-2</v>
      </c>
      <c r="BL311" s="3">
        <f t="shared" si="193"/>
        <v>1.4648767605633804E-2</v>
      </c>
      <c r="BM311" s="3">
        <f t="shared" si="172"/>
        <v>2.6285554428264506E-2</v>
      </c>
      <c r="BN311" s="3">
        <v>3.6030000000000002</v>
      </c>
      <c r="BO311" s="3">
        <v>3.919</v>
      </c>
      <c r="BP311" s="3">
        <f t="shared" si="173"/>
        <v>-0.31599999999999984</v>
      </c>
      <c r="BQ311" s="3">
        <v>-121191.08900000001</v>
      </c>
      <c r="BR311" s="3">
        <v>-120435.72900000001</v>
      </c>
      <c r="BS311" s="3">
        <f t="shared" si="174"/>
        <v>-755.36000000000058</v>
      </c>
      <c r="BT311" s="3">
        <v>-121211.421</v>
      </c>
      <c r="BU311" s="3">
        <v>-120455.894</v>
      </c>
      <c r="BV311" s="3">
        <f t="shared" si="175"/>
        <v>-755.52700000000186</v>
      </c>
    </row>
    <row r="312" spans="1:74" x14ac:dyDescent="0.25">
      <c r="A312" s="4" t="s">
        <v>487</v>
      </c>
      <c r="B312" t="s">
        <v>513</v>
      </c>
      <c r="C312" t="s">
        <v>99</v>
      </c>
      <c r="D312" s="3">
        <v>18.809999999999999</v>
      </c>
      <c r="E312" s="3">
        <v>0.8</v>
      </c>
      <c r="F312" s="3">
        <v>-419.053</v>
      </c>
      <c r="G312" s="3">
        <v>-421.62099999999998</v>
      </c>
      <c r="H312" s="3">
        <f t="shared" si="196"/>
        <v>-2.5679999999999836</v>
      </c>
      <c r="I312" s="3">
        <v>-0.24299999999999999</v>
      </c>
      <c r="J312" s="6">
        <v>-0.158</v>
      </c>
      <c r="K312" s="3">
        <f t="shared" si="197"/>
        <v>8.4999999999999992E-2</v>
      </c>
      <c r="L312" s="3">
        <v>0.16700000000000001</v>
      </c>
      <c r="M312" s="6">
        <v>2.5999999999999999E-2</v>
      </c>
      <c r="N312" s="3">
        <f t="shared" si="198"/>
        <v>-0.14100000000000001</v>
      </c>
      <c r="O312" s="3">
        <f t="shared" si="199"/>
        <v>3.7999999999999992E-2</v>
      </c>
      <c r="P312" s="3">
        <f t="shared" si="200"/>
        <v>6.6000000000000003E-2</v>
      </c>
      <c r="Q312" s="3">
        <f t="shared" si="201"/>
        <v>2.8000000000000011E-2</v>
      </c>
      <c r="R312" s="3">
        <f t="shared" si="202"/>
        <v>0.41000000000000003</v>
      </c>
      <c r="S312" s="3">
        <f t="shared" si="202"/>
        <v>0.184</v>
      </c>
      <c r="T312" s="3">
        <f t="shared" si="203"/>
        <v>-0.22600000000000003</v>
      </c>
      <c r="U312" s="3">
        <f t="shared" si="204"/>
        <v>-3.7999999999999992E-2</v>
      </c>
      <c r="V312" s="3">
        <f t="shared" si="204"/>
        <v>-6.6000000000000003E-2</v>
      </c>
      <c r="W312" s="3">
        <f t="shared" si="194"/>
        <v>-2.8000000000000011E-2</v>
      </c>
      <c r="X312" s="3">
        <f t="shared" si="190"/>
        <v>1.7609756097560967E-3</v>
      </c>
      <c r="Y312" s="3">
        <f t="shared" si="191"/>
        <v>1.1836956521739132E-2</v>
      </c>
      <c r="Z312" s="3">
        <f t="shared" si="205"/>
        <v>1.0075980911983036E-2</v>
      </c>
      <c r="AA312" s="3">
        <v>11.43</v>
      </c>
      <c r="AB312" s="3">
        <v>10.632</v>
      </c>
      <c r="AC312" s="3">
        <f t="shared" si="206"/>
        <v>-0.79800000000000004</v>
      </c>
      <c r="AD312" s="3">
        <f>-418.91282*627.50956</f>
        <v>-262871.79935655918</v>
      </c>
      <c r="AE312" s="3">
        <f>-421.489191*627.50956</f>
        <v>-264488.49678916595</v>
      </c>
      <c r="AF312" s="3">
        <f t="shared" si="207"/>
        <v>-1616.6974326067721</v>
      </c>
      <c r="AG312" s="3">
        <f>-418.953147*627.50956</f>
        <v>-262897.10493458528</v>
      </c>
      <c r="AH312" s="3">
        <f>-421.530424*627.50956</f>
        <v>-264514.3708908534</v>
      </c>
      <c r="AI312" s="3">
        <f t="shared" si="208"/>
        <v>-1617.265956268122</v>
      </c>
      <c r="AJ312" s="3">
        <v>-0.93</v>
      </c>
      <c r="AK312" s="3">
        <v>-0.82699999999999996</v>
      </c>
      <c r="AL312" s="3">
        <f t="shared" si="209"/>
        <v>0.10300000000000009</v>
      </c>
      <c r="AM312" s="3">
        <v>123.129</v>
      </c>
      <c r="AN312" s="3">
        <v>176.44460000000001</v>
      </c>
      <c r="AO312" s="3">
        <v>181.721</v>
      </c>
      <c r="AP312" s="3">
        <f t="shared" si="210"/>
        <v>1.1374375896075657</v>
      </c>
      <c r="AQ312" s="3">
        <v>9.5090000000000003</v>
      </c>
      <c r="AR312" s="3">
        <v>2.1698</v>
      </c>
      <c r="AS312" s="3">
        <v>-132.80099999999999</v>
      </c>
      <c r="AT312" s="3">
        <v>-131.97</v>
      </c>
      <c r="AU312" s="3">
        <f t="shared" si="164"/>
        <v>-0.83099999999998886</v>
      </c>
      <c r="AV312" s="3">
        <v>-0.34100000000000003</v>
      </c>
      <c r="AW312" s="3">
        <v>-0.47499999999999998</v>
      </c>
      <c r="AX312" s="3">
        <f t="shared" si="165"/>
        <v>0.13399999999999995</v>
      </c>
      <c r="AY312" s="3">
        <v>2.9000000000000001E-2</v>
      </c>
      <c r="AZ312" s="3">
        <v>0.156</v>
      </c>
      <c r="BA312" s="3">
        <f t="shared" si="166"/>
        <v>-0.127</v>
      </c>
      <c r="BB312" s="3">
        <f t="shared" si="217"/>
        <v>0.156</v>
      </c>
      <c r="BC312" s="3">
        <f t="shared" si="217"/>
        <v>0.15949999999999998</v>
      </c>
      <c r="BD312" s="3">
        <f t="shared" si="168"/>
        <v>-3.4999999999999754E-3</v>
      </c>
      <c r="BE312" s="3">
        <f t="shared" si="218"/>
        <v>0.37000000000000005</v>
      </c>
      <c r="BF312" s="3">
        <f t="shared" si="218"/>
        <v>0.63100000000000001</v>
      </c>
      <c r="BG312" s="3">
        <f t="shared" si="170"/>
        <v>-0.26099999999999995</v>
      </c>
      <c r="BH312" s="3">
        <f t="shared" si="219"/>
        <v>-0.156</v>
      </c>
      <c r="BI312" s="3">
        <f t="shared" si="219"/>
        <v>-0.15949999999999998</v>
      </c>
      <c r="BJ312" s="3">
        <f t="shared" si="195"/>
        <v>3.4999999999999754E-3</v>
      </c>
      <c r="BK312" s="3">
        <f t="shared" si="192"/>
        <v>3.2886486486486483E-2</v>
      </c>
      <c r="BL312" s="3">
        <f t="shared" si="193"/>
        <v>2.0158676703645E-2</v>
      </c>
      <c r="BM312" s="3">
        <f t="shared" si="172"/>
        <v>1.2727809782841482E-2</v>
      </c>
      <c r="BN312" s="3">
        <v>4.7279999999999998</v>
      </c>
      <c r="BO312" s="3">
        <v>4.9340000000000002</v>
      </c>
      <c r="BP312" s="3">
        <f t="shared" si="173"/>
        <v>-0.20600000000000041</v>
      </c>
      <c r="BQ312" s="3">
        <v>-83302.89</v>
      </c>
      <c r="BR312" s="3">
        <v>-82779.224000000002</v>
      </c>
      <c r="BS312" s="3">
        <f t="shared" si="174"/>
        <v>-523.66599999999744</v>
      </c>
      <c r="BT312" s="3">
        <v>-83320.774999999994</v>
      </c>
      <c r="BU312" s="3">
        <v>-82796.997000000003</v>
      </c>
      <c r="BV312" s="3">
        <f t="shared" si="175"/>
        <v>-523.77799999999115</v>
      </c>
    </row>
    <row r="313" spans="1:74" x14ac:dyDescent="0.25">
      <c r="A313" s="4" t="s">
        <v>488</v>
      </c>
      <c r="B313" t="s">
        <v>513</v>
      </c>
      <c r="C313" t="s">
        <v>360</v>
      </c>
      <c r="D313" s="3">
        <v>18.86</v>
      </c>
      <c r="E313" s="3">
        <v>0.89</v>
      </c>
      <c r="F313" s="3">
        <v>-305.13900000000001</v>
      </c>
      <c r="G313" s="3">
        <v>-307.06599999999997</v>
      </c>
      <c r="H313" s="3">
        <f t="shared" si="196"/>
        <v>-1.9269999999999641</v>
      </c>
      <c r="I313" s="3">
        <v>-0.23899999999999999</v>
      </c>
      <c r="J313" s="6">
        <v>-0.156</v>
      </c>
      <c r="K313" s="3">
        <f t="shared" si="197"/>
        <v>8.299999999999999E-2</v>
      </c>
      <c r="L313" s="3">
        <v>0.161</v>
      </c>
      <c r="M313" s="6">
        <v>2.1000000000000001E-2</v>
      </c>
      <c r="N313" s="3">
        <f t="shared" si="198"/>
        <v>-0.14000000000000001</v>
      </c>
      <c r="O313" s="3">
        <f t="shared" si="199"/>
        <v>3.8999999999999993E-2</v>
      </c>
      <c r="P313" s="3">
        <f t="shared" si="200"/>
        <v>6.7500000000000004E-2</v>
      </c>
      <c r="Q313" s="3">
        <f t="shared" si="201"/>
        <v>2.8500000000000011E-2</v>
      </c>
      <c r="R313" s="3">
        <f t="shared" si="202"/>
        <v>0.4</v>
      </c>
      <c r="S313" s="3">
        <f t="shared" si="202"/>
        <v>0.17699999999999999</v>
      </c>
      <c r="T313" s="3">
        <f t="shared" si="203"/>
        <v>-0.22300000000000003</v>
      </c>
      <c r="U313" s="3">
        <f t="shared" si="204"/>
        <v>-3.8999999999999993E-2</v>
      </c>
      <c r="V313" s="3">
        <f t="shared" si="204"/>
        <v>-6.7500000000000004E-2</v>
      </c>
      <c r="W313" s="3">
        <f t="shared" si="194"/>
        <v>-2.8500000000000011E-2</v>
      </c>
      <c r="X313" s="3">
        <f t="shared" si="190"/>
        <v>1.9012499999999991E-3</v>
      </c>
      <c r="Y313" s="3">
        <f t="shared" si="191"/>
        <v>1.2870762711864409E-2</v>
      </c>
      <c r="Z313" s="3">
        <f t="shared" si="205"/>
        <v>1.096951271186441E-2</v>
      </c>
      <c r="AA313" s="3">
        <v>6.7519999999999998</v>
      </c>
      <c r="AB313" s="3">
        <v>5.9119999999999999</v>
      </c>
      <c r="AC313" s="3">
        <f t="shared" si="206"/>
        <v>-0.83999999999999986</v>
      </c>
      <c r="AD313" s="3">
        <f>-305.036053*627.50956</f>
        <v>-191413.03940216664</v>
      </c>
      <c r="AE313" s="3">
        <f>-306.968706*627.50956</f>
        <v>-192625.79763582934</v>
      </c>
      <c r="AF313" s="3">
        <f t="shared" si="207"/>
        <v>-1212.7582336626947</v>
      </c>
      <c r="AG313" s="3">
        <f>-305.070417*627.50956</f>
        <v>-191434.60314068652</v>
      </c>
      <c r="AH313" s="3">
        <f>-307.003669*627.50956</f>
        <v>-192647.73725257564</v>
      </c>
      <c r="AI313" s="3">
        <f t="shared" si="208"/>
        <v>-1213.1341118891141</v>
      </c>
      <c r="AJ313" s="3">
        <v>-0.93600000000000005</v>
      </c>
      <c r="AK313" s="3">
        <v>-0.82899999999999996</v>
      </c>
      <c r="AL313" s="3">
        <f t="shared" si="209"/>
        <v>0.1070000000000001</v>
      </c>
      <c r="AM313" s="3">
        <v>93.102999999999994</v>
      </c>
      <c r="AN313" s="3">
        <v>144.494</v>
      </c>
      <c r="AO313" s="3">
        <v>142.93260000000001</v>
      </c>
      <c r="AP313" s="3">
        <f t="shared" si="210"/>
        <v>1.0931629440810902</v>
      </c>
      <c r="AQ313" s="3">
        <v>7.9779999999999998</v>
      </c>
      <c r="AR313" s="3">
        <v>1.724</v>
      </c>
      <c r="AS313" s="3">
        <v>-248.59200000000001</v>
      </c>
      <c r="AT313" s="3">
        <v>-247.066</v>
      </c>
      <c r="AU313" s="3">
        <f t="shared" si="164"/>
        <v>-1.5260000000000105</v>
      </c>
      <c r="AV313" s="3">
        <v>-0.25</v>
      </c>
      <c r="AW313" s="3">
        <v>-0.375</v>
      </c>
      <c r="AX313" s="3">
        <f t="shared" si="165"/>
        <v>0.125</v>
      </c>
      <c r="AY313" s="3">
        <v>1.7999999999999999E-2</v>
      </c>
      <c r="AZ313" s="3">
        <v>0.157</v>
      </c>
      <c r="BA313" s="3">
        <f t="shared" si="166"/>
        <v>-0.13900000000000001</v>
      </c>
      <c r="BB313" s="3">
        <f t="shared" si="217"/>
        <v>0.11600000000000001</v>
      </c>
      <c r="BC313" s="3">
        <f t="shared" si="217"/>
        <v>0.109</v>
      </c>
      <c r="BD313" s="3">
        <f t="shared" si="168"/>
        <v>7.0000000000000062E-3</v>
      </c>
      <c r="BE313" s="3">
        <f t="shared" si="218"/>
        <v>0.26800000000000002</v>
      </c>
      <c r="BF313" s="3">
        <f t="shared" si="218"/>
        <v>0.53200000000000003</v>
      </c>
      <c r="BG313" s="3">
        <f t="shared" si="170"/>
        <v>-0.26400000000000001</v>
      </c>
      <c r="BH313" s="3">
        <f t="shared" si="219"/>
        <v>-0.11600000000000001</v>
      </c>
      <c r="BI313" s="3">
        <f t="shared" si="219"/>
        <v>-0.109</v>
      </c>
      <c r="BJ313" s="3">
        <f t="shared" si="195"/>
        <v>-7.0000000000000062E-3</v>
      </c>
      <c r="BK313" s="3">
        <f t="shared" si="192"/>
        <v>2.5104477611940297E-2</v>
      </c>
      <c r="BL313" s="3">
        <f t="shared" si="193"/>
        <v>1.1166353383458645E-2</v>
      </c>
      <c r="BM313" s="3">
        <f t="shared" si="172"/>
        <v>1.3938124228481652E-2</v>
      </c>
      <c r="BN313" s="3">
        <v>5.09</v>
      </c>
      <c r="BO313" s="3">
        <v>5.2910000000000004</v>
      </c>
      <c r="BP313" s="3">
        <f t="shared" si="173"/>
        <v>-0.20100000000000051</v>
      </c>
      <c r="BQ313" s="3">
        <v>-155925.34599999999</v>
      </c>
      <c r="BR313" s="3">
        <v>-154963.22899999999</v>
      </c>
      <c r="BS313" s="3">
        <f t="shared" si="174"/>
        <v>-962.11699999999837</v>
      </c>
      <c r="BT313" s="3">
        <v>-155948.003</v>
      </c>
      <c r="BU313" s="3">
        <v>-154985.997</v>
      </c>
      <c r="BV313" s="3">
        <f t="shared" si="175"/>
        <v>-962.00599999999395</v>
      </c>
    </row>
    <row r="314" spans="1:74" x14ac:dyDescent="0.25">
      <c r="A314" s="4" t="s">
        <v>489</v>
      </c>
      <c r="B314" t="s">
        <v>513</v>
      </c>
      <c r="C314" t="s">
        <v>200</v>
      </c>
      <c r="D314" s="3">
        <v>18.98</v>
      </c>
      <c r="E314" s="3">
        <v>0.63</v>
      </c>
      <c r="F314" s="3">
        <v>-640.86199999999997</v>
      </c>
      <c r="G314" s="3">
        <v>-644.21799999999996</v>
      </c>
      <c r="H314" s="3">
        <f t="shared" si="196"/>
        <v>-3.3559999999999945</v>
      </c>
      <c r="I314" s="3">
        <v>-0.255</v>
      </c>
      <c r="J314" s="6">
        <v>-0.17399999999999999</v>
      </c>
      <c r="K314" s="3">
        <f t="shared" si="197"/>
        <v>8.1000000000000016E-2</v>
      </c>
      <c r="L314" s="3">
        <v>0.152</v>
      </c>
      <c r="M314" s="6">
        <v>8.9999999999999993E-3</v>
      </c>
      <c r="N314" s="3">
        <f t="shared" si="198"/>
        <v>-0.14299999999999999</v>
      </c>
      <c r="O314" s="3">
        <f t="shared" si="199"/>
        <v>5.1500000000000004E-2</v>
      </c>
      <c r="P314" s="3">
        <f t="shared" si="200"/>
        <v>8.249999999999999E-2</v>
      </c>
      <c r="Q314" s="3">
        <f t="shared" si="201"/>
        <v>3.0999999999999986E-2</v>
      </c>
      <c r="R314" s="3">
        <f t="shared" si="202"/>
        <v>0.40700000000000003</v>
      </c>
      <c r="S314" s="3">
        <f t="shared" si="202"/>
        <v>0.183</v>
      </c>
      <c r="T314" s="3">
        <f t="shared" si="203"/>
        <v>-0.22400000000000003</v>
      </c>
      <c r="U314" s="3">
        <f t="shared" si="204"/>
        <v>-5.1500000000000004E-2</v>
      </c>
      <c r="V314" s="3">
        <f t="shared" si="204"/>
        <v>-8.249999999999999E-2</v>
      </c>
      <c r="W314" s="3">
        <f t="shared" si="194"/>
        <v>-3.0999999999999986E-2</v>
      </c>
      <c r="X314" s="3">
        <f t="shared" si="190"/>
        <v>3.2582923832923838E-3</v>
      </c>
      <c r="Y314" s="3">
        <f t="shared" si="191"/>
        <v>1.859631147540983E-2</v>
      </c>
      <c r="Z314" s="3">
        <f t="shared" si="205"/>
        <v>1.5338019092117447E-2</v>
      </c>
      <c r="AA314" s="3">
        <v>9.2110000000000003</v>
      </c>
      <c r="AB314" s="3">
        <v>8.2799999999999994</v>
      </c>
      <c r="AC314" s="3">
        <f t="shared" si="206"/>
        <v>-0.93100000000000094</v>
      </c>
      <c r="AD314" s="3">
        <f>-640.750898*627.50956</f>
        <v>-402077.31407358486</v>
      </c>
      <c r="AE314" s="3">
        <f>-644.112668*627.50956</f>
        <v>-404186.85688710603</v>
      </c>
      <c r="AF314" s="3">
        <f t="shared" si="207"/>
        <v>-2109.5428135211696</v>
      </c>
      <c r="AG314" s="3">
        <f>-640.791982*627.50956</f>
        <v>-402103.09467634786</v>
      </c>
      <c r="AH314" s="3">
        <f>-644.159699*627.50956</f>
        <v>-404216.36928922246</v>
      </c>
      <c r="AI314" s="3">
        <f t="shared" si="208"/>
        <v>-2113.2746128746076</v>
      </c>
      <c r="AJ314" s="3">
        <v>-0.90100000000000002</v>
      </c>
      <c r="AK314" s="3">
        <v>-0.79200000000000004</v>
      </c>
      <c r="AL314" s="3">
        <f t="shared" si="209"/>
        <v>0.10899999999999999</v>
      </c>
      <c r="AM314" s="3">
        <v>161.101</v>
      </c>
      <c r="AN314" s="3">
        <v>174.44550000000001</v>
      </c>
      <c r="AO314" s="3">
        <v>178.72479999999999</v>
      </c>
      <c r="AP314" s="3">
        <f t="shared" si="210"/>
        <v>1.137083893956196</v>
      </c>
      <c r="AQ314" s="3">
        <v>9.3030000000000008</v>
      </c>
      <c r="AR314" s="3">
        <v>2.41</v>
      </c>
      <c r="AS314" s="3">
        <v>-553.27200000000005</v>
      </c>
      <c r="AT314" s="3">
        <v>-551.61699999999996</v>
      </c>
      <c r="AU314" s="3">
        <f t="shared" si="164"/>
        <v>-1.6550000000000864</v>
      </c>
      <c r="AV314" s="3">
        <v>-0.23699999999999999</v>
      </c>
      <c r="AW314" s="3">
        <v>-0.36899999999999999</v>
      </c>
      <c r="AX314" s="3">
        <f t="shared" si="165"/>
        <v>0.13200000000000001</v>
      </c>
      <c r="AY314" s="3">
        <v>2.8000000000000001E-2</v>
      </c>
      <c r="AZ314" s="3">
        <v>0.154</v>
      </c>
      <c r="BA314" s="3">
        <f t="shared" si="166"/>
        <v>-0.126</v>
      </c>
      <c r="BB314" s="3">
        <f t="shared" si="217"/>
        <v>0.1045</v>
      </c>
      <c r="BC314" s="3">
        <f t="shared" si="217"/>
        <v>0.1075</v>
      </c>
      <c r="BD314" s="3">
        <f t="shared" si="168"/>
        <v>-3.0000000000000027E-3</v>
      </c>
      <c r="BE314" s="3">
        <f t="shared" si="218"/>
        <v>0.26500000000000001</v>
      </c>
      <c r="BF314" s="3">
        <f t="shared" si="218"/>
        <v>0.52300000000000002</v>
      </c>
      <c r="BG314" s="3">
        <f t="shared" si="170"/>
        <v>-0.25800000000000001</v>
      </c>
      <c r="BH314" s="3">
        <f t="shared" si="219"/>
        <v>-0.1045</v>
      </c>
      <c r="BI314" s="3">
        <f t="shared" si="219"/>
        <v>-0.1075</v>
      </c>
      <c r="BJ314" s="3">
        <f t="shared" si="195"/>
        <v>3.0000000000000027E-3</v>
      </c>
      <c r="BK314" s="3">
        <f t="shared" si="192"/>
        <v>2.0604245283018865E-2</v>
      </c>
      <c r="BL314" s="3">
        <f t="shared" si="193"/>
        <v>1.104804015296367E-2</v>
      </c>
      <c r="BM314" s="3">
        <f t="shared" si="172"/>
        <v>9.5562051300551957E-3</v>
      </c>
      <c r="BN314" s="3">
        <v>5.4870000000000001</v>
      </c>
      <c r="BO314" s="3">
        <v>6.0839999999999996</v>
      </c>
      <c r="BP314" s="3">
        <f t="shared" si="173"/>
        <v>-0.59699999999999953</v>
      </c>
      <c r="BQ314" s="3">
        <v>-347129.96399999998</v>
      </c>
      <c r="BR314" s="3">
        <v>-346087.64600000001</v>
      </c>
      <c r="BS314" s="3">
        <f t="shared" si="174"/>
        <v>-1042.3179999999702</v>
      </c>
      <c r="BT314" s="3">
        <v>-347152.04599999997</v>
      </c>
      <c r="BU314" s="3">
        <v>-346109.22600000002</v>
      </c>
      <c r="BV314" s="3">
        <f t="shared" si="175"/>
        <v>-1042.8199999999488</v>
      </c>
    </row>
    <row r="315" spans="1:74" x14ac:dyDescent="0.25">
      <c r="A315" s="4" t="s">
        <v>490</v>
      </c>
      <c r="B315" t="s">
        <v>513</v>
      </c>
      <c r="C315" t="s">
        <v>200</v>
      </c>
      <c r="D315" s="3">
        <v>19.079999999999998</v>
      </c>
      <c r="E315" s="3">
        <v>0.87</v>
      </c>
      <c r="F315" s="3">
        <v>-344.18200000000002</v>
      </c>
      <c r="G315" s="3">
        <v>-346.39100000000002</v>
      </c>
      <c r="H315" s="3">
        <f t="shared" si="196"/>
        <v>-2.2090000000000032</v>
      </c>
      <c r="I315" s="3">
        <v>-0.23200000000000001</v>
      </c>
      <c r="J315" s="6">
        <v>-0.152</v>
      </c>
      <c r="K315" s="3">
        <f t="shared" si="197"/>
        <v>8.0000000000000016E-2</v>
      </c>
      <c r="L315" s="3">
        <v>0.157</v>
      </c>
      <c r="M315" s="6">
        <v>0.02</v>
      </c>
      <c r="N315" s="3">
        <f t="shared" si="198"/>
        <v>-0.13700000000000001</v>
      </c>
      <c r="O315" s="3">
        <f t="shared" si="199"/>
        <v>3.7500000000000006E-2</v>
      </c>
      <c r="P315" s="3">
        <f t="shared" si="200"/>
        <v>6.6000000000000003E-2</v>
      </c>
      <c r="Q315" s="3">
        <f t="shared" si="201"/>
        <v>2.8499999999999998E-2</v>
      </c>
      <c r="R315" s="3">
        <f t="shared" si="202"/>
        <v>0.38900000000000001</v>
      </c>
      <c r="S315" s="3">
        <f t="shared" si="202"/>
        <v>0.17199999999999999</v>
      </c>
      <c r="T315" s="3">
        <f t="shared" si="203"/>
        <v>-0.21700000000000003</v>
      </c>
      <c r="U315" s="3">
        <f t="shared" si="204"/>
        <v>-3.7500000000000006E-2</v>
      </c>
      <c r="V315" s="3">
        <f t="shared" si="204"/>
        <v>-6.6000000000000003E-2</v>
      </c>
      <c r="W315" s="3">
        <f t="shared" si="194"/>
        <v>-2.8499999999999998E-2</v>
      </c>
      <c r="X315" s="3">
        <f t="shared" si="190"/>
        <v>1.807519280205656E-3</v>
      </c>
      <c r="Y315" s="3">
        <f t="shared" si="191"/>
        <v>1.2662790697674422E-2</v>
      </c>
      <c r="Z315" s="3">
        <f t="shared" si="205"/>
        <v>1.0855271417468766E-2</v>
      </c>
      <c r="AA315" s="3">
        <v>9.5269999999999992</v>
      </c>
      <c r="AB315" s="3">
        <v>8.5830000000000002</v>
      </c>
      <c r="AC315" s="3">
        <f t="shared" si="206"/>
        <v>-0.94399999999999906</v>
      </c>
      <c r="AD315" s="3">
        <f>-344.048422*627.50956</f>
        <v>-215893.67390791432</v>
      </c>
      <c r="AE315" s="3">
        <f>-346.264951*627.50956</f>
        <v>-217284.56704543156</v>
      </c>
      <c r="AF315" s="3">
        <f t="shared" si="207"/>
        <v>-1390.8931375172397</v>
      </c>
      <c r="AG315" s="3">
        <f>-344.08837*627.50956</f>
        <v>-215918.7416598172</v>
      </c>
      <c r="AH315" s="3">
        <f>-346.30535*627.50956</f>
        <v>-217309.91780414598</v>
      </c>
      <c r="AI315" s="3">
        <f t="shared" si="208"/>
        <v>-1391.1761443287833</v>
      </c>
      <c r="AJ315" s="3">
        <v>-0.94599999999999995</v>
      </c>
      <c r="AK315" s="3">
        <v>-0.83699999999999997</v>
      </c>
      <c r="AL315" s="3">
        <f t="shared" si="209"/>
        <v>0.10899999999999999</v>
      </c>
      <c r="AM315" s="3">
        <v>107.1298</v>
      </c>
      <c r="AN315" s="3">
        <v>167.035</v>
      </c>
      <c r="AO315" s="3">
        <v>171.07490000000001</v>
      </c>
      <c r="AP315" s="3">
        <f t="shared" si="210"/>
        <v>1.1210007468265228</v>
      </c>
      <c r="AQ315" s="3">
        <v>8.9250000000000007</v>
      </c>
      <c r="AR315" s="3">
        <v>2.0070000000000001</v>
      </c>
      <c r="AS315" s="3">
        <v>-553.27200000000005</v>
      </c>
      <c r="AT315" s="3">
        <v>-551.61699999999996</v>
      </c>
      <c r="AU315" s="3">
        <f t="shared" si="164"/>
        <v>-1.6550000000000864</v>
      </c>
      <c r="AV315" s="3">
        <v>-0.23699999999999999</v>
      </c>
      <c r="AW315" s="3">
        <v>-0.36899999999999999</v>
      </c>
      <c r="AX315" s="3">
        <f t="shared" si="165"/>
        <v>0.13200000000000001</v>
      </c>
      <c r="AY315" s="3">
        <v>2.8000000000000001E-2</v>
      </c>
      <c r="AZ315" s="3">
        <v>0.154</v>
      </c>
      <c r="BA315" s="3">
        <f t="shared" si="166"/>
        <v>-0.126</v>
      </c>
      <c r="BB315" s="3">
        <f t="shared" si="217"/>
        <v>0.1045</v>
      </c>
      <c r="BC315" s="3">
        <f t="shared" si="217"/>
        <v>0.1075</v>
      </c>
      <c r="BD315" s="3">
        <f t="shared" si="168"/>
        <v>-3.0000000000000027E-3</v>
      </c>
      <c r="BE315" s="3">
        <f t="shared" si="218"/>
        <v>0.26500000000000001</v>
      </c>
      <c r="BF315" s="3">
        <f t="shared" si="218"/>
        <v>0.52300000000000002</v>
      </c>
      <c r="BG315" s="3">
        <f t="shared" si="170"/>
        <v>-0.25800000000000001</v>
      </c>
      <c r="BH315" s="3">
        <f t="shared" si="219"/>
        <v>-0.1045</v>
      </c>
      <c r="BI315" s="3">
        <f t="shared" si="219"/>
        <v>-0.1075</v>
      </c>
      <c r="BJ315" s="3">
        <f t="shared" si="195"/>
        <v>3.0000000000000027E-3</v>
      </c>
      <c r="BK315" s="3">
        <f t="shared" si="192"/>
        <v>2.0604245283018865E-2</v>
      </c>
      <c r="BL315" s="3">
        <f t="shared" si="193"/>
        <v>1.104804015296367E-2</v>
      </c>
      <c r="BM315" s="3">
        <f t="shared" si="172"/>
        <v>9.5562051300551957E-3</v>
      </c>
      <c r="BN315" s="3">
        <v>5.4870000000000001</v>
      </c>
      <c r="BO315" s="3">
        <v>6.0839999999999996</v>
      </c>
      <c r="BP315" s="3">
        <f t="shared" si="173"/>
        <v>-0.59699999999999953</v>
      </c>
      <c r="BQ315" s="3">
        <v>-347129.96399999998</v>
      </c>
      <c r="BR315" s="3">
        <v>-346087.64600000001</v>
      </c>
      <c r="BS315" s="3">
        <f t="shared" si="174"/>
        <v>-1042.3179999999702</v>
      </c>
      <c r="BT315" s="3">
        <v>-347152.04599999997</v>
      </c>
      <c r="BU315" s="3">
        <v>-346109.22600000002</v>
      </c>
      <c r="BV315" s="3">
        <f t="shared" si="175"/>
        <v>-1042.8199999999488</v>
      </c>
    </row>
    <row r="316" spans="1:74" x14ac:dyDescent="0.25">
      <c r="A316" s="4" t="s">
        <v>476</v>
      </c>
      <c r="B316" t="s">
        <v>513</v>
      </c>
      <c r="C316" t="s">
        <v>99</v>
      </c>
      <c r="D316" s="3">
        <v>19.579999999999998</v>
      </c>
      <c r="E316" s="3">
        <v>0.59</v>
      </c>
      <c r="F316" s="3">
        <v>-396.91500000000002</v>
      </c>
      <c r="G316" s="3">
        <v>-399.35300000000001</v>
      </c>
      <c r="H316" s="3">
        <f t="shared" si="196"/>
        <v>-2.4379999999999882</v>
      </c>
      <c r="I316" s="3">
        <v>-0.255</v>
      </c>
      <c r="J316" s="6">
        <v>-0.17799999999999999</v>
      </c>
      <c r="K316" s="3">
        <f t="shared" si="197"/>
        <v>7.7000000000000013E-2</v>
      </c>
      <c r="L316" s="3">
        <v>0.14299999999999999</v>
      </c>
      <c r="M316" s="6">
        <v>-4.0000000000000001E-3</v>
      </c>
      <c r="N316" s="3">
        <f t="shared" si="198"/>
        <v>-0.14699999999999999</v>
      </c>
      <c r="O316" s="3">
        <f t="shared" si="199"/>
        <v>5.6000000000000008E-2</v>
      </c>
      <c r="P316" s="3">
        <f t="shared" si="200"/>
        <v>9.0999999999999998E-2</v>
      </c>
      <c r="Q316" s="3">
        <f t="shared" si="201"/>
        <v>3.4999999999999989E-2</v>
      </c>
      <c r="R316" s="3">
        <f t="shared" si="202"/>
        <v>0.39800000000000002</v>
      </c>
      <c r="S316" s="3">
        <f t="shared" si="202"/>
        <v>0.17399999999999999</v>
      </c>
      <c r="T316" s="3">
        <f t="shared" si="203"/>
        <v>-0.22400000000000003</v>
      </c>
      <c r="U316" s="3">
        <f t="shared" si="204"/>
        <v>-5.6000000000000008E-2</v>
      </c>
      <c r="V316" s="3">
        <f t="shared" si="204"/>
        <v>-9.0999999999999998E-2</v>
      </c>
      <c r="W316" s="3">
        <f t="shared" si="194"/>
        <v>-3.4999999999999989E-2</v>
      </c>
      <c r="X316" s="3">
        <f t="shared" si="190"/>
        <v>3.9396984924623124E-3</v>
      </c>
      <c r="Y316" s="3">
        <f t="shared" si="191"/>
        <v>2.3795977011494256E-2</v>
      </c>
      <c r="Z316" s="3">
        <f t="shared" si="205"/>
        <v>1.9856278519031944E-2</v>
      </c>
      <c r="AA316" s="3">
        <v>2.3530000000000002</v>
      </c>
      <c r="AB316" s="3">
        <v>1.5469999999999999</v>
      </c>
      <c r="AC316" s="3">
        <f t="shared" si="206"/>
        <v>-0.80600000000000027</v>
      </c>
      <c r="AD316" s="3">
        <f>-396.811302*627.50956</f>
        <v>-249002.88552104711</v>
      </c>
      <c r="AE316" s="3">
        <f>-399.255137*627.50956</f>
        <v>-250536.41534660969</v>
      </c>
      <c r="AF316" s="3">
        <f t="shared" si="207"/>
        <v>-1533.5298255625821</v>
      </c>
      <c r="AG316" s="3">
        <f>-396.849963*627.50956</f>
        <v>-249027.14566814626</v>
      </c>
      <c r="AH316" s="3">
        <f>-399.294558*627.50956</f>
        <v>-250561.15240097448</v>
      </c>
      <c r="AI316" s="3">
        <f t="shared" si="208"/>
        <v>-1534.0067328282166</v>
      </c>
      <c r="AJ316" s="3">
        <v>-0.874</v>
      </c>
      <c r="AK316" s="3">
        <v>-0.76800000000000002</v>
      </c>
      <c r="AL316" s="3">
        <f t="shared" si="209"/>
        <v>0.10599999999999998</v>
      </c>
      <c r="AM316" s="3">
        <v>118.1127</v>
      </c>
      <c r="AN316" s="3">
        <v>164.66249999999999</v>
      </c>
      <c r="AO316" s="3">
        <v>165.19970000000001</v>
      </c>
      <c r="AP316" s="3">
        <f t="shared" si="210"/>
        <v>1.1311264354041481</v>
      </c>
      <c r="AQ316" s="3">
        <v>9.7970000000000006</v>
      </c>
      <c r="AR316" s="3">
        <v>2.2357</v>
      </c>
      <c r="AS316" s="3">
        <v>-132.80099999999999</v>
      </c>
      <c r="AT316" s="3">
        <v>-131.97</v>
      </c>
      <c r="AU316" s="3">
        <f t="shared" si="164"/>
        <v>-0.83099999999998886</v>
      </c>
      <c r="AV316" s="3">
        <v>-0.34100000000000003</v>
      </c>
      <c r="AW316" s="3">
        <v>-0.47499999999999998</v>
      </c>
      <c r="AX316" s="3">
        <f t="shared" si="165"/>
        <v>0.13399999999999995</v>
      </c>
      <c r="AY316" s="3">
        <v>2.9000000000000001E-2</v>
      </c>
      <c r="AZ316" s="3">
        <v>0.156</v>
      </c>
      <c r="BA316" s="3">
        <f t="shared" si="166"/>
        <v>-0.127</v>
      </c>
      <c r="BB316" s="3">
        <f t="shared" si="217"/>
        <v>0.156</v>
      </c>
      <c r="BC316" s="3">
        <f t="shared" si="217"/>
        <v>0.15949999999999998</v>
      </c>
      <c r="BD316" s="3">
        <f t="shared" si="168"/>
        <v>-3.4999999999999754E-3</v>
      </c>
      <c r="BE316" s="3">
        <f t="shared" si="218"/>
        <v>0.37000000000000005</v>
      </c>
      <c r="BF316" s="3">
        <f t="shared" si="218"/>
        <v>0.63100000000000001</v>
      </c>
      <c r="BG316" s="3">
        <f t="shared" si="170"/>
        <v>-0.26099999999999995</v>
      </c>
      <c r="BH316" s="3">
        <f t="shared" si="219"/>
        <v>-0.156</v>
      </c>
      <c r="BI316" s="3">
        <f t="shared" si="219"/>
        <v>-0.15949999999999998</v>
      </c>
      <c r="BJ316" s="3">
        <f t="shared" si="195"/>
        <v>3.4999999999999754E-3</v>
      </c>
      <c r="BK316" s="3">
        <f t="shared" si="192"/>
        <v>3.2886486486486483E-2</v>
      </c>
      <c r="BL316" s="3">
        <f t="shared" si="193"/>
        <v>2.0158676703645E-2</v>
      </c>
      <c r="BM316" s="3">
        <f t="shared" si="172"/>
        <v>1.2727809782841482E-2</v>
      </c>
      <c r="BN316" s="3">
        <v>4.7279999999999998</v>
      </c>
      <c r="BO316" s="3">
        <v>4.9340000000000002</v>
      </c>
      <c r="BP316" s="3">
        <f t="shared" si="173"/>
        <v>-0.20600000000000041</v>
      </c>
      <c r="BQ316" s="3">
        <v>-83302.89</v>
      </c>
      <c r="BR316" s="3">
        <v>-82779.224000000002</v>
      </c>
      <c r="BS316" s="3">
        <f t="shared" si="174"/>
        <v>-523.66599999999744</v>
      </c>
      <c r="BT316" s="3">
        <v>-83320.774999999994</v>
      </c>
      <c r="BU316" s="3">
        <v>-82796.997000000003</v>
      </c>
      <c r="BV316" s="3">
        <f t="shared" si="175"/>
        <v>-523.77799999999115</v>
      </c>
    </row>
    <row r="317" spans="1:74" x14ac:dyDescent="0.25">
      <c r="A317" s="4" t="s">
        <v>453</v>
      </c>
      <c r="B317" t="s">
        <v>513</v>
      </c>
      <c r="C317" t="s">
        <v>360</v>
      </c>
      <c r="D317" s="3">
        <v>19.649999999999999</v>
      </c>
      <c r="E317" s="3">
        <v>0.85</v>
      </c>
      <c r="F317" s="3">
        <v>-344.18099999999998</v>
      </c>
      <c r="G317" s="3">
        <v>-346.39</v>
      </c>
      <c r="H317" s="3">
        <f t="shared" si="196"/>
        <v>-2.2090000000000032</v>
      </c>
      <c r="I317" s="3">
        <v>-0.23100000000000001</v>
      </c>
      <c r="J317" s="6">
        <v>-0.151</v>
      </c>
      <c r="K317" s="3">
        <f t="shared" si="197"/>
        <v>8.0000000000000016E-2</v>
      </c>
      <c r="L317" s="3">
        <v>0.158</v>
      </c>
      <c r="M317" s="6">
        <v>2.1000000000000001E-2</v>
      </c>
      <c r="N317" s="3">
        <f t="shared" si="198"/>
        <v>-0.13700000000000001</v>
      </c>
      <c r="O317" s="3">
        <f t="shared" si="199"/>
        <v>3.6500000000000005E-2</v>
      </c>
      <c r="P317" s="3">
        <f t="shared" si="200"/>
        <v>6.5000000000000002E-2</v>
      </c>
      <c r="Q317" s="3">
        <f t="shared" si="201"/>
        <v>2.8499999999999998E-2</v>
      </c>
      <c r="R317" s="3">
        <f t="shared" si="202"/>
        <v>0.38900000000000001</v>
      </c>
      <c r="S317" s="3">
        <f t="shared" si="202"/>
        <v>0.17199999999999999</v>
      </c>
      <c r="T317" s="3">
        <f t="shared" si="203"/>
        <v>-0.21700000000000003</v>
      </c>
      <c r="U317" s="3">
        <f t="shared" si="204"/>
        <v>-3.6500000000000005E-2</v>
      </c>
      <c r="V317" s="3">
        <f t="shared" si="204"/>
        <v>-6.5000000000000002E-2</v>
      </c>
      <c r="W317" s="3">
        <f t="shared" si="194"/>
        <v>-2.8499999999999998E-2</v>
      </c>
      <c r="X317" s="3">
        <f t="shared" si="190"/>
        <v>1.7124035989717226E-3</v>
      </c>
      <c r="Y317" s="3">
        <f t="shared" si="191"/>
        <v>1.228197674418605E-2</v>
      </c>
      <c r="Z317" s="3">
        <f t="shared" si="205"/>
        <v>1.0569573145214327E-2</v>
      </c>
      <c r="AA317" s="3">
        <v>9.5</v>
      </c>
      <c r="AB317" s="3">
        <v>8.5570000000000004</v>
      </c>
      <c r="AC317" s="3">
        <f t="shared" si="206"/>
        <v>-0.94299999999999962</v>
      </c>
      <c r="AD317" s="3">
        <f>-344.047815*627.50956</f>
        <v>-215893.2930096114</v>
      </c>
      <c r="AE317" s="3">
        <f>-346.264383*627.50956</f>
        <v>-217284.21062000148</v>
      </c>
      <c r="AF317" s="3">
        <f t="shared" si="207"/>
        <v>-1390.9176103900827</v>
      </c>
      <c r="AG317" s="3">
        <f>-344.087933*627.50956</f>
        <v>-215918.46743813949</v>
      </c>
      <c r="AH317" s="3">
        <f>-346.304855*627.50956</f>
        <v>-217309.60718691378</v>
      </c>
      <c r="AI317" s="3">
        <f t="shared" si="208"/>
        <v>-1391.1397487742943</v>
      </c>
      <c r="AJ317" s="3">
        <v>-0.94599999999999995</v>
      </c>
      <c r="AK317" s="3">
        <v>-0.83599999999999997</v>
      </c>
      <c r="AL317" s="3">
        <f t="shared" si="209"/>
        <v>0.10999999999999999</v>
      </c>
      <c r="AM317" s="3">
        <v>107.1298</v>
      </c>
      <c r="AN317" s="3">
        <v>167.035</v>
      </c>
      <c r="AO317" s="3">
        <v>171.08850000000001</v>
      </c>
      <c r="AP317" s="3">
        <f t="shared" si="210"/>
        <v>1.1209413397081969</v>
      </c>
      <c r="AQ317" s="3">
        <v>8.9250000000000007</v>
      </c>
      <c r="AR317" s="3">
        <v>2.0070000000000001</v>
      </c>
      <c r="AS317" s="3">
        <v>-248.59200000000001</v>
      </c>
      <c r="AT317" s="3">
        <v>-247.066</v>
      </c>
      <c r="AU317" s="3">
        <f t="shared" si="164"/>
        <v>-1.5260000000000105</v>
      </c>
      <c r="AV317" s="3">
        <v>-0.25</v>
      </c>
      <c r="AW317" s="3">
        <v>-0.375</v>
      </c>
      <c r="AX317" s="3">
        <f t="shared" si="165"/>
        <v>0.125</v>
      </c>
      <c r="AY317" s="3">
        <v>1.7999999999999999E-2</v>
      </c>
      <c r="AZ317" s="3">
        <v>0.157</v>
      </c>
      <c r="BA317" s="3">
        <f t="shared" si="166"/>
        <v>-0.13900000000000001</v>
      </c>
      <c r="BB317" s="3">
        <f t="shared" si="217"/>
        <v>0.11600000000000001</v>
      </c>
      <c r="BC317" s="3">
        <f t="shared" si="217"/>
        <v>0.109</v>
      </c>
      <c r="BD317" s="3">
        <f t="shared" si="168"/>
        <v>7.0000000000000062E-3</v>
      </c>
      <c r="BE317" s="3">
        <f t="shared" si="218"/>
        <v>0.26800000000000002</v>
      </c>
      <c r="BF317" s="3">
        <f t="shared" si="218"/>
        <v>0.53200000000000003</v>
      </c>
      <c r="BG317" s="3">
        <f t="shared" si="170"/>
        <v>-0.26400000000000001</v>
      </c>
      <c r="BH317" s="3">
        <f t="shared" si="219"/>
        <v>-0.11600000000000001</v>
      </c>
      <c r="BI317" s="3">
        <f t="shared" si="219"/>
        <v>-0.109</v>
      </c>
      <c r="BJ317" s="3">
        <f t="shared" si="195"/>
        <v>-7.0000000000000062E-3</v>
      </c>
      <c r="BK317" s="3">
        <f t="shared" si="192"/>
        <v>2.5104477611940297E-2</v>
      </c>
      <c r="BL317" s="3">
        <f t="shared" si="193"/>
        <v>1.1166353383458645E-2</v>
      </c>
      <c r="BM317" s="3">
        <f t="shared" si="172"/>
        <v>1.3938124228481652E-2</v>
      </c>
      <c r="BN317" s="3">
        <v>5.09</v>
      </c>
      <c r="BO317" s="3">
        <v>5.2910000000000004</v>
      </c>
      <c r="BP317" s="3">
        <f t="shared" si="173"/>
        <v>-0.20100000000000051</v>
      </c>
      <c r="BQ317" s="3">
        <v>-155925.34599999999</v>
      </c>
      <c r="BR317" s="3">
        <v>-154963.22899999999</v>
      </c>
      <c r="BS317" s="3">
        <f t="shared" si="174"/>
        <v>-962.11699999999837</v>
      </c>
      <c r="BT317" s="3">
        <v>-155948.003</v>
      </c>
      <c r="BU317" s="3">
        <v>-154985.997</v>
      </c>
      <c r="BV317" s="3">
        <f t="shared" si="175"/>
        <v>-962.00599999999395</v>
      </c>
    </row>
    <row r="318" spans="1:74" x14ac:dyDescent="0.25">
      <c r="A318" s="4" t="s">
        <v>491</v>
      </c>
      <c r="B318" t="s">
        <v>513</v>
      </c>
      <c r="C318" t="s">
        <v>360</v>
      </c>
      <c r="D318" s="3">
        <v>19.670000000000002</v>
      </c>
      <c r="E318" s="3">
        <v>0.72</v>
      </c>
      <c r="F318" s="3">
        <v>-764.06600000000003</v>
      </c>
      <c r="G318" s="3">
        <v>-766.69299999999998</v>
      </c>
      <c r="H318" s="3">
        <f t="shared" si="196"/>
        <v>-2.6269999999999527</v>
      </c>
      <c r="I318" s="3">
        <v>-0.24399999999999999</v>
      </c>
      <c r="J318" s="6">
        <v>-0.16200000000000001</v>
      </c>
      <c r="K318" s="3">
        <f t="shared" si="197"/>
        <v>8.199999999999999E-2</v>
      </c>
      <c r="L318" s="3">
        <v>0.14899999999999999</v>
      </c>
      <c r="M318" s="6">
        <v>8.9999999999999993E-3</v>
      </c>
      <c r="N318" s="3">
        <f t="shared" si="198"/>
        <v>-0.13999999999999999</v>
      </c>
      <c r="O318" s="3">
        <f t="shared" si="199"/>
        <v>4.7500000000000001E-2</v>
      </c>
      <c r="P318" s="3">
        <f t="shared" si="200"/>
        <v>7.6499999999999999E-2</v>
      </c>
      <c r="Q318" s="3">
        <f t="shared" si="201"/>
        <v>2.8999999999999998E-2</v>
      </c>
      <c r="R318" s="3">
        <f t="shared" si="202"/>
        <v>0.39300000000000002</v>
      </c>
      <c r="S318" s="3">
        <f t="shared" si="202"/>
        <v>0.17100000000000001</v>
      </c>
      <c r="T318" s="3">
        <f t="shared" si="203"/>
        <v>-0.222</v>
      </c>
      <c r="U318" s="3">
        <f t="shared" si="204"/>
        <v>-4.7500000000000001E-2</v>
      </c>
      <c r="V318" s="3">
        <f t="shared" si="204"/>
        <v>-7.6499999999999999E-2</v>
      </c>
      <c r="W318" s="3">
        <f t="shared" si="194"/>
        <v>-2.8999999999999998E-2</v>
      </c>
      <c r="X318" s="3">
        <f t="shared" si="190"/>
        <v>2.8705470737913487E-3</v>
      </c>
      <c r="Y318" s="3">
        <f t="shared" si="191"/>
        <v>1.7111842105263154E-2</v>
      </c>
      <c r="Z318" s="3">
        <f t="shared" si="205"/>
        <v>1.4241295031471805E-2</v>
      </c>
      <c r="AA318" s="3">
        <v>7.6459999999999999</v>
      </c>
      <c r="AB318" s="3">
        <v>6.9370000000000003</v>
      </c>
      <c r="AC318" s="3">
        <f t="shared" si="206"/>
        <v>-0.70899999999999963</v>
      </c>
      <c r="AD318" s="3">
        <f>-763.972005*627.50956</f>
        <v>-479399.73670986778</v>
      </c>
      <c r="AE318" s="3">
        <f>-766.604025*627.50956</f>
        <v>-481051.35442197893</v>
      </c>
      <c r="AF318" s="3">
        <f t="shared" si="207"/>
        <v>-1651.6177121111541</v>
      </c>
      <c r="AG318" s="3">
        <f>-764.009142*627.50956</f>
        <v>-479423.04053239751</v>
      </c>
      <c r="AH318" s="3">
        <f>-766.642621*627.50956</f>
        <v>-481075.57378095674</v>
      </c>
      <c r="AI318" s="3">
        <f t="shared" si="208"/>
        <v>-1652.5332485592226</v>
      </c>
      <c r="AJ318" s="3">
        <v>-0.92100000000000004</v>
      </c>
      <c r="AK318" s="3">
        <v>-0.81399999999999995</v>
      </c>
      <c r="AL318" s="3">
        <f t="shared" si="209"/>
        <v>0.1070000000000001</v>
      </c>
      <c r="AM318" s="3">
        <v>127.548</v>
      </c>
      <c r="AN318" s="3">
        <v>160.393</v>
      </c>
      <c r="AO318" s="3">
        <v>161.70349999999999</v>
      </c>
      <c r="AP318" s="3">
        <f t="shared" si="210"/>
        <v>1.1176223569726982</v>
      </c>
      <c r="AQ318" s="3">
        <v>9.1969999999999992</v>
      </c>
      <c r="AR318" s="3">
        <v>2.1880000000000002</v>
      </c>
      <c r="AS318" s="3">
        <v>-248.59200000000001</v>
      </c>
      <c r="AT318" s="3">
        <v>-247.066</v>
      </c>
      <c r="AU318" s="3">
        <f t="shared" ref="AU318:AU378" si="220">AS318-AT318</f>
        <v>-1.5260000000000105</v>
      </c>
      <c r="AV318" s="3">
        <v>-0.25</v>
      </c>
      <c r="AW318" s="3">
        <v>-0.375</v>
      </c>
      <c r="AX318" s="3">
        <f t="shared" ref="AX318:AX378" si="221">AV318-AW318</f>
        <v>0.125</v>
      </c>
      <c r="AY318" s="3">
        <v>1.7999999999999999E-2</v>
      </c>
      <c r="AZ318" s="3">
        <v>0.157</v>
      </c>
      <c r="BA318" s="3">
        <f t="shared" ref="BA318:BA378" si="222">AY318-AZ318</f>
        <v>-0.13900000000000001</v>
      </c>
      <c r="BB318" s="3">
        <f t="shared" ref="BB318:BC331" si="223">-(AV318+AY318)/2</f>
        <v>0.11600000000000001</v>
      </c>
      <c r="BC318" s="3">
        <f t="shared" si="223"/>
        <v>0.109</v>
      </c>
      <c r="BD318" s="3">
        <f t="shared" ref="BD318:BD378" si="224">BB318-BC318</f>
        <v>7.0000000000000062E-3</v>
      </c>
      <c r="BE318" s="3">
        <f t="shared" ref="BE318:BF331" si="225">AY318-AV318</f>
        <v>0.26800000000000002</v>
      </c>
      <c r="BF318" s="3">
        <f t="shared" si="225"/>
        <v>0.53200000000000003</v>
      </c>
      <c r="BG318" s="3">
        <f t="shared" ref="BG318:BG378" si="226">BE318-BF318</f>
        <v>-0.26400000000000001</v>
      </c>
      <c r="BH318" s="3">
        <f t="shared" ref="BH318:BI331" si="227">(AV318+AY318)/2</f>
        <v>-0.11600000000000001</v>
      </c>
      <c r="BI318" s="3">
        <f t="shared" si="227"/>
        <v>-0.109</v>
      </c>
      <c r="BJ318" s="3">
        <f t="shared" si="195"/>
        <v>-7.0000000000000062E-3</v>
      </c>
      <c r="BK318" s="3">
        <f t="shared" si="192"/>
        <v>2.5104477611940297E-2</v>
      </c>
      <c r="BL318" s="3">
        <f t="shared" si="193"/>
        <v>1.1166353383458645E-2</v>
      </c>
      <c r="BM318" s="3">
        <f t="shared" ref="BM318:BM378" si="228">BK318-BL318</f>
        <v>1.3938124228481652E-2</v>
      </c>
      <c r="BN318" s="3">
        <v>5.09</v>
      </c>
      <c r="BO318" s="3">
        <v>5.2910000000000004</v>
      </c>
      <c r="BP318" s="3">
        <f t="shared" ref="BP318:BP378" si="229">BN318-BO318</f>
        <v>-0.20100000000000051</v>
      </c>
      <c r="BQ318" s="3">
        <v>-155925.34599999999</v>
      </c>
      <c r="BR318" s="3">
        <v>-154963.22899999999</v>
      </c>
      <c r="BS318" s="3">
        <f t="shared" ref="BS318:BS378" si="230">BQ318-BR318</f>
        <v>-962.11699999999837</v>
      </c>
      <c r="BT318" s="3">
        <v>-155948.003</v>
      </c>
      <c r="BU318" s="3">
        <v>-154985.997</v>
      </c>
      <c r="BV318" s="3">
        <f t="shared" ref="BV318:BV378" si="231">BT318-BU318</f>
        <v>-962.00599999999395</v>
      </c>
    </row>
    <row r="319" spans="1:74" x14ac:dyDescent="0.25">
      <c r="A319" s="4" t="s">
        <v>492</v>
      </c>
      <c r="B319" t="s">
        <v>513</v>
      </c>
      <c r="C319" t="s">
        <v>200</v>
      </c>
      <c r="D319" s="3">
        <v>19.670000000000002</v>
      </c>
      <c r="E319" s="3">
        <v>0.79</v>
      </c>
      <c r="F319" s="3">
        <v>-464.30799999999999</v>
      </c>
      <c r="G319" s="3">
        <v>-464.35899999999998</v>
      </c>
      <c r="H319" s="3">
        <f t="shared" si="196"/>
        <v>-5.0999999999987722E-2</v>
      </c>
      <c r="I319" s="3">
        <v>-0.23300000000000001</v>
      </c>
      <c r="J319" s="6">
        <v>-0.152</v>
      </c>
      <c r="K319" s="3">
        <f t="shared" si="197"/>
        <v>8.1000000000000016E-2</v>
      </c>
      <c r="L319" s="3">
        <v>0.157</v>
      </c>
      <c r="M319" s="6">
        <v>0.02</v>
      </c>
      <c r="N319" s="3">
        <f t="shared" si="198"/>
        <v>-0.13700000000000001</v>
      </c>
      <c r="O319" s="3">
        <f t="shared" si="199"/>
        <v>3.8000000000000006E-2</v>
      </c>
      <c r="P319" s="3">
        <f t="shared" si="200"/>
        <v>6.6000000000000003E-2</v>
      </c>
      <c r="Q319" s="3">
        <f t="shared" si="201"/>
        <v>2.7999999999999997E-2</v>
      </c>
      <c r="R319" s="3">
        <f t="shared" si="202"/>
        <v>0.39</v>
      </c>
      <c r="S319" s="3">
        <f t="shared" si="202"/>
        <v>0.17199999999999999</v>
      </c>
      <c r="T319" s="3">
        <f t="shared" si="203"/>
        <v>-0.21800000000000003</v>
      </c>
      <c r="U319" s="3">
        <f t="shared" si="204"/>
        <v>-3.8000000000000006E-2</v>
      </c>
      <c r="V319" s="3">
        <f t="shared" si="204"/>
        <v>-6.6000000000000003E-2</v>
      </c>
      <c r="W319" s="3">
        <f t="shared" si="194"/>
        <v>-2.7999999999999997E-2</v>
      </c>
      <c r="X319" s="3">
        <f t="shared" si="190"/>
        <v>1.8512820512820518E-3</v>
      </c>
      <c r="Y319" s="3">
        <f t="shared" si="191"/>
        <v>1.2662790697674422E-2</v>
      </c>
      <c r="Z319" s="3">
        <f t="shared" si="205"/>
        <v>1.0811508646392369E-2</v>
      </c>
      <c r="AA319" s="3">
        <v>14.367000000000001</v>
      </c>
      <c r="AB319" s="3">
        <v>13.336</v>
      </c>
      <c r="AC319" s="3">
        <f t="shared" si="206"/>
        <v>-1.0310000000000006</v>
      </c>
      <c r="AD319" s="3">
        <f>-461.081417*627.50956</f>
        <v>-289332.99710584647</v>
      </c>
      <c r="AE319" s="3">
        <f>-464.145629*627.50956</f>
        <v>-291255.81942971324</v>
      </c>
      <c r="AF319" s="3">
        <f t="shared" si="207"/>
        <v>-1922.8223238667706</v>
      </c>
      <c r="AG319" s="3">
        <f>-461.127531*627.50956</f>
        <v>-289361.93408169632</v>
      </c>
      <c r="AH319" s="3">
        <f>-464.19334*627.50956</f>
        <v>-291285.75853833038</v>
      </c>
      <c r="AI319" s="3">
        <f t="shared" si="208"/>
        <v>-1923.8244566340582</v>
      </c>
      <c r="AJ319" s="3">
        <v>-0.94599999999999995</v>
      </c>
      <c r="AK319" s="3">
        <v>-0.83699999999999997</v>
      </c>
      <c r="AL319" s="3">
        <f t="shared" si="209"/>
        <v>0.10899999999999999</v>
      </c>
      <c r="AM319" s="3">
        <v>149.20959999999999</v>
      </c>
      <c r="AN319" s="3">
        <v>218.5498</v>
      </c>
      <c r="AO319" s="3">
        <v>248.75290000000001</v>
      </c>
      <c r="AP319" s="3">
        <f t="shared" si="210"/>
        <v>1.1427755205473384</v>
      </c>
      <c r="AQ319" s="3">
        <v>10.294</v>
      </c>
      <c r="AR319" s="3">
        <v>2.496</v>
      </c>
      <c r="AS319" s="3">
        <v>-553.27200000000005</v>
      </c>
      <c r="AT319" s="3">
        <v>-551.61699999999996</v>
      </c>
      <c r="AU319" s="3">
        <f t="shared" si="220"/>
        <v>-1.6550000000000864</v>
      </c>
      <c r="AV319" s="3">
        <v>-0.23699999999999999</v>
      </c>
      <c r="AW319" s="3">
        <v>-0.36899999999999999</v>
      </c>
      <c r="AX319" s="3">
        <f t="shared" si="221"/>
        <v>0.13200000000000001</v>
      </c>
      <c r="AY319" s="3">
        <v>2.8000000000000001E-2</v>
      </c>
      <c r="AZ319" s="3">
        <v>0.154</v>
      </c>
      <c r="BA319" s="3">
        <f t="shared" si="222"/>
        <v>-0.126</v>
      </c>
      <c r="BB319" s="3">
        <f t="shared" si="223"/>
        <v>0.1045</v>
      </c>
      <c r="BC319" s="3">
        <f t="shared" si="223"/>
        <v>0.1075</v>
      </c>
      <c r="BD319" s="3">
        <f t="shared" si="224"/>
        <v>-3.0000000000000027E-3</v>
      </c>
      <c r="BE319" s="3">
        <f t="shared" si="225"/>
        <v>0.26500000000000001</v>
      </c>
      <c r="BF319" s="3">
        <f t="shared" si="225"/>
        <v>0.52300000000000002</v>
      </c>
      <c r="BG319" s="3">
        <f t="shared" si="226"/>
        <v>-0.25800000000000001</v>
      </c>
      <c r="BH319" s="3">
        <f t="shared" si="227"/>
        <v>-0.1045</v>
      </c>
      <c r="BI319" s="3">
        <f t="shared" si="227"/>
        <v>-0.1075</v>
      </c>
      <c r="BJ319" s="3">
        <f t="shared" si="195"/>
        <v>3.0000000000000027E-3</v>
      </c>
      <c r="BK319" s="3">
        <f t="shared" si="192"/>
        <v>2.0604245283018865E-2</v>
      </c>
      <c r="BL319" s="3">
        <f t="shared" si="193"/>
        <v>1.104804015296367E-2</v>
      </c>
      <c r="BM319" s="3">
        <f t="shared" si="228"/>
        <v>9.5562051300551957E-3</v>
      </c>
      <c r="BN319" s="3">
        <v>5.4870000000000001</v>
      </c>
      <c r="BO319" s="3">
        <v>6.0839999999999996</v>
      </c>
      <c r="BP319" s="3">
        <f t="shared" si="229"/>
        <v>-0.59699999999999953</v>
      </c>
      <c r="BQ319" s="3">
        <v>-347129.96399999998</v>
      </c>
      <c r="BR319" s="3">
        <v>-346087.64600000001</v>
      </c>
      <c r="BS319" s="3">
        <f t="shared" si="230"/>
        <v>-1042.3179999999702</v>
      </c>
      <c r="BT319" s="3">
        <v>-347152.04599999997</v>
      </c>
      <c r="BU319" s="3">
        <v>-346109.22600000002</v>
      </c>
      <c r="BV319" s="3">
        <f t="shared" si="231"/>
        <v>-1042.8199999999488</v>
      </c>
    </row>
    <row r="320" spans="1:74" x14ac:dyDescent="0.25">
      <c r="A320" s="2" t="s">
        <v>488</v>
      </c>
      <c r="B320" t="s">
        <v>513</v>
      </c>
      <c r="C320" t="s">
        <v>200</v>
      </c>
      <c r="D320" s="3">
        <v>19.86</v>
      </c>
      <c r="E320" s="3">
        <v>0.71</v>
      </c>
      <c r="F320" s="3">
        <v>-305.13900000000001</v>
      </c>
      <c r="G320" s="3">
        <v>-307.06599999999997</v>
      </c>
      <c r="H320" s="3">
        <f t="shared" si="196"/>
        <v>-1.9269999999999641</v>
      </c>
      <c r="I320" s="3">
        <v>-0.24</v>
      </c>
      <c r="J320" s="6">
        <v>-0.157</v>
      </c>
      <c r="K320" s="3">
        <f t="shared" si="197"/>
        <v>8.299999999999999E-2</v>
      </c>
      <c r="L320" s="3">
        <v>0.16</v>
      </c>
      <c r="M320" s="6">
        <v>0.02</v>
      </c>
      <c r="N320" s="3">
        <f t="shared" si="198"/>
        <v>-0.14000000000000001</v>
      </c>
      <c r="O320" s="3">
        <f t="shared" si="199"/>
        <v>3.9999999999999994E-2</v>
      </c>
      <c r="P320" s="3">
        <f t="shared" si="200"/>
        <v>6.8500000000000005E-2</v>
      </c>
      <c r="Q320" s="3">
        <f t="shared" si="201"/>
        <v>2.8500000000000011E-2</v>
      </c>
      <c r="R320" s="3">
        <f t="shared" si="202"/>
        <v>0.4</v>
      </c>
      <c r="S320" s="3">
        <f t="shared" si="202"/>
        <v>0.17699999999999999</v>
      </c>
      <c r="T320" s="3">
        <f t="shared" si="203"/>
        <v>-0.22300000000000003</v>
      </c>
      <c r="U320" s="3">
        <f t="shared" si="204"/>
        <v>-3.9999999999999994E-2</v>
      </c>
      <c r="V320" s="3">
        <f t="shared" si="204"/>
        <v>-6.8500000000000005E-2</v>
      </c>
      <c r="W320" s="3">
        <f t="shared" si="194"/>
        <v>-2.8500000000000011E-2</v>
      </c>
      <c r="X320" s="3">
        <f t="shared" si="190"/>
        <v>1.9999999999999992E-3</v>
      </c>
      <c r="Y320" s="3">
        <f t="shared" si="191"/>
        <v>1.3254943502824863E-2</v>
      </c>
      <c r="Z320" s="3">
        <f t="shared" si="205"/>
        <v>1.1254943502824865E-2</v>
      </c>
      <c r="AA320" s="3">
        <v>6.7759999999999998</v>
      </c>
      <c r="AB320" s="3">
        <v>5.9320000000000004</v>
      </c>
      <c r="AC320" s="3">
        <f t="shared" si="206"/>
        <v>-0.84399999999999942</v>
      </c>
      <c r="AD320" s="3">
        <f>-305.036649*627.50956</f>
        <v>-191413.41339786444</v>
      </c>
      <c r="AE320" s="3">
        <f>-306.969269*627.50956</f>
        <v>-192626.15092371163</v>
      </c>
      <c r="AF320" s="3">
        <f t="shared" si="207"/>
        <v>-1212.7375258471875</v>
      </c>
      <c r="AG320" s="3">
        <f>-305.071011*627.50956</f>
        <v>-191434.97588136516</v>
      </c>
      <c r="AH320" s="3">
        <f>-307.004228*627.50956</f>
        <v>-192648.08803041969</v>
      </c>
      <c r="AI320" s="3">
        <f t="shared" si="208"/>
        <v>-1213.1121490545338</v>
      </c>
      <c r="AJ320" s="3">
        <v>-0.93700000000000006</v>
      </c>
      <c r="AK320" s="3">
        <v>-0.83</v>
      </c>
      <c r="AL320" s="3">
        <f t="shared" si="209"/>
        <v>0.1070000000000001</v>
      </c>
      <c r="AM320" s="3">
        <v>93.102999999999994</v>
      </c>
      <c r="AN320" s="3">
        <v>144.4956</v>
      </c>
      <c r="AO320" s="3">
        <v>142.928</v>
      </c>
      <c r="AP320" s="3">
        <f t="shared" si="210"/>
        <v>1.0931985038748739</v>
      </c>
      <c r="AQ320" s="3">
        <v>7.9790000000000001</v>
      </c>
      <c r="AR320" s="3">
        <v>1.724</v>
      </c>
      <c r="AS320" s="3">
        <v>-553.27200000000005</v>
      </c>
      <c r="AT320" s="3">
        <v>-551.61699999999996</v>
      </c>
      <c r="AU320" s="3">
        <f t="shared" si="220"/>
        <v>-1.6550000000000864</v>
      </c>
      <c r="AV320" s="3">
        <v>-0.23699999999999999</v>
      </c>
      <c r="AW320" s="3">
        <v>-0.36899999999999999</v>
      </c>
      <c r="AX320" s="3">
        <f t="shared" si="221"/>
        <v>0.13200000000000001</v>
      </c>
      <c r="AY320" s="3">
        <v>2.8000000000000001E-2</v>
      </c>
      <c r="AZ320" s="3">
        <v>0.154</v>
      </c>
      <c r="BA320" s="3">
        <f t="shared" si="222"/>
        <v>-0.126</v>
      </c>
      <c r="BB320" s="3">
        <f t="shared" si="223"/>
        <v>0.1045</v>
      </c>
      <c r="BC320" s="3">
        <f t="shared" si="223"/>
        <v>0.1075</v>
      </c>
      <c r="BD320" s="3">
        <f t="shared" si="224"/>
        <v>-3.0000000000000027E-3</v>
      </c>
      <c r="BE320" s="3">
        <f t="shared" si="225"/>
        <v>0.26500000000000001</v>
      </c>
      <c r="BF320" s="3">
        <f t="shared" si="225"/>
        <v>0.52300000000000002</v>
      </c>
      <c r="BG320" s="3">
        <f t="shared" si="226"/>
        <v>-0.25800000000000001</v>
      </c>
      <c r="BH320" s="3">
        <f t="shared" si="227"/>
        <v>-0.1045</v>
      </c>
      <c r="BI320" s="3">
        <f t="shared" si="227"/>
        <v>-0.1075</v>
      </c>
      <c r="BJ320" s="3">
        <f t="shared" si="195"/>
        <v>3.0000000000000027E-3</v>
      </c>
      <c r="BK320" s="3">
        <f t="shared" si="192"/>
        <v>2.0604245283018865E-2</v>
      </c>
      <c r="BL320" s="3">
        <f t="shared" si="193"/>
        <v>1.104804015296367E-2</v>
      </c>
      <c r="BM320" s="3">
        <f t="shared" si="228"/>
        <v>9.5562051300551957E-3</v>
      </c>
      <c r="BN320" s="3">
        <v>5.4870000000000001</v>
      </c>
      <c r="BO320" s="3">
        <v>6.0839999999999996</v>
      </c>
      <c r="BP320" s="3">
        <f t="shared" si="229"/>
        <v>-0.59699999999999953</v>
      </c>
      <c r="BQ320" s="3">
        <v>-347129.96399999998</v>
      </c>
      <c r="BR320" s="3">
        <v>-346087.64600000001</v>
      </c>
      <c r="BS320" s="3">
        <f t="shared" si="230"/>
        <v>-1042.3179999999702</v>
      </c>
      <c r="BT320" s="3">
        <v>-347152.04599999997</v>
      </c>
      <c r="BU320" s="3">
        <v>-346109.22600000002</v>
      </c>
      <c r="BV320" s="3">
        <f t="shared" si="231"/>
        <v>-1042.8199999999488</v>
      </c>
    </row>
    <row r="321" spans="1:74" x14ac:dyDescent="0.25">
      <c r="A321" s="4" t="s">
        <v>492</v>
      </c>
      <c r="B321" t="s">
        <v>513</v>
      </c>
      <c r="C321" t="s">
        <v>360</v>
      </c>
      <c r="D321" s="3">
        <v>19.899999999999999</v>
      </c>
      <c r="E321" s="3">
        <v>0.8</v>
      </c>
      <c r="F321" s="3">
        <v>-461.30700000000002</v>
      </c>
      <c r="G321" s="3">
        <v>-464.35899999999998</v>
      </c>
      <c r="H321" s="3">
        <f t="shared" si="196"/>
        <v>-3.0519999999999641</v>
      </c>
      <c r="I321" s="3">
        <v>-0.23200000000000001</v>
      </c>
      <c r="J321" s="6">
        <v>-0.151</v>
      </c>
      <c r="K321" s="3">
        <f t="shared" si="197"/>
        <v>8.1000000000000016E-2</v>
      </c>
      <c r="L321" s="3">
        <v>0.158</v>
      </c>
      <c r="M321" s="6">
        <v>2.1000000000000001E-2</v>
      </c>
      <c r="N321" s="3">
        <f t="shared" si="198"/>
        <v>-0.13700000000000001</v>
      </c>
      <c r="O321" s="3">
        <f t="shared" si="199"/>
        <v>3.7000000000000005E-2</v>
      </c>
      <c r="P321" s="3">
        <f t="shared" si="200"/>
        <v>6.5000000000000002E-2</v>
      </c>
      <c r="Q321" s="3">
        <f t="shared" si="201"/>
        <v>2.7999999999999997E-2</v>
      </c>
      <c r="R321" s="3">
        <f t="shared" si="202"/>
        <v>0.39</v>
      </c>
      <c r="S321" s="3">
        <f t="shared" si="202"/>
        <v>0.17199999999999999</v>
      </c>
      <c r="T321" s="3">
        <f t="shared" si="203"/>
        <v>-0.21800000000000003</v>
      </c>
      <c r="U321" s="3">
        <f t="shared" si="204"/>
        <v>-3.7000000000000005E-2</v>
      </c>
      <c r="V321" s="3">
        <f t="shared" si="204"/>
        <v>-6.5000000000000002E-2</v>
      </c>
      <c r="W321" s="3">
        <f t="shared" si="194"/>
        <v>-2.7999999999999997E-2</v>
      </c>
      <c r="X321" s="3">
        <f t="shared" si="190"/>
        <v>1.7551282051282056E-3</v>
      </c>
      <c r="Y321" s="3">
        <f t="shared" si="191"/>
        <v>1.228197674418605E-2</v>
      </c>
      <c r="Z321" s="3">
        <f t="shared" si="205"/>
        <v>1.0526848539057844E-2</v>
      </c>
      <c r="AA321" s="3">
        <v>14.334</v>
      </c>
      <c r="AB321" s="3">
        <v>13.302</v>
      </c>
      <c r="AC321" s="3">
        <f t="shared" si="206"/>
        <v>-1.032</v>
      </c>
      <c r="AD321" s="3">
        <f>-461.080798*627.50956</f>
        <v>-289332.60867742886</v>
      </c>
      <c r="AE321" s="3">
        <f>-464.145051*627.50956</f>
        <v>-291255.45672918757</v>
      </c>
      <c r="AF321" s="3">
        <f t="shared" si="207"/>
        <v>-1922.8480517587159</v>
      </c>
      <c r="AG321" s="3">
        <f>-461.126941*627.50956</f>
        <v>-289361.56385105592</v>
      </c>
      <c r="AH321" s="3">
        <f>-464.192843*627.50956</f>
        <v>-291285.44666607905</v>
      </c>
      <c r="AI321" s="3">
        <f t="shared" si="208"/>
        <v>-1923.8828150231275</v>
      </c>
      <c r="AJ321" s="3">
        <v>-0.94499999999999995</v>
      </c>
      <c r="AK321" s="3">
        <v>-0.83599999999999997</v>
      </c>
      <c r="AL321" s="3">
        <f t="shared" si="209"/>
        <v>0.10899999999999999</v>
      </c>
      <c r="AM321" s="3">
        <v>149.20959999999999</v>
      </c>
      <c r="AN321" s="3">
        <v>218.547</v>
      </c>
      <c r="AO321" s="3">
        <v>248.74160000000001</v>
      </c>
      <c r="AP321" s="3">
        <f t="shared" si="210"/>
        <v>1.142795488763666</v>
      </c>
      <c r="AQ321" s="3">
        <v>10.294</v>
      </c>
      <c r="AR321" s="3">
        <v>2.496</v>
      </c>
      <c r="AS321" s="3">
        <v>-248.59200000000001</v>
      </c>
      <c r="AT321" s="3">
        <v>-247.066</v>
      </c>
      <c r="AU321" s="3">
        <f t="shared" si="220"/>
        <v>-1.5260000000000105</v>
      </c>
      <c r="AV321" s="3">
        <v>-0.25</v>
      </c>
      <c r="AW321" s="3">
        <v>-0.375</v>
      </c>
      <c r="AX321" s="3">
        <f t="shared" si="221"/>
        <v>0.125</v>
      </c>
      <c r="AY321" s="3">
        <v>1.7999999999999999E-2</v>
      </c>
      <c r="AZ321" s="3">
        <v>0.157</v>
      </c>
      <c r="BA321" s="3">
        <f t="shared" si="222"/>
        <v>-0.13900000000000001</v>
      </c>
      <c r="BB321" s="3">
        <f t="shared" si="223"/>
        <v>0.11600000000000001</v>
      </c>
      <c r="BC321" s="3">
        <f t="shared" si="223"/>
        <v>0.109</v>
      </c>
      <c r="BD321" s="3">
        <f t="shared" si="224"/>
        <v>7.0000000000000062E-3</v>
      </c>
      <c r="BE321" s="3">
        <f t="shared" si="225"/>
        <v>0.26800000000000002</v>
      </c>
      <c r="BF321" s="3">
        <f t="shared" si="225"/>
        <v>0.53200000000000003</v>
      </c>
      <c r="BG321" s="3">
        <f t="shared" si="226"/>
        <v>-0.26400000000000001</v>
      </c>
      <c r="BH321" s="3">
        <f t="shared" si="227"/>
        <v>-0.11600000000000001</v>
      </c>
      <c r="BI321" s="3">
        <f t="shared" si="227"/>
        <v>-0.109</v>
      </c>
      <c r="BJ321" s="3">
        <f t="shared" si="195"/>
        <v>-7.0000000000000062E-3</v>
      </c>
      <c r="BK321" s="3">
        <f t="shared" si="192"/>
        <v>2.5104477611940297E-2</v>
      </c>
      <c r="BL321" s="3">
        <f t="shared" si="193"/>
        <v>1.1166353383458645E-2</v>
      </c>
      <c r="BM321" s="3">
        <f t="shared" si="228"/>
        <v>1.3938124228481652E-2</v>
      </c>
      <c r="BN321" s="3">
        <v>5.09</v>
      </c>
      <c r="BO321" s="3">
        <v>5.2910000000000004</v>
      </c>
      <c r="BP321" s="3">
        <f t="shared" si="229"/>
        <v>-0.20100000000000051</v>
      </c>
      <c r="BQ321" s="3">
        <v>-155925.34599999999</v>
      </c>
      <c r="BR321" s="3">
        <v>-154963.22899999999</v>
      </c>
      <c r="BS321" s="3">
        <f t="shared" si="230"/>
        <v>-962.11699999999837</v>
      </c>
      <c r="BT321" s="3">
        <v>-155948.003</v>
      </c>
      <c r="BU321" s="3">
        <v>-154985.997</v>
      </c>
      <c r="BV321" s="3">
        <f t="shared" si="231"/>
        <v>-962.00599999999395</v>
      </c>
    </row>
    <row r="322" spans="1:74" x14ac:dyDescent="0.25">
      <c r="A322" s="4" t="s">
        <v>493</v>
      </c>
      <c r="B322" t="s">
        <v>513</v>
      </c>
      <c r="C322" t="s">
        <v>360</v>
      </c>
      <c r="D322" s="3">
        <v>19.899999999999999</v>
      </c>
      <c r="E322" s="3">
        <v>0.82</v>
      </c>
      <c r="F322" s="3">
        <v>-419.04399999999998</v>
      </c>
      <c r="G322" s="3">
        <v>-421.61399999999998</v>
      </c>
      <c r="H322" s="3">
        <f t="shared" si="196"/>
        <v>-2.5699999999999932</v>
      </c>
      <c r="I322" s="3">
        <v>-0.23400000000000001</v>
      </c>
      <c r="J322" s="6">
        <v>-0.153</v>
      </c>
      <c r="K322" s="3">
        <f t="shared" si="197"/>
        <v>8.1000000000000016E-2</v>
      </c>
      <c r="L322" s="3">
        <v>0.154</v>
      </c>
      <c r="M322" s="6">
        <v>1.7000000000000001E-2</v>
      </c>
      <c r="N322" s="3">
        <f t="shared" si="198"/>
        <v>-0.13700000000000001</v>
      </c>
      <c r="O322" s="3">
        <f t="shared" si="199"/>
        <v>4.0000000000000008E-2</v>
      </c>
      <c r="P322" s="3">
        <f t="shared" si="200"/>
        <v>6.8000000000000005E-2</v>
      </c>
      <c r="Q322" s="3">
        <f t="shared" si="201"/>
        <v>2.7999999999999997E-2</v>
      </c>
      <c r="R322" s="3">
        <f t="shared" si="202"/>
        <v>0.38800000000000001</v>
      </c>
      <c r="S322" s="3">
        <f t="shared" si="202"/>
        <v>0.16999999999999998</v>
      </c>
      <c r="T322" s="3">
        <f t="shared" si="203"/>
        <v>-0.21800000000000003</v>
      </c>
      <c r="U322" s="3">
        <f t="shared" si="204"/>
        <v>-4.0000000000000008E-2</v>
      </c>
      <c r="V322" s="3">
        <f t="shared" si="204"/>
        <v>-6.8000000000000005E-2</v>
      </c>
      <c r="W322" s="3">
        <f t="shared" si="194"/>
        <v>-2.7999999999999997E-2</v>
      </c>
      <c r="X322" s="3">
        <f t="shared" ref="X322:X385" si="232">(U322*U322)/(2*R322)</f>
        <v>2.0618556701030937E-3</v>
      </c>
      <c r="Y322" s="3">
        <f t="shared" ref="Y322:Y385" si="233">(V322*V322)/(2*S322)</f>
        <v>1.3600000000000003E-2</v>
      </c>
      <c r="Z322" s="3">
        <f t="shared" si="205"/>
        <v>1.1538144329896909E-2</v>
      </c>
      <c r="AA322" s="3">
        <v>10.819000000000001</v>
      </c>
      <c r="AB322" s="3">
        <v>9.81</v>
      </c>
      <c r="AC322" s="3">
        <f t="shared" si="206"/>
        <v>-1.0090000000000003</v>
      </c>
      <c r="AD322" s="3">
        <f>-418.904582*627.50956</f>
        <v>-262866.62993280392</v>
      </c>
      <c r="AE322" s="3">
        <f>-421.482548*627.50956</f>
        <v>-264484.32824315887</v>
      </c>
      <c r="AF322" s="3">
        <f t="shared" si="207"/>
        <v>-1617.6983103549574</v>
      </c>
      <c r="AG322" s="3">
        <f>-418.945559*627.50956</f>
        <v>-262892.34339204401</v>
      </c>
      <c r="AH322" s="3">
        <f>-421.524761*627.50956</f>
        <v>-264510.81730421516</v>
      </c>
      <c r="AI322" s="3">
        <f t="shared" si="208"/>
        <v>-1618.4739121711464</v>
      </c>
      <c r="AJ322" s="3">
        <v>-0.94599999999999995</v>
      </c>
      <c r="AK322" s="3">
        <v>-0.83399999999999996</v>
      </c>
      <c r="AL322" s="3">
        <f t="shared" si="209"/>
        <v>0.11199999999999999</v>
      </c>
      <c r="AM322" s="3">
        <v>123.129</v>
      </c>
      <c r="AN322" s="3">
        <v>178.50800000000001</v>
      </c>
      <c r="AO322" s="3">
        <v>183.54990000000001</v>
      </c>
      <c r="AP322" s="3">
        <f t="shared" si="210"/>
        <v>1.1430823871131939</v>
      </c>
      <c r="AQ322" s="3">
        <v>10.067</v>
      </c>
      <c r="AR322" s="3">
        <v>2.2084999999999999</v>
      </c>
      <c r="AS322" s="3">
        <v>-248.59200000000001</v>
      </c>
      <c r="AT322" s="3">
        <v>-247.066</v>
      </c>
      <c r="AU322" s="3">
        <f t="shared" si="220"/>
        <v>-1.5260000000000105</v>
      </c>
      <c r="AV322" s="3">
        <v>-0.25</v>
      </c>
      <c r="AW322" s="3">
        <v>-0.375</v>
      </c>
      <c r="AX322" s="3">
        <f t="shared" si="221"/>
        <v>0.125</v>
      </c>
      <c r="AY322" s="3">
        <v>1.7999999999999999E-2</v>
      </c>
      <c r="AZ322" s="3">
        <v>0.157</v>
      </c>
      <c r="BA322" s="3">
        <f t="shared" si="222"/>
        <v>-0.13900000000000001</v>
      </c>
      <c r="BB322" s="3">
        <f t="shared" si="223"/>
        <v>0.11600000000000001</v>
      </c>
      <c r="BC322" s="3">
        <f t="shared" si="223"/>
        <v>0.109</v>
      </c>
      <c r="BD322" s="3">
        <f t="shared" si="224"/>
        <v>7.0000000000000062E-3</v>
      </c>
      <c r="BE322" s="3">
        <f t="shared" si="225"/>
        <v>0.26800000000000002</v>
      </c>
      <c r="BF322" s="3">
        <f t="shared" si="225"/>
        <v>0.53200000000000003</v>
      </c>
      <c r="BG322" s="3">
        <f t="shared" si="226"/>
        <v>-0.26400000000000001</v>
      </c>
      <c r="BH322" s="3">
        <f t="shared" si="227"/>
        <v>-0.11600000000000001</v>
      </c>
      <c r="BI322" s="3">
        <f t="shared" si="227"/>
        <v>-0.109</v>
      </c>
      <c r="BJ322" s="3">
        <f t="shared" si="195"/>
        <v>-7.0000000000000062E-3</v>
      </c>
      <c r="BK322" s="3">
        <f t="shared" ref="BK322:BK385" si="234">(BH322*BH322)/(2*BE322)</f>
        <v>2.5104477611940297E-2</v>
      </c>
      <c r="BL322" s="3">
        <f t="shared" ref="BL322:BL385" si="235">(BI322*BI322)/(2*BF322)</f>
        <v>1.1166353383458645E-2</v>
      </c>
      <c r="BM322" s="3">
        <f t="shared" si="228"/>
        <v>1.3938124228481652E-2</v>
      </c>
      <c r="BN322" s="3">
        <v>5.09</v>
      </c>
      <c r="BO322" s="3">
        <v>5.2910000000000004</v>
      </c>
      <c r="BP322" s="3">
        <f t="shared" si="229"/>
        <v>-0.20100000000000051</v>
      </c>
      <c r="BQ322" s="3">
        <v>-155925.34599999999</v>
      </c>
      <c r="BR322" s="3">
        <v>-154963.22899999999</v>
      </c>
      <c r="BS322" s="3">
        <f t="shared" si="230"/>
        <v>-962.11699999999837</v>
      </c>
      <c r="BT322" s="3">
        <v>-155948.003</v>
      </c>
      <c r="BU322" s="3">
        <v>-154985.997</v>
      </c>
      <c r="BV322" s="3">
        <f t="shared" si="231"/>
        <v>-962.00599999999395</v>
      </c>
    </row>
    <row r="323" spans="1:74" x14ac:dyDescent="0.25">
      <c r="A323" s="4" t="s">
        <v>493</v>
      </c>
      <c r="B323" t="s">
        <v>513</v>
      </c>
      <c r="C323" t="s">
        <v>200</v>
      </c>
      <c r="D323" s="3">
        <v>20.09</v>
      </c>
      <c r="E323" s="3">
        <v>0.8</v>
      </c>
      <c r="F323" s="3">
        <v>-419.04500000000002</v>
      </c>
      <c r="G323" s="3">
        <v>-421.61399999999998</v>
      </c>
      <c r="H323" s="3">
        <f t="shared" ref="H323:H334" si="236">G323-F323</f>
        <v>-2.56899999999996</v>
      </c>
      <c r="I323" s="3">
        <v>-0.23499999999999999</v>
      </c>
      <c r="J323" s="6">
        <v>-0.154</v>
      </c>
      <c r="K323" s="3">
        <f t="shared" ref="K323:K334" si="237">J323-I323</f>
        <v>8.0999999999999989E-2</v>
      </c>
      <c r="L323" s="3">
        <v>0.153</v>
      </c>
      <c r="M323" s="6">
        <v>1.6E-2</v>
      </c>
      <c r="N323" s="3">
        <f t="shared" ref="N323:N334" si="238">M323-L323</f>
        <v>-0.13700000000000001</v>
      </c>
      <c r="O323" s="3">
        <f t="shared" si="199"/>
        <v>4.0999999999999995E-2</v>
      </c>
      <c r="P323" s="3">
        <f t="shared" ref="P323:P334" si="239">-(J323+M323)/2</f>
        <v>6.9000000000000006E-2</v>
      </c>
      <c r="Q323" s="3">
        <f t="shared" ref="Q323:Q334" si="240">P323-O323</f>
        <v>2.8000000000000011E-2</v>
      </c>
      <c r="R323" s="3">
        <f t="shared" ref="R323:S334" si="241">(L323-I323)</f>
        <v>0.38800000000000001</v>
      </c>
      <c r="S323" s="3">
        <f t="shared" si="241"/>
        <v>0.16999999999999998</v>
      </c>
      <c r="T323" s="3">
        <f t="shared" ref="T323:T334" si="242">S323-R323</f>
        <v>-0.21800000000000003</v>
      </c>
      <c r="U323" s="3">
        <f t="shared" ref="U323:V334" si="243">(I323+L323)/2</f>
        <v>-4.0999999999999995E-2</v>
      </c>
      <c r="V323" s="3">
        <f t="shared" si="243"/>
        <v>-6.9000000000000006E-2</v>
      </c>
      <c r="W323" s="3">
        <f t="shared" ref="W323:W386" si="244">(V323-U323)</f>
        <v>-2.8000000000000011E-2</v>
      </c>
      <c r="X323" s="3">
        <f t="shared" si="232"/>
        <v>2.1662371134020613E-3</v>
      </c>
      <c r="Y323" s="3">
        <f t="shared" si="233"/>
        <v>1.4002941176470591E-2</v>
      </c>
      <c r="Z323" s="3">
        <f t="shared" ref="Z323:Z334" si="245">Y323-X323</f>
        <v>1.183670406306853E-2</v>
      </c>
      <c r="AA323" s="3">
        <v>10.840999999999999</v>
      </c>
      <c r="AB323" s="3">
        <v>9.8339999999999996</v>
      </c>
      <c r="AC323" s="3">
        <f t="shared" ref="AC323:AC334" si="246">AB323-AA323</f>
        <v>-1.0069999999999997</v>
      </c>
      <c r="AD323" s="3">
        <f>-418.905177*627.50956</f>
        <v>-262867.00330099207</v>
      </c>
      <c r="AE323" s="3">
        <f>-421.483116*627.50956</f>
        <v>-264484.68466858892</v>
      </c>
      <c r="AF323" s="3">
        <f t="shared" ref="AF323:AF334" si="247">AE323-AD323</f>
        <v>-1617.6813675968442</v>
      </c>
      <c r="AG323" s="3">
        <f>-418.946092*627.50956</f>
        <v>-262892.67785463954</v>
      </c>
      <c r="AH323" s="3">
        <f>-421.525324*627.50956</f>
        <v>-264511.17059209745</v>
      </c>
      <c r="AI323" s="3">
        <f t="shared" ref="AI323:AI334" si="248">AH323-AG323</f>
        <v>-1618.4927374579129</v>
      </c>
      <c r="AJ323" s="3">
        <v>-0.94599999999999995</v>
      </c>
      <c r="AK323" s="3">
        <v>-0.83399999999999996</v>
      </c>
      <c r="AL323" s="3">
        <f t="shared" ref="AL323:AL334" si="249">AK323-AJ323</f>
        <v>0.11199999999999999</v>
      </c>
      <c r="AM323" s="3">
        <v>123.129</v>
      </c>
      <c r="AN323" s="3">
        <v>178.50989999999999</v>
      </c>
      <c r="AO323" s="3">
        <v>183.5538</v>
      </c>
      <c r="AP323" s="3">
        <f t="shared" ref="AP323:AP334" si="250">(AN323/(4*3.14*POWER(((3*AO323)/(4*3.14)),2/3)))</f>
        <v>1.1430783620861864</v>
      </c>
      <c r="AQ323" s="3">
        <v>10.067</v>
      </c>
      <c r="AR323" s="3">
        <v>2.2084999999999999</v>
      </c>
      <c r="AS323" s="3">
        <v>-553.27200000000005</v>
      </c>
      <c r="AT323" s="3">
        <v>-551.61699999999996</v>
      </c>
      <c r="AU323" s="3">
        <f t="shared" si="220"/>
        <v>-1.6550000000000864</v>
      </c>
      <c r="AV323" s="3">
        <v>-0.23699999999999999</v>
      </c>
      <c r="AW323" s="3">
        <v>-0.36899999999999999</v>
      </c>
      <c r="AX323" s="3">
        <f t="shared" si="221"/>
        <v>0.13200000000000001</v>
      </c>
      <c r="AY323" s="3">
        <v>2.8000000000000001E-2</v>
      </c>
      <c r="AZ323" s="3">
        <v>0.154</v>
      </c>
      <c r="BA323" s="3">
        <f t="shared" si="222"/>
        <v>-0.126</v>
      </c>
      <c r="BB323" s="3">
        <f t="shared" si="223"/>
        <v>0.1045</v>
      </c>
      <c r="BC323" s="3">
        <f t="shared" si="223"/>
        <v>0.1075</v>
      </c>
      <c r="BD323" s="3">
        <f t="shared" si="224"/>
        <v>-3.0000000000000027E-3</v>
      </c>
      <c r="BE323" s="3">
        <f t="shared" si="225"/>
        <v>0.26500000000000001</v>
      </c>
      <c r="BF323" s="3">
        <f t="shared" si="225"/>
        <v>0.52300000000000002</v>
      </c>
      <c r="BG323" s="3">
        <f t="shared" si="226"/>
        <v>-0.25800000000000001</v>
      </c>
      <c r="BH323" s="3">
        <f t="shared" si="227"/>
        <v>-0.1045</v>
      </c>
      <c r="BI323" s="3">
        <f t="shared" si="227"/>
        <v>-0.1075</v>
      </c>
      <c r="BJ323" s="3">
        <f t="shared" ref="BJ323:BJ386" si="251">(BH323-BI323)</f>
        <v>3.0000000000000027E-3</v>
      </c>
      <c r="BK323" s="3">
        <f t="shared" si="234"/>
        <v>2.0604245283018865E-2</v>
      </c>
      <c r="BL323" s="3">
        <f t="shared" si="235"/>
        <v>1.104804015296367E-2</v>
      </c>
      <c r="BM323" s="3">
        <f t="shared" si="228"/>
        <v>9.5562051300551957E-3</v>
      </c>
      <c r="BN323" s="3">
        <v>5.4870000000000001</v>
      </c>
      <c r="BO323" s="3">
        <v>6.0839999999999996</v>
      </c>
      <c r="BP323" s="3">
        <f t="shared" si="229"/>
        <v>-0.59699999999999953</v>
      </c>
      <c r="BQ323" s="3">
        <v>-347129.96399999998</v>
      </c>
      <c r="BR323" s="3">
        <v>-346087.64600000001</v>
      </c>
      <c r="BS323" s="3">
        <f t="shared" si="230"/>
        <v>-1042.3179999999702</v>
      </c>
      <c r="BT323" s="3">
        <v>-347152.04599999997</v>
      </c>
      <c r="BU323" s="3">
        <v>-346109.22600000002</v>
      </c>
      <c r="BV323" s="3">
        <f t="shared" si="231"/>
        <v>-1042.8199999999488</v>
      </c>
    </row>
    <row r="324" spans="1:74" x14ac:dyDescent="0.25">
      <c r="A324" s="4" t="s">
        <v>480</v>
      </c>
      <c r="B324" t="s">
        <v>513</v>
      </c>
      <c r="C324" t="s">
        <v>200</v>
      </c>
      <c r="D324" s="3">
        <v>20.34</v>
      </c>
      <c r="E324" s="3">
        <v>0.64</v>
      </c>
      <c r="F324" s="3">
        <v>-764.06700000000001</v>
      </c>
      <c r="G324" s="3">
        <v>-766.69299999999998</v>
      </c>
      <c r="H324" s="3">
        <f t="shared" si="236"/>
        <v>-2.6259999999999764</v>
      </c>
      <c r="I324" s="3">
        <v>-0.245</v>
      </c>
      <c r="J324" s="6">
        <v>-0.16300000000000001</v>
      </c>
      <c r="K324" s="3">
        <f t="shared" si="237"/>
        <v>8.199999999999999E-2</v>
      </c>
      <c r="L324" s="3">
        <v>0.14799999999999999</v>
      </c>
      <c r="M324" s="6">
        <v>8.0000000000000002E-3</v>
      </c>
      <c r="N324" s="3">
        <f t="shared" si="238"/>
        <v>-0.13999999999999999</v>
      </c>
      <c r="O324" s="3">
        <f t="shared" ref="O324:O334" si="252">-(I324+L324)/2</f>
        <v>4.8500000000000001E-2</v>
      </c>
      <c r="P324" s="3">
        <f t="shared" si="239"/>
        <v>7.7499999999999999E-2</v>
      </c>
      <c r="Q324" s="3">
        <f t="shared" si="240"/>
        <v>2.8999999999999998E-2</v>
      </c>
      <c r="R324" s="3">
        <f t="shared" si="241"/>
        <v>0.39300000000000002</v>
      </c>
      <c r="S324" s="3">
        <f t="shared" si="241"/>
        <v>0.17100000000000001</v>
      </c>
      <c r="T324" s="3">
        <f t="shared" si="242"/>
        <v>-0.222</v>
      </c>
      <c r="U324" s="3">
        <f t="shared" si="243"/>
        <v>-4.8500000000000001E-2</v>
      </c>
      <c r="V324" s="3">
        <f t="shared" si="243"/>
        <v>-7.7499999999999999E-2</v>
      </c>
      <c r="W324" s="3">
        <f t="shared" si="244"/>
        <v>-2.8999999999999998E-2</v>
      </c>
      <c r="X324" s="3">
        <f t="shared" si="232"/>
        <v>2.9926844783715015E-3</v>
      </c>
      <c r="Y324" s="3">
        <f t="shared" si="233"/>
        <v>1.7562134502923977E-2</v>
      </c>
      <c r="Z324" s="3">
        <f t="shared" si="245"/>
        <v>1.4569450024552476E-2</v>
      </c>
      <c r="AA324" s="3">
        <v>7.6660000000000004</v>
      </c>
      <c r="AB324" s="3">
        <v>6.9560000000000004</v>
      </c>
      <c r="AC324" s="3">
        <f t="shared" si="246"/>
        <v>-0.71</v>
      </c>
      <c r="AD324" s="3">
        <f>-763.972546*627.50956</f>
        <v>-479400.07619253971</v>
      </c>
      <c r="AE324" s="3">
        <f>-766.604537*627.50956</f>
        <v>-481051.67570687371</v>
      </c>
      <c r="AF324" s="3">
        <f t="shared" si="247"/>
        <v>-1651.5995143339969</v>
      </c>
      <c r="AG324" s="3">
        <f>-764.010336*627.50956</f>
        <v>-479423.78977881215</v>
      </c>
      <c r="AH324" s="3">
        <f>-766.64313*627.50956</f>
        <v>-481075.8931833228</v>
      </c>
      <c r="AI324" s="3">
        <f t="shared" si="248"/>
        <v>-1652.1034045106499</v>
      </c>
      <c r="AJ324" s="3">
        <v>-0.92200000000000004</v>
      </c>
      <c r="AK324" s="3">
        <v>-0.81499999999999995</v>
      </c>
      <c r="AL324" s="3">
        <f t="shared" si="249"/>
        <v>0.1070000000000001</v>
      </c>
      <c r="AM324" s="3">
        <v>127.548</v>
      </c>
      <c r="AN324" s="3">
        <v>160.393</v>
      </c>
      <c r="AO324" s="3">
        <v>161.7149</v>
      </c>
      <c r="AP324" s="3">
        <f t="shared" si="250"/>
        <v>1.1175698322535046</v>
      </c>
      <c r="AQ324" s="3">
        <v>9.1969999999999992</v>
      </c>
      <c r="AR324" s="3">
        <v>2.1880000000000002</v>
      </c>
      <c r="AS324" s="3">
        <v>-553.27200000000005</v>
      </c>
      <c r="AT324" s="3">
        <v>-551.61699999999996</v>
      </c>
      <c r="AU324" s="3">
        <f t="shared" si="220"/>
        <v>-1.6550000000000864</v>
      </c>
      <c r="AV324" s="3">
        <v>-0.23699999999999999</v>
      </c>
      <c r="AW324" s="3">
        <v>-0.36899999999999999</v>
      </c>
      <c r="AX324" s="3">
        <f t="shared" si="221"/>
        <v>0.13200000000000001</v>
      </c>
      <c r="AY324" s="3">
        <v>2.8000000000000001E-2</v>
      </c>
      <c r="AZ324" s="3">
        <v>0.154</v>
      </c>
      <c r="BA324" s="3">
        <f t="shared" si="222"/>
        <v>-0.126</v>
      </c>
      <c r="BB324" s="3">
        <f t="shared" si="223"/>
        <v>0.1045</v>
      </c>
      <c r="BC324" s="3">
        <f t="shared" si="223"/>
        <v>0.1075</v>
      </c>
      <c r="BD324" s="3">
        <f t="shared" si="224"/>
        <v>-3.0000000000000027E-3</v>
      </c>
      <c r="BE324" s="3">
        <f t="shared" si="225"/>
        <v>0.26500000000000001</v>
      </c>
      <c r="BF324" s="3">
        <f t="shared" si="225"/>
        <v>0.52300000000000002</v>
      </c>
      <c r="BG324" s="3">
        <f t="shared" si="226"/>
        <v>-0.25800000000000001</v>
      </c>
      <c r="BH324" s="3">
        <f t="shared" si="227"/>
        <v>-0.1045</v>
      </c>
      <c r="BI324" s="3">
        <f t="shared" si="227"/>
        <v>-0.1075</v>
      </c>
      <c r="BJ324" s="3">
        <f t="shared" si="251"/>
        <v>3.0000000000000027E-3</v>
      </c>
      <c r="BK324" s="3">
        <f t="shared" si="234"/>
        <v>2.0604245283018865E-2</v>
      </c>
      <c r="BL324" s="3">
        <f t="shared" si="235"/>
        <v>1.104804015296367E-2</v>
      </c>
      <c r="BM324" s="3">
        <f t="shared" si="228"/>
        <v>9.5562051300551957E-3</v>
      </c>
      <c r="BN324" s="3">
        <v>5.4870000000000001</v>
      </c>
      <c r="BO324" s="3">
        <v>6.0839999999999996</v>
      </c>
      <c r="BP324" s="3">
        <f t="shared" si="229"/>
        <v>-0.59699999999999953</v>
      </c>
      <c r="BQ324" s="3">
        <v>-347129.96399999998</v>
      </c>
      <c r="BR324" s="3">
        <v>-346087.64600000001</v>
      </c>
      <c r="BS324" s="3">
        <f t="shared" si="230"/>
        <v>-1042.3179999999702</v>
      </c>
      <c r="BT324" s="3">
        <v>-347152.04599999997</v>
      </c>
      <c r="BU324" s="3">
        <v>-346109.22600000002</v>
      </c>
      <c r="BV324" s="3">
        <f t="shared" si="231"/>
        <v>-1042.8199999999488</v>
      </c>
    </row>
    <row r="325" spans="1:74" x14ac:dyDescent="0.25">
      <c r="A325" s="4" t="s">
        <v>494</v>
      </c>
      <c r="B325" t="s">
        <v>513</v>
      </c>
      <c r="C325" t="s">
        <v>360</v>
      </c>
      <c r="D325" s="3">
        <v>20.37</v>
      </c>
      <c r="E325" s="3">
        <v>0.57999999999999996</v>
      </c>
      <c r="F325" s="3">
        <v>-640.86199999999997</v>
      </c>
      <c r="G325" s="3">
        <v>-644.21699999999998</v>
      </c>
      <c r="H325" s="3">
        <f t="shared" si="236"/>
        <v>-3.3550000000000182</v>
      </c>
      <c r="I325" s="3">
        <v>-0.253</v>
      </c>
      <c r="J325" s="6">
        <v>-0.17100000000000001</v>
      </c>
      <c r="K325" s="3">
        <f t="shared" si="237"/>
        <v>8.199999999999999E-2</v>
      </c>
      <c r="L325" s="3">
        <v>0.14299999999999999</v>
      </c>
      <c r="M325" s="6">
        <v>0</v>
      </c>
      <c r="N325" s="3">
        <f t="shared" si="238"/>
        <v>-0.14299999999999999</v>
      </c>
      <c r="O325" s="3">
        <f t="shared" si="252"/>
        <v>5.5000000000000007E-2</v>
      </c>
      <c r="P325" s="3">
        <f t="shared" si="239"/>
        <v>8.5500000000000007E-2</v>
      </c>
      <c r="Q325" s="3">
        <f t="shared" si="240"/>
        <v>3.0499999999999999E-2</v>
      </c>
      <c r="R325" s="3">
        <f t="shared" si="241"/>
        <v>0.39600000000000002</v>
      </c>
      <c r="S325" s="3">
        <f t="shared" si="241"/>
        <v>0.17100000000000001</v>
      </c>
      <c r="T325" s="3">
        <f t="shared" si="242"/>
        <v>-0.22500000000000001</v>
      </c>
      <c r="U325" s="3">
        <f t="shared" si="243"/>
        <v>-5.5000000000000007E-2</v>
      </c>
      <c r="V325" s="3">
        <f t="shared" si="243"/>
        <v>-8.5500000000000007E-2</v>
      </c>
      <c r="W325" s="3">
        <f t="shared" si="244"/>
        <v>-3.0499999999999999E-2</v>
      </c>
      <c r="X325" s="3">
        <f t="shared" si="232"/>
        <v>3.8194444444444452E-3</v>
      </c>
      <c r="Y325" s="3">
        <f t="shared" si="233"/>
        <v>2.1375000000000002E-2</v>
      </c>
      <c r="Z325" s="3">
        <f t="shared" si="245"/>
        <v>1.7555555555555557E-2</v>
      </c>
      <c r="AA325" s="3">
        <v>6.2629999999999999</v>
      </c>
      <c r="AB325" s="3">
        <v>5.5410000000000004</v>
      </c>
      <c r="AC325" s="3">
        <f t="shared" si="246"/>
        <v>-0.72199999999999953</v>
      </c>
      <c r="AD325" s="3">
        <f>-640.749999*627.50956</f>
        <v>-402076.74994249042</v>
      </c>
      <c r="AE325" s="3">
        <f>-644.111616*627.50956</f>
        <v>-404186.19674704893</v>
      </c>
      <c r="AF325" s="3">
        <f t="shared" si="247"/>
        <v>-2109.446804558509</v>
      </c>
      <c r="AG325" s="3">
        <f>-640.792722*627.50956</f>
        <v>-402103.55903342232</v>
      </c>
      <c r="AH325" s="3">
        <f>-644.155533*627.50956</f>
        <v>-404213.75508439547</v>
      </c>
      <c r="AI325" s="3">
        <f t="shared" si="248"/>
        <v>-2110.1960509731434</v>
      </c>
      <c r="AJ325" s="3">
        <v>-0.90300000000000002</v>
      </c>
      <c r="AK325" s="3">
        <v>-0.79500000000000004</v>
      </c>
      <c r="AL325" s="3">
        <f t="shared" si="249"/>
        <v>0.10799999999999998</v>
      </c>
      <c r="AM325" s="3">
        <v>161.101</v>
      </c>
      <c r="AN325" s="3">
        <v>173.55699999999999</v>
      </c>
      <c r="AO325" s="3">
        <v>178.5</v>
      </c>
      <c r="AP325" s="3">
        <f t="shared" si="250"/>
        <v>1.1322420274398584</v>
      </c>
      <c r="AQ325" s="3">
        <v>8.7219999999999995</v>
      </c>
      <c r="AR325" s="3">
        <v>2.1716000000000002</v>
      </c>
      <c r="AS325" s="3">
        <v>-248.59200000000001</v>
      </c>
      <c r="AT325" s="3">
        <v>-247.066</v>
      </c>
      <c r="AU325" s="3">
        <f t="shared" si="220"/>
        <v>-1.5260000000000105</v>
      </c>
      <c r="AV325" s="3">
        <v>-0.25</v>
      </c>
      <c r="AW325" s="3">
        <v>-0.375</v>
      </c>
      <c r="AX325" s="3">
        <f t="shared" si="221"/>
        <v>0.125</v>
      </c>
      <c r="AY325" s="3">
        <v>1.7999999999999999E-2</v>
      </c>
      <c r="AZ325" s="3">
        <v>0.157</v>
      </c>
      <c r="BA325" s="3">
        <f t="shared" si="222"/>
        <v>-0.13900000000000001</v>
      </c>
      <c r="BB325" s="3">
        <f t="shared" si="223"/>
        <v>0.11600000000000001</v>
      </c>
      <c r="BC325" s="3">
        <f t="shared" si="223"/>
        <v>0.109</v>
      </c>
      <c r="BD325" s="3">
        <f t="shared" si="224"/>
        <v>7.0000000000000062E-3</v>
      </c>
      <c r="BE325" s="3">
        <f t="shared" si="225"/>
        <v>0.26800000000000002</v>
      </c>
      <c r="BF325" s="3">
        <f t="shared" si="225"/>
        <v>0.53200000000000003</v>
      </c>
      <c r="BG325" s="3">
        <f t="shared" si="226"/>
        <v>-0.26400000000000001</v>
      </c>
      <c r="BH325" s="3">
        <f t="shared" si="227"/>
        <v>-0.11600000000000001</v>
      </c>
      <c r="BI325" s="3">
        <f t="shared" si="227"/>
        <v>-0.109</v>
      </c>
      <c r="BJ325" s="3">
        <f t="shared" si="251"/>
        <v>-7.0000000000000062E-3</v>
      </c>
      <c r="BK325" s="3">
        <f t="shared" si="234"/>
        <v>2.5104477611940297E-2</v>
      </c>
      <c r="BL325" s="3">
        <f t="shared" si="235"/>
        <v>1.1166353383458645E-2</v>
      </c>
      <c r="BM325" s="3">
        <f t="shared" si="228"/>
        <v>1.3938124228481652E-2</v>
      </c>
      <c r="BN325" s="3">
        <v>5.09</v>
      </c>
      <c r="BO325" s="3">
        <v>5.2910000000000004</v>
      </c>
      <c r="BP325" s="3">
        <f t="shared" si="229"/>
        <v>-0.20100000000000051</v>
      </c>
      <c r="BQ325" s="3">
        <v>-155925.34599999999</v>
      </c>
      <c r="BR325" s="3">
        <v>-154963.22899999999</v>
      </c>
      <c r="BS325" s="3">
        <f t="shared" si="230"/>
        <v>-962.11699999999837</v>
      </c>
      <c r="BT325" s="3">
        <v>-155948.003</v>
      </c>
      <c r="BU325" s="3">
        <v>-154985.997</v>
      </c>
      <c r="BV325" s="3">
        <f t="shared" si="231"/>
        <v>-962.00599999999395</v>
      </c>
    </row>
    <row r="326" spans="1:74" x14ac:dyDescent="0.25">
      <c r="A326" s="4" t="s">
        <v>495</v>
      </c>
      <c r="B326" t="s">
        <v>513</v>
      </c>
      <c r="C326" t="s">
        <v>99</v>
      </c>
      <c r="D326" s="3">
        <v>20.62</v>
      </c>
      <c r="E326" s="3">
        <v>0.69</v>
      </c>
      <c r="F326" s="3">
        <v>-419.04399999999998</v>
      </c>
      <c r="G326" s="3">
        <v>-421.61399999999998</v>
      </c>
      <c r="H326" s="3">
        <f t="shared" si="236"/>
        <v>-2.5699999999999932</v>
      </c>
      <c r="I326" s="3">
        <v>-0.23400000000000001</v>
      </c>
      <c r="J326" s="6">
        <v>-0.152</v>
      </c>
      <c r="K326" s="3">
        <f t="shared" si="237"/>
        <v>8.2000000000000017E-2</v>
      </c>
      <c r="L326" s="3">
        <v>0.154</v>
      </c>
      <c r="M326" s="6">
        <v>1.7000000000000001E-2</v>
      </c>
      <c r="N326" s="3">
        <f t="shared" si="238"/>
        <v>-0.13700000000000001</v>
      </c>
      <c r="O326" s="3">
        <f t="shared" si="252"/>
        <v>4.0000000000000008E-2</v>
      </c>
      <c r="P326" s="3">
        <f t="shared" si="239"/>
        <v>6.7500000000000004E-2</v>
      </c>
      <c r="Q326" s="3">
        <f t="shared" si="240"/>
        <v>2.7499999999999997E-2</v>
      </c>
      <c r="R326" s="3">
        <f t="shared" si="241"/>
        <v>0.38800000000000001</v>
      </c>
      <c r="S326" s="3">
        <f t="shared" si="241"/>
        <v>0.16899999999999998</v>
      </c>
      <c r="T326" s="3">
        <f t="shared" si="242"/>
        <v>-0.21900000000000003</v>
      </c>
      <c r="U326" s="3">
        <f t="shared" si="243"/>
        <v>-4.0000000000000008E-2</v>
      </c>
      <c r="V326" s="3">
        <f t="shared" si="243"/>
        <v>-6.7500000000000004E-2</v>
      </c>
      <c r="W326" s="3">
        <f t="shared" si="244"/>
        <v>-2.7499999999999997E-2</v>
      </c>
      <c r="X326" s="3">
        <f t="shared" si="232"/>
        <v>2.0618556701030937E-3</v>
      </c>
      <c r="Y326" s="3">
        <f t="shared" si="233"/>
        <v>1.3480029585798818E-2</v>
      </c>
      <c r="Z326" s="3">
        <f t="shared" si="245"/>
        <v>1.1418173915695724E-2</v>
      </c>
      <c r="AA326" s="3">
        <v>10.81</v>
      </c>
      <c r="AB326" s="3">
        <v>9.8040000000000003</v>
      </c>
      <c r="AC326" s="3">
        <f t="shared" si="246"/>
        <v>-1.0060000000000002</v>
      </c>
      <c r="AD326" s="3">
        <f>-418.904439*627.50956</f>
        <v>-262866.54019893683</v>
      </c>
      <c r="AE326" s="3">
        <f>-421.482429*627.50956</f>
        <v>-264484.25356952124</v>
      </c>
      <c r="AF326" s="3">
        <f t="shared" si="247"/>
        <v>-1617.7133705844171</v>
      </c>
      <c r="AG326" s="3">
        <f>-418.945352*627.50956</f>
        <v>-262892.21349756513</v>
      </c>
      <c r="AH326" s="3">
        <f>-421.524644*627.50956</f>
        <v>-264510.74388559663</v>
      </c>
      <c r="AI326" s="3">
        <f t="shared" si="248"/>
        <v>-1618.5303880315041</v>
      </c>
      <c r="AJ326" s="3">
        <v>-0.94599999999999995</v>
      </c>
      <c r="AK326" s="3">
        <v>-0.83399999999999996</v>
      </c>
      <c r="AL326" s="3">
        <f t="shared" si="249"/>
        <v>0.11199999999999999</v>
      </c>
      <c r="AM326" s="3">
        <v>123.129</v>
      </c>
      <c r="AN326" s="3">
        <v>178.5076</v>
      </c>
      <c r="AO326" s="3">
        <v>183.5488</v>
      </c>
      <c r="AP326" s="3">
        <f t="shared" si="250"/>
        <v>1.14308439264616</v>
      </c>
      <c r="AQ326" s="3">
        <v>10.067</v>
      </c>
      <c r="AR326" s="3">
        <v>2.2084999999999999</v>
      </c>
      <c r="AS326" s="3">
        <v>-132.80099999999999</v>
      </c>
      <c r="AT326" s="3">
        <v>-131.97</v>
      </c>
      <c r="AU326" s="3">
        <f t="shared" si="220"/>
        <v>-0.83099999999998886</v>
      </c>
      <c r="AV326" s="3">
        <v>-0.34100000000000003</v>
      </c>
      <c r="AW326" s="3">
        <v>-0.47499999999999998</v>
      </c>
      <c r="AX326" s="3">
        <f t="shared" si="221"/>
        <v>0.13399999999999995</v>
      </c>
      <c r="AY326" s="3">
        <v>2.9000000000000001E-2</v>
      </c>
      <c r="AZ326" s="3">
        <v>0.156</v>
      </c>
      <c r="BA326" s="3">
        <f t="shared" si="222"/>
        <v>-0.127</v>
      </c>
      <c r="BB326" s="3">
        <f t="shared" si="223"/>
        <v>0.156</v>
      </c>
      <c r="BC326" s="3">
        <f t="shared" si="223"/>
        <v>0.15949999999999998</v>
      </c>
      <c r="BD326" s="3">
        <f t="shared" si="224"/>
        <v>-3.4999999999999754E-3</v>
      </c>
      <c r="BE326" s="3">
        <f t="shared" si="225"/>
        <v>0.37000000000000005</v>
      </c>
      <c r="BF326" s="3">
        <f t="shared" si="225"/>
        <v>0.63100000000000001</v>
      </c>
      <c r="BG326" s="3">
        <f t="shared" si="226"/>
        <v>-0.26099999999999995</v>
      </c>
      <c r="BH326" s="3">
        <f t="shared" si="227"/>
        <v>-0.156</v>
      </c>
      <c r="BI326" s="3">
        <f t="shared" si="227"/>
        <v>-0.15949999999999998</v>
      </c>
      <c r="BJ326" s="3">
        <f t="shared" si="251"/>
        <v>3.4999999999999754E-3</v>
      </c>
      <c r="BK326" s="3">
        <f t="shared" si="234"/>
        <v>3.2886486486486483E-2</v>
      </c>
      <c r="BL326" s="3">
        <f t="shared" si="235"/>
        <v>2.0158676703645E-2</v>
      </c>
      <c r="BM326" s="3">
        <f t="shared" si="228"/>
        <v>1.2727809782841482E-2</v>
      </c>
      <c r="BN326" s="3">
        <v>4.7279999999999998</v>
      </c>
      <c r="BO326" s="3">
        <v>4.9340000000000002</v>
      </c>
      <c r="BP326" s="3">
        <f t="shared" si="229"/>
        <v>-0.20600000000000041</v>
      </c>
      <c r="BQ326" s="3">
        <v>-83302.89</v>
      </c>
      <c r="BR326" s="3">
        <v>-82779.224000000002</v>
      </c>
      <c r="BS326" s="3">
        <f t="shared" si="230"/>
        <v>-523.66599999999744</v>
      </c>
      <c r="BT326" s="3">
        <v>-83320.774999999994</v>
      </c>
      <c r="BU326" s="3">
        <v>-82796.997000000003</v>
      </c>
      <c r="BV326" s="3">
        <f t="shared" si="231"/>
        <v>-523.77799999999115</v>
      </c>
    </row>
    <row r="327" spans="1:74" x14ac:dyDescent="0.25">
      <c r="A327" s="4" t="s">
        <v>496</v>
      </c>
      <c r="B327" t="s">
        <v>513</v>
      </c>
      <c r="C327" t="s">
        <v>200</v>
      </c>
      <c r="D327" s="3">
        <v>21.02</v>
      </c>
      <c r="E327" s="3">
        <v>0.59</v>
      </c>
      <c r="F327" s="3">
        <v>-617.47</v>
      </c>
      <c r="G327" s="3">
        <v>-621.65200000000004</v>
      </c>
      <c r="H327" s="3">
        <f t="shared" si="236"/>
        <v>-4.1820000000000164</v>
      </c>
      <c r="I327" s="3">
        <v>-0.22700000000000001</v>
      </c>
      <c r="J327" s="6">
        <v>-0.152</v>
      </c>
      <c r="K327" s="3">
        <f t="shared" si="237"/>
        <v>7.5000000000000011E-2</v>
      </c>
      <c r="L327" s="3">
        <v>0.16600000000000001</v>
      </c>
      <c r="M327" s="6">
        <v>2.7E-2</v>
      </c>
      <c r="N327" s="3">
        <f t="shared" si="238"/>
        <v>-0.13900000000000001</v>
      </c>
      <c r="O327" s="3">
        <f t="shared" si="252"/>
        <v>3.0499999999999999E-2</v>
      </c>
      <c r="P327" s="3">
        <f t="shared" si="239"/>
        <v>6.25E-2</v>
      </c>
      <c r="Q327" s="3">
        <f t="shared" si="240"/>
        <v>3.2000000000000001E-2</v>
      </c>
      <c r="R327" s="3">
        <f t="shared" si="241"/>
        <v>0.39300000000000002</v>
      </c>
      <c r="S327" s="3">
        <f t="shared" si="241"/>
        <v>0.17899999999999999</v>
      </c>
      <c r="T327" s="3">
        <f t="shared" si="242"/>
        <v>-0.21400000000000002</v>
      </c>
      <c r="U327" s="3">
        <f t="shared" si="243"/>
        <v>-3.0499999999999999E-2</v>
      </c>
      <c r="V327" s="3">
        <f t="shared" si="243"/>
        <v>-6.25E-2</v>
      </c>
      <c r="W327" s="3">
        <f t="shared" si="244"/>
        <v>-3.2000000000000001E-2</v>
      </c>
      <c r="X327" s="3">
        <f t="shared" si="232"/>
        <v>1.1835241730279898E-3</v>
      </c>
      <c r="Y327" s="3">
        <f t="shared" si="233"/>
        <v>1.0911312849162011E-2</v>
      </c>
      <c r="Z327" s="3">
        <f t="shared" si="245"/>
        <v>9.7277886761340214E-3</v>
      </c>
      <c r="AA327" s="3">
        <v>2.7080000000000002</v>
      </c>
      <c r="AB327" s="3">
        <v>2.367</v>
      </c>
      <c r="AC327" s="3">
        <f t="shared" si="246"/>
        <v>-0.34100000000000019</v>
      </c>
      <c r="AD327" s="3">
        <f>-617.120128*627.50956</f>
        <v>-387248.77998842369</v>
      </c>
      <c r="AE327" s="3">
        <f>-621.32199*627.50956</f>
        <v>-389885.48856322438</v>
      </c>
      <c r="AF327" s="3">
        <f t="shared" si="247"/>
        <v>-2636.7085748006939</v>
      </c>
      <c r="AG327" s="3">
        <f>-617.176952*627.50956</f>
        <v>-387284.43759166112</v>
      </c>
      <c r="AH327" s="3">
        <f>-621.380966*627.50956</f>
        <v>-389922.49656703492</v>
      </c>
      <c r="AI327" s="3">
        <f t="shared" si="248"/>
        <v>-2638.0589753738022</v>
      </c>
      <c r="AJ327" s="3">
        <v>-0.94399999999999995</v>
      </c>
      <c r="AK327" s="3">
        <v>-0.84699999999999998</v>
      </c>
      <c r="AL327" s="3">
        <f t="shared" si="249"/>
        <v>9.6999999999999975E-2</v>
      </c>
      <c r="AM327" s="3">
        <v>205.3159</v>
      </c>
      <c r="AN327" s="3">
        <v>286.5668</v>
      </c>
      <c r="AO327" s="3">
        <v>351.26400000000001</v>
      </c>
      <c r="AP327" s="3">
        <f t="shared" si="250"/>
        <v>1.1904908526902438</v>
      </c>
      <c r="AQ327" s="3">
        <v>11.856</v>
      </c>
      <c r="AR327" s="3">
        <v>2.7919999999999998</v>
      </c>
      <c r="AS327" s="3">
        <v>-553.27200000000005</v>
      </c>
      <c r="AT327" s="3">
        <v>-551.61699999999996</v>
      </c>
      <c r="AU327" s="3">
        <f t="shared" si="220"/>
        <v>-1.6550000000000864</v>
      </c>
      <c r="AV327" s="3">
        <v>-0.23699999999999999</v>
      </c>
      <c r="AW327" s="3">
        <v>-0.36899999999999999</v>
      </c>
      <c r="AX327" s="3">
        <f t="shared" si="221"/>
        <v>0.13200000000000001</v>
      </c>
      <c r="AY327" s="3">
        <v>2.8000000000000001E-2</v>
      </c>
      <c r="AZ327" s="3">
        <v>0.154</v>
      </c>
      <c r="BA327" s="3">
        <f t="shared" si="222"/>
        <v>-0.126</v>
      </c>
      <c r="BB327" s="3">
        <f t="shared" si="223"/>
        <v>0.1045</v>
      </c>
      <c r="BC327" s="3">
        <f t="shared" si="223"/>
        <v>0.1075</v>
      </c>
      <c r="BD327" s="3">
        <f t="shared" si="224"/>
        <v>-3.0000000000000027E-3</v>
      </c>
      <c r="BE327" s="3">
        <f t="shared" si="225"/>
        <v>0.26500000000000001</v>
      </c>
      <c r="BF327" s="3">
        <f t="shared" si="225"/>
        <v>0.52300000000000002</v>
      </c>
      <c r="BG327" s="3">
        <f t="shared" si="226"/>
        <v>-0.25800000000000001</v>
      </c>
      <c r="BH327" s="3">
        <f t="shared" si="227"/>
        <v>-0.1045</v>
      </c>
      <c r="BI327" s="3">
        <f t="shared" si="227"/>
        <v>-0.1075</v>
      </c>
      <c r="BJ327" s="3">
        <f t="shared" si="251"/>
        <v>3.0000000000000027E-3</v>
      </c>
      <c r="BK327" s="3">
        <f t="shared" si="234"/>
        <v>2.0604245283018865E-2</v>
      </c>
      <c r="BL327" s="3">
        <f t="shared" si="235"/>
        <v>1.104804015296367E-2</v>
      </c>
      <c r="BM327" s="3">
        <f t="shared" si="228"/>
        <v>9.5562051300551957E-3</v>
      </c>
      <c r="BN327" s="3">
        <v>5.4870000000000001</v>
      </c>
      <c r="BO327" s="3">
        <v>6.0839999999999996</v>
      </c>
      <c r="BP327" s="3">
        <f t="shared" si="229"/>
        <v>-0.59699999999999953</v>
      </c>
      <c r="BQ327" s="3">
        <v>-347129.96399999998</v>
      </c>
      <c r="BR327" s="3">
        <v>-346087.64600000001</v>
      </c>
      <c r="BS327" s="3">
        <f t="shared" si="230"/>
        <v>-1042.3179999999702</v>
      </c>
      <c r="BT327" s="3">
        <v>-347152.04599999997</v>
      </c>
      <c r="BU327" s="3">
        <v>-346109.22600000002</v>
      </c>
      <c r="BV327" s="3">
        <f t="shared" si="231"/>
        <v>-1042.8199999999488</v>
      </c>
    </row>
    <row r="328" spans="1:74" x14ac:dyDescent="0.25">
      <c r="A328" s="4" t="s">
        <v>497</v>
      </c>
      <c r="B328" t="s">
        <v>513</v>
      </c>
      <c r="C328" t="s">
        <v>200</v>
      </c>
      <c r="D328" s="3">
        <v>21.29</v>
      </c>
      <c r="E328" s="3">
        <v>0.54</v>
      </c>
      <c r="F328" s="3">
        <v>-508.67500000000001</v>
      </c>
      <c r="G328" s="3">
        <v>-511.637</v>
      </c>
      <c r="H328" s="3">
        <f t="shared" si="236"/>
        <v>-2.9619999999999891</v>
      </c>
      <c r="I328" s="3">
        <v>-0.255</v>
      </c>
      <c r="J328" s="6">
        <v>-0.17499999999999999</v>
      </c>
      <c r="K328" s="3">
        <f t="shared" si="237"/>
        <v>8.0000000000000016E-2</v>
      </c>
      <c r="L328" s="3">
        <v>7.4999999999999997E-2</v>
      </c>
      <c r="M328" s="6">
        <v>-8.1000000000000003E-2</v>
      </c>
      <c r="N328" s="3">
        <f t="shared" si="238"/>
        <v>-0.156</v>
      </c>
      <c r="O328" s="3">
        <f t="shared" si="252"/>
        <v>0.09</v>
      </c>
      <c r="P328" s="3">
        <f t="shared" si="239"/>
        <v>0.128</v>
      </c>
      <c r="Q328" s="3">
        <f t="shared" si="240"/>
        <v>3.8000000000000006E-2</v>
      </c>
      <c r="R328" s="3">
        <f t="shared" si="241"/>
        <v>0.33</v>
      </c>
      <c r="S328" s="3">
        <f t="shared" si="241"/>
        <v>9.3999999999999986E-2</v>
      </c>
      <c r="T328" s="3">
        <f t="shared" si="242"/>
        <v>-0.23600000000000004</v>
      </c>
      <c r="U328" s="3">
        <f t="shared" si="243"/>
        <v>-0.09</v>
      </c>
      <c r="V328" s="3">
        <f t="shared" si="243"/>
        <v>-0.128</v>
      </c>
      <c r="W328" s="3">
        <f t="shared" si="244"/>
        <v>-3.8000000000000006E-2</v>
      </c>
      <c r="X328" s="3">
        <f t="shared" si="232"/>
        <v>1.2272727272727272E-2</v>
      </c>
      <c r="Y328" s="3">
        <f t="shared" si="233"/>
        <v>8.7148936170212771E-2</v>
      </c>
      <c r="Z328" s="3">
        <f t="shared" si="245"/>
        <v>7.4876208897485502E-2</v>
      </c>
      <c r="AA328" s="3">
        <v>6.5640000000000001</v>
      </c>
      <c r="AB328" s="3">
        <v>5.7519999999999998</v>
      </c>
      <c r="AC328" s="3">
        <f t="shared" si="246"/>
        <v>-0.81200000000000028</v>
      </c>
      <c r="AD328" s="3">
        <f>-508.566596*627.50956</f>
        <v>-319130.40088665776</v>
      </c>
      <c r="AE328" s="3">
        <f>-511.535292*627.50956</f>
        <v>-320993.28600739152</v>
      </c>
      <c r="AF328" s="3">
        <f t="shared" si="247"/>
        <v>-1862.8851207337575</v>
      </c>
      <c r="AG328" s="3">
        <f>-508.607963*627.50956</f>
        <v>-319156.35907462623</v>
      </c>
      <c r="AH328" s="3">
        <f>-511.5774*627.50956</f>
        <v>-321019.70917994401</v>
      </c>
      <c r="AI328" s="3">
        <f t="shared" si="248"/>
        <v>-1863.3501053177752</v>
      </c>
      <c r="AJ328" s="3">
        <v>-0.86699999999999999</v>
      </c>
      <c r="AK328" s="3">
        <v>-0.80100000000000005</v>
      </c>
      <c r="AL328" s="3">
        <f t="shared" si="249"/>
        <v>6.5999999999999948E-2</v>
      </c>
      <c r="AM328" s="3">
        <v>138.10079999999999</v>
      </c>
      <c r="AN328" s="3">
        <v>165.0558</v>
      </c>
      <c r="AO328" s="3">
        <v>167.93459999999999</v>
      </c>
      <c r="AP328" s="3">
        <f t="shared" si="250"/>
        <v>1.1214845221128398</v>
      </c>
      <c r="AQ328" s="3">
        <v>8.6539999999999999</v>
      </c>
      <c r="AR328" s="3">
        <v>2.21</v>
      </c>
      <c r="AS328" s="3">
        <v>-553.27200000000005</v>
      </c>
      <c r="AT328" s="3">
        <v>-551.61699999999996</v>
      </c>
      <c r="AU328" s="3">
        <f t="shared" si="220"/>
        <v>-1.6550000000000864</v>
      </c>
      <c r="AV328" s="3">
        <v>-0.23699999999999999</v>
      </c>
      <c r="AW328" s="3">
        <v>-0.36899999999999999</v>
      </c>
      <c r="AX328" s="3">
        <f t="shared" si="221"/>
        <v>0.13200000000000001</v>
      </c>
      <c r="AY328" s="3">
        <v>2.8000000000000001E-2</v>
      </c>
      <c r="AZ328" s="3">
        <v>0.154</v>
      </c>
      <c r="BA328" s="3">
        <f t="shared" si="222"/>
        <v>-0.126</v>
      </c>
      <c r="BB328" s="3">
        <f t="shared" si="223"/>
        <v>0.1045</v>
      </c>
      <c r="BC328" s="3">
        <f t="shared" si="223"/>
        <v>0.1075</v>
      </c>
      <c r="BD328" s="3">
        <f t="shared" si="224"/>
        <v>-3.0000000000000027E-3</v>
      </c>
      <c r="BE328" s="3">
        <f t="shared" si="225"/>
        <v>0.26500000000000001</v>
      </c>
      <c r="BF328" s="3">
        <f t="shared" si="225"/>
        <v>0.52300000000000002</v>
      </c>
      <c r="BG328" s="3">
        <f t="shared" si="226"/>
        <v>-0.25800000000000001</v>
      </c>
      <c r="BH328" s="3">
        <f t="shared" si="227"/>
        <v>-0.1045</v>
      </c>
      <c r="BI328" s="3">
        <f t="shared" si="227"/>
        <v>-0.1075</v>
      </c>
      <c r="BJ328" s="3">
        <f t="shared" si="251"/>
        <v>3.0000000000000027E-3</v>
      </c>
      <c r="BK328" s="3">
        <f t="shared" si="234"/>
        <v>2.0604245283018865E-2</v>
      </c>
      <c r="BL328" s="3">
        <f t="shared" si="235"/>
        <v>1.104804015296367E-2</v>
      </c>
      <c r="BM328" s="3">
        <f t="shared" si="228"/>
        <v>9.5562051300551957E-3</v>
      </c>
      <c r="BN328" s="3">
        <v>5.4870000000000001</v>
      </c>
      <c r="BO328" s="3">
        <v>6.0839999999999996</v>
      </c>
      <c r="BP328" s="3">
        <f t="shared" si="229"/>
        <v>-0.59699999999999953</v>
      </c>
      <c r="BQ328" s="3">
        <v>-347129.96399999998</v>
      </c>
      <c r="BR328" s="3">
        <v>-346087.64600000001</v>
      </c>
      <c r="BS328" s="3">
        <f t="shared" si="230"/>
        <v>-1042.3179999999702</v>
      </c>
      <c r="BT328" s="3">
        <v>-347152.04599999997</v>
      </c>
      <c r="BU328" s="3">
        <v>-346109.22600000002</v>
      </c>
      <c r="BV328" s="3">
        <f t="shared" si="231"/>
        <v>-1042.8199999999488</v>
      </c>
    </row>
    <row r="329" spans="1:74" x14ac:dyDescent="0.25">
      <c r="A329" s="4" t="s">
        <v>498</v>
      </c>
      <c r="B329" t="s">
        <v>513</v>
      </c>
      <c r="C329" t="s">
        <v>99</v>
      </c>
      <c r="D329" s="3">
        <v>21.7</v>
      </c>
      <c r="E329" s="3">
        <v>0.57999999999999996</v>
      </c>
      <c r="F329" s="3">
        <v>-461.30700000000002</v>
      </c>
      <c r="G329" s="3">
        <v>-464.35899999999998</v>
      </c>
      <c r="H329" s="3">
        <f t="shared" si="236"/>
        <v>-3.0519999999999641</v>
      </c>
      <c r="I329" s="3">
        <v>-0.23100000000000001</v>
      </c>
      <c r="J329" s="6">
        <v>-0.151</v>
      </c>
      <c r="K329" s="3">
        <f t="shared" si="237"/>
        <v>8.0000000000000016E-2</v>
      </c>
      <c r="L329" s="3">
        <v>0.158</v>
      </c>
      <c r="M329" s="6">
        <v>2.1000000000000001E-2</v>
      </c>
      <c r="N329" s="3">
        <f t="shared" si="238"/>
        <v>-0.13700000000000001</v>
      </c>
      <c r="O329" s="3">
        <f t="shared" si="252"/>
        <v>3.6500000000000005E-2</v>
      </c>
      <c r="P329" s="3">
        <f t="shared" si="239"/>
        <v>6.5000000000000002E-2</v>
      </c>
      <c r="Q329" s="3">
        <f t="shared" si="240"/>
        <v>2.8499999999999998E-2</v>
      </c>
      <c r="R329" s="3">
        <f t="shared" si="241"/>
        <v>0.38900000000000001</v>
      </c>
      <c r="S329" s="3">
        <f t="shared" si="241"/>
        <v>0.17199999999999999</v>
      </c>
      <c r="T329" s="3">
        <f t="shared" si="242"/>
        <v>-0.21700000000000003</v>
      </c>
      <c r="U329" s="3">
        <f t="shared" si="243"/>
        <v>-3.6500000000000005E-2</v>
      </c>
      <c r="V329" s="3">
        <f t="shared" si="243"/>
        <v>-6.5000000000000002E-2</v>
      </c>
      <c r="W329" s="3">
        <f t="shared" si="244"/>
        <v>-2.8499999999999998E-2</v>
      </c>
      <c r="X329" s="3">
        <f t="shared" si="232"/>
        <v>1.7124035989717226E-3</v>
      </c>
      <c r="Y329" s="3">
        <f t="shared" si="233"/>
        <v>1.228197674418605E-2</v>
      </c>
      <c r="Z329" s="3">
        <f t="shared" si="245"/>
        <v>1.0569573145214327E-2</v>
      </c>
      <c r="AA329" s="3">
        <v>14.326000000000001</v>
      </c>
      <c r="AB329" s="3">
        <v>13.295</v>
      </c>
      <c r="AC329" s="3">
        <f t="shared" si="246"/>
        <v>-1.0310000000000006</v>
      </c>
      <c r="AD329" s="3">
        <f>-461.080669*627.50956</f>
        <v>-289332.5277286956</v>
      </c>
      <c r="AE329" s="3">
        <f>-464.14493*627.50956</f>
        <v>-291255.38080053078</v>
      </c>
      <c r="AF329" s="3">
        <f t="shared" si="247"/>
        <v>-1922.8530718351831</v>
      </c>
      <c r="AG329" s="3">
        <f>-461.126818*627.50956</f>
        <v>-289361.48666738009</v>
      </c>
      <c r="AH329" s="3">
        <f>-464.19274*627.50956</f>
        <v>-291285.38203259441</v>
      </c>
      <c r="AI329" s="3">
        <f t="shared" si="248"/>
        <v>-1923.8953652143246</v>
      </c>
      <c r="AJ329" s="3">
        <v>-0.94499999999999995</v>
      </c>
      <c r="AK329" s="3">
        <v>-0.83599999999999997</v>
      </c>
      <c r="AL329" s="3">
        <f t="shared" si="249"/>
        <v>0.10899999999999999</v>
      </c>
      <c r="AM329" s="3">
        <v>149.20959999999999</v>
      </c>
      <c r="AN329" s="3">
        <v>218.547</v>
      </c>
      <c r="AO329" s="3">
        <v>248.77600000000001</v>
      </c>
      <c r="AP329" s="3">
        <f t="shared" si="250"/>
        <v>1.1426901381112349</v>
      </c>
      <c r="AQ329" s="3">
        <v>10.294</v>
      </c>
      <c r="AR329" s="3">
        <v>2.496</v>
      </c>
      <c r="AS329" s="3">
        <v>-132.80099999999999</v>
      </c>
      <c r="AT329" s="3">
        <v>-131.97</v>
      </c>
      <c r="AU329" s="3">
        <f t="shared" si="220"/>
        <v>-0.83099999999998886</v>
      </c>
      <c r="AV329" s="3">
        <v>-0.34100000000000003</v>
      </c>
      <c r="AW329" s="3">
        <v>-0.47499999999999998</v>
      </c>
      <c r="AX329" s="3">
        <f t="shared" si="221"/>
        <v>0.13399999999999995</v>
      </c>
      <c r="AY329" s="3">
        <v>2.9000000000000001E-2</v>
      </c>
      <c r="AZ329" s="3">
        <v>0.156</v>
      </c>
      <c r="BA329" s="3">
        <f t="shared" si="222"/>
        <v>-0.127</v>
      </c>
      <c r="BB329" s="3">
        <f t="shared" si="223"/>
        <v>0.156</v>
      </c>
      <c r="BC329" s="3">
        <f t="shared" si="223"/>
        <v>0.15949999999999998</v>
      </c>
      <c r="BD329" s="3">
        <f t="shared" si="224"/>
        <v>-3.4999999999999754E-3</v>
      </c>
      <c r="BE329" s="3">
        <f t="shared" si="225"/>
        <v>0.37000000000000005</v>
      </c>
      <c r="BF329" s="3">
        <f t="shared" si="225"/>
        <v>0.63100000000000001</v>
      </c>
      <c r="BG329" s="3">
        <f t="shared" si="226"/>
        <v>-0.26099999999999995</v>
      </c>
      <c r="BH329" s="3">
        <f t="shared" si="227"/>
        <v>-0.156</v>
      </c>
      <c r="BI329" s="3">
        <f t="shared" si="227"/>
        <v>-0.15949999999999998</v>
      </c>
      <c r="BJ329" s="3">
        <f t="shared" si="251"/>
        <v>3.4999999999999754E-3</v>
      </c>
      <c r="BK329" s="3">
        <f t="shared" si="234"/>
        <v>3.2886486486486483E-2</v>
      </c>
      <c r="BL329" s="3">
        <f t="shared" si="235"/>
        <v>2.0158676703645E-2</v>
      </c>
      <c r="BM329" s="3">
        <f t="shared" si="228"/>
        <v>1.2727809782841482E-2</v>
      </c>
      <c r="BN329" s="3">
        <v>4.7279999999999998</v>
      </c>
      <c r="BO329" s="3">
        <v>4.9340000000000002</v>
      </c>
      <c r="BP329" s="3">
        <f t="shared" si="229"/>
        <v>-0.20600000000000041</v>
      </c>
      <c r="BQ329" s="3">
        <v>-83302.89</v>
      </c>
      <c r="BR329" s="3">
        <v>-82779.224000000002</v>
      </c>
      <c r="BS329" s="3">
        <f t="shared" si="230"/>
        <v>-523.66599999999744</v>
      </c>
      <c r="BT329" s="3">
        <v>-83320.774999999994</v>
      </c>
      <c r="BU329" s="3">
        <v>-82796.997000000003</v>
      </c>
      <c r="BV329" s="3">
        <f t="shared" si="231"/>
        <v>-523.77799999999115</v>
      </c>
    </row>
    <row r="330" spans="1:74" x14ac:dyDescent="0.25">
      <c r="A330" s="4" t="s">
        <v>499</v>
      </c>
      <c r="B330" t="s">
        <v>513</v>
      </c>
      <c r="C330" t="s">
        <v>360</v>
      </c>
      <c r="D330" s="3">
        <v>22.41</v>
      </c>
      <c r="E330" s="3">
        <v>0.54</v>
      </c>
      <c r="F330" s="3">
        <v>-508.67500000000001</v>
      </c>
      <c r="G330" s="3">
        <v>-511.637</v>
      </c>
      <c r="H330" s="3">
        <f t="shared" si="236"/>
        <v>-2.9619999999999891</v>
      </c>
      <c r="I330" s="3">
        <v>-0.254</v>
      </c>
      <c r="J330" s="6">
        <v>-0.17399999999999999</v>
      </c>
      <c r="K330" s="3">
        <f t="shared" si="237"/>
        <v>8.0000000000000016E-2</v>
      </c>
      <c r="L330" s="3">
        <v>7.3999999999999996E-2</v>
      </c>
      <c r="M330" s="6">
        <v>-8.1000000000000003E-2</v>
      </c>
      <c r="N330" s="3">
        <f t="shared" si="238"/>
        <v>-0.155</v>
      </c>
      <c r="O330" s="3">
        <f t="shared" si="252"/>
        <v>0.09</v>
      </c>
      <c r="P330" s="3">
        <f t="shared" si="239"/>
        <v>0.1275</v>
      </c>
      <c r="Q330" s="3">
        <f t="shared" si="240"/>
        <v>3.7500000000000006E-2</v>
      </c>
      <c r="R330" s="3">
        <f t="shared" si="241"/>
        <v>0.32800000000000001</v>
      </c>
      <c r="S330" s="3">
        <f t="shared" si="241"/>
        <v>9.2999999999999985E-2</v>
      </c>
      <c r="T330" s="3">
        <f t="shared" si="242"/>
        <v>-0.23500000000000004</v>
      </c>
      <c r="U330" s="3">
        <f t="shared" si="243"/>
        <v>-0.09</v>
      </c>
      <c r="V330" s="3">
        <f t="shared" si="243"/>
        <v>-0.1275</v>
      </c>
      <c r="W330" s="3">
        <f t="shared" si="244"/>
        <v>-3.7500000000000006E-2</v>
      </c>
      <c r="X330" s="3">
        <f t="shared" si="232"/>
        <v>1.2347560975609755E-2</v>
      </c>
      <c r="Y330" s="3">
        <f t="shared" si="233"/>
        <v>8.7399193548387114E-2</v>
      </c>
      <c r="Z330" s="3">
        <f t="shared" si="245"/>
        <v>7.505163257277736E-2</v>
      </c>
      <c r="AA330" s="3">
        <v>6.5460000000000003</v>
      </c>
      <c r="AB330" s="3">
        <v>5.7350000000000003</v>
      </c>
      <c r="AC330" s="3">
        <f t="shared" si="246"/>
        <v>-0.81099999999999994</v>
      </c>
      <c r="AD330" s="3">
        <f>-508.566037*627.50956</f>
        <v>-319130.05010881368</v>
      </c>
      <c r="AE330" s="3">
        <f>-511.534806*627.50956</f>
        <v>-320992.98103774537</v>
      </c>
      <c r="AF330" s="3">
        <f t="shared" si="247"/>
        <v>-1862.930928931688</v>
      </c>
      <c r="AG330" s="3">
        <f>-508.608237*627.50956</f>
        <v>-319156.53101224569</v>
      </c>
      <c r="AH330" s="3">
        <f>-511.57689*627.50956</f>
        <v>-321019.3891500684</v>
      </c>
      <c r="AI330" s="3">
        <f t="shared" si="248"/>
        <v>-1862.85813782271</v>
      </c>
      <c r="AJ330" s="3">
        <v>-0.91200000000000003</v>
      </c>
      <c r="AK330" s="3">
        <v>-0.8</v>
      </c>
      <c r="AL330" s="3">
        <f t="shared" si="249"/>
        <v>0.11199999999999999</v>
      </c>
      <c r="AM330" s="3">
        <v>138.10079999999999</v>
      </c>
      <c r="AN330" s="3">
        <v>166.59690000000001</v>
      </c>
      <c r="AO330" s="3">
        <v>169.57400000000001</v>
      </c>
      <c r="AP330" s="3">
        <f t="shared" si="250"/>
        <v>1.1246481931068961</v>
      </c>
      <c r="AQ330" s="3">
        <v>8.7200000000000006</v>
      </c>
      <c r="AR330" s="3">
        <v>2.2360000000000002</v>
      </c>
      <c r="AS330" s="3">
        <v>-248.59200000000001</v>
      </c>
      <c r="AT330" s="3">
        <v>-247.066</v>
      </c>
      <c r="AU330" s="3">
        <f t="shared" si="220"/>
        <v>-1.5260000000000105</v>
      </c>
      <c r="AV330" s="3">
        <v>-0.25</v>
      </c>
      <c r="AW330" s="3">
        <v>-0.375</v>
      </c>
      <c r="AX330" s="3">
        <f t="shared" si="221"/>
        <v>0.125</v>
      </c>
      <c r="AY330" s="3">
        <v>1.7999999999999999E-2</v>
      </c>
      <c r="AZ330" s="3">
        <v>0.157</v>
      </c>
      <c r="BA330" s="3">
        <f t="shared" si="222"/>
        <v>-0.13900000000000001</v>
      </c>
      <c r="BB330" s="3">
        <f t="shared" si="223"/>
        <v>0.11600000000000001</v>
      </c>
      <c r="BC330" s="3">
        <f t="shared" si="223"/>
        <v>0.109</v>
      </c>
      <c r="BD330" s="3">
        <f t="shared" si="224"/>
        <v>7.0000000000000062E-3</v>
      </c>
      <c r="BE330" s="3">
        <f t="shared" si="225"/>
        <v>0.26800000000000002</v>
      </c>
      <c r="BF330" s="3">
        <f t="shared" si="225"/>
        <v>0.53200000000000003</v>
      </c>
      <c r="BG330" s="6">
        <f t="shared" si="226"/>
        <v>-0.26400000000000001</v>
      </c>
      <c r="BH330" s="6">
        <f t="shared" si="227"/>
        <v>-0.11600000000000001</v>
      </c>
      <c r="BI330" s="6">
        <f t="shared" si="227"/>
        <v>-0.109</v>
      </c>
      <c r="BJ330" s="6">
        <f t="shared" si="251"/>
        <v>-7.0000000000000062E-3</v>
      </c>
      <c r="BK330" s="3">
        <f t="shared" si="234"/>
        <v>2.5104477611940297E-2</v>
      </c>
      <c r="BL330" s="3">
        <f t="shared" si="235"/>
        <v>1.1166353383458645E-2</v>
      </c>
      <c r="BM330" s="3">
        <f t="shared" si="228"/>
        <v>1.3938124228481652E-2</v>
      </c>
      <c r="BN330" s="3">
        <v>5.09</v>
      </c>
      <c r="BO330" s="3">
        <v>5.2910000000000004</v>
      </c>
      <c r="BP330" s="3">
        <f t="shared" si="229"/>
        <v>-0.20100000000000051</v>
      </c>
      <c r="BQ330" s="3">
        <v>-155925.34599999999</v>
      </c>
      <c r="BR330" s="3">
        <v>-154963.22899999999</v>
      </c>
      <c r="BS330" s="3">
        <f t="shared" si="230"/>
        <v>-962.11699999999837</v>
      </c>
      <c r="BT330" s="3">
        <v>-155948.003</v>
      </c>
      <c r="BU330" s="3">
        <v>-154985.997</v>
      </c>
      <c r="BV330" s="3">
        <f t="shared" si="231"/>
        <v>-962.00599999999395</v>
      </c>
    </row>
    <row r="331" spans="1:74" x14ac:dyDescent="0.25">
      <c r="A331" s="4" t="s">
        <v>500</v>
      </c>
      <c r="B331" t="s">
        <v>513</v>
      </c>
      <c r="C331" t="s">
        <v>200</v>
      </c>
      <c r="D331" s="3">
        <v>22.62</v>
      </c>
      <c r="E331" s="3">
        <v>0.51</v>
      </c>
      <c r="F331" s="3">
        <v>-640.85699999999997</v>
      </c>
      <c r="G331" s="3">
        <v>-644.21299999999997</v>
      </c>
      <c r="H331" s="3">
        <f t="shared" si="236"/>
        <v>-3.3559999999999945</v>
      </c>
      <c r="I331" s="3">
        <v>-0.25</v>
      </c>
      <c r="J331" s="6">
        <v>-0.16800000000000001</v>
      </c>
      <c r="K331" s="3">
        <f t="shared" si="237"/>
        <v>8.199999999999999E-2</v>
      </c>
      <c r="L331" s="3">
        <v>0.13800000000000001</v>
      </c>
      <c r="M331" s="6">
        <v>-4.0000000000000001E-3</v>
      </c>
      <c r="N331" s="3">
        <f t="shared" si="238"/>
        <v>-0.14200000000000002</v>
      </c>
      <c r="O331" s="3">
        <f t="shared" si="252"/>
        <v>5.5999999999999994E-2</v>
      </c>
      <c r="P331" s="3">
        <f t="shared" si="239"/>
        <v>8.6000000000000007E-2</v>
      </c>
      <c r="Q331" s="3">
        <f t="shared" si="240"/>
        <v>3.0000000000000013E-2</v>
      </c>
      <c r="R331" s="3">
        <f t="shared" si="241"/>
        <v>0.38800000000000001</v>
      </c>
      <c r="S331" s="3">
        <f t="shared" si="241"/>
        <v>0.16400000000000001</v>
      </c>
      <c r="T331" s="3">
        <f t="shared" si="242"/>
        <v>-0.224</v>
      </c>
      <c r="U331" s="3">
        <f t="shared" si="243"/>
        <v>-5.5999999999999994E-2</v>
      </c>
      <c r="V331" s="3">
        <f t="shared" si="243"/>
        <v>-8.6000000000000007E-2</v>
      </c>
      <c r="W331" s="3">
        <f t="shared" si="244"/>
        <v>-3.0000000000000013E-2</v>
      </c>
      <c r="X331" s="3">
        <f t="shared" si="232"/>
        <v>4.0412371134020608E-3</v>
      </c>
      <c r="Y331" s="3">
        <f t="shared" si="233"/>
        <v>2.2548780487804881E-2</v>
      </c>
      <c r="Z331" s="3">
        <f t="shared" si="245"/>
        <v>1.8507543374402819E-2</v>
      </c>
      <c r="AA331" s="3">
        <v>8.952</v>
      </c>
      <c r="AB331" s="3">
        <v>8.14</v>
      </c>
      <c r="AC331" s="3">
        <f t="shared" si="246"/>
        <v>-0.81199999999999939</v>
      </c>
      <c r="AD331" s="3">
        <f>-640.74461*627.50956</f>
        <v>-402073.36829347158</v>
      </c>
      <c r="AE331" s="3">
        <f>-644.108298*627.50956</f>
        <v>-404184.11467032885</v>
      </c>
      <c r="AF331" s="3">
        <f t="shared" si="247"/>
        <v>-2110.7463768572779</v>
      </c>
      <c r="AG331" s="3">
        <f>-640.788857*627.50956</f>
        <v>-402101.13370897289</v>
      </c>
      <c r="AH331" s="3">
        <f>-644.153458*627.50956</f>
        <v>-404212.45300205844</v>
      </c>
      <c r="AI331" s="3">
        <f t="shared" si="248"/>
        <v>-2111.3192930855439</v>
      </c>
      <c r="AJ331" s="3">
        <v>-0.92100000000000004</v>
      </c>
      <c r="AK331" s="3">
        <v>-0.81100000000000005</v>
      </c>
      <c r="AL331" s="3">
        <f t="shared" si="249"/>
        <v>0.10999999999999999</v>
      </c>
      <c r="AM331" s="3">
        <v>161.101</v>
      </c>
      <c r="AN331" s="3">
        <v>174.15770000000001</v>
      </c>
      <c r="AO331" s="3">
        <v>178.58199999999999</v>
      </c>
      <c r="AP331" s="3">
        <f t="shared" si="250"/>
        <v>1.1358130197645826</v>
      </c>
      <c r="AQ331" s="3">
        <v>8.7129999999999992</v>
      </c>
      <c r="AR331" s="3">
        <v>2.3239999999999998</v>
      </c>
      <c r="AS331" s="3">
        <v>-553.27200000000005</v>
      </c>
      <c r="AT331" s="3">
        <v>-551.61699999999996</v>
      </c>
      <c r="AU331" s="3">
        <f t="shared" si="220"/>
        <v>-1.6550000000000864</v>
      </c>
      <c r="AV331" s="3">
        <v>-0.23699999999999999</v>
      </c>
      <c r="AW331" s="3">
        <v>-0.36899999999999999</v>
      </c>
      <c r="AX331" s="3">
        <f t="shared" si="221"/>
        <v>0.13200000000000001</v>
      </c>
      <c r="AY331" s="3">
        <v>2.8000000000000001E-2</v>
      </c>
      <c r="AZ331" s="3">
        <v>0.154</v>
      </c>
      <c r="BA331" s="3">
        <f t="shared" si="222"/>
        <v>-0.126</v>
      </c>
      <c r="BB331" s="3">
        <f t="shared" si="223"/>
        <v>0.1045</v>
      </c>
      <c r="BC331" s="3">
        <f t="shared" si="223"/>
        <v>0.1075</v>
      </c>
      <c r="BD331" s="3">
        <f t="shared" si="224"/>
        <v>-3.0000000000000027E-3</v>
      </c>
      <c r="BE331" s="3">
        <f t="shared" si="225"/>
        <v>0.26500000000000001</v>
      </c>
      <c r="BF331" s="3">
        <f t="shared" si="225"/>
        <v>0.52300000000000002</v>
      </c>
      <c r="BG331" s="6">
        <f t="shared" si="226"/>
        <v>-0.25800000000000001</v>
      </c>
      <c r="BH331" s="6">
        <f t="shared" si="227"/>
        <v>-0.1045</v>
      </c>
      <c r="BI331" s="6">
        <f t="shared" si="227"/>
        <v>-0.1075</v>
      </c>
      <c r="BJ331" s="6">
        <f t="shared" si="251"/>
        <v>3.0000000000000027E-3</v>
      </c>
      <c r="BK331" s="3">
        <f t="shared" si="234"/>
        <v>2.0604245283018865E-2</v>
      </c>
      <c r="BL331" s="3">
        <f t="shared" si="235"/>
        <v>1.104804015296367E-2</v>
      </c>
      <c r="BM331" s="3">
        <f t="shared" si="228"/>
        <v>9.5562051300551957E-3</v>
      </c>
      <c r="BN331" s="3">
        <v>5.4870000000000001</v>
      </c>
      <c r="BO331" s="3">
        <v>6.0839999999999996</v>
      </c>
      <c r="BP331" s="3">
        <f t="shared" si="229"/>
        <v>-0.59699999999999953</v>
      </c>
      <c r="BQ331" s="3">
        <v>-347129.96399999998</v>
      </c>
      <c r="BR331" s="3">
        <v>-346087.64600000001</v>
      </c>
      <c r="BS331" s="3">
        <f t="shared" si="230"/>
        <v>-1042.3179999999702</v>
      </c>
      <c r="BT331" s="3">
        <v>-347152.04599999997</v>
      </c>
      <c r="BU331" s="3">
        <v>-346109.22600000002</v>
      </c>
      <c r="BV331" s="3">
        <f t="shared" si="231"/>
        <v>-1042.8199999999488</v>
      </c>
    </row>
    <row r="332" spans="1:74" x14ac:dyDescent="0.25">
      <c r="A332" s="4" t="s">
        <v>501</v>
      </c>
      <c r="B332" t="s">
        <v>513</v>
      </c>
      <c r="C332" t="s">
        <v>99</v>
      </c>
      <c r="D332" s="3">
        <v>23.2</v>
      </c>
      <c r="E332" s="3">
        <v>0.51</v>
      </c>
      <c r="F332" s="3">
        <v>-640.85599999999999</v>
      </c>
      <c r="G332" s="3">
        <v>-644.21299999999997</v>
      </c>
      <c r="H332" s="3">
        <f t="shared" si="236"/>
        <v>-3.3569999999999709</v>
      </c>
      <c r="I332" s="3">
        <v>-0.248</v>
      </c>
      <c r="J332" s="6">
        <v>-0.16700000000000001</v>
      </c>
      <c r="K332" s="3">
        <f t="shared" si="237"/>
        <v>8.0999999999999989E-2</v>
      </c>
      <c r="L332" s="3">
        <v>0.14000000000000001</v>
      </c>
      <c r="M332" s="6">
        <v>-3.0000000000000001E-3</v>
      </c>
      <c r="N332" s="3">
        <f t="shared" si="238"/>
        <v>-0.14300000000000002</v>
      </c>
      <c r="O332" s="3">
        <f t="shared" si="252"/>
        <v>5.3999999999999992E-2</v>
      </c>
      <c r="P332" s="3">
        <f t="shared" si="239"/>
        <v>8.5000000000000006E-2</v>
      </c>
      <c r="Q332" s="3">
        <f t="shared" si="240"/>
        <v>3.1000000000000014E-2</v>
      </c>
      <c r="R332" s="3">
        <f t="shared" si="241"/>
        <v>0.38800000000000001</v>
      </c>
      <c r="S332" s="3">
        <f t="shared" si="241"/>
        <v>0.16400000000000001</v>
      </c>
      <c r="T332" s="3">
        <f t="shared" si="242"/>
        <v>-0.224</v>
      </c>
      <c r="U332" s="3">
        <f t="shared" si="243"/>
        <v>-5.3999999999999992E-2</v>
      </c>
      <c r="V332" s="3">
        <f t="shared" si="243"/>
        <v>-8.5000000000000006E-2</v>
      </c>
      <c r="W332" s="3">
        <f t="shared" si="244"/>
        <v>-3.1000000000000014E-2</v>
      </c>
      <c r="X332" s="3">
        <f t="shared" si="232"/>
        <v>3.7577319587628858E-3</v>
      </c>
      <c r="Y332" s="3">
        <f t="shared" si="233"/>
        <v>2.2027439024390246E-2</v>
      </c>
      <c r="Z332" s="3">
        <f t="shared" si="245"/>
        <v>1.8269707065627361E-2</v>
      </c>
      <c r="AA332" s="3">
        <v>8.9260000000000002</v>
      </c>
      <c r="AB332" s="3">
        <v>8.1170000000000009</v>
      </c>
      <c r="AC332" s="3">
        <f t="shared" si="246"/>
        <v>-0.80899999999999928</v>
      </c>
      <c r="AD332" s="3">
        <f>-640.743963*627.50956</f>
        <v>-402072.96229478624</v>
      </c>
      <c r="AE332" s="3">
        <f>-644.107692*627.50956</f>
        <v>-404183.73439953552</v>
      </c>
      <c r="AF332" s="3">
        <f t="shared" si="247"/>
        <v>-2110.7721047492814</v>
      </c>
      <c r="AG332" s="3">
        <f>-640.788165*627.50956</f>
        <v>-402100.6994723574</v>
      </c>
      <c r="AH332" s="3">
        <f>-644.152882*627.50956</f>
        <v>-404212.09155655187</v>
      </c>
      <c r="AI332" s="3">
        <f t="shared" si="248"/>
        <v>-2111.3920841944637</v>
      </c>
      <c r="AJ332" s="3">
        <v>-0.92</v>
      </c>
      <c r="AK332" s="3">
        <v>-0.81</v>
      </c>
      <c r="AL332" s="3">
        <f t="shared" si="249"/>
        <v>0.10999999999999999</v>
      </c>
      <c r="AM332" s="3">
        <v>161.101</v>
      </c>
      <c r="AN332" s="3">
        <v>174.15799999999999</v>
      </c>
      <c r="AO332" s="3">
        <v>178.589</v>
      </c>
      <c r="AP332" s="3">
        <f t="shared" si="250"/>
        <v>1.135785296384862</v>
      </c>
      <c r="AQ332" s="3">
        <v>8.7129999999999992</v>
      </c>
      <c r="AR332" s="3">
        <v>2.3239999999999998</v>
      </c>
      <c r="AS332" s="3">
        <v>-132.80099999999999</v>
      </c>
      <c r="AT332" s="3">
        <v>-131.97</v>
      </c>
      <c r="AU332" s="3">
        <f t="shared" si="220"/>
        <v>-0.83099999999998886</v>
      </c>
      <c r="AV332" s="3">
        <v>-0.34100000000000003</v>
      </c>
      <c r="AW332" s="3">
        <v>-0.47499999999999998</v>
      </c>
      <c r="AX332" s="3">
        <f t="shared" si="221"/>
        <v>0.13399999999999995</v>
      </c>
      <c r="AY332" s="3">
        <v>2.9000000000000001E-2</v>
      </c>
      <c r="AZ332" s="3">
        <v>0.156</v>
      </c>
      <c r="BA332" s="3">
        <f t="shared" si="222"/>
        <v>-0.127</v>
      </c>
      <c r="BB332" s="3">
        <f t="shared" ref="BB332:BC347" si="253">-(AV332+AY332)/2</f>
        <v>0.156</v>
      </c>
      <c r="BC332" s="3">
        <f t="shared" si="253"/>
        <v>0.15949999999999998</v>
      </c>
      <c r="BD332" s="3">
        <f t="shared" si="224"/>
        <v>-3.4999999999999754E-3</v>
      </c>
      <c r="BE332" s="3">
        <f t="shared" ref="BE332:BF347" si="254">AY332-AV332</f>
        <v>0.37000000000000005</v>
      </c>
      <c r="BF332" s="3">
        <f t="shared" si="254"/>
        <v>0.63100000000000001</v>
      </c>
      <c r="BG332" s="6">
        <f t="shared" si="226"/>
        <v>-0.26099999999999995</v>
      </c>
      <c r="BH332" s="6">
        <f t="shared" ref="BH332:BI347" si="255">(AV332+AY332)/2</f>
        <v>-0.156</v>
      </c>
      <c r="BI332" s="6">
        <f t="shared" si="255"/>
        <v>-0.15949999999999998</v>
      </c>
      <c r="BJ332" s="6">
        <f t="shared" si="251"/>
        <v>3.4999999999999754E-3</v>
      </c>
      <c r="BK332" s="3">
        <f t="shared" si="234"/>
        <v>3.2886486486486483E-2</v>
      </c>
      <c r="BL332" s="3">
        <f t="shared" si="235"/>
        <v>2.0158676703645E-2</v>
      </c>
      <c r="BM332" s="3">
        <f t="shared" si="228"/>
        <v>1.2727809782841482E-2</v>
      </c>
      <c r="BN332" s="3">
        <v>4.7279999999999998</v>
      </c>
      <c r="BO332" s="3">
        <v>4.9340000000000002</v>
      </c>
      <c r="BP332" s="3">
        <f t="shared" si="229"/>
        <v>-0.20600000000000041</v>
      </c>
      <c r="BQ332" s="3">
        <v>-83302.89</v>
      </c>
      <c r="BR332" s="3">
        <v>-82779.224000000002</v>
      </c>
      <c r="BS332" s="3">
        <f t="shared" si="230"/>
        <v>-523.66599999999744</v>
      </c>
      <c r="BT332" s="3">
        <v>-83320.774999999994</v>
      </c>
      <c r="BU332" s="3">
        <v>-82796.997000000003</v>
      </c>
      <c r="BV332" s="3">
        <f t="shared" si="231"/>
        <v>-523.77799999999115</v>
      </c>
    </row>
    <row r="333" spans="1:74" x14ac:dyDescent="0.25">
      <c r="A333" s="4" t="s">
        <v>501</v>
      </c>
      <c r="B333" t="s">
        <v>513</v>
      </c>
      <c r="C333" t="s">
        <v>360</v>
      </c>
      <c r="D333" s="3">
        <v>23.4</v>
      </c>
      <c r="E333" s="3">
        <v>0.51</v>
      </c>
      <c r="F333" s="3">
        <v>-640.85599999999999</v>
      </c>
      <c r="G333" s="3">
        <v>-644.21299999999997</v>
      </c>
      <c r="H333" s="3">
        <f t="shared" si="236"/>
        <v>-3.3569999999999709</v>
      </c>
      <c r="I333" s="3">
        <v>-0.249</v>
      </c>
      <c r="J333" s="6">
        <v>-0.16700000000000001</v>
      </c>
      <c r="K333" s="3">
        <f t="shared" si="237"/>
        <v>8.199999999999999E-2</v>
      </c>
      <c r="L333" s="3">
        <v>0.13900000000000001</v>
      </c>
      <c r="M333" s="6">
        <v>-3.0000000000000001E-3</v>
      </c>
      <c r="N333" s="3">
        <f t="shared" si="238"/>
        <v>-0.14200000000000002</v>
      </c>
      <c r="O333" s="3">
        <f t="shared" si="252"/>
        <v>5.4999999999999993E-2</v>
      </c>
      <c r="P333" s="3">
        <f t="shared" si="239"/>
        <v>8.5000000000000006E-2</v>
      </c>
      <c r="Q333" s="3">
        <f t="shared" si="240"/>
        <v>3.0000000000000013E-2</v>
      </c>
      <c r="R333" s="3">
        <f t="shared" si="241"/>
        <v>0.38800000000000001</v>
      </c>
      <c r="S333" s="3">
        <f t="shared" si="241"/>
        <v>0.16400000000000001</v>
      </c>
      <c r="T333" s="3">
        <f t="shared" si="242"/>
        <v>-0.224</v>
      </c>
      <c r="U333" s="3">
        <f t="shared" si="243"/>
        <v>-5.4999999999999993E-2</v>
      </c>
      <c r="V333" s="3">
        <f t="shared" si="243"/>
        <v>-8.5000000000000006E-2</v>
      </c>
      <c r="W333" s="3">
        <f t="shared" si="244"/>
        <v>-3.0000000000000013E-2</v>
      </c>
      <c r="X333" s="3">
        <f t="shared" si="232"/>
        <v>3.898195876288659E-3</v>
      </c>
      <c r="Y333" s="3">
        <f t="shared" si="233"/>
        <v>2.2027439024390246E-2</v>
      </c>
      <c r="Z333" s="3">
        <f t="shared" si="245"/>
        <v>1.8129243148101586E-2</v>
      </c>
      <c r="AA333" s="3">
        <v>8.9309999999999992</v>
      </c>
      <c r="AB333" s="3">
        <v>8.1210000000000004</v>
      </c>
      <c r="AC333" s="3">
        <f t="shared" si="246"/>
        <v>-0.80999999999999872</v>
      </c>
      <c r="AD333" s="3">
        <f>-640.744075*627.50956</f>
        <v>-402073.03257585695</v>
      </c>
      <c r="AE333" s="3">
        <f>-644.107796*627.50956</f>
        <v>-404183.79966052977</v>
      </c>
      <c r="AF333" s="3">
        <f t="shared" si="247"/>
        <v>-2110.7670846728142</v>
      </c>
      <c r="AG333" s="3">
        <f>-640.788284*627.50956</f>
        <v>-402100.77414599498</v>
      </c>
      <c r="AH333" s="3">
        <f>-644.152982*627.50956</f>
        <v>-404212.15430750785</v>
      </c>
      <c r="AI333" s="3">
        <f t="shared" si="248"/>
        <v>-2111.3801615128759</v>
      </c>
      <c r="AJ333" s="3">
        <v>-0.92800000000000005</v>
      </c>
      <c r="AK333" s="3">
        <v>-0.81</v>
      </c>
      <c r="AL333" s="3">
        <f t="shared" si="249"/>
        <v>0.11799999999999999</v>
      </c>
      <c r="AM333" s="3">
        <v>161.101</v>
      </c>
      <c r="AN333" s="3">
        <v>174.15799999999999</v>
      </c>
      <c r="AO333" s="3">
        <v>178.58580000000001</v>
      </c>
      <c r="AP333" s="3">
        <f t="shared" si="250"/>
        <v>1.1357988641007513</v>
      </c>
      <c r="AQ333" s="3">
        <v>8.7129999999999992</v>
      </c>
      <c r="AR333" s="3">
        <v>2.3239999999999998</v>
      </c>
      <c r="AS333" s="3">
        <v>-248.59200000000001</v>
      </c>
      <c r="AT333" s="3">
        <v>-247.066</v>
      </c>
      <c r="AU333" s="3">
        <f t="shared" si="220"/>
        <v>-1.5260000000000105</v>
      </c>
      <c r="AV333" s="3">
        <v>-0.25</v>
      </c>
      <c r="AW333" s="3">
        <v>-0.375</v>
      </c>
      <c r="AX333" s="3">
        <f t="shared" si="221"/>
        <v>0.125</v>
      </c>
      <c r="AY333" s="3">
        <v>1.7999999999999999E-2</v>
      </c>
      <c r="AZ333" s="3">
        <v>0.157</v>
      </c>
      <c r="BA333" s="3">
        <f t="shared" si="222"/>
        <v>-0.13900000000000001</v>
      </c>
      <c r="BB333" s="3">
        <f t="shared" si="253"/>
        <v>0.11600000000000001</v>
      </c>
      <c r="BC333" s="3">
        <f t="shared" si="253"/>
        <v>0.109</v>
      </c>
      <c r="BD333" s="3">
        <f t="shared" si="224"/>
        <v>7.0000000000000062E-3</v>
      </c>
      <c r="BE333" s="3">
        <f t="shared" si="254"/>
        <v>0.26800000000000002</v>
      </c>
      <c r="BF333" s="3">
        <f t="shared" si="254"/>
        <v>0.53200000000000003</v>
      </c>
      <c r="BG333" s="6">
        <f t="shared" si="226"/>
        <v>-0.26400000000000001</v>
      </c>
      <c r="BH333" s="6">
        <f t="shared" si="255"/>
        <v>-0.11600000000000001</v>
      </c>
      <c r="BI333" s="6">
        <f t="shared" si="255"/>
        <v>-0.109</v>
      </c>
      <c r="BJ333" s="6">
        <f t="shared" si="251"/>
        <v>-7.0000000000000062E-3</v>
      </c>
      <c r="BK333" s="3">
        <f t="shared" si="234"/>
        <v>2.5104477611940297E-2</v>
      </c>
      <c r="BL333" s="3">
        <f t="shared" si="235"/>
        <v>1.1166353383458645E-2</v>
      </c>
      <c r="BM333" s="3">
        <f t="shared" si="228"/>
        <v>1.3938124228481652E-2</v>
      </c>
      <c r="BN333" s="3">
        <v>5.09</v>
      </c>
      <c r="BO333" s="3">
        <v>5.2910000000000004</v>
      </c>
      <c r="BP333" s="3">
        <f t="shared" si="229"/>
        <v>-0.20100000000000051</v>
      </c>
      <c r="BQ333" s="3">
        <v>-155925.34599999999</v>
      </c>
      <c r="BR333" s="3">
        <v>-154963.22899999999</v>
      </c>
      <c r="BS333" s="3">
        <f t="shared" si="230"/>
        <v>-962.11699999999837</v>
      </c>
      <c r="BT333" s="3">
        <v>-155948.003</v>
      </c>
      <c r="BU333" s="3">
        <v>-154985.997</v>
      </c>
      <c r="BV333" s="3">
        <f t="shared" si="231"/>
        <v>-962.00599999999395</v>
      </c>
    </row>
    <row r="334" spans="1:74" s="7" customFormat="1" x14ac:dyDescent="0.25">
      <c r="A334" s="14" t="s">
        <v>497</v>
      </c>
      <c r="B334" s="7" t="s">
        <v>513</v>
      </c>
      <c r="C334" s="7" t="s">
        <v>99</v>
      </c>
      <c r="D334" s="6">
        <v>25.51</v>
      </c>
      <c r="E334" s="6">
        <v>0.43</v>
      </c>
      <c r="F334" s="6">
        <v>-508.67500000000001</v>
      </c>
      <c r="G334" s="6">
        <v>-511.637</v>
      </c>
      <c r="H334" s="6">
        <f t="shared" si="236"/>
        <v>-2.9619999999999891</v>
      </c>
      <c r="I334" s="6">
        <v>-0.254</v>
      </c>
      <c r="J334" s="6">
        <v>-0.17399999999999999</v>
      </c>
      <c r="K334" s="6">
        <f t="shared" si="237"/>
        <v>8.0000000000000016E-2</v>
      </c>
      <c r="L334" s="6">
        <v>7.3999999999999996E-2</v>
      </c>
      <c r="M334" s="6">
        <v>-0.08</v>
      </c>
      <c r="N334" s="6">
        <f t="shared" si="238"/>
        <v>-0.154</v>
      </c>
      <c r="O334" s="6">
        <f t="shared" si="252"/>
        <v>0.09</v>
      </c>
      <c r="P334" s="6">
        <f t="shared" si="239"/>
        <v>0.127</v>
      </c>
      <c r="Q334" s="6">
        <f t="shared" si="240"/>
        <v>3.7000000000000005E-2</v>
      </c>
      <c r="R334" s="6">
        <f t="shared" si="241"/>
        <v>0.32800000000000001</v>
      </c>
      <c r="S334" s="6">
        <f t="shared" si="241"/>
        <v>9.3999999999999986E-2</v>
      </c>
      <c r="T334" s="6">
        <f t="shared" si="242"/>
        <v>-0.23400000000000004</v>
      </c>
      <c r="U334" s="6">
        <f t="shared" si="243"/>
        <v>-0.09</v>
      </c>
      <c r="V334" s="6">
        <f t="shared" si="243"/>
        <v>-0.127</v>
      </c>
      <c r="W334" s="6">
        <f t="shared" si="244"/>
        <v>-3.7000000000000005E-2</v>
      </c>
      <c r="X334" s="6">
        <f t="shared" si="232"/>
        <v>1.2347560975609755E-2</v>
      </c>
      <c r="Y334" s="6">
        <f t="shared" si="233"/>
        <v>8.5792553191489374E-2</v>
      </c>
      <c r="Z334" s="6">
        <f t="shared" si="245"/>
        <v>7.344499221587962E-2</v>
      </c>
      <c r="AA334" s="6">
        <v>6.5419999999999998</v>
      </c>
      <c r="AB334" s="6">
        <v>5.7279999999999998</v>
      </c>
      <c r="AC334" s="6">
        <f t="shared" si="246"/>
        <v>-0.81400000000000006</v>
      </c>
      <c r="AD334" s="6">
        <f>-508.565928*627.50956</f>
        <v>-319129.98171027168</v>
      </c>
      <c r="AE334" s="6">
        <f>-511.534703*627.50956</f>
        <v>-320992.91640426067</v>
      </c>
      <c r="AF334" s="6">
        <f t="shared" si="247"/>
        <v>-1862.9346939889947</v>
      </c>
      <c r="AG334" s="6">
        <f>-508.608618*627.50956</f>
        <v>-319156.77009338804</v>
      </c>
      <c r="AH334" s="6">
        <f>-511.576812*627.50956</f>
        <v>-321019.34020432271</v>
      </c>
      <c r="AI334" s="6">
        <f t="shared" si="248"/>
        <v>-1862.5701109346701</v>
      </c>
      <c r="AJ334" s="6">
        <v>-0.91200000000000003</v>
      </c>
      <c r="AK334" s="6">
        <v>-0.8</v>
      </c>
      <c r="AL334" s="6">
        <f t="shared" si="249"/>
        <v>0.11199999999999999</v>
      </c>
      <c r="AM334" s="6">
        <v>138.10079999999999</v>
      </c>
      <c r="AN334" s="6">
        <v>166.5959</v>
      </c>
      <c r="AO334" s="6">
        <v>169.57499999999999</v>
      </c>
      <c r="AP334" s="6">
        <f t="shared" si="250"/>
        <v>1.1246370209754151</v>
      </c>
      <c r="AQ334" s="6">
        <v>8.7200000000000006</v>
      </c>
      <c r="AR334" s="6">
        <v>2.2360000000000002</v>
      </c>
      <c r="AS334" s="6">
        <v>-132.80099999999999</v>
      </c>
      <c r="AT334" s="6">
        <v>-131.97</v>
      </c>
      <c r="AU334" s="6">
        <f t="shared" si="220"/>
        <v>-0.83099999999998886</v>
      </c>
      <c r="AV334" s="6">
        <v>-0.34100000000000003</v>
      </c>
      <c r="AW334" s="6">
        <v>-0.47499999999999998</v>
      </c>
      <c r="AX334" s="6">
        <f t="shared" si="221"/>
        <v>0.13399999999999995</v>
      </c>
      <c r="AY334" s="6">
        <v>2.9000000000000001E-2</v>
      </c>
      <c r="AZ334" s="6">
        <v>0.156</v>
      </c>
      <c r="BA334" s="6">
        <f t="shared" si="222"/>
        <v>-0.127</v>
      </c>
      <c r="BB334" s="6">
        <f t="shared" si="253"/>
        <v>0.156</v>
      </c>
      <c r="BC334" s="6">
        <f t="shared" si="253"/>
        <v>0.15949999999999998</v>
      </c>
      <c r="BD334" s="6">
        <f t="shared" si="224"/>
        <v>-3.4999999999999754E-3</v>
      </c>
      <c r="BE334" s="6">
        <f t="shared" si="254"/>
        <v>0.37000000000000005</v>
      </c>
      <c r="BF334" s="6">
        <f t="shared" si="254"/>
        <v>0.63100000000000001</v>
      </c>
      <c r="BG334" s="6">
        <f t="shared" si="226"/>
        <v>-0.26099999999999995</v>
      </c>
      <c r="BH334" s="6">
        <f t="shared" si="255"/>
        <v>-0.156</v>
      </c>
      <c r="BI334" s="6">
        <f t="shared" si="255"/>
        <v>-0.15949999999999998</v>
      </c>
      <c r="BJ334" s="6">
        <f t="shared" si="251"/>
        <v>3.4999999999999754E-3</v>
      </c>
      <c r="BK334" s="6">
        <f t="shared" si="234"/>
        <v>3.2886486486486483E-2</v>
      </c>
      <c r="BL334" s="6">
        <f t="shared" si="235"/>
        <v>2.0158676703645E-2</v>
      </c>
      <c r="BM334" s="6">
        <f t="shared" si="228"/>
        <v>1.2727809782841482E-2</v>
      </c>
      <c r="BN334" s="6">
        <v>4.7279999999999998</v>
      </c>
      <c r="BO334" s="6">
        <v>4.9340000000000002</v>
      </c>
      <c r="BP334" s="6">
        <f t="shared" si="229"/>
        <v>-0.20600000000000041</v>
      </c>
      <c r="BQ334" s="6">
        <v>-83302.89</v>
      </c>
      <c r="BR334" s="6">
        <v>-82779.224000000002</v>
      </c>
      <c r="BS334" s="6">
        <f t="shared" si="230"/>
        <v>-523.66599999999744</v>
      </c>
      <c r="BT334" s="6">
        <v>-83320.774999999994</v>
      </c>
      <c r="BU334" s="6">
        <v>-82796.997000000003</v>
      </c>
      <c r="BV334" s="6">
        <f t="shared" si="231"/>
        <v>-523.77799999999115</v>
      </c>
    </row>
    <row r="335" spans="1:74" x14ac:dyDescent="0.25">
      <c r="A335" s="8" t="s">
        <v>204</v>
      </c>
      <c r="B335" s="8" t="s">
        <v>502</v>
      </c>
      <c r="C335" s="8" t="s">
        <v>199</v>
      </c>
      <c r="D335" s="8">
        <v>16.829999999999998</v>
      </c>
      <c r="E335" s="8">
        <v>0.56000000000000005</v>
      </c>
      <c r="F335" s="9">
        <v>-622.13</v>
      </c>
      <c r="G335" s="8">
        <v>-624.01700000000005</v>
      </c>
      <c r="H335" s="9">
        <f>G335-F335</f>
        <v>-1.8870000000000573</v>
      </c>
      <c r="I335" s="8">
        <v>-0.20899999999999999</v>
      </c>
      <c r="J335" s="11">
        <v>-8.6999999999999994E-2</v>
      </c>
      <c r="K335" s="8">
        <f t="shared" ref="K335:K349" si="256">J335-I335</f>
        <v>0.122</v>
      </c>
      <c r="L335" s="8">
        <v>0.152</v>
      </c>
      <c r="M335" s="11">
        <v>2E-3</v>
      </c>
      <c r="N335" s="8">
        <f t="shared" ref="N335:N349" si="257">M335-L335</f>
        <v>-0.15</v>
      </c>
      <c r="O335" s="8">
        <f t="shared" ref="O335:O349" si="258">-(I335+L335)/2</f>
        <v>2.8499999999999998E-2</v>
      </c>
      <c r="P335" s="8">
        <f t="shared" ref="P335:P349" si="259">-(J335+M335)/2</f>
        <v>4.2499999999999996E-2</v>
      </c>
      <c r="Q335" s="8">
        <f t="shared" ref="Q335:Q349" si="260">P335-O335</f>
        <v>1.3999999999999999E-2</v>
      </c>
      <c r="R335" s="8">
        <f t="shared" ref="R335:R349" si="261">L335-I335</f>
        <v>0.36099999999999999</v>
      </c>
      <c r="S335" s="8">
        <f t="shared" ref="S335:S349" si="262">M335-J335</f>
        <v>8.8999999999999996E-2</v>
      </c>
      <c r="T335" s="8">
        <f t="shared" ref="T335:T349" si="263">S335-R335</f>
        <v>-0.27200000000000002</v>
      </c>
      <c r="U335" s="8">
        <f t="shared" ref="U335:U349" si="264">(I335+L335)/2</f>
        <v>-2.8499999999999998E-2</v>
      </c>
      <c r="V335" s="8">
        <f t="shared" ref="V335:V349" si="265">(J335+M335)/2</f>
        <v>-4.2499999999999996E-2</v>
      </c>
      <c r="W335" s="3">
        <f t="shared" si="244"/>
        <v>-1.3999999999999999E-2</v>
      </c>
      <c r="X335" s="8">
        <f t="shared" ref="X335:X348" si="266">(U335*U335)/(2*R335)</f>
        <v>1.1249999999999997E-3</v>
      </c>
      <c r="Y335" s="8">
        <f t="shared" si="233"/>
        <v>1.0147471910112359E-2</v>
      </c>
      <c r="Z335" s="8">
        <f t="shared" ref="Z335:Z349" si="267">Y335-X335</f>
        <v>9.0224719101123594E-3</v>
      </c>
      <c r="AA335" s="8">
        <v>0.75600000000000001</v>
      </c>
      <c r="AB335" s="8">
        <v>0.40500000000000003</v>
      </c>
      <c r="AC335" s="8">
        <f t="shared" ref="AC335:AC349" si="268">AB335-AA335</f>
        <v>-0.35099999999999998</v>
      </c>
      <c r="AD335" s="8">
        <v>-390384.40500000003</v>
      </c>
      <c r="AE335" s="8">
        <v>-391569.44900000002</v>
      </c>
      <c r="AF335" s="8">
        <f t="shared" ref="AF335:AF349" si="269">AE335-AD335</f>
        <v>-1185.0439999999944</v>
      </c>
      <c r="AG335" s="8">
        <v>-390403.21600000001</v>
      </c>
      <c r="AH335" s="8">
        <v>-391588.71100000001</v>
      </c>
      <c r="AI335" s="8">
        <f t="shared" ref="AI335:AI349" si="270">AH335-AG335</f>
        <v>-1185.4949999999953</v>
      </c>
      <c r="AJ335" s="8">
        <v>1.5780000000000001</v>
      </c>
      <c r="AK335" s="8">
        <v>1.2290000000000001</v>
      </c>
      <c r="AL335" s="8">
        <f t="shared" ref="AL335:AL349" si="271">AK335-AJ335</f>
        <v>-0.34899999999999998</v>
      </c>
      <c r="AM335" s="8">
        <v>80.063000000000002</v>
      </c>
      <c r="AN335" s="8">
        <v>90.221999999999994</v>
      </c>
      <c r="AO335" s="9">
        <v>74.336600000000004</v>
      </c>
      <c r="AP335" s="9">
        <f>(AN335/(4*3.14*POWER(((3*AO335)/(4*3.14)),2/3)))</f>
        <v>1.0554393245604115</v>
      </c>
      <c r="AQ335" s="8">
        <v>6.351</v>
      </c>
      <c r="AR335" s="9">
        <v>1.2397</v>
      </c>
      <c r="AS335" s="8">
        <v>-76.454999999999998</v>
      </c>
      <c r="AT335" s="8">
        <v>-76.055000000000007</v>
      </c>
      <c r="AU335" s="9">
        <f t="shared" si="220"/>
        <v>-0.39999999999999147</v>
      </c>
      <c r="AV335" s="8">
        <v>-0.30399999999999999</v>
      </c>
      <c r="AW335" s="8">
        <v>-0.505</v>
      </c>
      <c r="AX335" s="8">
        <f t="shared" si="221"/>
        <v>0.20100000000000001</v>
      </c>
      <c r="AY335" s="9">
        <v>0.04</v>
      </c>
      <c r="AZ335" s="8">
        <v>0.16400000000000001</v>
      </c>
      <c r="BA335" s="8">
        <f t="shared" si="222"/>
        <v>-0.124</v>
      </c>
      <c r="BB335" s="9">
        <f t="shared" si="253"/>
        <v>0.13200000000000001</v>
      </c>
      <c r="BC335" s="8">
        <f t="shared" si="253"/>
        <v>0.17049999999999998</v>
      </c>
      <c r="BD335" s="9">
        <f t="shared" si="224"/>
        <v>-3.8499999999999979E-2</v>
      </c>
      <c r="BE335" s="8">
        <f t="shared" si="254"/>
        <v>0.34399999999999997</v>
      </c>
      <c r="BF335" s="8">
        <f t="shared" si="254"/>
        <v>0.66900000000000004</v>
      </c>
      <c r="BG335" s="11">
        <f t="shared" si="226"/>
        <v>-0.32500000000000007</v>
      </c>
      <c r="BH335" s="11">
        <f t="shared" si="255"/>
        <v>-0.13200000000000001</v>
      </c>
      <c r="BI335" s="11">
        <f t="shared" si="255"/>
        <v>-0.17049999999999998</v>
      </c>
      <c r="BJ335" s="6">
        <f t="shared" si="251"/>
        <v>3.8499999999999979E-2</v>
      </c>
      <c r="BK335" s="8">
        <f t="shared" si="234"/>
        <v>2.5325581395348844E-2</v>
      </c>
      <c r="BL335" s="8">
        <f t="shared" si="235"/>
        <v>2.1726644245141997E-2</v>
      </c>
      <c r="BM335" s="8">
        <f t="shared" si="228"/>
        <v>3.5989371502068469E-3</v>
      </c>
      <c r="BN335" s="8">
        <v>2.3010000000000002</v>
      </c>
      <c r="BO335" s="8">
        <v>2.3559999999999999</v>
      </c>
      <c r="BP335" s="9">
        <f t="shared" si="229"/>
        <v>-5.4999999999999716E-2</v>
      </c>
      <c r="BQ335" s="8">
        <v>-47960.305999999997</v>
      </c>
      <c r="BR335" s="8">
        <v>-47708.290999999997</v>
      </c>
      <c r="BS335" s="8">
        <f t="shared" si="230"/>
        <v>-252.01499999999942</v>
      </c>
      <c r="BT335" s="8">
        <v>-47973.754999999997</v>
      </c>
      <c r="BU335" s="8">
        <v>-47721.697</v>
      </c>
      <c r="BV335" s="8">
        <f t="shared" si="231"/>
        <v>-252.05799999999726</v>
      </c>
    </row>
    <row r="336" spans="1:74" x14ac:dyDescent="0.25">
      <c r="A336" s="8" t="s">
        <v>205</v>
      </c>
      <c r="B336" s="8" t="s">
        <v>502</v>
      </c>
      <c r="C336" s="8" t="s">
        <v>99</v>
      </c>
      <c r="D336" s="8">
        <v>17.940000000000001</v>
      </c>
      <c r="E336" s="10">
        <v>0.6</v>
      </c>
      <c r="F336" s="8">
        <v>-490.012</v>
      </c>
      <c r="G336" s="8">
        <v>-491.24900000000002</v>
      </c>
      <c r="H336" s="9">
        <f t="shared" ref="H336:H348" si="272">G336-F336</f>
        <v>-1.2370000000000232</v>
      </c>
      <c r="I336" s="8">
        <v>-0.318</v>
      </c>
      <c r="J336" s="11">
        <v>-0.21199999999999999</v>
      </c>
      <c r="K336" s="8">
        <f t="shared" si="256"/>
        <v>0.10600000000000001</v>
      </c>
      <c r="L336" s="8">
        <v>0.19400000000000001</v>
      </c>
      <c r="M336" s="11">
        <v>7.2999999999999995E-2</v>
      </c>
      <c r="N336" s="8">
        <f t="shared" si="257"/>
        <v>-0.12100000000000001</v>
      </c>
      <c r="O336" s="8">
        <f t="shared" si="258"/>
        <v>6.2E-2</v>
      </c>
      <c r="P336" s="8">
        <f t="shared" si="259"/>
        <v>6.9500000000000006E-2</v>
      </c>
      <c r="Q336" s="8">
        <f t="shared" si="260"/>
        <v>7.5000000000000067E-3</v>
      </c>
      <c r="R336" s="8">
        <f t="shared" si="261"/>
        <v>0.51200000000000001</v>
      </c>
      <c r="S336" s="8">
        <f t="shared" si="262"/>
        <v>0.28499999999999998</v>
      </c>
      <c r="T336" s="8">
        <f t="shared" si="263"/>
        <v>-0.22700000000000004</v>
      </c>
      <c r="U336" s="8">
        <f t="shared" si="264"/>
        <v>-6.2E-2</v>
      </c>
      <c r="V336" s="8">
        <f t="shared" si="265"/>
        <v>-6.9500000000000006E-2</v>
      </c>
      <c r="W336" s="3">
        <f t="shared" si="244"/>
        <v>-7.5000000000000067E-3</v>
      </c>
      <c r="X336" s="8">
        <f t="shared" si="266"/>
        <v>3.7539062499999999E-3</v>
      </c>
      <c r="Y336" s="8">
        <f t="shared" si="233"/>
        <v>8.4741228070175471E-3</v>
      </c>
      <c r="Z336" s="8">
        <f t="shared" si="267"/>
        <v>4.7202165570175477E-3</v>
      </c>
      <c r="AA336" s="8">
        <v>0.997</v>
      </c>
      <c r="AB336" s="8">
        <v>1.4139999999999999</v>
      </c>
      <c r="AC336" s="8">
        <f t="shared" si="268"/>
        <v>0.41699999999999993</v>
      </c>
      <c r="AD336" s="8">
        <v>-307478.712</v>
      </c>
      <c r="AE336" s="8">
        <v>-308255.53200000001</v>
      </c>
      <c r="AF336" s="8">
        <f t="shared" si="269"/>
        <v>-776.82000000000698</v>
      </c>
      <c r="AG336" s="8">
        <v>-307495.25400000002</v>
      </c>
      <c r="AH336" s="8">
        <v>-308272.13299999997</v>
      </c>
      <c r="AI336" s="8">
        <f t="shared" si="270"/>
        <v>-776.87899999995716</v>
      </c>
      <c r="AJ336" s="8">
        <v>-0.56299999999999994</v>
      </c>
      <c r="AK336" s="8">
        <v>-0.48799999999999999</v>
      </c>
      <c r="AL336" s="8">
        <f t="shared" si="271"/>
        <v>7.4999999999999956E-2</v>
      </c>
      <c r="AM336" s="8">
        <v>58.082000000000001</v>
      </c>
      <c r="AN336" s="8">
        <v>86.947999999999993</v>
      </c>
      <c r="AO336" s="8">
        <v>70.966999999999999</v>
      </c>
      <c r="AP336" s="9">
        <f t="shared" ref="AP336:AP348" si="273">(AN336/(4*3.14*POWER(((3*AO336)/(4*3.14)),2/3)))</f>
        <v>1.0490863814650893</v>
      </c>
      <c r="AQ336" s="8">
        <v>6.194</v>
      </c>
      <c r="AR336" s="8">
        <v>1.21</v>
      </c>
      <c r="AS336" s="8">
        <v>-132.80099999999999</v>
      </c>
      <c r="AT336" s="9">
        <v>-131.97</v>
      </c>
      <c r="AU336" s="8">
        <f t="shared" si="220"/>
        <v>-0.83099999999998886</v>
      </c>
      <c r="AV336" s="8">
        <v>-0.34100000000000003</v>
      </c>
      <c r="AW336" s="8">
        <v>-0.47499999999999998</v>
      </c>
      <c r="AX336" s="8">
        <f t="shared" si="221"/>
        <v>0.13399999999999995</v>
      </c>
      <c r="AY336" s="8">
        <v>2.9000000000000001E-2</v>
      </c>
      <c r="AZ336" s="8">
        <v>0.156</v>
      </c>
      <c r="BA336" s="8">
        <f t="shared" si="222"/>
        <v>-0.127</v>
      </c>
      <c r="BB336" s="8">
        <f t="shared" si="253"/>
        <v>0.156</v>
      </c>
      <c r="BC336" s="8">
        <f t="shared" si="253"/>
        <v>0.15949999999999998</v>
      </c>
      <c r="BD336" s="9">
        <f t="shared" si="224"/>
        <v>-3.4999999999999754E-3</v>
      </c>
      <c r="BE336" s="9">
        <f t="shared" si="254"/>
        <v>0.37000000000000005</v>
      </c>
      <c r="BF336" s="8">
        <f t="shared" si="254"/>
        <v>0.63100000000000001</v>
      </c>
      <c r="BG336" s="11">
        <f t="shared" si="226"/>
        <v>-0.26099999999999995</v>
      </c>
      <c r="BH336" s="11">
        <f t="shared" si="255"/>
        <v>-0.156</v>
      </c>
      <c r="BI336" s="11">
        <f t="shared" si="255"/>
        <v>-0.15949999999999998</v>
      </c>
      <c r="BJ336" s="6">
        <f t="shared" si="251"/>
        <v>3.4999999999999754E-3</v>
      </c>
      <c r="BK336" s="8">
        <f t="shared" si="234"/>
        <v>3.2886486486486483E-2</v>
      </c>
      <c r="BL336" s="8">
        <f t="shared" si="235"/>
        <v>2.0158676703645E-2</v>
      </c>
      <c r="BM336" s="8">
        <f t="shared" si="228"/>
        <v>1.2727809782841482E-2</v>
      </c>
      <c r="BN336" s="8">
        <v>4.7279999999999998</v>
      </c>
      <c r="BO336" s="8">
        <v>4.9340000000000002</v>
      </c>
      <c r="BP336" s="9">
        <f t="shared" si="229"/>
        <v>-0.20600000000000041</v>
      </c>
      <c r="BQ336" s="9">
        <v>-83302.89</v>
      </c>
      <c r="BR336" s="8">
        <v>-82779.224000000002</v>
      </c>
      <c r="BS336" s="8">
        <f t="shared" si="230"/>
        <v>-523.66599999999744</v>
      </c>
      <c r="BT336" s="8">
        <v>-83320.774999999994</v>
      </c>
      <c r="BU336" s="8">
        <v>-82796.997000000003</v>
      </c>
      <c r="BV336" s="8">
        <f t="shared" si="231"/>
        <v>-523.77799999999115</v>
      </c>
    </row>
    <row r="337" spans="1:74" x14ac:dyDescent="0.25">
      <c r="A337" s="8" t="s">
        <v>206</v>
      </c>
      <c r="B337" s="8" t="s">
        <v>502</v>
      </c>
      <c r="C337" s="8" t="s">
        <v>99</v>
      </c>
      <c r="D337" s="8">
        <v>18.27</v>
      </c>
      <c r="E337" s="8">
        <v>0.78</v>
      </c>
      <c r="F337" s="8">
        <v>-1025.6669999999999</v>
      </c>
      <c r="G337" s="8">
        <v>-1028.519</v>
      </c>
      <c r="H337" s="9">
        <f t="shared" si="272"/>
        <v>-2.8520000000000891</v>
      </c>
      <c r="I337" s="8">
        <v>-0.29599999999999999</v>
      </c>
      <c r="J337" s="11">
        <v>-0.191</v>
      </c>
      <c r="K337" s="8">
        <f t="shared" si="256"/>
        <v>0.10499999999999998</v>
      </c>
      <c r="L337" s="8">
        <v>0.114</v>
      </c>
      <c r="M337" s="11">
        <v>-2.9000000000000001E-2</v>
      </c>
      <c r="N337" s="8">
        <f t="shared" si="257"/>
        <v>-0.14300000000000002</v>
      </c>
      <c r="O337" s="8">
        <f t="shared" si="258"/>
        <v>9.0999999999999998E-2</v>
      </c>
      <c r="P337" s="8">
        <f t="shared" si="259"/>
        <v>0.11</v>
      </c>
      <c r="Q337" s="8">
        <f t="shared" si="260"/>
        <v>1.9000000000000003E-2</v>
      </c>
      <c r="R337" s="8">
        <f t="shared" si="261"/>
        <v>0.41</v>
      </c>
      <c r="S337" s="8">
        <f t="shared" si="262"/>
        <v>0.16200000000000001</v>
      </c>
      <c r="T337" s="8">
        <f t="shared" si="263"/>
        <v>-0.24799999999999997</v>
      </c>
      <c r="U337" s="8">
        <f t="shared" si="264"/>
        <v>-9.0999999999999998E-2</v>
      </c>
      <c r="V337" s="8">
        <f t="shared" si="265"/>
        <v>-0.11</v>
      </c>
      <c r="W337" s="3">
        <f t="shared" si="244"/>
        <v>-1.9000000000000003E-2</v>
      </c>
      <c r="X337" s="8">
        <f t="shared" si="266"/>
        <v>1.0098780487804878E-2</v>
      </c>
      <c r="Y337" s="8">
        <f t="shared" si="233"/>
        <v>3.734567901234568E-2</v>
      </c>
      <c r="Z337" s="8">
        <f t="shared" si="267"/>
        <v>2.7246898524540802E-2</v>
      </c>
      <c r="AA337" s="8">
        <v>11.641</v>
      </c>
      <c r="AB337" s="8">
        <v>10.821</v>
      </c>
      <c r="AC337" s="8">
        <f t="shared" si="268"/>
        <v>-0.82000000000000028</v>
      </c>
      <c r="AD337" s="8">
        <v>-643539.92200000002</v>
      </c>
      <c r="AE337" s="8">
        <v>-645333.56700000004</v>
      </c>
      <c r="AF337" s="8">
        <f t="shared" si="269"/>
        <v>-1793.6450000000186</v>
      </c>
      <c r="AG337" s="8">
        <v>-643566.64399999997</v>
      </c>
      <c r="AH337" s="8">
        <v>-645360.87600000005</v>
      </c>
      <c r="AI337" s="8">
        <f t="shared" si="270"/>
        <v>-1794.2320000000764</v>
      </c>
      <c r="AJ337" s="8">
        <v>-0.51400000000000001</v>
      </c>
      <c r="AK337" s="8">
        <v>-0.435</v>
      </c>
      <c r="AL337" s="8">
        <f t="shared" si="271"/>
        <v>7.9000000000000015E-2</v>
      </c>
      <c r="AM337" s="9">
        <v>135.2277</v>
      </c>
      <c r="AN337" s="9">
        <v>183.20189999999999</v>
      </c>
      <c r="AO337" s="8">
        <v>189.154</v>
      </c>
      <c r="AP337" s="9">
        <f t="shared" si="273"/>
        <v>1.1498527743146096</v>
      </c>
      <c r="AQ337" s="8">
        <v>8.8559999999999999</v>
      </c>
      <c r="AR337" s="9">
        <v>2.1015999999999999</v>
      </c>
      <c r="AS337" s="8">
        <v>-132.80099999999999</v>
      </c>
      <c r="AT337" s="9">
        <v>-131.97</v>
      </c>
      <c r="AU337" s="8">
        <f t="shared" si="220"/>
        <v>-0.83099999999998886</v>
      </c>
      <c r="AV337" s="8">
        <v>-0.34100000000000003</v>
      </c>
      <c r="AW337" s="8">
        <v>-0.47499999999999998</v>
      </c>
      <c r="AX337" s="8">
        <f t="shared" si="221"/>
        <v>0.13399999999999995</v>
      </c>
      <c r="AY337" s="8">
        <v>2.9000000000000001E-2</v>
      </c>
      <c r="AZ337" s="8">
        <v>0.156</v>
      </c>
      <c r="BA337" s="8">
        <f t="shared" si="222"/>
        <v>-0.127</v>
      </c>
      <c r="BB337" s="8">
        <f t="shared" si="253"/>
        <v>0.156</v>
      </c>
      <c r="BC337" s="8">
        <f t="shared" si="253"/>
        <v>0.15949999999999998</v>
      </c>
      <c r="BD337" s="9">
        <f t="shared" si="224"/>
        <v>-3.4999999999999754E-3</v>
      </c>
      <c r="BE337" s="9">
        <f t="shared" si="254"/>
        <v>0.37000000000000005</v>
      </c>
      <c r="BF337" s="8">
        <f t="shared" si="254"/>
        <v>0.63100000000000001</v>
      </c>
      <c r="BG337" s="11">
        <f t="shared" si="226"/>
        <v>-0.26099999999999995</v>
      </c>
      <c r="BH337" s="11">
        <f t="shared" si="255"/>
        <v>-0.156</v>
      </c>
      <c r="BI337" s="11">
        <f t="shared" si="255"/>
        <v>-0.15949999999999998</v>
      </c>
      <c r="BJ337" s="6">
        <f t="shared" si="251"/>
        <v>3.4999999999999754E-3</v>
      </c>
      <c r="BK337" s="8">
        <f t="shared" si="234"/>
        <v>3.2886486486486483E-2</v>
      </c>
      <c r="BL337" s="8">
        <f t="shared" si="235"/>
        <v>2.0158676703645E-2</v>
      </c>
      <c r="BM337" s="8">
        <f t="shared" si="228"/>
        <v>1.2727809782841482E-2</v>
      </c>
      <c r="BN337" s="8">
        <v>4.7279999999999998</v>
      </c>
      <c r="BO337" s="8">
        <v>4.9340000000000002</v>
      </c>
      <c r="BP337" s="9">
        <f t="shared" si="229"/>
        <v>-0.20600000000000041</v>
      </c>
      <c r="BQ337" s="9">
        <v>-83302.89</v>
      </c>
      <c r="BR337" s="8">
        <v>-82779.224000000002</v>
      </c>
      <c r="BS337" s="8">
        <f t="shared" si="230"/>
        <v>-523.66599999999744</v>
      </c>
      <c r="BT337" s="8">
        <v>-83320.774999999994</v>
      </c>
      <c r="BU337" s="8">
        <v>-82796.997000000003</v>
      </c>
      <c r="BV337" s="8">
        <f t="shared" si="231"/>
        <v>-523.77799999999115</v>
      </c>
    </row>
    <row r="338" spans="1:74" x14ac:dyDescent="0.25">
      <c r="A338" s="8" t="s">
        <v>207</v>
      </c>
      <c r="B338" s="8" t="s">
        <v>502</v>
      </c>
      <c r="C338" s="8" t="s">
        <v>99</v>
      </c>
      <c r="D338" s="10">
        <v>19.3</v>
      </c>
      <c r="E338" s="8">
        <v>0.69</v>
      </c>
      <c r="F338" s="8">
        <v>-986.62099999999998</v>
      </c>
      <c r="G338" s="8">
        <v>-989.19100000000003</v>
      </c>
      <c r="H338" s="9">
        <f t="shared" si="272"/>
        <v>-2.57000000000005</v>
      </c>
      <c r="I338" s="8">
        <v>-0.29799999999999999</v>
      </c>
      <c r="J338" s="11">
        <v>-0.192</v>
      </c>
      <c r="K338" s="8">
        <f t="shared" si="256"/>
        <v>0.10599999999999998</v>
      </c>
      <c r="L338" s="8">
        <v>0.113</v>
      </c>
      <c r="M338" s="11">
        <v>-2.9000000000000001E-2</v>
      </c>
      <c r="N338" s="8">
        <f t="shared" si="257"/>
        <v>-0.14200000000000002</v>
      </c>
      <c r="O338" s="8">
        <f t="shared" si="258"/>
        <v>9.2499999999999999E-2</v>
      </c>
      <c r="P338" s="8">
        <f t="shared" si="259"/>
        <v>0.1105</v>
      </c>
      <c r="Q338" s="8">
        <f t="shared" si="260"/>
        <v>1.8000000000000002E-2</v>
      </c>
      <c r="R338" s="8">
        <f t="shared" si="261"/>
        <v>0.41099999999999998</v>
      </c>
      <c r="S338" s="8">
        <f t="shared" si="262"/>
        <v>0.16300000000000001</v>
      </c>
      <c r="T338" s="8">
        <f t="shared" si="263"/>
        <v>-0.24799999999999997</v>
      </c>
      <c r="U338" s="8">
        <f t="shared" si="264"/>
        <v>-9.2499999999999999E-2</v>
      </c>
      <c r="V338" s="8">
        <f t="shared" si="265"/>
        <v>-0.1105</v>
      </c>
      <c r="W338" s="3">
        <f t="shared" si="244"/>
        <v>-1.8000000000000002E-2</v>
      </c>
      <c r="X338" s="8">
        <f t="shared" si="266"/>
        <v>1.0409063260340632E-2</v>
      </c>
      <c r="Y338" s="8">
        <f t="shared" si="233"/>
        <v>3.7454754601226992E-2</v>
      </c>
      <c r="Z338" s="8">
        <f t="shared" si="267"/>
        <v>2.7045691340886358E-2</v>
      </c>
      <c r="AA338" s="9">
        <v>10.199999999999999</v>
      </c>
      <c r="AB338" s="8">
        <v>9.4770000000000003</v>
      </c>
      <c r="AC338" s="8">
        <f t="shared" si="268"/>
        <v>-0.72299999999999898</v>
      </c>
      <c r="AD338" s="8">
        <v>-619057.26699999999</v>
      </c>
      <c r="AE338" s="8">
        <v>-620673.35800000001</v>
      </c>
      <c r="AF338" s="8">
        <f t="shared" si="269"/>
        <v>-1616.0910000000149</v>
      </c>
      <c r="AG338" s="8">
        <v>-619082.08499999996</v>
      </c>
      <c r="AH338" s="8">
        <v>-620698.61199999996</v>
      </c>
      <c r="AI338" s="8">
        <f t="shared" si="270"/>
        <v>-1616.5270000000019</v>
      </c>
      <c r="AJ338" s="8">
        <v>-0.51200000000000001</v>
      </c>
      <c r="AK338" s="8">
        <v>-0.434</v>
      </c>
      <c r="AL338" s="8">
        <f t="shared" si="271"/>
        <v>7.8000000000000014E-2</v>
      </c>
      <c r="AM338" s="8">
        <v>121.20099999999999</v>
      </c>
      <c r="AN338" s="8">
        <v>164.155</v>
      </c>
      <c r="AO338" s="8">
        <v>162.03100000000001</v>
      </c>
      <c r="AP338" s="9">
        <f t="shared" si="273"/>
        <v>1.1422942507181011</v>
      </c>
      <c r="AQ338" s="8">
        <v>8.8949999999999996</v>
      </c>
      <c r="AR338" s="9">
        <v>2.0026000000000002</v>
      </c>
      <c r="AS338" s="8">
        <v>-132.80099999999999</v>
      </c>
      <c r="AT338" s="9">
        <v>-131.97</v>
      </c>
      <c r="AU338" s="8">
        <f t="shared" si="220"/>
        <v>-0.83099999999998886</v>
      </c>
      <c r="AV338" s="8">
        <v>-0.34100000000000003</v>
      </c>
      <c r="AW338" s="8">
        <v>-0.47499999999999998</v>
      </c>
      <c r="AX338" s="8">
        <f t="shared" si="221"/>
        <v>0.13399999999999995</v>
      </c>
      <c r="AY338" s="8">
        <v>2.9000000000000001E-2</v>
      </c>
      <c r="AZ338" s="8">
        <v>0.156</v>
      </c>
      <c r="BA338" s="8">
        <f t="shared" si="222"/>
        <v>-0.127</v>
      </c>
      <c r="BB338" s="8">
        <f t="shared" si="253"/>
        <v>0.156</v>
      </c>
      <c r="BC338" s="8">
        <f t="shared" si="253"/>
        <v>0.15949999999999998</v>
      </c>
      <c r="BD338" s="9">
        <f t="shared" si="224"/>
        <v>-3.4999999999999754E-3</v>
      </c>
      <c r="BE338" s="9">
        <f t="shared" si="254"/>
        <v>0.37000000000000005</v>
      </c>
      <c r="BF338" s="8">
        <f t="shared" si="254"/>
        <v>0.63100000000000001</v>
      </c>
      <c r="BG338" s="11">
        <f t="shared" si="226"/>
        <v>-0.26099999999999995</v>
      </c>
      <c r="BH338" s="11">
        <f t="shared" si="255"/>
        <v>-0.156</v>
      </c>
      <c r="BI338" s="11">
        <f t="shared" si="255"/>
        <v>-0.15949999999999998</v>
      </c>
      <c r="BJ338" s="6">
        <f t="shared" si="251"/>
        <v>3.4999999999999754E-3</v>
      </c>
      <c r="BK338" s="8">
        <f t="shared" si="234"/>
        <v>3.2886486486486483E-2</v>
      </c>
      <c r="BL338" s="8">
        <f t="shared" si="235"/>
        <v>2.0158676703645E-2</v>
      </c>
      <c r="BM338" s="8">
        <f t="shared" si="228"/>
        <v>1.2727809782841482E-2</v>
      </c>
      <c r="BN338" s="8">
        <v>4.7279999999999998</v>
      </c>
      <c r="BO338" s="8">
        <v>4.9340000000000002</v>
      </c>
      <c r="BP338" s="9">
        <f t="shared" si="229"/>
        <v>-0.20600000000000041</v>
      </c>
      <c r="BQ338" s="9">
        <v>-83302.89</v>
      </c>
      <c r="BR338" s="8">
        <v>-82779.224000000002</v>
      </c>
      <c r="BS338" s="8">
        <f t="shared" si="230"/>
        <v>-523.66599999999744</v>
      </c>
      <c r="BT338" s="8">
        <v>-83320.774999999994</v>
      </c>
      <c r="BU338" s="8">
        <v>-82796.997000000003</v>
      </c>
      <c r="BV338" s="8">
        <f t="shared" si="231"/>
        <v>-523.77799999999115</v>
      </c>
    </row>
    <row r="339" spans="1:74" x14ac:dyDescent="0.25">
      <c r="A339" s="8" t="s">
        <v>208</v>
      </c>
      <c r="B339" s="8" t="s">
        <v>502</v>
      </c>
      <c r="C339" s="8" t="s">
        <v>200</v>
      </c>
      <c r="D339" s="10">
        <v>19.600000000000001</v>
      </c>
      <c r="E339" s="10">
        <v>0.6</v>
      </c>
      <c r="F339" s="8">
        <v>-777.51900000000001</v>
      </c>
      <c r="G339" s="8">
        <v>-780.49900000000002</v>
      </c>
      <c r="H339" s="9">
        <f t="shared" si="272"/>
        <v>-2.9800000000000182</v>
      </c>
      <c r="I339" s="8">
        <v>-0.30399999999999999</v>
      </c>
      <c r="J339" s="11">
        <v>-0.17899999999999999</v>
      </c>
      <c r="K339" s="8">
        <f t="shared" si="256"/>
        <v>0.125</v>
      </c>
      <c r="L339" s="8">
        <v>0.124</v>
      </c>
      <c r="M339" s="11">
        <v>-1.4E-2</v>
      </c>
      <c r="N339" s="8">
        <f t="shared" si="257"/>
        <v>-0.13800000000000001</v>
      </c>
      <c r="O339" s="8">
        <f t="shared" si="258"/>
        <v>0.09</v>
      </c>
      <c r="P339" s="8">
        <f t="shared" si="259"/>
        <v>9.6500000000000002E-2</v>
      </c>
      <c r="Q339" s="8">
        <f t="shared" si="260"/>
        <v>6.5000000000000058E-3</v>
      </c>
      <c r="R339" s="8">
        <f t="shared" si="261"/>
        <v>0.42799999999999999</v>
      </c>
      <c r="S339" s="8">
        <f t="shared" si="262"/>
        <v>0.16499999999999998</v>
      </c>
      <c r="T339" s="8">
        <f t="shared" si="263"/>
        <v>-0.26300000000000001</v>
      </c>
      <c r="U339" s="8">
        <f t="shared" si="264"/>
        <v>-0.09</v>
      </c>
      <c r="V339" s="8">
        <f t="shared" si="265"/>
        <v>-9.6500000000000002E-2</v>
      </c>
      <c r="W339" s="3">
        <f t="shared" si="244"/>
        <v>-6.5000000000000058E-3</v>
      </c>
      <c r="X339" s="8">
        <f t="shared" si="266"/>
        <v>9.4626168224299055E-3</v>
      </c>
      <c r="Y339" s="8">
        <f t="shared" si="233"/>
        <v>2.82189393939394E-2</v>
      </c>
      <c r="Z339" s="8">
        <f t="shared" si="267"/>
        <v>1.8756322571509495E-2</v>
      </c>
      <c r="AA339" s="8">
        <v>12.074</v>
      </c>
      <c r="AB339" s="8">
        <v>11.272</v>
      </c>
      <c r="AC339" s="8">
        <f t="shared" si="268"/>
        <v>-0.8019999999999996</v>
      </c>
      <c r="AD339" s="8">
        <v>-487829.973</v>
      </c>
      <c r="AE339" s="8">
        <v>-489704.17099999997</v>
      </c>
      <c r="AF339" s="8">
        <f t="shared" si="269"/>
        <v>-1874.1979999999749</v>
      </c>
      <c r="AG339" s="8">
        <v>-487855.59499999997</v>
      </c>
      <c r="AH339" s="8">
        <v>-489730.68400000001</v>
      </c>
      <c r="AI339" s="8">
        <f t="shared" si="270"/>
        <v>-1875.0890000000363</v>
      </c>
      <c r="AJ339" s="8">
        <v>1.5609999999999999</v>
      </c>
      <c r="AK339" s="9">
        <v>1.38</v>
      </c>
      <c r="AL339" s="8">
        <f t="shared" si="271"/>
        <v>-0.18100000000000005</v>
      </c>
      <c r="AM339" s="9">
        <v>141.1677</v>
      </c>
      <c r="AN339" s="9">
        <v>173.51159999999999</v>
      </c>
      <c r="AO339" s="9">
        <v>179.86179999999999</v>
      </c>
      <c r="AP339" s="9">
        <f t="shared" si="273"/>
        <v>1.1262250287566291</v>
      </c>
      <c r="AQ339" s="8">
        <v>8.9710000000000001</v>
      </c>
      <c r="AR339" s="9">
        <v>2.1566999999999998</v>
      </c>
      <c r="AS339" s="8">
        <v>-553.27200000000005</v>
      </c>
      <c r="AT339" s="8">
        <v>-551.61699999999996</v>
      </c>
      <c r="AU339" s="8">
        <f t="shared" si="220"/>
        <v>-1.6550000000000864</v>
      </c>
      <c r="AV339" s="8">
        <v>-0.23699999999999999</v>
      </c>
      <c r="AW339" s="8">
        <v>-0.36899999999999999</v>
      </c>
      <c r="AX339" s="8">
        <f t="shared" si="221"/>
        <v>0.13200000000000001</v>
      </c>
      <c r="AY339" s="8">
        <v>2.8000000000000001E-2</v>
      </c>
      <c r="AZ339" s="8">
        <v>0.154</v>
      </c>
      <c r="BA339" s="8">
        <f t="shared" si="222"/>
        <v>-0.126</v>
      </c>
      <c r="BB339" s="9">
        <f t="shared" si="253"/>
        <v>0.1045</v>
      </c>
      <c r="BC339" s="8">
        <f t="shared" si="253"/>
        <v>0.1075</v>
      </c>
      <c r="BD339" s="9">
        <f t="shared" si="224"/>
        <v>-3.0000000000000027E-3</v>
      </c>
      <c r="BE339" s="8">
        <f t="shared" si="254"/>
        <v>0.26500000000000001</v>
      </c>
      <c r="BF339" s="8">
        <f t="shared" si="254"/>
        <v>0.52300000000000002</v>
      </c>
      <c r="BG339" s="11">
        <f t="shared" si="226"/>
        <v>-0.25800000000000001</v>
      </c>
      <c r="BH339" s="11">
        <f t="shared" si="255"/>
        <v>-0.1045</v>
      </c>
      <c r="BI339" s="11">
        <f t="shared" si="255"/>
        <v>-0.1075</v>
      </c>
      <c r="BJ339" s="6">
        <f t="shared" si="251"/>
        <v>3.0000000000000027E-3</v>
      </c>
      <c r="BK339" s="8">
        <f t="shared" si="234"/>
        <v>2.0604245283018865E-2</v>
      </c>
      <c r="BL339" s="8">
        <f t="shared" si="235"/>
        <v>1.104804015296367E-2</v>
      </c>
      <c r="BM339" s="8">
        <f t="shared" si="228"/>
        <v>9.5562051300551957E-3</v>
      </c>
      <c r="BN339" s="8">
        <v>5.4870000000000001</v>
      </c>
      <c r="BO339" s="8">
        <v>6.0839999999999996</v>
      </c>
      <c r="BP339" s="9">
        <f t="shared" si="229"/>
        <v>-0.59699999999999953</v>
      </c>
      <c r="BQ339" s="8">
        <v>-347129.96399999998</v>
      </c>
      <c r="BR339" s="8">
        <v>-346087.64600000001</v>
      </c>
      <c r="BS339" s="8">
        <f t="shared" si="230"/>
        <v>-1042.3179999999702</v>
      </c>
      <c r="BT339" s="8">
        <v>-347152.04599999997</v>
      </c>
      <c r="BU339" s="8">
        <v>-346109.22600000002</v>
      </c>
      <c r="BV339" s="8">
        <f t="shared" si="231"/>
        <v>-1042.8199999999488</v>
      </c>
    </row>
    <row r="340" spans="1:74" x14ac:dyDescent="0.25">
      <c r="A340" s="8" t="s">
        <v>209</v>
      </c>
      <c r="B340" s="8" t="s">
        <v>502</v>
      </c>
      <c r="C340" s="8" t="s">
        <v>99</v>
      </c>
      <c r="D340" s="8">
        <v>20.11</v>
      </c>
      <c r="E340" s="8">
        <v>0.59</v>
      </c>
      <c r="F340" s="8">
        <v>-777.51800000000003</v>
      </c>
      <c r="G340" s="8">
        <v>-780.49800000000005</v>
      </c>
      <c r="H340" s="9">
        <f t="shared" si="272"/>
        <v>-2.9800000000000182</v>
      </c>
      <c r="I340" s="8">
        <v>-0.30399999999999999</v>
      </c>
      <c r="J340" s="12">
        <v>-0.18</v>
      </c>
      <c r="K340" s="8">
        <f t="shared" si="256"/>
        <v>0.124</v>
      </c>
      <c r="L340" s="8">
        <v>0.125</v>
      </c>
      <c r="M340" s="11">
        <v>-1.2999999999999999E-2</v>
      </c>
      <c r="N340" s="8">
        <f t="shared" si="257"/>
        <v>-0.13800000000000001</v>
      </c>
      <c r="O340" s="8">
        <f t="shared" si="258"/>
        <v>8.9499999999999996E-2</v>
      </c>
      <c r="P340" s="8">
        <f t="shared" si="259"/>
        <v>9.6500000000000002E-2</v>
      </c>
      <c r="Q340" s="8">
        <f t="shared" si="260"/>
        <v>7.0000000000000062E-3</v>
      </c>
      <c r="R340" s="8">
        <f t="shared" si="261"/>
        <v>0.42899999999999999</v>
      </c>
      <c r="S340" s="8">
        <f t="shared" si="262"/>
        <v>0.16699999999999998</v>
      </c>
      <c r="T340" s="8">
        <f t="shared" si="263"/>
        <v>-0.26200000000000001</v>
      </c>
      <c r="U340" s="8">
        <f t="shared" si="264"/>
        <v>-8.9499999999999996E-2</v>
      </c>
      <c r="V340" s="8">
        <f t="shared" si="265"/>
        <v>-9.6500000000000002E-2</v>
      </c>
      <c r="W340" s="3">
        <f t="shared" si="244"/>
        <v>-7.0000000000000062E-3</v>
      </c>
      <c r="X340" s="8">
        <f t="shared" si="266"/>
        <v>9.3359557109557109E-3</v>
      </c>
      <c r="Y340" s="8">
        <f t="shared" si="233"/>
        <v>2.7880988023952103E-2</v>
      </c>
      <c r="Z340" s="8">
        <f t="shared" si="267"/>
        <v>1.8545032312996392E-2</v>
      </c>
      <c r="AA340" s="8">
        <v>12.048</v>
      </c>
      <c r="AB340" s="8">
        <v>11.217000000000001</v>
      </c>
      <c r="AC340" s="8">
        <f t="shared" si="268"/>
        <v>-0.83099999999999952</v>
      </c>
      <c r="AD340" s="8">
        <v>-487830.05200000003</v>
      </c>
      <c r="AE340" s="8">
        <v>-489703.74900000001</v>
      </c>
      <c r="AF340" s="8">
        <f t="shared" si="269"/>
        <v>-1873.6969999999856</v>
      </c>
      <c r="AG340" s="8">
        <v>-487854.299</v>
      </c>
      <c r="AH340" s="8">
        <v>-489730.42499999999</v>
      </c>
      <c r="AI340" s="8">
        <f t="shared" si="270"/>
        <v>-1876.1259999999893</v>
      </c>
      <c r="AJ340" s="9">
        <v>1.56</v>
      </c>
      <c r="AK340" s="8">
        <v>1.3759999999999999</v>
      </c>
      <c r="AL340" s="8">
        <f t="shared" si="271"/>
        <v>-0.18400000000000016</v>
      </c>
      <c r="AM340" s="9">
        <v>141.1677</v>
      </c>
      <c r="AN340" s="9">
        <v>173.8998</v>
      </c>
      <c r="AO340" s="9">
        <v>179.9425</v>
      </c>
      <c r="AP340" s="9">
        <f t="shared" si="273"/>
        <v>1.1284072459240779</v>
      </c>
      <c r="AQ340" s="8">
        <v>8.9529999999999994</v>
      </c>
      <c r="AR340" s="9">
        <v>2.1526999999999998</v>
      </c>
      <c r="AS340" s="8">
        <v>-132.80099999999999</v>
      </c>
      <c r="AT340" s="9">
        <v>-131.97</v>
      </c>
      <c r="AU340" s="8">
        <f t="shared" si="220"/>
        <v>-0.83099999999998886</v>
      </c>
      <c r="AV340" s="8">
        <v>-0.34100000000000003</v>
      </c>
      <c r="AW340" s="8">
        <v>-0.47499999999999998</v>
      </c>
      <c r="AX340" s="8">
        <f t="shared" si="221"/>
        <v>0.13399999999999995</v>
      </c>
      <c r="AY340" s="8">
        <v>2.9000000000000001E-2</v>
      </c>
      <c r="AZ340" s="8">
        <v>0.156</v>
      </c>
      <c r="BA340" s="8">
        <f t="shared" si="222"/>
        <v>-0.127</v>
      </c>
      <c r="BB340" s="8">
        <f t="shared" si="253"/>
        <v>0.156</v>
      </c>
      <c r="BC340" s="8">
        <f t="shared" si="253"/>
        <v>0.15949999999999998</v>
      </c>
      <c r="BD340" s="9">
        <f t="shared" si="224"/>
        <v>-3.4999999999999754E-3</v>
      </c>
      <c r="BE340" s="9">
        <f t="shared" si="254"/>
        <v>0.37000000000000005</v>
      </c>
      <c r="BF340" s="8">
        <f t="shared" si="254"/>
        <v>0.63100000000000001</v>
      </c>
      <c r="BG340" s="11">
        <f t="shared" si="226"/>
        <v>-0.26099999999999995</v>
      </c>
      <c r="BH340" s="11">
        <f t="shared" si="255"/>
        <v>-0.156</v>
      </c>
      <c r="BI340" s="11">
        <f t="shared" si="255"/>
        <v>-0.15949999999999998</v>
      </c>
      <c r="BJ340" s="6">
        <f t="shared" si="251"/>
        <v>3.4999999999999754E-3</v>
      </c>
      <c r="BK340" s="8">
        <f t="shared" si="234"/>
        <v>3.2886486486486483E-2</v>
      </c>
      <c r="BL340" s="8">
        <f t="shared" si="235"/>
        <v>2.0158676703645E-2</v>
      </c>
      <c r="BM340" s="8">
        <f t="shared" si="228"/>
        <v>1.2727809782841482E-2</v>
      </c>
      <c r="BN340" s="8">
        <v>4.7279999999999998</v>
      </c>
      <c r="BO340" s="8">
        <v>4.9340000000000002</v>
      </c>
      <c r="BP340" s="9">
        <f t="shared" si="229"/>
        <v>-0.20600000000000041</v>
      </c>
      <c r="BQ340" s="9">
        <v>-83302.89</v>
      </c>
      <c r="BR340" s="8">
        <v>-82779.224000000002</v>
      </c>
      <c r="BS340" s="8">
        <f t="shared" si="230"/>
        <v>-523.66599999999744</v>
      </c>
      <c r="BT340" s="8">
        <v>-83320.774999999994</v>
      </c>
      <c r="BU340" s="8">
        <v>-82796.997000000003</v>
      </c>
      <c r="BV340" s="8">
        <f t="shared" si="231"/>
        <v>-523.77799999999115</v>
      </c>
    </row>
    <row r="341" spans="1:74" x14ac:dyDescent="0.25">
      <c r="A341" s="8" t="s">
        <v>210</v>
      </c>
      <c r="B341" s="8" t="s">
        <v>502</v>
      </c>
      <c r="C341" s="8" t="s">
        <v>99</v>
      </c>
      <c r="D341" s="8">
        <v>20.93</v>
      </c>
      <c r="E341" s="8">
        <v>0.63</v>
      </c>
      <c r="F341" s="8">
        <v>-966.78099999999995</v>
      </c>
      <c r="G341" s="8">
        <v>-969.31500000000005</v>
      </c>
      <c r="H341" s="9">
        <f t="shared" si="272"/>
        <v>-2.5340000000001055</v>
      </c>
      <c r="I341" s="8">
        <v>-0.28399999999999997</v>
      </c>
      <c r="J341" s="12">
        <v>-0.18</v>
      </c>
      <c r="K341" s="8">
        <f t="shared" si="256"/>
        <v>0.10399999999999998</v>
      </c>
      <c r="L341" s="8">
        <v>0.13200000000000001</v>
      </c>
      <c r="M341" s="12">
        <v>-0.01</v>
      </c>
      <c r="N341" s="8">
        <f t="shared" si="257"/>
        <v>-0.14200000000000002</v>
      </c>
      <c r="O341" s="8">
        <f t="shared" si="258"/>
        <v>7.5999999999999984E-2</v>
      </c>
      <c r="P341" s="8">
        <f t="shared" si="259"/>
        <v>9.5000000000000001E-2</v>
      </c>
      <c r="Q341" s="8">
        <f t="shared" si="260"/>
        <v>1.9000000000000017E-2</v>
      </c>
      <c r="R341" s="8">
        <f t="shared" si="261"/>
        <v>0.41599999999999998</v>
      </c>
      <c r="S341" s="8">
        <f t="shared" si="262"/>
        <v>0.16999999999999998</v>
      </c>
      <c r="T341" s="8">
        <f t="shared" si="263"/>
        <v>-0.246</v>
      </c>
      <c r="U341" s="8">
        <f t="shared" si="264"/>
        <v>-7.5999999999999984E-2</v>
      </c>
      <c r="V341" s="8">
        <f t="shared" si="265"/>
        <v>-9.5000000000000001E-2</v>
      </c>
      <c r="W341" s="3">
        <f t="shared" si="244"/>
        <v>-1.9000000000000017E-2</v>
      </c>
      <c r="X341" s="8">
        <f t="shared" si="266"/>
        <v>6.9423076923076895E-3</v>
      </c>
      <c r="Y341" s="8">
        <f t="shared" si="233"/>
        <v>2.6544117647058826E-2</v>
      </c>
      <c r="Z341" s="8">
        <f t="shared" si="267"/>
        <v>1.9601809954751137E-2</v>
      </c>
      <c r="AA341" s="8">
        <v>11.542</v>
      </c>
      <c r="AB341" s="9">
        <v>10.84</v>
      </c>
      <c r="AC341" s="8">
        <f t="shared" si="268"/>
        <v>-0.70199999999999996</v>
      </c>
      <c r="AD341" s="8">
        <v>-606598.86499999999</v>
      </c>
      <c r="AE341" s="8">
        <v>-608192.446</v>
      </c>
      <c r="AF341" s="8">
        <f t="shared" si="269"/>
        <v>-1593.5810000000056</v>
      </c>
      <c r="AG341" s="9">
        <v>-606624.68000000005</v>
      </c>
      <c r="AH341" s="8">
        <v>-608218.78099999996</v>
      </c>
      <c r="AI341" s="8">
        <f t="shared" si="270"/>
        <v>-1594.1009999999078</v>
      </c>
      <c r="AJ341" s="8">
        <v>-0.55800000000000005</v>
      </c>
      <c r="AK341" s="8">
        <v>-0.49299999999999999</v>
      </c>
      <c r="AL341" s="8">
        <f t="shared" si="271"/>
        <v>6.5000000000000058E-2</v>
      </c>
      <c r="AM341" s="8">
        <v>120.21599999999999</v>
      </c>
      <c r="AN341" s="8">
        <v>162.167</v>
      </c>
      <c r="AO341" s="8">
        <v>166.94</v>
      </c>
      <c r="AP341" s="9">
        <f t="shared" si="273"/>
        <v>1.1062284586170112</v>
      </c>
      <c r="AQ341" s="8">
        <v>7.758</v>
      </c>
      <c r="AR341" s="8">
        <v>1.85</v>
      </c>
      <c r="AS341" s="8">
        <v>-132.80099999999999</v>
      </c>
      <c r="AT341" s="9">
        <v>-131.97</v>
      </c>
      <c r="AU341" s="8">
        <f t="shared" si="220"/>
        <v>-0.83099999999998886</v>
      </c>
      <c r="AV341" s="8">
        <v>-0.34100000000000003</v>
      </c>
      <c r="AW341" s="8">
        <v>-0.47499999999999998</v>
      </c>
      <c r="AX341" s="8">
        <f t="shared" si="221"/>
        <v>0.13399999999999995</v>
      </c>
      <c r="AY341" s="8">
        <v>2.9000000000000001E-2</v>
      </c>
      <c r="AZ341" s="8">
        <v>0.156</v>
      </c>
      <c r="BA341" s="8">
        <f t="shared" si="222"/>
        <v>-0.127</v>
      </c>
      <c r="BB341" s="8">
        <f t="shared" si="253"/>
        <v>0.156</v>
      </c>
      <c r="BC341" s="8">
        <f t="shared" si="253"/>
        <v>0.15949999999999998</v>
      </c>
      <c r="BD341" s="9">
        <f t="shared" si="224"/>
        <v>-3.4999999999999754E-3</v>
      </c>
      <c r="BE341" s="9">
        <f t="shared" si="254"/>
        <v>0.37000000000000005</v>
      </c>
      <c r="BF341" s="8">
        <f t="shared" si="254"/>
        <v>0.63100000000000001</v>
      </c>
      <c r="BG341" s="11">
        <f t="shared" si="226"/>
        <v>-0.26099999999999995</v>
      </c>
      <c r="BH341" s="11">
        <f t="shared" si="255"/>
        <v>-0.156</v>
      </c>
      <c r="BI341" s="11">
        <f t="shared" si="255"/>
        <v>-0.15949999999999998</v>
      </c>
      <c r="BJ341" s="6">
        <f t="shared" si="251"/>
        <v>3.4999999999999754E-3</v>
      </c>
      <c r="BK341" s="8">
        <f t="shared" si="234"/>
        <v>3.2886486486486483E-2</v>
      </c>
      <c r="BL341" s="8">
        <f t="shared" si="235"/>
        <v>2.0158676703645E-2</v>
      </c>
      <c r="BM341" s="8">
        <f t="shared" si="228"/>
        <v>1.2727809782841482E-2</v>
      </c>
      <c r="BN341" s="8">
        <v>4.7279999999999998</v>
      </c>
      <c r="BO341" s="8">
        <v>4.9340000000000002</v>
      </c>
      <c r="BP341" s="9">
        <f t="shared" si="229"/>
        <v>-0.20600000000000041</v>
      </c>
      <c r="BQ341" s="9">
        <v>-83302.89</v>
      </c>
      <c r="BR341" s="8">
        <v>-82779.224000000002</v>
      </c>
      <c r="BS341" s="8">
        <f t="shared" si="230"/>
        <v>-523.66599999999744</v>
      </c>
      <c r="BT341" s="8">
        <v>-83320.774999999994</v>
      </c>
      <c r="BU341" s="8">
        <v>-82796.997000000003</v>
      </c>
      <c r="BV341" s="8">
        <f t="shared" si="231"/>
        <v>-523.77799999999115</v>
      </c>
    </row>
    <row r="342" spans="1:74" s="7" customFormat="1" x14ac:dyDescent="0.25">
      <c r="A342" s="11" t="s">
        <v>211</v>
      </c>
      <c r="B342" s="11" t="s">
        <v>502</v>
      </c>
      <c r="C342" s="11" t="s">
        <v>99</v>
      </c>
      <c r="D342" s="13">
        <v>21.2</v>
      </c>
      <c r="E342" s="11">
        <v>0.63</v>
      </c>
      <c r="F342" s="11">
        <v>-550.05100000000004</v>
      </c>
      <c r="G342" s="11">
        <v>-551.65599999999995</v>
      </c>
      <c r="H342" s="12">
        <f t="shared" si="272"/>
        <v>-1.6049999999999045</v>
      </c>
      <c r="I342" s="11">
        <v>-0.30299999999999999</v>
      </c>
      <c r="J342" s="11">
        <v>-0.193</v>
      </c>
      <c r="K342" s="11">
        <f t="shared" si="256"/>
        <v>0.10999999999999999</v>
      </c>
      <c r="L342" s="11">
        <v>0.17699999999999999</v>
      </c>
      <c r="M342" s="11">
        <v>1.0999999999999999E-2</v>
      </c>
      <c r="N342" s="11">
        <f t="shared" si="257"/>
        <v>-0.16599999999999998</v>
      </c>
      <c r="O342" s="11">
        <f t="shared" si="258"/>
        <v>6.3E-2</v>
      </c>
      <c r="P342" s="11">
        <f t="shared" si="259"/>
        <v>9.0999999999999998E-2</v>
      </c>
      <c r="Q342" s="11">
        <f t="shared" si="260"/>
        <v>2.7999999999999997E-2</v>
      </c>
      <c r="R342" s="11">
        <f t="shared" si="261"/>
        <v>0.48</v>
      </c>
      <c r="S342" s="11">
        <f t="shared" si="262"/>
        <v>0.20400000000000001</v>
      </c>
      <c r="T342" s="11">
        <f t="shared" si="263"/>
        <v>-0.27599999999999997</v>
      </c>
      <c r="U342" s="11">
        <f t="shared" si="264"/>
        <v>-6.3E-2</v>
      </c>
      <c r="V342" s="11">
        <f t="shared" si="265"/>
        <v>-9.0999999999999998E-2</v>
      </c>
      <c r="W342" s="6">
        <f t="shared" si="244"/>
        <v>-2.7999999999999997E-2</v>
      </c>
      <c r="X342" s="11">
        <f t="shared" si="266"/>
        <v>4.1343750000000009E-3</v>
      </c>
      <c r="Y342" s="11">
        <f t="shared" si="233"/>
        <v>2.0296568627450981E-2</v>
      </c>
      <c r="Z342" s="11">
        <f t="shared" si="267"/>
        <v>1.6162193627450978E-2</v>
      </c>
      <c r="AA342" s="11">
        <v>6.0229999999999997</v>
      </c>
      <c r="AB342" s="11">
        <v>5.5149999999999997</v>
      </c>
      <c r="AC342" s="11">
        <f t="shared" si="268"/>
        <v>-0.50800000000000001</v>
      </c>
      <c r="AD342" s="12">
        <v>-345127.96</v>
      </c>
      <c r="AE342" s="11">
        <v>-346137.34399999998</v>
      </c>
      <c r="AF342" s="11">
        <f t="shared" si="269"/>
        <v>-1009.3839999999618</v>
      </c>
      <c r="AG342" s="12">
        <v>-345148.84</v>
      </c>
      <c r="AH342" s="11">
        <v>-346157.32400000002</v>
      </c>
      <c r="AI342" s="11">
        <f t="shared" si="270"/>
        <v>-1008.4839999999967</v>
      </c>
      <c r="AJ342" s="11">
        <v>-0.751</v>
      </c>
      <c r="AK342" s="11">
        <v>-0.68400000000000005</v>
      </c>
      <c r="AL342" s="11">
        <f t="shared" si="271"/>
        <v>6.6999999999999948E-2</v>
      </c>
      <c r="AM342" s="12">
        <v>75.1096</v>
      </c>
      <c r="AN342" s="12">
        <v>115.38590000000001</v>
      </c>
      <c r="AO342" s="12">
        <v>104.5078</v>
      </c>
      <c r="AP342" s="12">
        <f t="shared" si="273"/>
        <v>1.0755804223045349</v>
      </c>
      <c r="AQ342" s="11">
        <v>6.7480000000000002</v>
      </c>
      <c r="AR342" s="12">
        <v>1.4146000000000001</v>
      </c>
      <c r="AS342" s="11">
        <v>-132.80099999999999</v>
      </c>
      <c r="AT342" s="12">
        <v>-131.97</v>
      </c>
      <c r="AU342" s="11">
        <f t="shared" si="220"/>
        <v>-0.83099999999998886</v>
      </c>
      <c r="AV342" s="11">
        <v>-0.34100000000000003</v>
      </c>
      <c r="AW342" s="11">
        <v>-0.47499999999999998</v>
      </c>
      <c r="AX342" s="11">
        <f t="shared" si="221"/>
        <v>0.13399999999999995</v>
      </c>
      <c r="AY342" s="11">
        <v>2.9000000000000001E-2</v>
      </c>
      <c r="AZ342" s="11">
        <v>0.156</v>
      </c>
      <c r="BA342" s="11">
        <f t="shared" si="222"/>
        <v>-0.127</v>
      </c>
      <c r="BB342" s="11">
        <f t="shared" si="253"/>
        <v>0.156</v>
      </c>
      <c r="BC342" s="11">
        <f t="shared" si="253"/>
        <v>0.15949999999999998</v>
      </c>
      <c r="BD342" s="12">
        <f t="shared" si="224"/>
        <v>-3.4999999999999754E-3</v>
      </c>
      <c r="BE342" s="12">
        <f t="shared" si="254"/>
        <v>0.37000000000000005</v>
      </c>
      <c r="BF342" s="11">
        <f t="shared" si="254"/>
        <v>0.63100000000000001</v>
      </c>
      <c r="BG342" s="11">
        <f t="shared" si="226"/>
        <v>-0.26099999999999995</v>
      </c>
      <c r="BH342" s="11">
        <f t="shared" si="255"/>
        <v>-0.156</v>
      </c>
      <c r="BI342" s="11">
        <f t="shared" si="255"/>
        <v>-0.15949999999999998</v>
      </c>
      <c r="BJ342" s="6">
        <f t="shared" si="251"/>
        <v>3.4999999999999754E-3</v>
      </c>
      <c r="BK342" s="11">
        <f t="shared" si="234"/>
        <v>3.2886486486486483E-2</v>
      </c>
      <c r="BL342" s="11">
        <f t="shared" si="235"/>
        <v>2.0158676703645E-2</v>
      </c>
      <c r="BM342" s="11">
        <f t="shared" si="228"/>
        <v>1.2727809782841482E-2</v>
      </c>
      <c r="BN342" s="11">
        <v>4.7279999999999998</v>
      </c>
      <c r="BO342" s="11">
        <v>4.9340000000000002</v>
      </c>
      <c r="BP342" s="12">
        <f t="shared" si="229"/>
        <v>-0.20600000000000041</v>
      </c>
      <c r="BQ342" s="12">
        <v>-83302.89</v>
      </c>
      <c r="BR342" s="11">
        <v>-82779.224000000002</v>
      </c>
      <c r="BS342" s="11">
        <f t="shared" si="230"/>
        <v>-523.66599999999744</v>
      </c>
      <c r="BT342" s="11">
        <v>-83320.774999999994</v>
      </c>
      <c r="BU342" s="11">
        <v>-82796.997000000003</v>
      </c>
      <c r="BV342" s="11">
        <f t="shared" si="231"/>
        <v>-523.77799999999115</v>
      </c>
    </row>
    <row r="343" spans="1:74" x14ac:dyDescent="0.25">
      <c r="A343" s="8" t="s">
        <v>212</v>
      </c>
      <c r="B343" s="8" t="s">
        <v>502</v>
      </c>
      <c r="C343" s="8" t="s">
        <v>99</v>
      </c>
      <c r="D343" s="10">
        <v>21.72</v>
      </c>
      <c r="E343" s="8">
        <v>0.64</v>
      </c>
      <c r="F343" s="8">
        <v>-1118.576</v>
      </c>
      <c r="G343" s="8">
        <v>-1121.9849999999999</v>
      </c>
      <c r="H343" s="9">
        <f t="shared" si="272"/>
        <v>-3.4089999999998781</v>
      </c>
      <c r="I343" s="8">
        <v>-0.28399999999999997</v>
      </c>
      <c r="J343" s="11">
        <v>-0.18099999999999999</v>
      </c>
      <c r="K343" s="8">
        <f t="shared" si="256"/>
        <v>0.10299999999999998</v>
      </c>
      <c r="L343" s="8">
        <v>0.126</v>
      </c>
      <c r="M343" s="11">
        <v>-1.6E-2</v>
      </c>
      <c r="N343" s="8">
        <f t="shared" si="257"/>
        <v>-0.14200000000000002</v>
      </c>
      <c r="O343" s="8">
        <f t="shared" si="258"/>
        <v>7.8999999999999987E-2</v>
      </c>
      <c r="P343" s="8">
        <f t="shared" si="259"/>
        <v>9.8500000000000004E-2</v>
      </c>
      <c r="Q343" s="8">
        <f t="shared" si="260"/>
        <v>1.9500000000000017E-2</v>
      </c>
      <c r="R343" s="8">
        <f t="shared" si="261"/>
        <v>0.41</v>
      </c>
      <c r="S343" s="8">
        <f t="shared" si="262"/>
        <v>0.16499999999999998</v>
      </c>
      <c r="T343" s="8">
        <f t="shared" si="263"/>
        <v>-0.245</v>
      </c>
      <c r="U343" s="8">
        <f t="shared" si="264"/>
        <v>-7.8999999999999987E-2</v>
      </c>
      <c r="V343" s="8">
        <f t="shared" si="265"/>
        <v>-9.8500000000000004E-2</v>
      </c>
      <c r="W343" s="3">
        <f t="shared" si="244"/>
        <v>-1.9500000000000017E-2</v>
      </c>
      <c r="X343" s="8">
        <f t="shared" si="266"/>
        <v>7.6109756097560962E-3</v>
      </c>
      <c r="Y343" s="8">
        <f t="shared" si="233"/>
        <v>2.940075757575758E-2</v>
      </c>
      <c r="Z343" s="8">
        <f t="shared" si="267"/>
        <v>2.1789781966001485E-2</v>
      </c>
      <c r="AA343" s="8">
        <v>13.667</v>
      </c>
      <c r="AB343" s="8">
        <v>12.914999999999999</v>
      </c>
      <c r="AC343" s="8">
        <f t="shared" si="268"/>
        <v>-0.75200000000000067</v>
      </c>
      <c r="AD343" s="8">
        <v>-701821.98199999996</v>
      </c>
      <c r="AE343" s="8">
        <v>-703967.47100000002</v>
      </c>
      <c r="AF343" s="8">
        <f t="shared" si="269"/>
        <v>-2145.4890000000596</v>
      </c>
      <c r="AG343" s="8">
        <v>-701849.57400000002</v>
      </c>
      <c r="AH343" s="8">
        <v>-703995.73800000001</v>
      </c>
      <c r="AI343" s="8">
        <f t="shared" si="270"/>
        <v>-2146.1639999999898</v>
      </c>
      <c r="AJ343" s="8">
        <v>-0.55600000000000005</v>
      </c>
      <c r="AK343" s="8">
        <v>-0.48199999999999998</v>
      </c>
      <c r="AL343" s="8">
        <f t="shared" si="271"/>
        <v>7.4000000000000066E-2</v>
      </c>
      <c r="AM343" s="8">
        <v>162.25299999999999</v>
      </c>
      <c r="AN343" s="9">
        <v>194.41059999999999</v>
      </c>
      <c r="AO343" s="9">
        <v>212.75970000000001</v>
      </c>
      <c r="AP343" s="9">
        <f t="shared" si="273"/>
        <v>1.12819190212971</v>
      </c>
      <c r="AQ343" s="8">
        <v>9.0289999999999999</v>
      </c>
      <c r="AR343" s="8">
        <v>2.286</v>
      </c>
      <c r="AS343" s="8">
        <v>-132.80099999999999</v>
      </c>
      <c r="AT343" s="9">
        <v>-131.97</v>
      </c>
      <c r="AU343" s="8">
        <f t="shared" si="220"/>
        <v>-0.83099999999998886</v>
      </c>
      <c r="AV343" s="8">
        <v>-0.34100000000000003</v>
      </c>
      <c r="AW343" s="8">
        <v>-0.47499999999999998</v>
      </c>
      <c r="AX343" s="8">
        <f t="shared" si="221"/>
        <v>0.13399999999999995</v>
      </c>
      <c r="AY343" s="8">
        <v>2.9000000000000001E-2</v>
      </c>
      <c r="AZ343" s="8">
        <v>0.156</v>
      </c>
      <c r="BA343" s="8">
        <f t="shared" si="222"/>
        <v>-0.127</v>
      </c>
      <c r="BB343" s="8">
        <f t="shared" si="253"/>
        <v>0.156</v>
      </c>
      <c r="BC343" s="8">
        <f t="shared" si="253"/>
        <v>0.15949999999999998</v>
      </c>
      <c r="BD343" s="9">
        <f t="shared" si="224"/>
        <v>-3.4999999999999754E-3</v>
      </c>
      <c r="BE343" s="9">
        <f t="shared" si="254"/>
        <v>0.37000000000000005</v>
      </c>
      <c r="BF343" s="8">
        <f t="shared" si="254"/>
        <v>0.63100000000000001</v>
      </c>
      <c r="BG343" s="11">
        <f t="shared" si="226"/>
        <v>-0.26099999999999995</v>
      </c>
      <c r="BH343" s="11">
        <f t="shared" si="255"/>
        <v>-0.156</v>
      </c>
      <c r="BI343" s="11">
        <f t="shared" si="255"/>
        <v>-0.15949999999999998</v>
      </c>
      <c r="BJ343" s="6">
        <f t="shared" si="251"/>
        <v>3.4999999999999754E-3</v>
      </c>
      <c r="BK343" s="8">
        <f t="shared" si="234"/>
        <v>3.2886486486486483E-2</v>
      </c>
      <c r="BL343" s="8">
        <f t="shared" si="235"/>
        <v>2.0158676703645E-2</v>
      </c>
      <c r="BM343" s="8">
        <f t="shared" si="228"/>
        <v>1.2727809782841482E-2</v>
      </c>
      <c r="BN343" s="8">
        <v>4.7279999999999998</v>
      </c>
      <c r="BO343" s="8">
        <v>4.9340000000000002</v>
      </c>
      <c r="BP343" s="9">
        <f t="shared" si="229"/>
        <v>-0.20600000000000041</v>
      </c>
      <c r="BQ343" s="9">
        <v>-83302.89</v>
      </c>
      <c r="BR343" s="8">
        <v>-82779.224000000002</v>
      </c>
      <c r="BS343" s="8">
        <f t="shared" si="230"/>
        <v>-523.66599999999744</v>
      </c>
      <c r="BT343" s="8">
        <v>-83320.774999999994</v>
      </c>
      <c r="BU343" s="8">
        <v>-82796.997000000003</v>
      </c>
      <c r="BV343" s="8">
        <f t="shared" si="231"/>
        <v>-523.77799999999115</v>
      </c>
    </row>
    <row r="344" spans="1:74" x14ac:dyDescent="0.25">
      <c r="A344" s="8" t="s">
        <v>213</v>
      </c>
      <c r="B344" s="8" t="s">
        <v>502</v>
      </c>
      <c r="C344" s="8" t="s">
        <v>99</v>
      </c>
      <c r="D344" s="10">
        <v>22.4</v>
      </c>
      <c r="E344" s="8">
        <v>0.63</v>
      </c>
      <c r="F344" s="8">
        <v>-1043.713</v>
      </c>
      <c r="G344" s="9">
        <v>-1046.76</v>
      </c>
      <c r="H344" s="9">
        <f t="shared" si="272"/>
        <v>-3.0470000000000255</v>
      </c>
      <c r="I344" s="8">
        <v>-0.28499999999999998</v>
      </c>
      <c r="J344" s="11">
        <v>-0.193</v>
      </c>
      <c r="K344" s="8">
        <f t="shared" si="256"/>
        <v>9.1999999999999971E-2</v>
      </c>
      <c r="L344" s="8">
        <v>0.13200000000000001</v>
      </c>
      <c r="M344" s="11">
        <v>-3.7999999999999999E-2</v>
      </c>
      <c r="N344" s="8">
        <f t="shared" si="257"/>
        <v>-0.17</v>
      </c>
      <c r="O344" s="8">
        <f t="shared" si="258"/>
        <v>7.6499999999999985E-2</v>
      </c>
      <c r="P344" s="8">
        <f t="shared" si="259"/>
        <v>0.11550000000000001</v>
      </c>
      <c r="Q344" s="8">
        <f t="shared" si="260"/>
        <v>3.9000000000000021E-2</v>
      </c>
      <c r="R344" s="8">
        <f t="shared" si="261"/>
        <v>0.41699999999999998</v>
      </c>
      <c r="S344" s="8">
        <f t="shared" si="262"/>
        <v>0.155</v>
      </c>
      <c r="T344" s="8">
        <f t="shared" si="263"/>
        <v>-0.26200000000000001</v>
      </c>
      <c r="U344" s="8">
        <f t="shared" si="264"/>
        <v>-7.6499999999999985E-2</v>
      </c>
      <c r="V344" s="8">
        <f t="shared" si="265"/>
        <v>-0.11550000000000001</v>
      </c>
      <c r="W344" s="3">
        <f t="shared" si="244"/>
        <v>-3.9000000000000021E-2</v>
      </c>
      <c r="X344" s="8">
        <f t="shared" si="266"/>
        <v>7.0170863309352502E-3</v>
      </c>
      <c r="Y344" s="8">
        <f t="shared" si="233"/>
        <v>4.3033064516129038E-2</v>
      </c>
      <c r="Z344" s="8">
        <f t="shared" si="267"/>
        <v>3.6015978185193788E-2</v>
      </c>
      <c r="AA344" s="8">
        <v>14.991</v>
      </c>
      <c r="AB344" s="9">
        <v>14.33</v>
      </c>
      <c r="AC344" s="8">
        <f t="shared" si="268"/>
        <v>-0.66099999999999959</v>
      </c>
      <c r="AD344" s="8">
        <v>-654849.152</v>
      </c>
      <c r="AE344" s="8">
        <v>-656766.728</v>
      </c>
      <c r="AF344" s="8">
        <f t="shared" si="269"/>
        <v>-1917.5760000000009</v>
      </c>
      <c r="AG344" s="8">
        <v>-654875.10499999998</v>
      </c>
      <c r="AH344" s="8">
        <v>-656793.17700000003</v>
      </c>
      <c r="AI344" s="8">
        <f t="shared" si="270"/>
        <v>-1918.0720000000438</v>
      </c>
      <c r="AJ344" s="8">
        <v>-0.56399999999999995</v>
      </c>
      <c r="AK344" s="8">
        <v>-0.501</v>
      </c>
      <c r="AL344" s="8">
        <f t="shared" si="271"/>
        <v>6.2999999999999945E-2</v>
      </c>
      <c r="AM344" s="8">
        <v>162.25299999999999</v>
      </c>
      <c r="AN344" s="9">
        <v>194.41059999999999</v>
      </c>
      <c r="AO344" s="9">
        <v>212.75970000000001</v>
      </c>
      <c r="AP344" s="9">
        <f t="shared" si="273"/>
        <v>1.12819190212971</v>
      </c>
      <c r="AQ344" s="8">
        <v>9.0289999999999999</v>
      </c>
      <c r="AR344" s="8">
        <v>2.286</v>
      </c>
      <c r="AS344" s="8">
        <v>-132.80099999999999</v>
      </c>
      <c r="AT344" s="9">
        <v>-131.97</v>
      </c>
      <c r="AU344" s="8">
        <f t="shared" si="220"/>
        <v>-0.83099999999998886</v>
      </c>
      <c r="AV344" s="8">
        <v>-0.34100000000000003</v>
      </c>
      <c r="AW344" s="8">
        <v>-0.47499999999999998</v>
      </c>
      <c r="AX344" s="8">
        <f t="shared" si="221"/>
        <v>0.13399999999999995</v>
      </c>
      <c r="AY344" s="8">
        <v>2.9000000000000001E-2</v>
      </c>
      <c r="AZ344" s="8">
        <v>0.156</v>
      </c>
      <c r="BA344" s="8">
        <f t="shared" si="222"/>
        <v>-0.127</v>
      </c>
      <c r="BB344" s="8">
        <f t="shared" si="253"/>
        <v>0.156</v>
      </c>
      <c r="BC344" s="8">
        <f t="shared" si="253"/>
        <v>0.15949999999999998</v>
      </c>
      <c r="BD344" s="9">
        <f t="shared" si="224"/>
        <v>-3.4999999999999754E-3</v>
      </c>
      <c r="BE344" s="9">
        <f t="shared" si="254"/>
        <v>0.37000000000000005</v>
      </c>
      <c r="BF344" s="8">
        <f t="shared" si="254"/>
        <v>0.63100000000000001</v>
      </c>
      <c r="BG344" s="11">
        <f t="shared" si="226"/>
        <v>-0.26099999999999995</v>
      </c>
      <c r="BH344" s="11">
        <f t="shared" si="255"/>
        <v>-0.156</v>
      </c>
      <c r="BI344" s="11">
        <f t="shared" si="255"/>
        <v>-0.15949999999999998</v>
      </c>
      <c r="BJ344" s="6">
        <f t="shared" si="251"/>
        <v>3.4999999999999754E-3</v>
      </c>
      <c r="BK344" s="8">
        <f t="shared" si="234"/>
        <v>3.2886486486486483E-2</v>
      </c>
      <c r="BL344" s="8">
        <f t="shared" si="235"/>
        <v>2.0158676703645E-2</v>
      </c>
      <c r="BM344" s="8">
        <f t="shared" si="228"/>
        <v>1.2727809782841482E-2</v>
      </c>
      <c r="BN344" s="8">
        <v>4.7279999999999998</v>
      </c>
      <c r="BO344" s="8">
        <v>4.9340000000000002</v>
      </c>
      <c r="BP344" s="9">
        <f t="shared" si="229"/>
        <v>-0.20600000000000041</v>
      </c>
      <c r="BQ344" s="9">
        <v>-83302.89</v>
      </c>
      <c r="BR344" s="8">
        <v>-82779.224000000002</v>
      </c>
      <c r="BS344" s="8">
        <f t="shared" si="230"/>
        <v>-523.66599999999744</v>
      </c>
      <c r="BT344" s="8">
        <v>-83320.774999999994</v>
      </c>
      <c r="BU344" s="8">
        <v>-82796.997000000003</v>
      </c>
      <c r="BV344" s="8">
        <f t="shared" si="231"/>
        <v>-523.77799999999115</v>
      </c>
    </row>
    <row r="345" spans="1:74" x14ac:dyDescent="0.25">
      <c r="A345" s="8" t="s">
        <v>214</v>
      </c>
      <c r="B345" s="8" t="s">
        <v>502</v>
      </c>
      <c r="C345" s="8" t="s">
        <v>199</v>
      </c>
      <c r="D345" s="10">
        <v>22.62</v>
      </c>
      <c r="E345" s="8">
        <v>0.43</v>
      </c>
      <c r="F345" s="8">
        <v>-624.45299999999997</v>
      </c>
      <c r="G345" s="8">
        <v>-626.41600000000005</v>
      </c>
      <c r="H345" s="9">
        <f t="shared" si="272"/>
        <v>-1.9630000000000791</v>
      </c>
      <c r="I345" s="8">
        <v>-0.27700000000000002</v>
      </c>
      <c r="J345" s="11">
        <v>-0.16700000000000001</v>
      </c>
      <c r="K345" s="8">
        <f t="shared" si="256"/>
        <v>0.11000000000000001</v>
      </c>
      <c r="L345" s="8">
        <v>0.184</v>
      </c>
      <c r="M345" s="11">
        <v>5.2999999999999999E-2</v>
      </c>
      <c r="N345" s="8">
        <f t="shared" si="257"/>
        <v>-0.13100000000000001</v>
      </c>
      <c r="O345" s="8">
        <f t="shared" si="258"/>
        <v>4.6500000000000014E-2</v>
      </c>
      <c r="P345" s="8">
        <f t="shared" si="259"/>
        <v>5.7000000000000009E-2</v>
      </c>
      <c r="Q345" s="8">
        <f t="shared" si="260"/>
        <v>1.0499999999999995E-2</v>
      </c>
      <c r="R345" s="8">
        <f t="shared" si="261"/>
        <v>0.46100000000000002</v>
      </c>
      <c r="S345" s="8">
        <f t="shared" si="262"/>
        <v>0.22</v>
      </c>
      <c r="T345" s="8">
        <f t="shared" si="263"/>
        <v>-0.24100000000000002</v>
      </c>
      <c r="U345" s="8">
        <f t="shared" si="264"/>
        <v>-4.6500000000000014E-2</v>
      </c>
      <c r="V345" s="8">
        <f t="shared" si="265"/>
        <v>-5.7000000000000009E-2</v>
      </c>
      <c r="W345" s="3">
        <f t="shared" si="244"/>
        <v>-1.0499999999999995E-2</v>
      </c>
      <c r="X345" s="8">
        <f t="shared" si="266"/>
        <v>2.3451735357917585E-3</v>
      </c>
      <c r="Y345" s="8">
        <f t="shared" si="233"/>
        <v>7.3840909090909113E-3</v>
      </c>
      <c r="Z345" s="8">
        <f t="shared" si="267"/>
        <v>5.0389173732991524E-3</v>
      </c>
      <c r="AA345" s="8">
        <v>4.1609999999999996</v>
      </c>
      <c r="AB345" s="9">
        <v>3.97</v>
      </c>
      <c r="AC345" s="8">
        <f t="shared" si="268"/>
        <v>-0.19099999999999939</v>
      </c>
      <c r="AD345" s="8">
        <v>-391819.42800000001</v>
      </c>
      <c r="AE345" s="9">
        <v>-393053.51</v>
      </c>
      <c r="AF345" s="8">
        <f t="shared" si="269"/>
        <v>-1234.0819999999949</v>
      </c>
      <c r="AG345" s="8">
        <v>-391841.18599999999</v>
      </c>
      <c r="AH345" s="8">
        <v>-393075.46399999998</v>
      </c>
      <c r="AI345" s="8">
        <f t="shared" si="270"/>
        <v>-1234.2779999999912</v>
      </c>
      <c r="AJ345" s="8">
        <v>-0.85799999999999998</v>
      </c>
      <c r="AK345" s="8">
        <v>-0.85599999999999998</v>
      </c>
      <c r="AL345" s="8">
        <f t="shared" si="271"/>
        <v>2.0000000000000018E-3</v>
      </c>
      <c r="AM345" s="8">
        <v>90.100999999999999</v>
      </c>
      <c r="AN345" s="8">
        <v>120.511</v>
      </c>
      <c r="AO345" s="8">
        <v>109.761</v>
      </c>
      <c r="AP345" s="9">
        <f t="shared" si="273"/>
        <v>1.0872195936323039</v>
      </c>
      <c r="AQ345" s="8">
        <v>6.8559999999999999</v>
      </c>
      <c r="AR345" s="8">
        <v>1.68</v>
      </c>
      <c r="AS345" s="8">
        <v>-76.454999999999998</v>
      </c>
      <c r="AT345" s="8">
        <v>-76.055000000000007</v>
      </c>
      <c r="AU345" s="9">
        <f t="shared" si="220"/>
        <v>-0.39999999999999147</v>
      </c>
      <c r="AV345" s="8">
        <v>-0.30399999999999999</v>
      </c>
      <c r="AW345" s="8">
        <v>-0.505</v>
      </c>
      <c r="AX345" s="8">
        <f t="shared" si="221"/>
        <v>0.20100000000000001</v>
      </c>
      <c r="AY345" s="9">
        <v>0.04</v>
      </c>
      <c r="AZ345" s="8">
        <v>0.16400000000000001</v>
      </c>
      <c r="BA345" s="8">
        <f t="shared" si="222"/>
        <v>-0.124</v>
      </c>
      <c r="BB345" s="9">
        <f t="shared" si="253"/>
        <v>0.13200000000000001</v>
      </c>
      <c r="BC345" s="8">
        <f t="shared" si="253"/>
        <v>0.17049999999999998</v>
      </c>
      <c r="BD345" s="9">
        <f t="shared" si="224"/>
        <v>-3.8499999999999979E-2</v>
      </c>
      <c r="BE345" s="8">
        <f t="shared" si="254"/>
        <v>0.34399999999999997</v>
      </c>
      <c r="BF345" s="8">
        <f t="shared" si="254"/>
        <v>0.66900000000000004</v>
      </c>
      <c r="BG345" s="11">
        <f t="shared" si="226"/>
        <v>-0.32500000000000007</v>
      </c>
      <c r="BH345" s="11">
        <f t="shared" si="255"/>
        <v>-0.13200000000000001</v>
      </c>
      <c r="BI345" s="11">
        <f t="shared" si="255"/>
        <v>-0.17049999999999998</v>
      </c>
      <c r="BJ345" s="6">
        <f t="shared" si="251"/>
        <v>3.8499999999999979E-2</v>
      </c>
      <c r="BK345" s="8">
        <f t="shared" si="234"/>
        <v>2.5325581395348844E-2</v>
      </c>
      <c r="BL345" s="8">
        <f t="shared" si="235"/>
        <v>2.1726644245141997E-2</v>
      </c>
      <c r="BM345" s="8">
        <f t="shared" si="228"/>
        <v>3.5989371502068469E-3</v>
      </c>
      <c r="BN345" s="8">
        <v>2.3010000000000002</v>
      </c>
      <c r="BO345" s="8">
        <v>2.3559999999999999</v>
      </c>
      <c r="BP345" s="9">
        <f t="shared" si="229"/>
        <v>-5.4999999999999716E-2</v>
      </c>
      <c r="BQ345" s="8">
        <v>-47960.305999999997</v>
      </c>
      <c r="BR345" s="8">
        <v>-47708.290999999997</v>
      </c>
      <c r="BS345" s="8">
        <f t="shared" si="230"/>
        <v>-252.01499999999942</v>
      </c>
      <c r="BT345" s="8">
        <v>-47973.754999999997</v>
      </c>
      <c r="BU345" s="8">
        <v>-47721.697</v>
      </c>
      <c r="BV345" s="8">
        <f t="shared" si="231"/>
        <v>-252.05799999999726</v>
      </c>
    </row>
    <row r="346" spans="1:74" x14ac:dyDescent="0.25">
      <c r="A346" s="8" t="s">
        <v>215</v>
      </c>
      <c r="B346" s="8" t="s">
        <v>502</v>
      </c>
      <c r="C346" s="8" t="s">
        <v>199</v>
      </c>
      <c r="D346" s="10">
        <v>23.43</v>
      </c>
      <c r="E346" s="8">
        <v>0.42</v>
      </c>
      <c r="F346" s="8">
        <v>-718.54300000000001</v>
      </c>
      <c r="G346" s="8">
        <v>-721.11199999999997</v>
      </c>
      <c r="H346" s="9">
        <f t="shared" si="272"/>
        <v>-2.56899999999996</v>
      </c>
      <c r="I346" s="8">
        <v>-0.27900000000000003</v>
      </c>
      <c r="J346" s="11">
        <v>-0.17299999999999999</v>
      </c>
      <c r="K346" s="8">
        <f t="shared" si="256"/>
        <v>0.10600000000000004</v>
      </c>
      <c r="L346" s="8">
        <v>0.184</v>
      </c>
      <c r="M346" s="11">
        <v>5.7000000000000002E-2</v>
      </c>
      <c r="N346" s="8">
        <f t="shared" si="257"/>
        <v>-0.127</v>
      </c>
      <c r="O346" s="8">
        <f t="shared" si="258"/>
        <v>4.7500000000000014E-2</v>
      </c>
      <c r="P346" s="8">
        <f t="shared" si="259"/>
        <v>5.7999999999999996E-2</v>
      </c>
      <c r="Q346" s="8">
        <f t="shared" si="260"/>
        <v>1.0499999999999982E-2</v>
      </c>
      <c r="R346" s="8">
        <f t="shared" si="261"/>
        <v>0.46300000000000002</v>
      </c>
      <c r="S346" s="8">
        <f t="shared" si="262"/>
        <v>0.22999999999999998</v>
      </c>
      <c r="T346" s="8">
        <f t="shared" si="263"/>
        <v>-0.23300000000000004</v>
      </c>
      <c r="U346" s="8">
        <f t="shared" si="264"/>
        <v>-4.7500000000000014E-2</v>
      </c>
      <c r="V346" s="8">
        <f t="shared" si="265"/>
        <v>-5.7999999999999996E-2</v>
      </c>
      <c r="W346" s="3">
        <f t="shared" si="244"/>
        <v>-1.0499999999999982E-2</v>
      </c>
      <c r="X346" s="8">
        <f t="shared" si="266"/>
        <v>2.4365550755939538E-3</v>
      </c>
      <c r="Y346" s="8">
        <f t="shared" si="233"/>
        <v>7.3130434782608684E-3</v>
      </c>
      <c r="Z346" s="8">
        <f t="shared" si="267"/>
        <v>4.8764884026669146E-3</v>
      </c>
      <c r="AA346" s="8">
        <v>4.2720000000000002</v>
      </c>
      <c r="AB346" s="8">
        <v>4.7629999999999999</v>
      </c>
      <c r="AC346" s="8">
        <f t="shared" si="268"/>
        <v>0.49099999999999966</v>
      </c>
      <c r="AD346" s="8">
        <v>-450829.44900000002</v>
      </c>
      <c r="AE346" s="8">
        <v>-452446.19699999999</v>
      </c>
      <c r="AF346" s="8">
        <f t="shared" si="269"/>
        <v>-1616.7479999999632</v>
      </c>
      <c r="AG346" s="8">
        <v>-450854.96100000001</v>
      </c>
      <c r="AH346" s="8">
        <v>-452472.321</v>
      </c>
      <c r="AI346" s="8">
        <f t="shared" si="270"/>
        <v>-1617.359999999986</v>
      </c>
      <c r="AJ346" s="8">
        <v>-0.875</v>
      </c>
      <c r="AK346" s="8">
        <v>-0.86799999999999999</v>
      </c>
      <c r="AL346" s="8">
        <f t="shared" si="271"/>
        <v>7.0000000000000062E-3</v>
      </c>
      <c r="AM346" s="8">
        <v>119.142</v>
      </c>
      <c r="AN346" s="8">
        <v>153.535</v>
      </c>
      <c r="AO346" s="8">
        <v>154.31899999999999</v>
      </c>
      <c r="AP346" s="9">
        <f t="shared" si="273"/>
        <v>1.1036983927786084</v>
      </c>
      <c r="AQ346" s="8">
        <v>8.5779999999999994</v>
      </c>
      <c r="AR346" s="9">
        <v>2.1135999999999999</v>
      </c>
      <c r="AS346" s="8">
        <v>-76.454999999999998</v>
      </c>
      <c r="AT346" s="8">
        <v>-76.055000000000007</v>
      </c>
      <c r="AU346" s="9">
        <f t="shared" si="220"/>
        <v>-0.39999999999999147</v>
      </c>
      <c r="AV346" s="8">
        <v>-0.30399999999999999</v>
      </c>
      <c r="AW346" s="8">
        <v>-0.505</v>
      </c>
      <c r="AX346" s="8">
        <f t="shared" si="221"/>
        <v>0.20100000000000001</v>
      </c>
      <c r="AY346" s="9">
        <v>0.04</v>
      </c>
      <c r="AZ346" s="8">
        <v>0.16400000000000001</v>
      </c>
      <c r="BA346" s="8">
        <f t="shared" si="222"/>
        <v>-0.124</v>
      </c>
      <c r="BB346" s="9">
        <f t="shared" si="253"/>
        <v>0.13200000000000001</v>
      </c>
      <c r="BC346" s="8">
        <f t="shared" si="253"/>
        <v>0.17049999999999998</v>
      </c>
      <c r="BD346" s="9">
        <f t="shared" si="224"/>
        <v>-3.8499999999999979E-2</v>
      </c>
      <c r="BE346" s="8">
        <f t="shared" si="254"/>
        <v>0.34399999999999997</v>
      </c>
      <c r="BF346" s="8">
        <f t="shared" si="254"/>
        <v>0.66900000000000004</v>
      </c>
      <c r="BG346" s="11">
        <f t="shared" si="226"/>
        <v>-0.32500000000000007</v>
      </c>
      <c r="BH346" s="11">
        <f t="shared" si="255"/>
        <v>-0.13200000000000001</v>
      </c>
      <c r="BI346" s="11">
        <f t="shared" si="255"/>
        <v>-0.17049999999999998</v>
      </c>
      <c r="BJ346" s="6">
        <f t="shared" si="251"/>
        <v>3.8499999999999979E-2</v>
      </c>
      <c r="BK346" s="8">
        <f t="shared" si="234"/>
        <v>2.5325581395348844E-2</v>
      </c>
      <c r="BL346" s="8">
        <f t="shared" si="235"/>
        <v>2.1726644245141997E-2</v>
      </c>
      <c r="BM346" s="8">
        <f t="shared" si="228"/>
        <v>3.5989371502068469E-3</v>
      </c>
      <c r="BN346" s="8">
        <v>2.3010000000000002</v>
      </c>
      <c r="BO346" s="8">
        <v>2.3559999999999999</v>
      </c>
      <c r="BP346" s="9">
        <f t="shared" si="229"/>
        <v>-5.4999999999999716E-2</v>
      </c>
      <c r="BQ346" s="8">
        <v>-47960.305999999997</v>
      </c>
      <c r="BR346" s="8">
        <v>-47708.290999999997</v>
      </c>
      <c r="BS346" s="8">
        <f t="shared" si="230"/>
        <v>-252.01499999999942</v>
      </c>
      <c r="BT346" s="8">
        <v>-47973.754999999997</v>
      </c>
      <c r="BU346" s="8">
        <v>-47721.697</v>
      </c>
      <c r="BV346" s="8">
        <f t="shared" si="231"/>
        <v>-252.05799999999726</v>
      </c>
    </row>
    <row r="347" spans="1:74" x14ac:dyDescent="0.25">
      <c r="A347" s="8" t="s">
        <v>216</v>
      </c>
      <c r="B347" s="8" t="s">
        <v>502</v>
      </c>
      <c r="C347" s="8" t="s">
        <v>99</v>
      </c>
      <c r="D347" s="10">
        <v>23.61</v>
      </c>
      <c r="E347" s="8">
        <v>0.56999999999999995</v>
      </c>
      <c r="F347" s="8">
        <v>-1137.78</v>
      </c>
      <c r="G347" s="8">
        <v>-1141.434</v>
      </c>
      <c r="H347" s="9">
        <f t="shared" si="272"/>
        <v>-3.6539999999999964</v>
      </c>
      <c r="I347" s="8">
        <v>-0.28199999999999997</v>
      </c>
      <c r="J347" s="12">
        <v>-0.18</v>
      </c>
      <c r="K347" s="8">
        <f t="shared" si="256"/>
        <v>0.10199999999999998</v>
      </c>
      <c r="L347" s="8">
        <v>0.128</v>
      </c>
      <c r="M347" s="11">
        <v>-1.4999999999999999E-2</v>
      </c>
      <c r="N347" s="8">
        <f t="shared" si="257"/>
        <v>-0.14300000000000002</v>
      </c>
      <c r="O347" s="8">
        <f t="shared" si="258"/>
        <v>7.6999999999999985E-2</v>
      </c>
      <c r="P347" s="8">
        <f t="shared" si="259"/>
        <v>9.7500000000000003E-2</v>
      </c>
      <c r="Q347" s="8">
        <f t="shared" si="260"/>
        <v>2.0500000000000018E-2</v>
      </c>
      <c r="R347" s="8">
        <f t="shared" si="261"/>
        <v>0.41</v>
      </c>
      <c r="S347" s="8">
        <f t="shared" si="262"/>
        <v>0.16499999999999998</v>
      </c>
      <c r="T347" s="8">
        <f t="shared" si="263"/>
        <v>-0.245</v>
      </c>
      <c r="U347" s="8">
        <f t="shared" si="264"/>
        <v>-7.6999999999999985E-2</v>
      </c>
      <c r="V347" s="8">
        <f t="shared" si="265"/>
        <v>-9.7500000000000003E-2</v>
      </c>
      <c r="W347" s="3">
        <f t="shared" si="244"/>
        <v>-2.0500000000000018E-2</v>
      </c>
      <c r="X347" s="8">
        <f t="shared" si="266"/>
        <v>7.230487804878046E-3</v>
      </c>
      <c r="Y347" s="8">
        <f t="shared" si="233"/>
        <v>2.8806818181818187E-2</v>
      </c>
      <c r="Z347" s="8">
        <f t="shared" si="267"/>
        <v>2.157633037694014E-2</v>
      </c>
      <c r="AA347" s="8">
        <v>17.138000000000002</v>
      </c>
      <c r="AB347" s="8">
        <v>16.408000000000001</v>
      </c>
      <c r="AC347" s="8">
        <f t="shared" si="268"/>
        <v>-0.73000000000000043</v>
      </c>
      <c r="AD347" s="8">
        <v>-713845.321</v>
      </c>
      <c r="AE347" s="8">
        <v>-716145.86499999999</v>
      </c>
      <c r="AF347" s="8">
        <f t="shared" si="269"/>
        <v>-2300.5439999999944</v>
      </c>
      <c r="AG347" s="8">
        <v>-713874.90899999999</v>
      </c>
      <c r="AH347" s="9">
        <v>-716176.51</v>
      </c>
      <c r="AI347" s="8">
        <f t="shared" si="270"/>
        <v>-2301.6010000000242</v>
      </c>
      <c r="AJ347" s="8">
        <v>-0.56200000000000006</v>
      </c>
      <c r="AK347" s="8">
        <v>-0.48899999999999999</v>
      </c>
      <c r="AL347" s="8">
        <f t="shared" si="271"/>
        <v>7.3000000000000065E-2</v>
      </c>
      <c r="AM347" s="9">
        <v>175.29490000000001</v>
      </c>
      <c r="AN347" s="8">
        <v>219.11600000000001</v>
      </c>
      <c r="AO347" s="8">
        <v>247.08500000000001</v>
      </c>
      <c r="AP347" s="9">
        <f t="shared" si="273"/>
        <v>1.1508863897409902</v>
      </c>
      <c r="AQ347" s="8">
        <v>10.257</v>
      </c>
      <c r="AR347" s="8">
        <v>2.5110000000000001</v>
      </c>
      <c r="AS347" s="8">
        <v>-132.80099999999999</v>
      </c>
      <c r="AT347" s="9">
        <v>-131.97</v>
      </c>
      <c r="AU347" s="8">
        <f t="shared" si="220"/>
        <v>-0.83099999999998886</v>
      </c>
      <c r="AV347" s="8">
        <v>-0.34100000000000003</v>
      </c>
      <c r="AW347" s="8">
        <v>-0.47499999999999998</v>
      </c>
      <c r="AX347" s="8">
        <f t="shared" si="221"/>
        <v>0.13399999999999995</v>
      </c>
      <c r="AY347" s="8">
        <v>2.9000000000000001E-2</v>
      </c>
      <c r="AZ347" s="8">
        <v>0.156</v>
      </c>
      <c r="BA347" s="8">
        <f t="shared" si="222"/>
        <v>-0.127</v>
      </c>
      <c r="BB347" s="8">
        <f t="shared" si="253"/>
        <v>0.156</v>
      </c>
      <c r="BC347" s="8">
        <f t="shared" si="253"/>
        <v>0.15949999999999998</v>
      </c>
      <c r="BD347" s="9">
        <f t="shared" si="224"/>
        <v>-3.4999999999999754E-3</v>
      </c>
      <c r="BE347" s="9">
        <f t="shared" si="254"/>
        <v>0.37000000000000005</v>
      </c>
      <c r="BF347" s="8">
        <f t="shared" si="254"/>
        <v>0.63100000000000001</v>
      </c>
      <c r="BG347" s="11">
        <f t="shared" si="226"/>
        <v>-0.26099999999999995</v>
      </c>
      <c r="BH347" s="11">
        <f t="shared" si="255"/>
        <v>-0.156</v>
      </c>
      <c r="BI347" s="11">
        <f t="shared" si="255"/>
        <v>-0.15949999999999998</v>
      </c>
      <c r="BJ347" s="6">
        <f t="shared" si="251"/>
        <v>3.4999999999999754E-3</v>
      </c>
      <c r="BK347" s="8">
        <f t="shared" si="234"/>
        <v>3.2886486486486483E-2</v>
      </c>
      <c r="BL347" s="8">
        <f t="shared" si="235"/>
        <v>2.0158676703645E-2</v>
      </c>
      <c r="BM347" s="8">
        <f t="shared" si="228"/>
        <v>1.2727809782841482E-2</v>
      </c>
      <c r="BN347" s="8">
        <v>4.7279999999999998</v>
      </c>
      <c r="BO347" s="8">
        <v>4.9340000000000002</v>
      </c>
      <c r="BP347" s="9">
        <f t="shared" si="229"/>
        <v>-0.20600000000000041</v>
      </c>
      <c r="BQ347" s="9">
        <v>-83302.89</v>
      </c>
      <c r="BR347" s="8">
        <v>-82779.224000000002</v>
      </c>
      <c r="BS347" s="8">
        <f t="shared" si="230"/>
        <v>-523.66599999999744</v>
      </c>
      <c r="BT347" s="8">
        <v>-83320.774999999994</v>
      </c>
      <c r="BU347" s="8">
        <v>-82796.997000000003</v>
      </c>
      <c r="BV347" s="8">
        <f t="shared" si="231"/>
        <v>-523.77799999999115</v>
      </c>
    </row>
    <row r="348" spans="1:74" x14ac:dyDescent="0.25">
      <c r="A348" s="8" t="s">
        <v>217</v>
      </c>
      <c r="B348" s="8" t="s">
        <v>502</v>
      </c>
      <c r="C348" s="8" t="s">
        <v>99</v>
      </c>
      <c r="D348" s="10">
        <v>23.84</v>
      </c>
      <c r="E348" s="8">
        <v>0.56999999999999995</v>
      </c>
      <c r="F348" s="8">
        <v>-1082.7529999999999</v>
      </c>
      <c r="G348" s="8">
        <v>-1086.0830000000001</v>
      </c>
      <c r="H348" s="9">
        <f t="shared" si="272"/>
        <v>-3.3300000000001546</v>
      </c>
      <c r="I348" s="8">
        <v>-0.28100000000000003</v>
      </c>
      <c r="J348" s="11">
        <v>-0.17799999999999999</v>
      </c>
      <c r="K348" s="8">
        <f t="shared" si="256"/>
        <v>0.10300000000000004</v>
      </c>
      <c r="L348" s="9">
        <v>0.13</v>
      </c>
      <c r="M348" s="11">
        <v>-1.2999999999999999E-2</v>
      </c>
      <c r="N348" s="8">
        <f t="shared" si="257"/>
        <v>-0.14300000000000002</v>
      </c>
      <c r="O348" s="8">
        <f t="shared" si="258"/>
        <v>7.5500000000000012E-2</v>
      </c>
      <c r="P348" s="8">
        <f t="shared" si="259"/>
        <v>9.5500000000000002E-2</v>
      </c>
      <c r="Q348" s="8">
        <f t="shared" si="260"/>
        <v>1.999999999999999E-2</v>
      </c>
      <c r="R348" s="8">
        <f t="shared" si="261"/>
        <v>0.41100000000000003</v>
      </c>
      <c r="S348" s="8">
        <f t="shared" si="262"/>
        <v>0.16499999999999998</v>
      </c>
      <c r="T348" s="8">
        <f t="shared" si="263"/>
        <v>-0.24600000000000005</v>
      </c>
      <c r="U348" s="8">
        <f t="shared" si="264"/>
        <v>-7.5500000000000012E-2</v>
      </c>
      <c r="V348" s="8">
        <f t="shared" si="265"/>
        <v>-9.5500000000000002E-2</v>
      </c>
      <c r="W348" s="3">
        <f t="shared" si="244"/>
        <v>-1.999999999999999E-2</v>
      </c>
      <c r="X348" s="8">
        <f t="shared" si="266"/>
        <v>6.9346107055961084E-3</v>
      </c>
      <c r="Y348" s="8">
        <f t="shared" si="233"/>
        <v>2.7637121212121214E-2</v>
      </c>
      <c r="Z348" s="8">
        <f t="shared" si="267"/>
        <v>2.0702510506525107E-2</v>
      </c>
      <c r="AA348" s="8">
        <v>15.834</v>
      </c>
      <c r="AB348" s="8">
        <v>15.028</v>
      </c>
      <c r="AC348" s="8">
        <f t="shared" si="268"/>
        <v>-0.80599999999999916</v>
      </c>
      <c r="AD348" s="8">
        <v>-679327.30500000005</v>
      </c>
      <c r="AE348" s="8">
        <v>-681423.56700000004</v>
      </c>
      <c r="AF348" s="8">
        <f t="shared" si="269"/>
        <v>-2096.2619999999879</v>
      </c>
      <c r="AG348" s="8">
        <v>-679354.94799999997</v>
      </c>
      <c r="AH348" s="9">
        <v>-681451.76</v>
      </c>
      <c r="AI348" s="8">
        <f t="shared" si="270"/>
        <v>-2096.8120000000345</v>
      </c>
      <c r="AJ348" s="8">
        <v>-0.56799999999999995</v>
      </c>
      <c r="AK348" s="8">
        <v>-0.497</v>
      </c>
      <c r="AL348" s="8">
        <f t="shared" si="271"/>
        <v>7.0999999999999952E-2</v>
      </c>
      <c r="AM348" s="8">
        <v>160.28</v>
      </c>
      <c r="AN348" s="9">
        <v>203.2227</v>
      </c>
      <c r="AO348" s="9">
        <v>228.04589999999999</v>
      </c>
      <c r="AP348" s="9">
        <f t="shared" si="273"/>
        <v>1.1260214278698226</v>
      </c>
      <c r="AQ348" s="8">
        <v>9.0060000000000002</v>
      </c>
      <c r="AR348" s="9">
        <v>2.2787999999999999</v>
      </c>
      <c r="AS348" s="8">
        <v>-132.80099999999999</v>
      </c>
      <c r="AT348" s="9">
        <v>-131.97</v>
      </c>
      <c r="AU348" s="8">
        <f t="shared" si="220"/>
        <v>-0.83099999999998886</v>
      </c>
      <c r="AV348" s="8">
        <v>-0.34100000000000003</v>
      </c>
      <c r="AW348" s="8">
        <v>-0.47499999999999998</v>
      </c>
      <c r="AX348" s="8">
        <f t="shared" si="221"/>
        <v>0.13399999999999995</v>
      </c>
      <c r="AY348" s="8">
        <v>2.9000000000000001E-2</v>
      </c>
      <c r="AZ348" s="8">
        <v>0.156</v>
      </c>
      <c r="BA348" s="8">
        <f t="shared" si="222"/>
        <v>-0.127</v>
      </c>
      <c r="BB348" s="8">
        <f t="shared" ref="BB348:BC348" si="274">-(AV348+AY348)/2</f>
        <v>0.156</v>
      </c>
      <c r="BC348" s="8">
        <f t="shared" si="274"/>
        <v>0.15949999999999998</v>
      </c>
      <c r="BD348" s="9">
        <f t="shared" si="224"/>
        <v>-3.4999999999999754E-3</v>
      </c>
      <c r="BE348" s="9">
        <f t="shared" ref="BE348:BF348" si="275">AY348-AV348</f>
        <v>0.37000000000000005</v>
      </c>
      <c r="BF348" s="8">
        <f t="shared" si="275"/>
        <v>0.63100000000000001</v>
      </c>
      <c r="BG348" s="11">
        <f t="shared" si="226"/>
        <v>-0.26099999999999995</v>
      </c>
      <c r="BH348" s="11">
        <f t="shared" ref="BH348:BI348" si="276">(AV348+AY348)/2</f>
        <v>-0.156</v>
      </c>
      <c r="BI348" s="11">
        <f t="shared" si="276"/>
        <v>-0.15949999999999998</v>
      </c>
      <c r="BJ348" s="6">
        <f t="shared" si="251"/>
        <v>3.4999999999999754E-3</v>
      </c>
      <c r="BK348" s="8">
        <f t="shared" si="234"/>
        <v>3.2886486486486483E-2</v>
      </c>
      <c r="BL348" s="8">
        <f t="shared" si="235"/>
        <v>2.0158676703645E-2</v>
      </c>
      <c r="BM348" s="8">
        <f t="shared" si="228"/>
        <v>1.2727809782841482E-2</v>
      </c>
      <c r="BN348" s="8">
        <v>4.7279999999999998</v>
      </c>
      <c r="BO348" s="8">
        <v>4.9340000000000002</v>
      </c>
      <c r="BP348" s="9">
        <f t="shared" si="229"/>
        <v>-0.20600000000000041</v>
      </c>
      <c r="BQ348" s="9">
        <v>-83302.89</v>
      </c>
      <c r="BR348" s="8">
        <v>-82779.224000000002</v>
      </c>
      <c r="BS348" s="8">
        <f t="shared" si="230"/>
        <v>-523.66599999999744</v>
      </c>
      <c r="BT348" s="8">
        <v>-83320.774999999994</v>
      </c>
      <c r="BU348" s="8">
        <v>-82796.997000000003</v>
      </c>
      <c r="BV348" s="8">
        <f t="shared" si="231"/>
        <v>-523.77799999999115</v>
      </c>
    </row>
    <row r="349" spans="1:74" x14ac:dyDescent="0.25">
      <c r="A349" t="s">
        <v>2</v>
      </c>
      <c r="B349" s="1" t="s">
        <v>646</v>
      </c>
      <c r="C349" s="1" t="s">
        <v>103</v>
      </c>
      <c r="D349" s="3">
        <v>-4.3600000000000003</v>
      </c>
      <c r="E349" s="3">
        <v>1.77</v>
      </c>
      <c r="F349" s="3">
        <v>-269.803</v>
      </c>
      <c r="G349" s="3">
        <v>-271.63799999999998</v>
      </c>
      <c r="H349" s="3">
        <f>G349-F349</f>
        <v>-1.8349999999999795</v>
      </c>
      <c r="I349" s="3">
        <v>-0.32800000000000001</v>
      </c>
      <c r="J349" s="6">
        <v>-0.248</v>
      </c>
      <c r="K349" s="3">
        <f t="shared" si="256"/>
        <v>8.0000000000000016E-2</v>
      </c>
      <c r="L349" s="3">
        <v>0.13100000000000001</v>
      </c>
      <c r="M349" s="6">
        <v>-1.2E-2</v>
      </c>
      <c r="N349" s="3">
        <f t="shared" si="257"/>
        <v>-0.14300000000000002</v>
      </c>
      <c r="O349" s="3">
        <f t="shared" si="258"/>
        <v>9.8500000000000004E-2</v>
      </c>
      <c r="P349" s="3">
        <f t="shared" si="259"/>
        <v>0.13</v>
      </c>
      <c r="Q349" s="3">
        <f t="shared" si="260"/>
        <v>3.15E-2</v>
      </c>
      <c r="R349" s="3">
        <f t="shared" si="261"/>
        <v>0.45900000000000002</v>
      </c>
      <c r="S349" s="3">
        <f t="shared" si="262"/>
        <v>0.23599999999999999</v>
      </c>
      <c r="T349" s="3">
        <f t="shared" si="263"/>
        <v>-0.22300000000000003</v>
      </c>
      <c r="U349" s="3">
        <f t="shared" si="264"/>
        <v>-9.8500000000000004E-2</v>
      </c>
      <c r="V349" s="3">
        <f t="shared" si="265"/>
        <v>-0.13</v>
      </c>
      <c r="W349" s="3">
        <f t="shared" si="244"/>
        <v>-3.15E-2</v>
      </c>
      <c r="X349" s="3">
        <f t="shared" si="232"/>
        <v>1.0568899782135077E-2</v>
      </c>
      <c r="Y349" s="3">
        <f t="shared" si="233"/>
        <v>3.5805084745762716E-2</v>
      </c>
      <c r="Z349" s="3">
        <f t="shared" si="267"/>
        <v>2.5236184963627638E-2</v>
      </c>
      <c r="AA349" s="3">
        <v>0.44400000000000001</v>
      </c>
      <c r="AB349" s="3">
        <v>0.47299999999999998</v>
      </c>
      <c r="AC349" s="3">
        <f t="shared" si="268"/>
        <v>2.899999999999997E-2</v>
      </c>
      <c r="AD349" s="3">
        <f>-269.660749*627.50956</f>
        <v>-169214.69795426042</v>
      </c>
      <c r="AE349" s="3">
        <f>-271.504002*627.50956</f>
        <v>-170371.35683325911</v>
      </c>
      <c r="AF349" s="3">
        <f t="shared" si="269"/>
        <v>-1156.6588789986854</v>
      </c>
      <c r="AG349" s="3">
        <f>-269.698131*627.50956</f>
        <v>-169238.15551663234</v>
      </c>
      <c r="AH349" s="3">
        <f>-271.541642*627.50956</f>
        <v>-170394.97629309751</v>
      </c>
      <c r="AI349" s="3">
        <f t="shared" si="270"/>
        <v>-1156.8207764651743</v>
      </c>
      <c r="AJ349" s="3">
        <v>-0.51</v>
      </c>
      <c r="AK349" s="3">
        <v>-0.58699999999999997</v>
      </c>
      <c r="AL349" s="3">
        <f t="shared" si="271"/>
        <v>-7.6999999999999957E-2</v>
      </c>
      <c r="AM349" s="3">
        <v>92.138419999999996</v>
      </c>
      <c r="AN349" s="3">
        <v>162.22443000000001</v>
      </c>
      <c r="AO349" s="3">
        <v>165.99871999999999</v>
      </c>
      <c r="AP349" s="3">
        <f>(AN349/(4*3.14*POWER(((3*AO349)/(4*3.14)),2/3)))</f>
        <v>1.1107995993319599</v>
      </c>
      <c r="AQ349" s="3">
        <v>8.3049999999999997</v>
      </c>
      <c r="AR349" s="3">
        <v>1.7765</v>
      </c>
      <c r="AS349" s="3">
        <v>-959.76900000000001</v>
      </c>
      <c r="AT349" s="3">
        <v>-958.05</v>
      </c>
      <c r="AU349" s="3">
        <f t="shared" si="220"/>
        <v>-1.7190000000000509</v>
      </c>
      <c r="AV349" s="3">
        <v>-0.317</v>
      </c>
      <c r="AW349" s="3">
        <v>-0.45</v>
      </c>
      <c r="AX349" s="3">
        <f t="shared" si="221"/>
        <v>0.13300000000000001</v>
      </c>
      <c r="AY349" s="3">
        <v>-2.4E-2</v>
      </c>
      <c r="AZ349" s="3">
        <v>0.13500000000000001</v>
      </c>
      <c r="BA349" s="3">
        <f t="shared" si="222"/>
        <v>-0.159</v>
      </c>
      <c r="BB349" s="3">
        <f t="shared" ref="BB349:BC363" si="277">-(AV349+AY349)/2</f>
        <v>0.17050000000000001</v>
      </c>
      <c r="BC349" s="3">
        <f t="shared" si="277"/>
        <v>0.1575</v>
      </c>
      <c r="BD349" s="3">
        <f t="shared" si="224"/>
        <v>1.3000000000000012E-2</v>
      </c>
      <c r="BE349" s="3">
        <f t="shared" ref="BE349:BF363" si="278">AY349-AV349</f>
        <v>0.29299999999999998</v>
      </c>
      <c r="BF349" s="3">
        <f t="shared" si="278"/>
        <v>0.58499999999999996</v>
      </c>
      <c r="BG349" s="6">
        <f t="shared" si="226"/>
        <v>-0.29199999999999998</v>
      </c>
      <c r="BH349" s="6">
        <f t="shared" ref="BH349:BI363" si="279">(AV349+AY349)/2</f>
        <v>-0.17050000000000001</v>
      </c>
      <c r="BI349" s="6">
        <f t="shared" si="279"/>
        <v>-0.1575</v>
      </c>
      <c r="BJ349" s="6">
        <f t="shared" si="251"/>
        <v>-1.3000000000000012E-2</v>
      </c>
      <c r="BK349" s="3">
        <f t="shared" si="234"/>
        <v>4.9607935153583631E-2</v>
      </c>
      <c r="BL349" s="3">
        <f t="shared" si="235"/>
        <v>2.120192307692308E-2</v>
      </c>
      <c r="BM349" s="3">
        <f t="shared" si="228"/>
        <v>2.8406012076660551E-2</v>
      </c>
      <c r="BN349" s="3">
        <v>2.2370000000000001</v>
      </c>
      <c r="BO349" s="3">
        <v>2.431</v>
      </c>
      <c r="BP349" s="3">
        <f t="shared" si="229"/>
        <v>-0.19399999999999995</v>
      </c>
      <c r="BQ349" s="3">
        <v>-602243.07700000005</v>
      </c>
      <c r="BR349" s="3">
        <v>-601163.24300000002</v>
      </c>
      <c r="BS349" s="3">
        <f t="shared" si="230"/>
        <v>-1079.8340000000317</v>
      </c>
      <c r="BT349" s="3">
        <v>-602262.36399999994</v>
      </c>
      <c r="BU349" s="3">
        <v>-601182.38500000001</v>
      </c>
      <c r="BV349" s="3">
        <f t="shared" si="231"/>
        <v>-1079.9789999999339</v>
      </c>
    </row>
    <row r="350" spans="1:74" x14ac:dyDescent="0.25">
      <c r="A350" t="s">
        <v>3</v>
      </c>
      <c r="B350" s="1" t="s">
        <v>646</v>
      </c>
      <c r="C350" s="1" t="s">
        <v>103</v>
      </c>
      <c r="D350" s="3">
        <v>-3.65</v>
      </c>
      <c r="E350" s="3">
        <v>1.97</v>
      </c>
      <c r="F350" s="3">
        <v>-576.03200000000004</v>
      </c>
      <c r="G350" s="3">
        <v>-577.572</v>
      </c>
      <c r="H350" s="3">
        <f>G350-F350</f>
        <v>-1.5399999999999636</v>
      </c>
      <c r="I350" s="3">
        <v>-0.36899999999999999</v>
      </c>
      <c r="J350" s="6">
        <v>-0.26500000000000001</v>
      </c>
      <c r="K350" s="3">
        <f t="shared" ref="K350:K413" si="280">J350-I350</f>
        <v>0.10399999999999998</v>
      </c>
      <c r="L350" s="3">
        <v>0.154</v>
      </c>
      <c r="M350" s="6">
        <v>-6.0000000000000001E-3</v>
      </c>
      <c r="N350" s="3">
        <f t="shared" ref="N350:N413" si="281">M350-L350</f>
        <v>-0.16</v>
      </c>
      <c r="O350" s="3">
        <f t="shared" ref="O350:P408" si="282">-(I350+L350)/2</f>
        <v>0.1075</v>
      </c>
      <c r="P350" s="3">
        <f t="shared" si="282"/>
        <v>0.13550000000000001</v>
      </c>
      <c r="Q350" s="3">
        <f t="shared" ref="Q350:Q413" si="283">P350-O350</f>
        <v>2.8000000000000011E-2</v>
      </c>
      <c r="R350" s="3">
        <f t="shared" ref="R350:R413" si="284">L350-I350</f>
        <v>0.52300000000000002</v>
      </c>
      <c r="S350" s="3">
        <f t="shared" ref="S350:S413" si="285">M350-J350</f>
        <v>0.25900000000000001</v>
      </c>
      <c r="T350" s="3">
        <f t="shared" ref="T350:T413" si="286">S350-R350</f>
        <v>-0.26400000000000001</v>
      </c>
      <c r="U350" s="3">
        <f t="shared" ref="U350:U413" si="287">(I350+L350)/2</f>
        <v>-0.1075</v>
      </c>
      <c r="V350" s="3">
        <f t="shared" ref="V350:V413" si="288">(J350+M350)/2</f>
        <v>-0.13550000000000001</v>
      </c>
      <c r="W350" s="3">
        <f t="shared" si="244"/>
        <v>-2.8000000000000011E-2</v>
      </c>
      <c r="X350" s="3">
        <f t="shared" si="232"/>
        <v>1.104804015296367E-2</v>
      </c>
      <c r="Y350" s="3">
        <f t="shared" si="233"/>
        <v>3.5444498069498072E-2</v>
      </c>
      <c r="Z350" s="3">
        <f t="shared" ref="Z350:Z413" si="289">Y350-X350</f>
        <v>2.43964579165344E-2</v>
      </c>
      <c r="AA350" s="3">
        <v>2.5179999999999998</v>
      </c>
      <c r="AB350" s="3">
        <v>2.3620000000000001</v>
      </c>
      <c r="AC350" s="3">
        <f t="shared" ref="AC350:AC413" si="290">AB350-AA350</f>
        <v>-0.15599999999999969</v>
      </c>
      <c r="AD350" s="3">
        <f>-575.951437*627.50956</f>
        <v>-361415.03281323775</v>
      </c>
      <c r="AE350" s="3">
        <f>-577.495803*627.50956</f>
        <v>-362384.13724237669</v>
      </c>
      <c r="AF350" s="3">
        <f t="shared" ref="AF350:AF413" si="291">AE350-AD350</f>
        <v>-969.10442913894076</v>
      </c>
      <c r="AG350" s="3">
        <f>-575.984476*627.50956</f>
        <v>-361435.76510159054</v>
      </c>
      <c r="AH350" s="3">
        <f>-577.529239*627.50956</f>
        <v>-362405.11865202477</v>
      </c>
      <c r="AI350" s="3">
        <f t="shared" ref="AI350:AI413" si="292">AH350-AG350</f>
        <v>-969.35355043422896</v>
      </c>
      <c r="AJ350" s="3">
        <v>-0.53900000000000003</v>
      </c>
      <c r="AK350" s="3">
        <v>-0.61499999999999999</v>
      </c>
      <c r="AL350" s="3">
        <f t="shared" ref="AL350:AL413" si="293">AK350-AJ350</f>
        <v>-7.5999999999999956E-2</v>
      </c>
      <c r="AM350" s="3">
        <v>76.524799999999999</v>
      </c>
      <c r="AN350" s="3">
        <v>126.39648</v>
      </c>
      <c r="AO350" s="3">
        <v>118.08251</v>
      </c>
      <c r="AP350" s="3">
        <f t="shared" ref="AP350:AP409" si="294">(AN350/(4*3.14*POWER(((3*AO350)/(4*3.14)),2/3)))</f>
        <v>1.0860934948527579</v>
      </c>
      <c r="AQ350" s="3">
        <v>6.5419999999999998</v>
      </c>
      <c r="AR350" s="3">
        <v>1.4356869999999999</v>
      </c>
      <c r="AS350" s="3">
        <v>-959.76900000000001</v>
      </c>
      <c r="AT350" s="3">
        <v>-958.05</v>
      </c>
      <c r="AU350" s="3">
        <f t="shared" si="220"/>
        <v>-1.7190000000000509</v>
      </c>
      <c r="AV350" s="3">
        <v>-0.317</v>
      </c>
      <c r="AW350" s="3">
        <v>-0.45</v>
      </c>
      <c r="AX350" s="3">
        <f t="shared" si="221"/>
        <v>0.13300000000000001</v>
      </c>
      <c r="AY350" s="3">
        <v>-2.4E-2</v>
      </c>
      <c r="AZ350" s="3">
        <v>0.13500000000000001</v>
      </c>
      <c r="BA350" s="3">
        <f t="shared" si="222"/>
        <v>-0.159</v>
      </c>
      <c r="BB350" s="3">
        <f t="shared" si="277"/>
        <v>0.17050000000000001</v>
      </c>
      <c r="BC350" s="3">
        <f t="shared" si="277"/>
        <v>0.1575</v>
      </c>
      <c r="BD350" s="3">
        <f t="shared" si="224"/>
        <v>1.3000000000000012E-2</v>
      </c>
      <c r="BE350" s="3">
        <f t="shared" si="278"/>
        <v>0.29299999999999998</v>
      </c>
      <c r="BF350" s="3">
        <f t="shared" si="278"/>
        <v>0.58499999999999996</v>
      </c>
      <c r="BG350" s="6">
        <f t="shared" si="226"/>
        <v>-0.29199999999999998</v>
      </c>
      <c r="BH350" s="6">
        <f t="shared" si="279"/>
        <v>-0.17050000000000001</v>
      </c>
      <c r="BI350" s="6">
        <f t="shared" si="279"/>
        <v>-0.1575</v>
      </c>
      <c r="BJ350" s="6">
        <f t="shared" si="251"/>
        <v>-1.3000000000000012E-2</v>
      </c>
      <c r="BK350" s="3">
        <f t="shared" si="234"/>
        <v>4.9607935153583631E-2</v>
      </c>
      <c r="BL350" s="3">
        <f t="shared" si="235"/>
        <v>2.120192307692308E-2</v>
      </c>
      <c r="BM350" s="3">
        <f t="shared" si="228"/>
        <v>2.8406012076660551E-2</v>
      </c>
      <c r="BN350" s="3">
        <v>2.2370000000000001</v>
      </c>
      <c r="BO350" s="3">
        <v>2.431</v>
      </c>
      <c r="BP350" s="3">
        <f t="shared" si="229"/>
        <v>-0.19399999999999995</v>
      </c>
      <c r="BQ350" s="3">
        <v>-602243.07700000005</v>
      </c>
      <c r="BR350" s="3">
        <v>-601163.24300000002</v>
      </c>
      <c r="BS350" s="3">
        <f t="shared" si="230"/>
        <v>-1079.8340000000317</v>
      </c>
      <c r="BT350" s="3">
        <v>-602262.36399999994</v>
      </c>
      <c r="BU350" s="3">
        <v>-601182.38500000001</v>
      </c>
      <c r="BV350" s="3">
        <f t="shared" si="231"/>
        <v>-1079.9789999999339</v>
      </c>
    </row>
    <row r="351" spans="1:74" x14ac:dyDescent="0.25">
      <c r="A351" t="s">
        <v>4</v>
      </c>
      <c r="B351" s="1" t="s">
        <v>646</v>
      </c>
      <c r="C351" s="1" t="s">
        <v>103</v>
      </c>
      <c r="D351" s="3">
        <v>-3.57</v>
      </c>
      <c r="E351" s="3">
        <v>2.08</v>
      </c>
      <c r="F351" s="3">
        <v>-308.84899999999999</v>
      </c>
      <c r="G351" s="3">
        <v>-310.96600000000001</v>
      </c>
      <c r="H351" s="3">
        <f t="shared" ref="H351:H414" si="295">G351-F351</f>
        <v>-2.1170000000000186</v>
      </c>
      <c r="I351" s="3">
        <v>-0.32200000000000001</v>
      </c>
      <c r="J351" s="6">
        <v>-0.24199999999999999</v>
      </c>
      <c r="K351" s="3">
        <f t="shared" si="280"/>
        <v>8.0000000000000016E-2</v>
      </c>
      <c r="L351" s="3">
        <v>0.13200000000000001</v>
      </c>
      <c r="M351" s="6">
        <v>-0.01</v>
      </c>
      <c r="N351" s="3">
        <f t="shared" si="281"/>
        <v>-0.14200000000000002</v>
      </c>
      <c r="O351" s="3">
        <f t="shared" si="282"/>
        <v>9.5000000000000001E-2</v>
      </c>
      <c r="P351" s="3">
        <f t="shared" si="282"/>
        <v>0.126</v>
      </c>
      <c r="Q351" s="3">
        <f t="shared" si="283"/>
        <v>3.1E-2</v>
      </c>
      <c r="R351" s="3">
        <f t="shared" si="284"/>
        <v>0.45400000000000001</v>
      </c>
      <c r="S351" s="3">
        <f t="shared" si="285"/>
        <v>0.23199999999999998</v>
      </c>
      <c r="T351" s="3">
        <f t="shared" si="286"/>
        <v>-0.22200000000000003</v>
      </c>
      <c r="U351" s="3">
        <f t="shared" si="287"/>
        <v>-9.5000000000000001E-2</v>
      </c>
      <c r="V351" s="3">
        <f t="shared" si="288"/>
        <v>-0.126</v>
      </c>
      <c r="W351" s="3">
        <f t="shared" si="244"/>
        <v>-3.1E-2</v>
      </c>
      <c r="X351" s="3">
        <f t="shared" si="232"/>
        <v>9.9394273127753306E-3</v>
      </c>
      <c r="Y351" s="3">
        <f t="shared" si="233"/>
        <v>3.4215517241379313E-2</v>
      </c>
      <c r="Z351" s="3">
        <f t="shared" si="289"/>
        <v>2.4276089928603983E-2</v>
      </c>
      <c r="AA351" s="3">
        <v>0.441</v>
      </c>
      <c r="AB351" s="3">
        <v>0.44800000000000001</v>
      </c>
      <c r="AC351" s="3">
        <f t="shared" si="290"/>
        <v>7.0000000000000062E-3</v>
      </c>
      <c r="AD351" s="3">
        <f>-308.676997*627.50956</f>
        <v>-193697.7665695913</v>
      </c>
      <c r="AE351" s="3">
        <f>-310.802477*627.50956</f>
        <v>-195031.52558918012</v>
      </c>
      <c r="AF351" s="3">
        <f t="shared" si="291"/>
        <v>-1333.7590195888188</v>
      </c>
      <c r="AG351" s="3">
        <f>-308.716494*627.50956</f>
        <v>-193722.55131468264</v>
      </c>
      <c r="AH351" s="3">
        <f>-310.84499*627.50956</f>
        <v>-195058.20290310439</v>
      </c>
      <c r="AI351" s="3">
        <f t="shared" si="292"/>
        <v>-1335.6515884217515</v>
      </c>
      <c r="AJ351" s="3">
        <v>-0.51</v>
      </c>
      <c r="AK351" s="3">
        <v>-0.58599999999999997</v>
      </c>
      <c r="AL351" s="3">
        <f t="shared" si="293"/>
        <v>-7.5999999999999956E-2</v>
      </c>
      <c r="AM351" s="3">
        <v>106.16500000000001</v>
      </c>
      <c r="AN351" s="3">
        <v>184.4512</v>
      </c>
      <c r="AO351" s="3">
        <v>193.95415</v>
      </c>
      <c r="AP351" s="3">
        <f t="shared" si="294"/>
        <v>1.1385131496594587</v>
      </c>
      <c r="AQ351" s="3">
        <v>9.1180000000000003</v>
      </c>
      <c r="AR351" s="3">
        <v>2.003225</v>
      </c>
      <c r="AS351" s="3">
        <v>-959.76900000000001</v>
      </c>
      <c r="AT351" s="3">
        <v>-958.05</v>
      </c>
      <c r="AU351" s="3">
        <f t="shared" si="220"/>
        <v>-1.7190000000000509</v>
      </c>
      <c r="AV351" s="3">
        <v>-0.317</v>
      </c>
      <c r="AW351" s="3">
        <v>-0.45</v>
      </c>
      <c r="AX351" s="3">
        <f t="shared" si="221"/>
        <v>0.13300000000000001</v>
      </c>
      <c r="AY351" s="3">
        <v>-2.4E-2</v>
      </c>
      <c r="AZ351" s="3">
        <v>0.13500000000000001</v>
      </c>
      <c r="BA351" s="3">
        <f t="shared" si="222"/>
        <v>-0.159</v>
      </c>
      <c r="BB351" s="3">
        <f t="shared" si="277"/>
        <v>0.17050000000000001</v>
      </c>
      <c r="BC351" s="3">
        <f t="shared" si="277"/>
        <v>0.1575</v>
      </c>
      <c r="BD351" s="3">
        <f t="shared" si="224"/>
        <v>1.3000000000000012E-2</v>
      </c>
      <c r="BE351" s="3">
        <f t="shared" si="278"/>
        <v>0.29299999999999998</v>
      </c>
      <c r="BF351" s="3">
        <f t="shared" si="278"/>
        <v>0.58499999999999996</v>
      </c>
      <c r="BG351" s="6">
        <f t="shared" si="226"/>
        <v>-0.29199999999999998</v>
      </c>
      <c r="BH351" s="6">
        <f t="shared" si="279"/>
        <v>-0.17050000000000001</v>
      </c>
      <c r="BI351" s="6">
        <f t="shared" si="279"/>
        <v>-0.1575</v>
      </c>
      <c r="BJ351" s="6">
        <f t="shared" si="251"/>
        <v>-1.3000000000000012E-2</v>
      </c>
      <c r="BK351" s="3">
        <f t="shared" si="234"/>
        <v>4.9607935153583631E-2</v>
      </c>
      <c r="BL351" s="3">
        <f t="shared" si="235"/>
        <v>2.120192307692308E-2</v>
      </c>
      <c r="BM351" s="3">
        <f t="shared" si="228"/>
        <v>2.8406012076660551E-2</v>
      </c>
      <c r="BN351" s="3">
        <v>2.2370000000000001</v>
      </c>
      <c r="BO351" s="3">
        <v>2.431</v>
      </c>
      <c r="BP351" s="3">
        <f t="shared" si="229"/>
        <v>-0.19399999999999995</v>
      </c>
      <c r="BQ351" s="3">
        <v>-602243.07700000005</v>
      </c>
      <c r="BR351" s="3">
        <v>-601163.24300000002</v>
      </c>
      <c r="BS351" s="3">
        <f t="shared" si="230"/>
        <v>-1079.8340000000317</v>
      </c>
      <c r="BT351" s="3">
        <v>-602262.36399999994</v>
      </c>
      <c r="BU351" s="3">
        <v>-601182.38500000001</v>
      </c>
      <c r="BV351" s="3">
        <f t="shared" si="231"/>
        <v>-1079.9789999999339</v>
      </c>
    </row>
    <row r="352" spans="1:74" x14ac:dyDescent="0.25">
      <c r="A352" t="s">
        <v>40</v>
      </c>
      <c r="B352" s="1" t="s">
        <v>646</v>
      </c>
      <c r="C352" s="1" t="s">
        <v>103</v>
      </c>
      <c r="D352" s="3">
        <v>-3.52</v>
      </c>
      <c r="E352" s="3">
        <v>1.17</v>
      </c>
      <c r="F352" s="3">
        <v>-1843.1769999999999</v>
      </c>
      <c r="G352" s="3">
        <v>-1851.1759999999999</v>
      </c>
      <c r="H352" s="3">
        <f t="shared" si="295"/>
        <v>-7.9990000000000236</v>
      </c>
      <c r="I352" s="3">
        <v>-0.371</v>
      </c>
      <c r="J352" s="6">
        <v>-0.25900000000000001</v>
      </c>
      <c r="K352" s="3">
        <f t="shared" si="280"/>
        <v>0.11199999999999999</v>
      </c>
      <c r="L352" s="3">
        <v>0.14000000000000001</v>
      </c>
      <c r="M352" s="6">
        <v>-2.1999999999999999E-2</v>
      </c>
      <c r="N352" s="3">
        <f t="shared" si="281"/>
        <v>-0.16200000000000001</v>
      </c>
      <c r="O352" s="3">
        <f t="shared" si="282"/>
        <v>0.11549999999999999</v>
      </c>
      <c r="P352" s="3">
        <f t="shared" si="282"/>
        <v>0.14050000000000001</v>
      </c>
      <c r="Q352" s="3">
        <f t="shared" si="283"/>
        <v>2.5000000000000022E-2</v>
      </c>
      <c r="R352" s="3">
        <f t="shared" si="284"/>
        <v>0.51100000000000001</v>
      </c>
      <c r="S352" s="3">
        <f t="shared" si="285"/>
        <v>0.23700000000000002</v>
      </c>
      <c r="T352" s="3">
        <f t="shared" si="286"/>
        <v>-0.27400000000000002</v>
      </c>
      <c r="U352" s="3">
        <f t="shared" si="287"/>
        <v>-0.11549999999999999</v>
      </c>
      <c r="V352" s="3">
        <f t="shared" si="288"/>
        <v>-0.14050000000000001</v>
      </c>
      <c r="W352" s="3">
        <f t="shared" si="244"/>
        <v>-2.5000000000000022E-2</v>
      </c>
      <c r="X352" s="3">
        <f t="shared" si="232"/>
        <v>1.3053082191780819E-2</v>
      </c>
      <c r="Y352" s="3">
        <f t="shared" si="233"/>
        <v>4.1646097046413505E-2</v>
      </c>
      <c r="Z352" s="3">
        <f t="shared" si="289"/>
        <v>2.8593014854632684E-2</v>
      </c>
      <c r="AA352" s="3">
        <v>4.62</v>
      </c>
      <c r="AB352" s="3">
        <v>4.7140000000000004</v>
      </c>
      <c r="AC352" s="3">
        <f t="shared" si="290"/>
        <v>9.4000000000000306E-2</v>
      </c>
      <c r="AD352" s="3">
        <f>-1842.924539*627.50956</f>
        <v>-1156452.7665810927</v>
      </c>
      <c r="AE352" s="3">
        <f>-1850.938526*627.50956</f>
        <v>-1161481.6200373084</v>
      </c>
      <c r="AF352" s="3">
        <f t="shared" si="291"/>
        <v>-5028.8534562157001</v>
      </c>
      <c r="AG352" s="3">
        <f>-1843.006644*627.50956</f>
        <v>-1156504.2882535167</v>
      </c>
      <c r="AH352" s="3">
        <f>-1851.02288*627.50956</f>
        <v>-1161534.5529787326</v>
      </c>
      <c r="AI352" s="3">
        <f t="shared" si="292"/>
        <v>-5030.2647252159659</v>
      </c>
      <c r="AJ352" s="3">
        <v>-0.41699999999999998</v>
      </c>
      <c r="AK352" s="3">
        <v>-0.442</v>
      </c>
      <c r="AL352" s="3">
        <f t="shared" si="293"/>
        <v>-2.5000000000000022E-2</v>
      </c>
      <c r="AM352" s="3">
        <v>384.26164</v>
      </c>
      <c r="AN352" s="3">
        <v>331.60498000000001</v>
      </c>
      <c r="AO352" s="3">
        <v>383.45710000000003</v>
      </c>
      <c r="AP352" s="3">
        <f t="shared" si="294"/>
        <v>1.299368912950958</v>
      </c>
      <c r="AQ352" s="3">
        <v>14.18</v>
      </c>
      <c r="AR352" s="3">
        <v>3.4766184999999998</v>
      </c>
      <c r="AS352" s="3">
        <v>-959.76900000000001</v>
      </c>
      <c r="AT352" s="3">
        <v>-958.05</v>
      </c>
      <c r="AU352" s="3">
        <f t="shared" si="220"/>
        <v>-1.7190000000000509</v>
      </c>
      <c r="AV352" s="3">
        <v>-0.317</v>
      </c>
      <c r="AW352" s="3">
        <v>-0.45</v>
      </c>
      <c r="AX352" s="3">
        <f t="shared" si="221"/>
        <v>0.13300000000000001</v>
      </c>
      <c r="AY352" s="3">
        <v>-2.4E-2</v>
      </c>
      <c r="AZ352" s="3">
        <v>0.13500000000000001</v>
      </c>
      <c r="BA352" s="3">
        <f t="shared" si="222"/>
        <v>-0.159</v>
      </c>
      <c r="BB352" s="3">
        <f t="shared" si="277"/>
        <v>0.17050000000000001</v>
      </c>
      <c r="BC352" s="3">
        <f t="shared" si="277"/>
        <v>0.1575</v>
      </c>
      <c r="BD352" s="3">
        <f t="shared" si="224"/>
        <v>1.3000000000000012E-2</v>
      </c>
      <c r="BE352" s="3">
        <f t="shared" si="278"/>
        <v>0.29299999999999998</v>
      </c>
      <c r="BF352" s="3">
        <f t="shared" si="278"/>
        <v>0.58499999999999996</v>
      </c>
      <c r="BG352" s="6">
        <f t="shared" si="226"/>
        <v>-0.29199999999999998</v>
      </c>
      <c r="BH352" s="6">
        <f t="shared" si="279"/>
        <v>-0.17050000000000001</v>
      </c>
      <c r="BI352" s="6">
        <f t="shared" si="279"/>
        <v>-0.1575</v>
      </c>
      <c r="BJ352" s="6">
        <f t="shared" si="251"/>
        <v>-1.3000000000000012E-2</v>
      </c>
      <c r="BK352" s="3">
        <f t="shared" si="234"/>
        <v>4.9607935153583631E-2</v>
      </c>
      <c r="BL352" s="3">
        <f t="shared" si="235"/>
        <v>2.120192307692308E-2</v>
      </c>
      <c r="BM352" s="3">
        <f t="shared" si="228"/>
        <v>2.8406012076660551E-2</v>
      </c>
      <c r="BN352" s="3">
        <v>2.2370000000000001</v>
      </c>
      <c r="BO352" s="3">
        <v>2.431</v>
      </c>
      <c r="BP352" s="3">
        <f t="shared" si="229"/>
        <v>-0.19399999999999995</v>
      </c>
      <c r="BQ352" s="3">
        <v>-602243.07700000005</v>
      </c>
      <c r="BR352" s="3">
        <v>-601163.24300000002</v>
      </c>
      <c r="BS352" s="3">
        <f t="shared" si="230"/>
        <v>-1079.8340000000317</v>
      </c>
      <c r="BT352" s="3">
        <v>-602262.36399999994</v>
      </c>
      <c r="BU352" s="3">
        <v>-601182.38500000001</v>
      </c>
      <c r="BV352" s="3">
        <f t="shared" si="231"/>
        <v>-1079.9789999999339</v>
      </c>
    </row>
    <row r="353" spans="1:74" x14ac:dyDescent="0.25">
      <c r="A353" t="s">
        <v>42</v>
      </c>
      <c r="B353" s="1" t="s">
        <v>646</v>
      </c>
      <c r="C353" s="1" t="s">
        <v>103</v>
      </c>
      <c r="D353" s="3">
        <v>-2.94</v>
      </c>
      <c r="E353" s="3">
        <v>1.1100000000000001</v>
      </c>
      <c r="F353" s="3">
        <v>-895.95699999999999</v>
      </c>
      <c r="G353" s="3">
        <v>-899.77800000000002</v>
      </c>
      <c r="H353" s="3">
        <f t="shared" si="295"/>
        <v>-3.8210000000000264</v>
      </c>
      <c r="I353" s="3">
        <v>-0.371</v>
      </c>
      <c r="J353" s="6">
        <v>-0.25800000000000001</v>
      </c>
      <c r="K353" s="3">
        <f t="shared" si="280"/>
        <v>0.11299999999999999</v>
      </c>
      <c r="L353" s="3">
        <v>0.13900000000000001</v>
      </c>
      <c r="M353" s="6">
        <v>-1.2E-2</v>
      </c>
      <c r="N353" s="3">
        <f t="shared" si="281"/>
        <v>-0.15100000000000002</v>
      </c>
      <c r="O353" s="3">
        <f t="shared" si="282"/>
        <v>0.11599999999999999</v>
      </c>
      <c r="P353" s="3">
        <f t="shared" si="282"/>
        <v>0.13500000000000001</v>
      </c>
      <c r="Q353" s="3">
        <f t="shared" si="283"/>
        <v>1.9000000000000017E-2</v>
      </c>
      <c r="R353" s="3">
        <f t="shared" si="284"/>
        <v>0.51</v>
      </c>
      <c r="S353" s="3">
        <f t="shared" si="285"/>
        <v>0.246</v>
      </c>
      <c r="T353" s="3">
        <f t="shared" si="286"/>
        <v>-0.26400000000000001</v>
      </c>
      <c r="U353" s="3">
        <f t="shared" si="287"/>
        <v>-0.11599999999999999</v>
      </c>
      <c r="V353" s="3">
        <f t="shared" si="288"/>
        <v>-0.13500000000000001</v>
      </c>
      <c r="W353" s="3">
        <f t="shared" si="244"/>
        <v>-1.9000000000000017E-2</v>
      </c>
      <c r="X353" s="3">
        <f t="shared" si="232"/>
        <v>1.3192156862745096E-2</v>
      </c>
      <c r="Y353" s="3">
        <f t="shared" si="233"/>
        <v>3.7042682926829273E-2</v>
      </c>
      <c r="Z353" s="3">
        <f t="shared" si="289"/>
        <v>2.3850526064084179E-2</v>
      </c>
      <c r="AA353" s="3">
        <v>4.4210000000000003</v>
      </c>
      <c r="AB353" s="3">
        <v>4.4059999999999997</v>
      </c>
      <c r="AC353" s="3">
        <f t="shared" si="290"/>
        <v>-1.5000000000000568E-2</v>
      </c>
      <c r="AD353" s="3">
        <f>-895.771667*627.50956</f>
        <v>-562105.28461963648</v>
      </c>
      <c r="AE353" s="3">
        <f>-899.601343*627.50956</f>
        <v>-564508.44292133907</v>
      </c>
      <c r="AF353" s="3">
        <f t="shared" si="291"/>
        <v>-2403.1583017025841</v>
      </c>
      <c r="AG353" s="3">
        <f>-895.821963*627.50956</f>
        <v>-562136.84584046621</v>
      </c>
      <c r="AH353" s="3">
        <f>-899.656573*627.50956</f>
        <v>-564543.1002743378</v>
      </c>
      <c r="AI353" s="3">
        <f t="shared" si="292"/>
        <v>-2406.2544338715961</v>
      </c>
      <c r="AJ353" s="3">
        <v>-0.42299999999999999</v>
      </c>
      <c r="AK353" s="3">
        <v>-0.45100000000000001</v>
      </c>
      <c r="AL353" s="3">
        <f t="shared" si="293"/>
        <v>-2.8000000000000025E-2</v>
      </c>
      <c r="AM353" s="3">
        <v>384.26159999999999</v>
      </c>
      <c r="AN353" s="3">
        <v>331.60500000000002</v>
      </c>
      <c r="AO353" s="3">
        <v>383.45460000000003</v>
      </c>
      <c r="AP353" s="3">
        <f t="shared" si="294"/>
        <v>1.2993746389570786</v>
      </c>
      <c r="AQ353" s="3">
        <v>14.18</v>
      </c>
      <c r="AR353" s="3">
        <v>3.4765999999999999</v>
      </c>
      <c r="AS353" s="3">
        <v>-959.76900000000001</v>
      </c>
      <c r="AT353" s="3">
        <v>-958.05</v>
      </c>
      <c r="AU353" s="3">
        <f t="shared" si="220"/>
        <v>-1.7190000000000509</v>
      </c>
      <c r="AV353" s="3">
        <v>-0.317</v>
      </c>
      <c r="AW353" s="3">
        <v>-0.45</v>
      </c>
      <c r="AX353" s="3">
        <f t="shared" si="221"/>
        <v>0.13300000000000001</v>
      </c>
      <c r="AY353" s="3">
        <v>-2.4E-2</v>
      </c>
      <c r="AZ353" s="3">
        <v>0.13500000000000001</v>
      </c>
      <c r="BA353" s="3">
        <f t="shared" si="222"/>
        <v>-0.159</v>
      </c>
      <c r="BB353" s="3">
        <f t="shared" si="277"/>
        <v>0.17050000000000001</v>
      </c>
      <c r="BC353" s="3">
        <f t="shared" si="277"/>
        <v>0.1575</v>
      </c>
      <c r="BD353" s="3">
        <f t="shared" si="224"/>
        <v>1.3000000000000012E-2</v>
      </c>
      <c r="BE353" s="3">
        <f t="shared" si="278"/>
        <v>0.29299999999999998</v>
      </c>
      <c r="BF353" s="3">
        <f t="shared" si="278"/>
        <v>0.58499999999999996</v>
      </c>
      <c r="BG353" s="6">
        <f t="shared" si="226"/>
        <v>-0.29199999999999998</v>
      </c>
      <c r="BH353" s="6">
        <f t="shared" si="279"/>
        <v>-0.17050000000000001</v>
      </c>
      <c r="BI353" s="6">
        <f t="shared" si="279"/>
        <v>-0.1575</v>
      </c>
      <c r="BJ353" s="6">
        <f t="shared" si="251"/>
        <v>-1.3000000000000012E-2</v>
      </c>
      <c r="BK353" s="3">
        <f t="shared" si="234"/>
        <v>4.9607935153583631E-2</v>
      </c>
      <c r="BL353" s="3">
        <f t="shared" si="235"/>
        <v>2.120192307692308E-2</v>
      </c>
      <c r="BM353" s="3">
        <f t="shared" si="228"/>
        <v>2.8406012076660551E-2</v>
      </c>
      <c r="BN353" s="3">
        <v>2.2370000000000001</v>
      </c>
      <c r="BO353" s="3">
        <v>2.431</v>
      </c>
      <c r="BP353" s="3">
        <f t="shared" si="229"/>
        <v>-0.19399999999999995</v>
      </c>
      <c r="BQ353" s="3">
        <v>-602243.07700000005</v>
      </c>
      <c r="BR353" s="3">
        <v>-601163.24300000002</v>
      </c>
      <c r="BS353" s="3">
        <f t="shared" si="230"/>
        <v>-1079.8340000000317</v>
      </c>
      <c r="BT353" s="3">
        <v>-602262.36399999994</v>
      </c>
      <c r="BU353" s="3">
        <v>-601182.38500000001</v>
      </c>
      <c r="BV353" s="3">
        <f t="shared" si="231"/>
        <v>-1079.9789999999339</v>
      </c>
    </row>
    <row r="354" spans="1:74" x14ac:dyDescent="0.25">
      <c r="A354" t="s">
        <v>5</v>
      </c>
      <c r="B354" s="1" t="s">
        <v>646</v>
      </c>
      <c r="C354" s="1" t="s">
        <v>103</v>
      </c>
      <c r="D354" s="3">
        <v>-2.77</v>
      </c>
      <c r="E354" s="3">
        <v>1.41</v>
      </c>
      <c r="F354" s="3">
        <v>-234.23699999999999</v>
      </c>
      <c r="G354" s="3">
        <v>-235.91800000000001</v>
      </c>
      <c r="H354" s="3">
        <f t="shared" si="295"/>
        <v>-1.6810000000000116</v>
      </c>
      <c r="I354" s="3">
        <v>-0.36199999999999999</v>
      </c>
      <c r="J354" s="6">
        <v>-0.26100000000000001</v>
      </c>
      <c r="K354" s="3">
        <f t="shared" si="280"/>
        <v>0.10099999999999998</v>
      </c>
      <c r="L354" s="3">
        <v>0.16</v>
      </c>
      <c r="M354" s="6">
        <v>0.01</v>
      </c>
      <c r="N354" s="3">
        <f t="shared" si="281"/>
        <v>-0.15</v>
      </c>
      <c r="O354" s="3">
        <f t="shared" si="282"/>
        <v>0.10099999999999999</v>
      </c>
      <c r="P354" s="3">
        <f t="shared" si="282"/>
        <v>0.1255</v>
      </c>
      <c r="Q354" s="3">
        <f t="shared" si="283"/>
        <v>2.4500000000000008E-2</v>
      </c>
      <c r="R354" s="3">
        <f t="shared" si="284"/>
        <v>0.52200000000000002</v>
      </c>
      <c r="S354" s="3">
        <f t="shared" si="285"/>
        <v>0.27100000000000002</v>
      </c>
      <c r="T354" s="3">
        <f t="shared" si="286"/>
        <v>-0.251</v>
      </c>
      <c r="U354" s="3">
        <f t="shared" si="287"/>
        <v>-0.10099999999999999</v>
      </c>
      <c r="V354" s="3">
        <f t="shared" si="288"/>
        <v>-0.1255</v>
      </c>
      <c r="W354" s="3">
        <f t="shared" si="244"/>
        <v>-2.4500000000000008E-2</v>
      </c>
      <c r="X354" s="3">
        <f t="shared" si="232"/>
        <v>9.771072796934864E-3</v>
      </c>
      <c r="Y354" s="3">
        <f t="shared" si="233"/>
        <v>2.9059501845018449E-2</v>
      </c>
      <c r="Z354" s="3">
        <f t="shared" si="289"/>
        <v>1.9288429048083585E-2</v>
      </c>
      <c r="AA354" s="3">
        <v>0.50800000000000001</v>
      </c>
      <c r="AB354" s="3">
        <v>0.52500000000000002</v>
      </c>
      <c r="AC354" s="3">
        <f t="shared" si="290"/>
        <v>1.7000000000000015E-2</v>
      </c>
      <c r="AD354" s="3">
        <f>-234.053415*627.50956</f>
        <v>-146870.75546314739</v>
      </c>
      <c r="AE354" s="3">
        <f>-235.744563*627.50956</f>
        <v>-147931.96700052227</v>
      </c>
      <c r="AF354" s="3">
        <f t="shared" si="291"/>
        <v>-1061.211537374882</v>
      </c>
      <c r="AG354" s="3">
        <f>-234.093641*627.50956</f>
        <v>-146895.99766270796</v>
      </c>
      <c r="AH354" s="3">
        <f>-235.7856*627.50956</f>
        <v>-147957.71811033599</v>
      </c>
      <c r="AI354" s="3">
        <f t="shared" si="292"/>
        <v>-1061.7204476280313</v>
      </c>
      <c r="AJ354" s="3">
        <v>-0.35299999999999998</v>
      </c>
      <c r="AK354" s="3">
        <v>-0.40799999999999997</v>
      </c>
      <c r="AL354" s="3">
        <f t="shared" si="293"/>
        <v>-5.4999999999999993E-2</v>
      </c>
      <c r="AM354" s="3">
        <v>84.159480000000002</v>
      </c>
      <c r="AN354" s="3">
        <v>179.01650000000001</v>
      </c>
      <c r="AO354" s="3">
        <v>183.874</v>
      </c>
      <c r="AP354" s="3">
        <f t="shared" si="294"/>
        <v>1.144991149503453</v>
      </c>
      <c r="AQ354" s="3">
        <v>10.36</v>
      </c>
      <c r="AR354" s="3">
        <v>2.2630479999999999</v>
      </c>
      <c r="AS354" s="3">
        <v>-959.76900000000001</v>
      </c>
      <c r="AT354" s="3">
        <v>-958.05</v>
      </c>
      <c r="AU354" s="3">
        <f t="shared" si="220"/>
        <v>-1.7190000000000509</v>
      </c>
      <c r="AV354" s="3">
        <v>-0.317</v>
      </c>
      <c r="AW354" s="3">
        <v>-0.45</v>
      </c>
      <c r="AX354" s="3">
        <f t="shared" si="221"/>
        <v>0.13300000000000001</v>
      </c>
      <c r="AY354" s="3">
        <v>-2.4E-2</v>
      </c>
      <c r="AZ354" s="3">
        <v>0.13500000000000001</v>
      </c>
      <c r="BA354" s="3">
        <f t="shared" si="222"/>
        <v>-0.159</v>
      </c>
      <c r="BB354" s="3">
        <f t="shared" si="277"/>
        <v>0.17050000000000001</v>
      </c>
      <c r="BC354" s="3">
        <f t="shared" si="277"/>
        <v>0.1575</v>
      </c>
      <c r="BD354" s="3">
        <f t="shared" si="224"/>
        <v>1.3000000000000012E-2</v>
      </c>
      <c r="BE354" s="3">
        <f t="shared" si="278"/>
        <v>0.29299999999999998</v>
      </c>
      <c r="BF354" s="3">
        <f t="shared" si="278"/>
        <v>0.58499999999999996</v>
      </c>
      <c r="BG354" s="6">
        <f t="shared" si="226"/>
        <v>-0.29199999999999998</v>
      </c>
      <c r="BH354" s="6">
        <f t="shared" si="279"/>
        <v>-0.17050000000000001</v>
      </c>
      <c r="BI354" s="6">
        <f t="shared" si="279"/>
        <v>-0.1575</v>
      </c>
      <c r="BJ354" s="6">
        <f t="shared" si="251"/>
        <v>-1.3000000000000012E-2</v>
      </c>
      <c r="BK354" s="3">
        <f t="shared" si="234"/>
        <v>4.9607935153583631E-2</v>
      </c>
      <c r="BL354" s="3">
        <f t="shared" si="235"/>
        <v>2.120192307692308E-2</v>
      </c>
      <c r="BM354" s="3">
        <f t="shared" si="228"/>
        <v>2.8406012076660551E-2</v>
      </c>
      <c r="BN354" s="3">
        <v>2.2370000000000001</v>
      </c>
      <c r="BO354" s="3">
        <v>2.431</v>
      </c>
      <c r="BP354" s="3">
        <f t="shared" si="229"/>
        <v>-0.19399999999999995</v>
      </c>
      <c r="BQ354" s="3">
        <v>-602243.07700000005</v>
      </c>
      <c r="BR354" s="3">
        <v>-601163.24300000002</v>
      </c>
      <c r="BS354" s="3">
        <f t="shared" si="230"/>
        <v>-1079.8340000000317</v>
      </c>
      <c r="BT354" s="3">
        <v>-602262.36399999994</v>
      </c>
      <c r="BU354" s="3">
        <v>-601182.38500000001</v>
      </c>
      <c r="BV354" s="3">
        <f t="shared" si="231"/>
        <v>-1079.9789999999339</v>
      </c>
    </row>
    <row r="355" spans="1:74" x14ac:dyDescent="0.25">
      <c r="A355" t="s">
        <v>6</v>
      </c>
      <c r="B355" s="1" t="s">
        <v>646</v>
      </c>
      <c r="C355" s="1" t="s">
        <v>103</v>
      </c>
      <c r="D355" s="3">
        <v>-2.4500000000000002</v>
      </c>
      <c r="E355" s="3">
        <v>1.1000000000000001</v>
      </c>
      <c r="F355" s="3">
        <v>-156.149</v>
      </c>
      <c r="G355" s="3">
        <v>-157.26900000000001</v>
      </c>
      <c r="H355" s="3">
        <f t="shared" si="295"/>
        <v>-1.1200000000000045</v>
      </c>
      <c r="I355" s="3">
        <v>-0.36299999999999999</v>
      </c>
      <c r="J355" s="6">
        <v>-0.26300000000000001</v>
      </c>
      <c r="K355" s="3">
        <f t="shared" si="280"/>
        <v>9.9999999999999978E-2</v>
      </c>
      <c r="L355" s="3">
        <v>0.157</v>
      </c>
      <c r="M355" s="6">
        <v>8.9999999999999993E-3</v>
      </c>
      <c r="N355" s="3">
        <f t="shared" si="281"/>
        <v>-0.14799999999999999</v>
      </c>
      <c r="O355" s="3">
        <f t="shared" si="282"/>
        <v>0.10299999999999999</v>
      </c>
      <c r="P355" s="3">
        <f t="shared" si="282"/>
        <v>0.127</v>
      </c>
      <c r="Q355" s="3">
        <f t="shared" si="283"/>
        <v>2.4000000000000007E-2</v>
      </c>
      <c r="R355" s="3">
        <f t="shared" si="284"/>
        <v>0.52</v>
      </c>
      <c r="S355" s="3">
        <f t="shared" si="285"/>
        <v>0.27200000000000002</v>
      </c>
      <c r="T355" s="3">
        <f t="shared" si="286"/>
        <v>-0.248</v>
      </c>
      <c r="U355" s="3">
        <f t="shared" si="287"/>
        <v>-0.10299999999999999</v>
      </c>
      <c r="V355" s="3">
        <f t="shared" si="288"/>
        <v>-0.127</v>
      </c>
      <c r="W355" s="3">
        <f t="shared" si="244"/>
        <v>-2.4000000000000007E-2</v>
      </c>
      <c r="X355" s="3">
        <f t="shared" si="232"/>
        <v>1.0200961538461537E-2</v>
      </c>
      <c r="Y355" s="3">
        <f t="shared" si="233"/>
        <v>2.964889705882353E-2</v>
      </c>
      <c r="Z355" s="3">
        <f t="shared" si="289"/>
        <v>1.9447935520361993E-2</v>
      </c>
      <c r="AA355" s="3">
        <v>0.46600000000000003</v>
      </c>
      <c r="AB355" s="3">
        <v>0.47099999999999997</v>
      </c>
      <c r="AC355" s="3">
        <f t="shared" si="290"/>
        <v>4.9999999999999489E-3</v>
      </c>
      <c r="AD355" s="3">
        <f>-156.02799*627.50956</f>
        <v>-97909.055352584386</v>
      </c>
      <c r="AE355" s="3">
        <f>-157.155156*627.50956</f>
        <v>-98616.362793291351</v>
      </c>
      <c r="AF355" s="3">
        <f t="shared" si="291"/>
        <v>-707.30744070696528</v>
      </c>
      <c r="AG355" s="3">
        <f>-156.061305*627.50956</f>
        <v>-97929.960833575795</v>
      </c>
      <c r="AH355" s="3">
        <f>-157.18888*627.50956</f>
        <v>-98637.524925692807</v>
      </c>
      <c r="AI355" s="3">
        <f t="shared" si="292"/>
        <v>-707.56409211701248</v>
      </c>
      <c r="AJ355" s="3">
        <v>-0.34899999999999998</v>
      </c>
      <c r="AK355" s="3">
        <v>-0.40500000000000003</v>
      </c>
      <c r="AL355" s="3">
        <f t="shared" si="293"/>
        <v>-5.600000000000005E-2</v>
      </c>
      <c r="AM355" s="3">
        <v>56.106299999999997</v>
      </c>
      <c r="AN355" s="3">
        <v>134.35740000000001</v>
      </c>
      <c r="AO355" s="3">
        <v>127.96575</v>
      </c>
      <c r="AP355" s="3">
        <f t="shared" si="294"/>
        <v>1.0942629892102556</v>
      </c>
      <c r="AQ355" s="3">
        <v>7.8609999999999998</v>
      </c>
      <c r="AR355" s="3">
        <v>1.5519194999999999</v>
      </c>
      <c r="AS355" s="3">
        <v>-959.76900000000001</v>
      </c>
      <c r="AT355" s="3">
        <v>-958.05</v>
      </c>
      <c r="AU355" s="3">
        <f t="shared" si="220"/>
        <v>-1.7190000000000509</v>
      </c>
      <c r="AV355" s="3">
        <v>-0.317</v>
      </c>
      <c r="AW355" s="3">
        <v>-0.45</v>
      </c>
      <c r="AX355" s="3">
        <f t="shared" si="221"/>
        <v>0.13300000000000001</v>
      </c>
      <c r="AY355" s="3">
        <v>-2.4E-2</v>
      </c>
      <c r="AZ355" s="3">
        <v>0.13500000000000001</v>
      </c>
      <c r="BA355" s="3">
        <f t="shared" si="222"/>
        <v>-0.159</v>
      </c>
      <c r="BB355" s="3">
        <f t="shared" si="277"/>
        <v>0.17050000000000001</v>
      </c>
      <c r="BC355" s="3">
        <f t="shared" si="277"/>
        <v>0.1575</v>
      </c>
      <c r="BD355" s="3">
        <f t="shared" si="224"/>
        <v>1.3000000000000012E-2</v>
      </c>
      <c r="BE355" s="3">
        <f t="shared" si="278"/>
        <v>0.29299999999999998</v>
      </c>
      <c r="BF355" s="3">
        <f t="shared" si="278"/>
        <v>0.58499999999999996</v>
      </c>
      <c r="BG355" s="6">
        <f t="shared" si="226"/>
        <v>-0.29199999999999998</v>
      </c>
      <c r="BH355" s="6">
        <f t="shared" si="279"/>
        <v>-0.17050000000000001</v>
      </c>
      <c r="BI355" s="6">
        <f t="shared" si="279"/>
        <v>-0.1575</v>
      </c>
      <c r="BJ355" s="6">
        <f t="shared" si="251"/>
        <v>-1.3000000000000012E-2</v>
      </c>
      <c r="BK355" s="3">
        <f t="shared" si="234"/>
        <v>4.9607935153583631E-2</v>
      </c>
      <c r="BL355" s="3">
        <f t="shared" si="235"/>
        <v>2.120192307692308E-2</v>
      </c>
      <c r="BM355" s="3">
        <f t="shared" si="228"/>
        <v>2.8406012076660551E-2</v>
      </c>
      <c r="BN355" s="3">
        <v>2.2370000000000001</v>
      </c>
      <c r="BO355" s="3">
        <v>2.431</v>
      </c>
      <c r="BP355" s="3">
        <f t="shared" si="229"/>
        <v>-0.19399999999999995</v>
      </c>
      <c r="BQ355" s="3">
        <v>-602243.07700000005</v>
      </c>
      <c r="BR355" s="3">
        <v>-601163.24300000002</v>
      </c>
      <c r="BS355" s="3">
        <f t="shared" si="230"/>
        <v>-1079.8340000000317</v>
      </c>
      <c r="BT355" s="3">
        <v>-602262.36399999994</v>
      </c>
      <c r="BU355" s="3">
        <v>-601182.38500000001</v>
      </c>
      <c r="BV355" s="3">
        <f t="shared" si="231"/>
        <v>-1079.9789999999339</v>
      </c>
    </row>
    <row r="356" spans="1:74" x14ac:dyDescent="0.25">
      <c r="A356" t="s">
        <v>7</v>
      </c>
      <c r="B356" s="1" t="s">
        <v>646</v>
      </c>
      <c r="C356" s="1" t="s">
        <v>103</v>
      </c>
      <c r="D356" s="3">
        <v>-2.44</v>
      </c>
      <c r="E356" s="3">
        <v>1.0900000000000001</v>
      </c>
      <c r="F356" s="3">
        <v>-156.15</v>
      </c>
      <c r="G356" s="3">
        <v>-157.27199999999999</v>
      </c>
      <c r="H356" s="3">
        <f t="shared" si="295"/>
        <v>-1.1219999999999857</v>
      </c>
      <c r="I356" s="3">
        <v>-0.34699999999999998</v>
      </c>
      <c r="J356" s="6">
        <v>-0.246</v>
      </c>
      <c r="K356" s="3">
        <f t="shared" si="280"/>
        <v>0.10099999999999998</v>
      </c>
      <c r="L356" s="3">
        <v>0.157</v>
      </c>
      <c r="M356" s="6">
        <v>2.3E-2</v>
      </c>
      <c r="N356" s="3">
        <f t="shared" si="281"/>
        <v>-0.13400000000000001</v>
      </c>
      <c r="O356" s="3">
        <f t="shared" si="282"/>
        <v>9.4999999999999987E-2</v>
      </c>
      <c r="P356" s="3">
        <f t="shared" si="282"/>
        <v>0.1115</v>
      </c>
      <c r="Q356" s="3">
        <f t="shared" si="283"/>
        <v>1.6500000000000015E-2</v>
      </c>
      <c r="R356" s="3">
        <f t="shared" si="284"/>
        <v>0.504</v>
      </c>
      <c r="S356" s="3">
        <f t="shared" si="285"/>
        <v>0.26900000000000002</v>
      </c>
      <c r="T356" s="3">
        <f t="shared" si="286"/>
        <v>-0.23499999999999999</v>
      </c>
      <c r="U356" s="3">
        <f t="shared" si="287"/>
        <v>-9.4999999999999987E-2</v>
      </c>
      <c r="V356" s="3">
        <f t="shared" si="288"/>
        <v>-0.1115</v>
      </c>
      <c r="W356" s="3">
        <f t="shared" si="244"/>
        <v>-1.6500000000000015E-2</v>
      </c>
      <c r="X356" s="3">
        <f t="shared" si="232"/>
        <v>8.9533730158730136E-3</v>
      </c>
      <c r="Y356" s="3">
        <f t="shared" si="233"/>
        <v>2.3108271375464683E-2</v>
      </c>
      <c r="Z356" s="3">
        <f t="shared" si="289"/>
        <v>1.415489835959167E-2</v>
      </c>
      <c r="AA356" s="3">
        <v>0.25600000000000001</v>
      </c>
      <c r="AB356" s="3">
        <v>0.27200000000000002</v>
      </c>
      <c r="AC356" s="3">
        <f t="shared" si="290"/>
        <v>1.6000000000000014E-2</v>
      </c>
      <c r="AD356" s="3">
        <f>-156.029284*627.50956</f>
        <v>-97909.867349955035</v>
      </c>
      <c r="AE356" s="3">
        <f>-157.158357*627.50956</f>
        <v>-98618.371451392915</v>
      </c>
      <c r="AF356" s="3">
        <f t="shared" si="291"/>
        <v>-708.50410143788031</v>
      </c>
      <c r="AG356" s="3">
        <f>-156.063367*627.50956</f>
        <v>-97931.254758288516</v>
      </c>
      <c r="AH356" s="3">
        <f>-157.19274*627.50956</f>
        <v>-98639.947112594382</v>
      </c>
      <c r="AI356" s="3">
        <f t="shared" si="292"/>
        <v>-708.69235430586559</v>
      </c>
      <c r="AJ356" s="3">
        <v>-0.52900000000000003</v>
      </c>
      <c r="AK356" s="3">
        <v>-0.60499999999999998</v>
      </c>
      <c r="AL356" s="3">
        <f t="shared" si="293"/>
        <v>-7.5999999999999956E-2</v>
      </c>
      <c r="AM356" s="3">
        <v>56.106319999999997</v>
      </c>
      <c r="AN356" s="3">
        <v>133.4385</v>
      </c>
      <c r="AO356" s="3">
        <v>127.24769999999999</v>
      </c>
      <c r="AP356" s="3">
        <f t="shared" si="294"/>
        <v>1.09086365987432</v>
      </c>
      <c r="AQ356" s="3">
        <v>7.2249999999999996</v>
      </c>
      <c r="AR356" s="3">
        <v>1.5093122999999999</v>
      </c>
      <c r="AS356" s="3">
        <v>-959.76900000000001</v>
      </c>
      <c r="AT356" s="3">
        <v>-958.05</v>
      </c>
      <c r="AU356" s="3">
        <f t="shared" si="220"/>
        <v>-1.7190000000000509</v>
      </c>
      <c r="AV356" s="3">
        <v>-0.317</v>
      </c>
      <c r="AW356" s="3">
        <v>-0.45</v>
      </c>
      <c r="AX356" s="3">
        <f t="shared" si="221"/>
        <v>0.13300000000000001</v>
      </c>
      <c r="AY356" s="3">
        <v>-2.4E-2</v>
      </c>
      <c r="AZ356" s="3">
        <v>0.13500000000000001</v>
      </c>
      <c r="BA356" s="3">
        <f t="shared" si="222"/>
        <v>-0.159</v>
      </c>
      <c r="BB356" s="3">
        <f t="shared" si="277"/>
        <v>0.17050000000000001</v>
      </c>
      <c r="BC356" s="3">
        <f t="shared" si="277"/>
        <v>0.1575</v>
      </c>
      <c r="BD356" s="3">
        <f t="shared" si="224"/>
        <v>1.3000000000000012E-2</v>
      </c>
      <c r="BE356" s="3">
        <f t="shared" si="278"/>
        <v>0.29299999999999998</v>
      </c>
      <c r="BF356" s="3">
        <f t="shared" si="278"/>
        <v>0.58499999999999996</v>
      </c>
      <c r="BG356" s="6">
        <f t="shared" si="226"/>
        <v>-0.29199999999999998</v>
      </c>
      <c r="BH356" s="6">
        <f t="shared" si="279"/>
        <v>-0.17050000000000001</v>
      </c>
      <c r="BI356" s="6">
        <f t="shared" si="279"/>
        <v>-0.1575</v>
      </c>
      <c r="BJ356" s="6">
        <f t="shared" si="251"/>
        <v>-1.3000000000000012E-2</v>
      </c>
      <c r="BK356" s="3">
        <f t="shared" si="234"/>
        <v>4.9607935153583631E-2</v>
      </c>
      <c r="BL356" s="3">
        <f t="shared" si="235"/>
        <v>2.120192307692308E-2</v>
      </c>
      <c r="BM356" s="3">
        <f t="shared" si="228"/>
        <v>2.8406012076660551E-2</v>
      </c>
      <c r="BN356" s="3">
        <v>2.2370000000000001</v>
      </c>
      <c r="BO356" s="3">
        <v>2.431</v>
      </c>
      <c r="BP356" s="3">
        <f t="shared" si="229"/>
        <v>-0.19399999999999995</v>
      </c>
      <c r="BQ356" s="3">
        <v>-602243.07700000005</v>
      </c>
      <c r="BR356" s="3">
        <v>-601163.24300000002</v>
      </c>
      <c r="BS356" s="3">
        <f t="shared" si="230"/>
        <v>-1079.8340000000317</v>
      </c>
      <c r="BT356" s="3">
        <v>-602262.36399999994</v>
      </c>
      <c r="BU356" s="3">
        <v>-601182.38500000001</v>
      </c>
      <c r="BV356" s="3">
        <f t="shared" si="231"/>
        <v>-1079.9789999999339</v>
      </c>
    </row>
    <row r="357" spans="1:74" x14ac:dyDescent="0.25">
      <c r="A357" t="s">
        <v>41</v>
      </c>
      <c r="B357" s="1" t="s">
        <v>646</v>
      </c>
      <c r="C357" s="1" t="s">
        <v>103</v>
      </c>
      <c r="D357" s="3">
        <v>-2.41</v>
      </c>
      <c r="E357" s="3">
        <v>1</v>
      </c>
      <c r="F357" s="3">
        <v>-117.105</v>
      </c>
      <c r="G357" s="3">
        <v>-117.94499999999999</v>
      </c>
      <c r="H357" s="3">
        <f t="shared" si="295"/>
        <v>-0.8399999999999892</v>
      </c>
      <c r="I357" s="3">
        <v>-0.36399999999999999</v>
      </c>
      <c r="J357" s="6">
        <v>-0.26200000000000001</v>
      </c>
      <c r="K357" s="3">
        <f t="shared" si="280"/>
        <v>0.10199999999999998</v>
      </c>
      <c r="L357" s="3">
        <v>0.16600000000000001</v>
      </c>
      <c r="M357" s="6">
        <v>1.2E-2</v>
      </c>
      <c r="N357" s="3">
        <f t="shared" si="281"/>
        <v>-0.154</v>
      </c>
      <c r="O357" s="3">
        <f t="shared" si="282"/>
        <v>9.8999999999999991E-2</v>
      </c>
      <c r="P357" s="3">
        <f t="shared" si="282"/>
        <v>0.125</v>
      </c>
      <c r="Q357" s="3">
        <f t="shared" si="283"/>
        <v>2.6000000000000009E-2</v>
      </c>
      <c r="R357" s="3">
        <f t="shared" si="284"/>
        <v>0.53</v>
      </c>
      <c r="S357" s="3">
        <f t="shared" si="285"/>
        <v>0.27400000000000002</v>
      </c>
      <c r="T357" s="3">
        <f t="shared" si="286"/>
        <v>-0.25600000000000001</v>
      </c>
      <c r="U357" s="3">
        <f t="shared" si="287"/>
        <v>-9.8999999999999991E-2</v>
      </c>
      <c r="V357" s="3">
        <f t="shared" si="288"/>
        <v>-0.125</v>
      </c>
      <c r="W357" s="3">
        <f t="shared" si="244"/>
        <v>-2.6000000000000009E-2</v>
      </c>
      <c r="X357" s="3">
        <f t="shared" si="232"/>
        <v>9.2462264150943389E-3</v>
      </c>
      <c r="Y357" s="3">
        <f t="shared" si="233"/>
        <v>2.8512773722627734E-2</v>
      </c>
      <c r="Z357" s="3">
        <f t="shared" si="289"/>
        <v>1.9266547307533397E-2</v>
      </c>
      <c r="AA357" s="3">
        <v>0.47099999999999997</v>
      </c>
      <c r="AB357" s="3">
        <v>0.49099999999999999</v>
      </c>
      <c r="AC357" s="3">
        <f t="shared" si="290"/>
        <v>2.0000000000000018E-2</v>
      </c>
      <c r="AD357" s="3">
        <f>-117.015592*627.50956</f>
        <v>-73428.402649059513</v>
      </c>
      <c r="AE357" s="3">
        <f>-117.860939*627.50956</f>
        <v>-73958.865973076841</v>
      </c>
      <c r="AF357" s="3">
        <f t="shared" si="291"/>
        <v>-530.46332401732798</v>
      </c>
      <c r="AG357" s="3">
        <f>-117.045431*627.50956</f>
        <v>-73447.126906820355</v>
      </c>
      <c r="AH357" s="3">
        <f>-117.890986*627.50956</f>
        <v>-73977.72075282615</v>
      </c>
      <c r="AI357" s="3">
        <f t="shared" si="292"/>
        <v>-530.59384600579506</v>
      </c>
      <c r="AJ357" s="3">
        <v>-0.52700000000000002</v>
      </c>
      <c r="AK357" s="3">
        <v>-0.60299999999999998</v>
      </c>
      <c r="AL357" s="3">
        <f t="shared" si="293"/>
        <v>-7.5999999999999956E-2</v>
      </c>
      <c r="AM357" s="3">
        <v>42.079740000000001</v>
      </c>
      <c r="AN357" s="3">
        <v>111.1803</v>
      </c>
      <c r="AO357" s="3">
        <v>99.575999999999993</v>
      </c>
      <c r="AP357" s="3">
        <f t="shared" si="294"/>
        <v>1.0703209041435178</v>
      </c>
      <c r="AQ357" s="3">
        <v>6.5430000000000001</v>
      </c>
      <c r="AR357" s="3">
        <v>1.2308086</v>
      </c>
      <c r="AS357" s="3">
        <v>-959.76900000000001</v>
      </c>
      <c r="AT357" s="3">
        <v>-958.05</v>
      </c>
      <c r="AU357" s="3">
        <f t="shared" si="220"/>
        <v>-1.7190000000000509</v>
      </c>
      <c r="AV357" s="3">
        <v>-0.317</v>
      </c>
      <c r="AW357" s="3">
        <v>-0.45</v>
      </c>
      <c r="AX357" s="3">
        <f t="shared" si="221"/>
        <v>0.13300000000000001</v>
      </c>
      <c r="AY357" s="3">
        <v>-2.4E-2</v>
      </c>
      <c r="AZ357" s="3">
        <v>0.13500000000000001</v>
      </c>
      <c r="BA357" s="3">
        <f t="shared" si="222"/>
        <v>-0.159</v>
      </c>
      <c r="BB357" s="3">
        <f t="shared" si="277"/>
        <v>0.17050000000000001</v>
      </c>
      <c r="BC357" s="3">
        <f t="shared" si="277"/>
        <v>0.1575</v>
      </c>
      <c r="BD357" s="3">
        <f t="shared" si="224"/>
        <v>1.3000000000000012E-2</v>
      </c>
      <c r="BE357" s="3">
        <f t="shared" si="278"/>
        <v>0.29299999999999998</v>
      </c>
      <c r="BF357" s="3">
        <f t="shared" si="278"/>
        <v>0.58499999999999996</v>
      </c>
      <c r="BG357" s="3">
        <f t="shared" si="226"/>
        <v>-0.29199999999999998</v>
      </c>
      <c r="BH357" s="3">
        <f t="shared" si="279"/>
        <v>-0.17050000000000001</v>
      </c>
      <c r="BI357" s="3">
        <f t="shared" si="279"/>
        <v>-0.1575</v>
      </c>
      <c r="BJ357" s="3">
        <f t="shared" si="251"/>
        <v>-1.3000000000000012E-2</v>
      </c>
      <c r="BK357" s="3">
        <f t="shared" si="234"/>
        <v>4.9607935153583631E-2</v>
      </c>
      <c r="BL357" s="3">
        <f t="shared" si="235"/>
        <v>2.120192307692308E-2</v>
      </c>
      <c r="BM357" s="3">
        <f t="shared" si="228"/>
        <v>2.8406012076660551E-2</v>
      </c>
      <c r="BN357" s="3">
        <v>2.2370000000000001</v>
      </c>
      <c r="BO357" s="3">
        <v>2.431</v>
      </c>
      <c r="BP357" s="3">
        <f t="shared" si="229"/>
        <v>-0.19399999999999995</v>
      </c>
      <c r="BQ357" s="3">
        <v>-602243.07700000005</v>
      </c>
      <c r="BR357" s="3">
        <v>-601163.24300000002</v>
      </c>
      <c r="BS357" s="3">
        <f t="shared" si="230"/>
        <v>-1079.8340000000317</v>
      </c>
      <c r="BT357" s="3">
        <v>-602262.36399999994</v>
      </c>
      <c r="BU357" s="3">
        <v>-601182.38500000001</v>
      </c>
      <c r="BV357" s="3">
        <f t="shared" si="231"/>
        <v>-1079.9789999999339</v>
      </c>
    </row>
    <row r="358" spans="1:74" x14ac:dyDescent="0.25">
      <c r="A358" t="s">
        <v>8</v>
      </c>
      <c r="B358" s="1" t="s">
        <v>646</v>
      </c>
      <c r="C358" s="1" t="s">
        <v>103</v>
      </c>
      <c r="D358" s="3">
        <v>-1.55</v>
      </c>
      <c r="E358" s="3">
        <v>1.1000000000000001</v>
      </c>
      <c r="F358" s="3">
        <v>-194.024</v>
      </c>
      <c r="G358" s="3">
        <v>-195.381</v>
      </c>
      <c r="H358" s="3">
        <f t="shared" si="295"/>
        <v>-1.3569999999999993</v>
      </c>
      <c r="I358" s="3">
        <v>-0.34499999999999997</v>
      </c>
      <c r="J358" s="6">
        <v>-0.24399999999999999</v>
      </c>
      <c r="K358" s="3">
        <f t="shared" si="280"/>
        <v>0.10099999999999998</v>
      </c>
      <c r="L358" s="3">
        <v>0.157</v>
      </c>
      <c r="M358" s="6">
        <v>1.9E-2</v>
      </c>
      <c r="N358" s="3">
        <f t="shared" si="281"/>
        <v>-0.13800000000000001</v>
      </c>
      <c r="O358" s="3">
        <f t="shared" si="282"/>
        <v>9.3999999999999986E-2</v>
      </c>
      <c r="P358" s="3">
        <f t="shared" si="282"/>
        <v>0.1125</v>
      </c>
      <c r="Q358" s="3">
        <f t="shared" si="283"/>
        <v>1.8500000000000016E-2</v>
      </c>
      <c r="R358" s="3">
        <f t="shared" si="284"/>
        <v>0.502</v>
      </c>
      <c r="S358" s="3">
        <f t="shared" si="285"/>
        <v>0.26300000000000001</v>
      </c>
      <c r="T358" s="3">
        <f t="shared" si="286"/>
        <v>-0.23899999999999999</v>
      </c>
      <c r="U358" s="3">
        <f t="shared" si="287"/>
        <v>-9.3999999999999986E-2</v>
      </c>
      <c r="V358" s="3">
        <f t="shared" si="288"/>
        <v>-0.1125</v>
      </c>
      <c r="W358" s="3">
        <f t="shared" si="244"/>
        <v>-1.8500000000000016E-2</v>
      </c>
      <c r="X358" s="3">
        <f t="shared" si="232"/>
        <v>8.8007968127490014E-3</v>
      </c>
      <c r="Y358" s="3">
        <f t="shared" si="233"/>
        <v>2.4061311787072243E-2</v>
      </c>
      <c r="Z358" s="3">
        <f t="shared" si="289"/>
        <v>1.5260514974323241E-2</v>
      </c>
      <c r="AA358" s="3">
        <v>0.224</v>
      </c>
      <c r="AB358" s="3">
        <v>0.24299999999999999</v>
      </c>
      <c r="AC358" s="3">
        <f t="shared" si="290"/>
        <v>1.8999999999999989E-2</v>
      </c>
      <c r="AD358" s="3">
        <f>-193.895251*627.50956</f>
        <v>-121671.12364109955</v>
      </c>
      <c r="AE358" s="3">
        <f>-195.259493*627.50956</f>
        <v>-122527.19853825307</v>
      </c>
      <c r="AF358" s="3">
        <f t="shared" si="291"/>
        <v>-856.07489715352131</v>
      </c>
      <c r="AG358" s="3">
        <f>-193.927807*627.50956</f>
        <v>-121691.55284233492</v>
      </c>
      <c r="AH358" s="3">
        <f>-195.292508*627.50956</f>
        <v>-122547.91576637648</v>
      </c>
      <c r="AI358" s="3">
        <f t="shared" si="292"/>
        <v>-856.3629240415612</v>
      </c>
      <c r="AJ358" s="3">
        <v>-0.35299999999999998</v>
      </c>
      <c r="AK358" s="3">
        <v>-0.40899999999999997</v>
      </c>
      <c r="AL358" s="3">
        <f t="shared" si="293"/>
        <v>-5.5999999999999994E-2</v>
      </c>
      <c r="AM358" s="3">
        <v>68.117019999999997</v>
      </c>
      <c r="AN358" s="3">
        <v>137.45240000000001</v>
      </c>
      <c r="AO358" s="3">
        <v>136.1883</v>
      </c>
      <c r="AP358" s="3">
        <f t="shared" si="294"/>
        <v>1.0739442699896855</v>
      </c>
      <c r="AQ358" s="3">
        <v>6.7140000000000004</v>
      </c>
      <c r="AR358" s="3">
        <v>1.4029180000000001</v>
      </c>
      <c r="AS358" s="3">
        <v>-959.76900000000001</v>
      </c>
      <c r="AT358" s="3">
        <v>-958.05</v>
      </c>
      <c r="AU358" s="3">
        <f t="shared" si="220"/>
        <v>-1.7190000000000509</v>
      </c>
      <c r="AV358" s="3">
        <v>-0.317</v>
      </c>
      <c r="AW358" s="3">
        <v>-0.45</v>
      </c>
      <c r="AX358" s="3">
        <f t="shared" si="221"/>
        <v>0.13300000000000001</v>
      </c>
      <c r="AY358" s="3">
        <v>-2.4E-2</v>
      </c>
      <c r="AZ358" s="3">
        <v>0.13500000000000001</v>
      </c>
      <c r="BA358" s="3">
        <f t="shared" si="222"/>
        <v>-0.159</v>
      </c>
      <c r="BB358" s="3">
        <f t="shared" si="277"/>
        <v>0.17050000000000001</v>
      </c>
      <c r="BC358" s="3">
        <f t="shared" si="277"/>
        <v>0.1575</v>
      </c>
      <c r="BD358" s="3">
        <f t="shared" si="224"/>
        <v>1.3000000000000012E-2</v>
      </c>
      <c r="BE358" s="3">
        <f t="shared" si="278"/>
        <v>0.29299999999999998</v>
      </c>
      <c r="BF358" s="3">
        <f t="shared" si="278"/>
        <v>0.58499999999999996</v>
      </c>
      <c r="BG358" s="3">
        <f t="shared" si="226"/>
        <v>-0.29199999999999998</v>
      </c>
      <c r="BH358" s="3">
        <f t="shared" si="279"/>
        <v>-0.17050000000000001</v>
      </c>
      <c r="BI358" s="3">
        <f t="shared" si="279"/>
        <v>-0.1575</v>
      </c>
      <c r="BJ358" s="3">
        <f t="shared" si="251"/>
        <v>-1.3000000000000012E-2</v>
      </c>
      <c r="BK358" s="3">
        <f t="shared" si="234"/>
        <v>4.9607935153583631E-2</v>
      </c>
      <c r="BL358" s="3">
        <f t="shared" si="235"/>
        <v>2.120192307692308E-2</v>
      </c>
      <c r="BM358" s="3">
        <f t="shared" si="228"/>
        <v>2.8406012076660551E-2</v>
      </c>
      <c r="BN358" s="3">
        <v>2.2370000000000001</v>
      </c>
      <c r="BO358" s="3">
        <v>2.431</v>
      </c>
      <c r="BP358" s="3">
        <f t="shared" si="229"/>
        <v>-0.19399999999999995</v>
      </c>
      <c r="BQ358" s="3">
        <v>-602243.07700000005</v>
      </c>
      <c r="BR358" s="3">
        <v>-601163.24300000002</v>
      </c>
      <c r="BS358" s="3">
        <f t="shared" si="230"/>
        <v>-1079.8340000000317</v>
      </c>
      <c r="BT358" s="3">
        <v>-602262.36399999994</v>
      </c>
      <c r="BU358" s="3">
        <v>-601182.38500000001</v>
      </c>
      <c r="BV358" s="3">
        <f t="shared" si="231"/>
        <v>-1079.9789999999339</v>
      </c>
    </row>
    <row r="359" spans="1:74" x14ac:dyDescent="0.25">
      <c r="A359" t="s">
        <v>43</v>
      </c>
      <c r="B359" s="1" t="s">
        <v>646</v>
      </c>
      <c r="C359" s="1" t="s">
        <v>103</v>
      </c>
      <c r="D359" s="3">
        <v>-1.46</v>
      </c>
      <c r="E359" s="3">
        <v>1.05</v>
      </c>
      <c r="F359" s="3">
        <v>-524.37699999999995</v>
      </c>
      <c r="G359" s="3">
        <v>-526.68200000000002</v>
      </c>
      <c r="H359" s="3">
        <f t="shared" si="295"/>
        <v>-2.3050000000000637</v>
      </c>
      <c r="I359" s="3">
        <v>-0.35699999999999998</v>
      </c>
      <c r="J359" s="6">
        <v>-0.25800000000000001</v>
      </c>
      <c r="K359" s="3">
        <f t="shared" si="280"/>
        <v>9.8999999999999977E-2</v>
      </c>
      <c r="L359" s="3">
        <v>0.14199999999999999</v>
      </c>
      <c r="M359" s="6">
        <v>0</v>
      </c>
      <c r="N359" s="3">
        <f t="shared" si="281"/>
        <v>-0.14199999999999999</v>
      </c>
      <c r="O359" s="3">
        <f t="shared" si="282"/>
        <v>0.1075</v>
      </c>
      <c r="P359" s="3">
        <f t="shared" si="282"/>
        <v>0.129</v>
      </c>
      <c r="Q359" s="3">
        <f t="shared" si="283"/>
        <v>2.1500000000000005E-2</v>
      </c>
      <c r="R359" s="3">
        <f t="shared" si="284"/>
        <v>0.499</v>
      </c>
      <c r="S359" s="3">
        <f t="shared" si="285"/>
        <v>0.25800000000000001</v>
      </c>
      <c r="T359" s="3">
        <f t="shared" si="286"/>
        <v>-0.24099999999999999</v>
      </c>
      <c r="U359" s="3">
        <f t="shared" si="287"/>
        <v>-0.1075</v>
      </c>
      <c r="V359" s="3">
        <f t="shared" si="288"/>
        <v>-0.129</v>
      </c>
      <c r="W359" s="3">
        <f t="shared" si="244"/>
        <v>-2.1500000000000005E-2</v>
      </c>
      <c r="X359" s="3">
        <f t="shared" si="232"/>
        <v>1.157940881763527E-2</v>
      </c>
      <c r="Y359" s="3">
        <f t="shared" si="233"/>
        <v>3.2250000000000001E-2</v>
      </c>
      <c r="Z359" s="3">
        <f t="shared" si="289"/>
        <v>2.067059118236473E-2</v>
      </c>
      <c r="AA359" s="3">
        <v>0.29299999999999998</v>
      </c>
      <c r="AB359" s="3">
        <v>0.42199999999999999</v>
      </c>
      <c r="AC359" s="3">
        <f t="shared" si="290"/>
        <v>0.129</v>
      </c>
      <c r="AD359" s="3">
        <f>-524.17371*627.50956</f>
        <v>-328924.01412566757</v>
      </c>
      <c r="AE359" s="3">
        <f>-526.489449*627.50956</f>
        <v>-330377.16248663247</v>
      </c>
      <c r="AF359" s="3">
        <f t="shared" si="291"/>
        <v>-1453.1483609649003</v>
      </c>
      <c r="AG359" s="3">
        <f>-524.221171*627.50956</f>
        <v>-328953.79635689477</v>
      </c>
      <c r="AH359" s="3">
        <f>-526.537961*627.50956</f>
        <v>-330407.60423040716</v>
      </c>
      <c r="AI359" s="3">
        <f t="shared" si="292"/>
        <v>-1453.8078735123854</v>
      </c>
      <c r="AJ359" s="3">
        <v>-0.51900000000000002</v>
      </c>
      <c r="AK359" s="3">
        <v>-0.59699999999999998</v>
      </c>
      <c r="AL359" s="3">
        <f t="shared" si="293"/>
        <v>-7.7999999999999958E-2</v>
      </c>
      <c r="AM359" s="3">
        <v>114.2608</v>
      </c>
      <c r="AN359" s="3">
        <v>204.9188</v>
      </c>
      <c r="AO359" s="3">
        <v>230.00790000000001</v>
      </c>
      <c r="AP359" s="3">
        <f t="shared" si="294"/>
        <v>1.1289531486510318</v>
      </c>
      <c r="AQ359" s="3">
        <v>8.6129999999999995</v>
      </c>
      <c r="AR359" s="3">
        <v>1.9747410000000001</v>
      </c>
      <c r="AS359" s="3">
        <v>-959.76900000000001</v>
      </c>
      <c r="AT359" s="3">
        <v>-958.05</v>
      </c>
      <c r="AU359" s="3">
        <f t="shared" si="220"/>
        <v>-1.7190000000000509</v>
      </c>
      <c r="AV359" s="3">
        <v>-0.317</v>
      </c>
      <c r="AW359" s="3">
        <v>-0.45</v>
      </c>
      <c r="AX359" s="3">
        <f t="shared" si="221"/>
        <v>0.13300000000000001</v>
      </c>
      <c r="AY359" s="3">
        <v>-2.4E-2</v>
      </c>
      <c r="AZ359" s="3">
        <v>0.13500000000000001</v>
      </c>
      <c r="BA359" s="3">
        <f t="shared" si="222"/>
        <v>-0.159</v>
      </c>
      <c r="BB359" s="3">
        <f t="shared" si="277"/>
        <v>0.17050000000000001</v>
      </c>
      <c r="BC359" s="3">
        <f t="shared" si="277"/>
        <v>0.1575</v>
      </c>
      <c r="BD359" s="3">
        <f t="shared" si="224"/>
        <v>1.3000000000000012E-2</v>
      </c>
      <c r="BE359" s="3">
        <f t="shared" si="278"/>
        <v>0.29299999999999998</v>
      </c>
      <c r="BF359" s="3">
        <f t="shared" si="278"/>
        <v>0.58499999999999996</v>
      </c>
      <c r="BG359" s="3">
        <f t="shared" si="226"/>
        <v>-0.29199999999999998</v>
      </c>
      <c r="BH359" s="3">
        <f t="shared" si="279"/>
        <v>-0.17050000000000001</v>
      </c>
      <c r="BI359" s="3">
        <f t="shared" si="279"/>
        <v>-0.1575</v>
      </c>
      <c r="BJ359" s="3">
        <f t="shared" si="251"/>
        <v>-1.3000000000000012E-2</v>
      </c>
      <c r="BK359" s="3">
        <f t="shared" si="234"/>
        <v>4.9607935153583631E-2</v>
      </c>
      <c r="BL359" s="3">
        <f t="shared" si="235"/>
        <v>2.120192307692308E-2</v>
      </c>
      <c r="BM359" s="3">
        <f t="shared" si="228"/>
        <v>2.8406012076660551E-2</v>
      </c>
      <c r="BN359" s="3">
        <v>2.2370000000000001</v>
      </c>
      <c r="BO359" s="3">
        <v>2.431</v>
      </c>
      <c r="BP359" s="3">
        <f t="shared" si="229"/>
        <v>-0.19399999999999995</v>
      </c>
      <c r="BQ359" s="3">
        <v>-602243.07700000005</v>
      </c>
      <c r="BR359" s="3">
        <v>-601163.24300000002</v>
      </c>
      <c r="BS359" s="3">
        <f t="shared" si="230"/>
        <v>-1079.8340000000317</v>
      </c>
      <c r="BT359" s="3">
        <v>-602262.36399999994</v>
      </c>
      <c r="BU359" s="3">
        <v>-601182.38500000001</v>
      </c>
      <c r="BV359" s="3">
        <f t="shared" si="231"/>
        <v>-1079.9789999999339</v>
      </c>
    </row>
    <row r="360" spans="1:74" x14ac:dyDescent="0.25">
      <c r="A360" t="s">
        <v>9</v>
      </c>
      <c r="B360" s="1" t="s">
        <v>646</v>
      </c>
      <c r="C360" s="1" t="s">
        <v>103</v>
      </c>
      <c r="D360" s="3">
        <v>-1.18</v>
      </c>
      <c r="E360" s="3">
        <v>1.2</v>
      </c>
      <c r="F360" s="3">
        <v>-344.66</v>
      </c>
      <c r="G360" s="3">
        <v>-346.86099999999999</v>
      </c>
      <c r="H360" s="3">
        <f t="shared" si="295"/>
        <v>-2.200999999999965</v>
      </c>
      <c r="I360" s="3">
        <v>-0.33200000000000002</v>
      </c>
      <c r="J360" s="6">
        <v>-0.25</v>
      </c>
      <c r="K360" s="3">
        <f t="shared" si="280"/>
        <v>8.2000000000000017E-2</v>
      </c>
      <c r="L360" s="3">
        <v>0.127</v>
      </c>
      <c r="M360" s="6">
        <v>-1.6E-2</v>
      </c>
      <c r="N360" s="3">
        <f t="shared" si="281"/>
        <v>-0.14300000000000002</v>
      </c>
      <c r="O360" s="3">
        <f t="shared" si="282"/>
        <v>0.10250000000000001</v>
      </c>
      <c r="P360" s="3">
        <f t="shared" si="282"/>
        <v>0.13300000000000001</v>
      </c>
      <c r="Q360" s="3">
        <f t="shared" si="283"/>
        <v>3.0499999999999999E-2</v>
      </c>
      <c r="R360" s="3">
        <f t="shared" si="284"/>
        <v>0.45900000000000002</v>
      </c>
      <c r="S360" s="3">
        <f t="shared" si="285"/>
        <v>0.23399999999999999</v>
      </c>
      <c r="T360" s="3">
        <f t="shared" si="286"/>
        <v>-0.22500000000000003</v>
      </c>
      <c r="U360" s="3">
        <f t="shared" si="287"/>
        <v>-0.10250000000000001</v>
      </c>
      <c r="V360" s="3">
        <f t="shared" si="288"/>
        <v>-0.13300000000000001</v>
      </c>
      <c r="W360" s="3">
        <f t="shared" si="244"/>
        <v>-3.0499999999999999E-2</v>
      </c>
      <c r="X360" s="3">
        <f t="shared" si="232"/>
        <v>1.1444716775599131E-2</v>
      </c>
      <c r="Y360" s="3">
        <f t="shared" si="233"/>
        <v>3.7797008547008557E-2</v>
      </c>
      <c r="Z360" s="3">
        <f t="shared" si="289"/>
        <v>2.6352291771409426E-2</v>
      </c>
      <c r="AA360" s="3">
        <v>1.7689999999999999</v>
      </c>
      <c r="AB360" s="3">
        <v>1.621</v>
      </c>
      <c r="AC360" s="3">
        <f t="shared" si="290"/>
        <v>-0.14799999999999991</v>
      </c>
      <c r="AD360" s="3">
        <f>-344.51716*627.50956</f>
        <v>-216187.81148404957</v>
      </c>
      <c r="AE360" s="3">
        <f>-346.721953*627.50956</f>
        <v>-217571.34016937067</v>
      </c>
      <c r="AF360" s="3">
        <f t="shared" si="291"/>
        <v>-1383.5286853211001</v>
      </c>
      <c r="AG360" s="3">
        <f>-344.556914*627.50956</f>
        <v>-216212.75749909782</v>
      </c>
      <c r="AH360" s="3">
        <f>-346.759686*627.50956</f>
        <v>-217595.01798759814</v>
      </c>
      <c r="AI360" s="3">
        <f t="shared" si="292"/>
        <v>-1382.2604885003238</v>
      </c>
      <c r="AJ360" s="3">
        <v>-0.251</v>
      </c>
      <c r="AK360" s="3">
        <v>-0.19400000000000001</v>
      </c>
      <c r="AL360" s="3">
        <f t="shared" si="293"/>
        <v>5.6999999999999995E-2</v>
      </c>
      <c r="AM360" s="3">
        <v>108.1378</v>
      </c>
      <c r="AN360" s="3">
        <v>173.7706</v>
      </c>
      <c r="AO360" s="3">
        <v>178.50989999999999</v>
      </c>
      <c r="AP360" s="3">
        <f t="shared" si="294"/>
        <v>1.1335935858871691</v>
      </c>
      <c r="AQ360" s="3">
        <v>9.4459999999999997</v>
      </c>
      <c r="AR360" s="3">
        <v>1.9649300000000001</v>
      </c>
      <c r="AS360" s="3">
        <v>-959.76900000000001</v>
      </c>
      <c r="AT360" s="3">
        <v>-958.05</v>
      </c>
      <c r="AU360" s="3">
        <f t="shared" si="220"/>
        <v>-1.7190000000000509</v>
      </c>
      <c r="AV360" s="3">
        <v>-0.317</v>
      </c>
      <c r="AW360" s="3">
        <v>-0.45</v>
      </c>
      <c r="AX360" s="3">
        <f t="shared" si="221"/>
        <v>0.13300000000000001</v>
      </c>
      <c r="AY360" s="3">
        <v>-2.4E-2</v>
      </c>
      <c r="AZ360" s="3">
        <v>0.13500000000000001</v>
      </c>
      <c r="BA360" s="3">
        <f t="shared" si="222"/>
        <v>-0.159</v>
      </c>
      <c r="BB360" s="3">
        <f t="shared" si="277"/>
        <v>0.17050000000000001</v>
      </c>
      <c r="BC360" s="3">
        <f t="shared" si="277"/>
        <v>0.1575</v>
      </c>
      <c r="BD360" s="3">
        <f t="shared" si="224"/>
        <v>1.3000000000000012E-2</v>
      </c>
      <c r="BE360" s="3">
        <f t="shared" si="278"/>
        <v>0.29299999999999998</v>
      </c>
      <c r="BF360" s="3">
        <f t="shared" si="278"/>
        <v>0.58499999999999996</v>
      </c>
      <c r="BG360" s="3">
        <f t="shared" si="226"/>
        <v>-0.29199999999999998</v>
      </c>
      <c r="BH360" s="3">
        <f t="shared" si="279"/>
        <v>-0.17050000000000001</v>
      </c>
      <c r="BI360" s="3">
        <f t="shared" si="279"/>
        <v>-0.1575</v>
      </c>
      <c r="BJ360" s="3">
        <f t="shared" si="251"/>
        <v>-1.3000000000000012E-2</v>
      </c>
      <c r="BK360" s="3">
        <f t="shared" si="234"/>
        <v>4.9607935153583631E-2</v>
      </c>
      <c r="BL360" s="3">
        <f t="shared" si="235"/>
        <v>2.120192307692308E-2</v>
      </c>
      <c r="BM360" s="3">
        <f t="shared" si="228"/>
        <v>2.8406012076660551E-2</v>
      </c>
      <c r="BN360" s="3">
        <v>2.2370000000000001</v>
      </c>
      <c r="BO360" s="3">
        <v>2.431</v>
      </c>
      <c r="BP360" s="3">
        <f t="shared" si="229"/>
        <v>-0.19399999999999995</v>
      </c>
      <c r="BQ360" s="3">
        <v>-602243.07700000005</v>
      </c>
      <c r="BR360" s="3">
        <v>-601163.24300000002</v>
      </c>
      <c r="BS360" s="3">
        <f t="shared" si="230"/>
        <v>-1079.8340000000317</v>
      </c>
      <c r="BT360" s="3">
        <v>-602262.36399999994</v>
      </c>
      <c r="BU360" s="3">
        <v>-601182.38500000001</v>
      </c>
      <c r="BV360" s="3">
        <f t="shared" si="231"/>
        <v>-1079.9789999999339</v>
      </c>
    </row>
    <row r="361" spans="1:74" x14ac:dyDescent="0.25">
      <c r="A361" t="s">
        <v>44</v>
      </c>
      <c r="B361" s="1" t="s">
        <v>646</v>
      </c>
      <c r="C361" s="1" t="s">
        <v>103</v>
      </c>
      <c r="D361" s="3">
        <v>-1.1299999999999999</v>
      </c>
      <c r="E361" s="3">
        <v>1.46</v>
      </c>
      <c r="F361" s="3">
        <v>-714.92700000000002</v>
      </c>
      <c r="G361" s="3">
        <v>-718.46400000000006</v>
      </c>
      <c r="H361" s="3">
        <f t="shared" si="295"/>
        <v>-3.5370000000000346</v>
      </c>
      <c r="I361" s="3">
        <v>-0.32500000000000001</v>
      </c>
      <c r="J361" s="6">
        <v>-0.24099999999999999</v>
      </c>
      <c r="K361" s="3">
        <f t="shared" si="280"/>
        <v>8.4000000000000019E-2</v>
      </c>
      <c r="L361" s="3">
        <v>0.12</v>
      </c>
      <c r="M361" s="6">
        <v>-3.1E-2</v>
      </c>
      <c r="N361" s="3">
        <f t="shared" si="281"/>
        <v>-0.151</v>
      </c>
      <c r="O361" s="3">
        <f t="shared" si="282"/>
        <v>0.10250000000000001</v>
      </c>
      <c r="P361" s="3">
        <f t="shared" si="282"/>
        <v>0.13600000000000001</v>
      </c>
      <c r="Q361" s="3">
        <f t="shared" si="283"/>
        <v>3.3500000000000002E-2</v>
      </c>
      <c r="R361" s="3">
        <f t="shared" si="284"/>
        <v>0.44500000000000001</v>
      </c>
      <c r="S361" s="3">
        <f t="shared" si="285"/>
        <v>0.21</v>
      </c>
      <c r="T361" s="3">
        <f t="shared" si="286"/>
        <v>-0.23500000000000001</v>
      </c>
      <c r="U361" s="3">
        <f t="shared" si="287"/>
        <v>-0.10250000000000001</v>
      </c>
      <c r="V361" s="3">
        <f t="shared" si="288"/>
        <v>-0.13600000000000001</v>
      </c>
      <c r="W361" s="3">
        <f t="shared" si="244"/>
        <v>-3.3500000000000002E-2</v>
      </c>
      <c r="X361" s="3">
        <f t="shared" si="232"/>
        <v>1.1804775280898879E-2</v>
      </c>
      <c r="Y361" s="3">
        <f t="shared" si="233"/>
        <v>4.4038095238095244E-2</v>
      </c>
      <c r="Z361" s="3">
        <f t="shared" si="289"/>
        <v>3.2233319957196367E-2</v>
      </c>
      <c r="AA361" s="3">
        <v>0.32800000000000001</v>
      </c>
      <c r="AB361" s="3">
        <v>0.40600000000000003</v>
      </c>
      <c r="AC361" s="3">
        <f t="shared" si="290"/>
        <v>7.8000000000000014E-2</v>
      </c>
      <c r="AD361" s="3">
        <f>-714.664289*627.50956</f>
        <v>-448458.67353810283</v>
      </c>
      <c r="AE361" s="3">
        <f>-718.214797*627.50956</f>
        <v>-450686.65125095926</v>
      </c>
      <c r="AF361" s="3">
        <f t="shared" si="291"/>
        <v>-2227.977712856431</v>
      </c>
      <c r="AG361" s="3">
        <f>-714.719916*627.50956</f>
        <v>-448493.58001239697</v>
      </c>
      <c r="AH361" s="3">
        <f>-718.271852*627.50956</f>
        <v>-450722.45380890509</v>
      </c>
      <c r="AI361" s="3">
        <f t="shared" si="292"/>
        <v>-2228.8737965081236</v>
      </c>
      <c r="AJ361" s="3">
        <v>-0.29599999999999999</v>
      </c>
      <c r="AK361" s="3">
        <v>-0.33600000000000002</v>
      </c>
      <c r="AL361" s="3">
        <f t="shared" si="293"/>
        <v>-4.0000000000000036E-2</v>
      </c>
      <c r="AM361" s="3">
        <v>176.33024</v>
      </c>
      <c r="AN361" s="3">
        <v>265.35649999999998</v>
      </c>
      <c r="AO361" s="3">
        <v>311.36770000000001</v>
      </c>
      <c r="AP361" s="3">
        <f t="shared" si="294"/>
        <v>1.194638870777279</v>
      </c>
      <c r="AQ361" s="3">
        <v>11.436</v>
      </c>
      <c r="AR361" s="3">
        <v>2.6587700000000001</v>
      </c>
      <c r="AS361" s="3">
        <v>-959.76900000000001</v>
      </c>
      <c r="AT361" s="3">
        <v>-958.05</v>
      </c>
      <c r="AU361" s="3">
        <f t="shared" si="220"/>
        <v>-1.7190000000000509</v>
      </c>
      <c r="AV361" s="3">
        <v>-0.317</v>
      </c>
      <c r="AW361" s="3">
        <v>-0.45</v>
      </c>
      <c r="AX361" s="3">
        <f t="shared" si="221"/>
        <v>0.13300000000000001</v>
      </c>
      <c r="AY361" s="3">
        <v>-2.4E-2</v>
      </c>
      <c r="AZ361" s="3">
        <v>0.13500000000000001</v>
      </c>
      <c r="BA361" s="3">
        <f t="shared" si="222"/>
        <v>-0.159</v>
      </c>
      <c r="BB361" s="3">
        <f t="shared" si="277"/>
        <v>0.17050000000000001</v>
      </c>
      <c r="BC361" s="3">
        <f t="shared" si="277"/>
        <v>0.1575</v>
      </c>
      <c r="BD361" s="3">
        <f t="shared" si="224"/>
        <v>1.3000000000000012E-2</v>
      </c>
      <c r="BE361" s="3">
        <f t="shared" si="278"/>
        <v>0.29299999999999998</v>
      </c>
      <c r="BF361" s="3">
        <f t="shared" si="278"/>
        <v>0.58499999999999996</v>
      </c>
      <c r="BG361" s="3">
        <f t="shared" si="226"/>
        <v>-0.29199999999999998</v>
      </c>
      <c r="BH361" s="3">
        <f t="shared" si="279"/>
        <v>-0.17050000000000001</v>
      </c>
      <c r="BI361" s="3">
        <f t="shared" si="279"/>
        <v>-0.1575</v>
      </c>
      <c r="BJ361" s="3">
        <f t="shared" si="251"/>
        <v>-1.3000000000000012E-2</v>
      </c>
      <c r="BK361" s="3">
        <f t="shared" si="234"/>
        <v>4.9607935153583631E-2</v>
      </c>
      <c r="BL361" s="3">
        <f t="shared" si="235"/>
        <v>2.120192307692308E-2</v>
      </c>
      <c r="BM361" s="3">
        <f t="shared" si="228"/>
        <v>2.8406012076660551E-2</v>
      </c>
      <c r="BN361" s="3">
        <v>2.2370000000000001</v>
      </c>
      <c r="BO361" s="3">
        <v>2.431</v>
      </c>
      <c r="BP361" s="3">
        <f t="shared" si="229"/>
        <v>-0.19399999999999995</v>
      </c>
      <c r="BQ361" s="3">
        <v>-602243.07700000005</v>
      </c>
      <c r="BR361" s="3">
        <v>-601163.24300000002</v>
      </c>
      <c r="BS361" s="3">
        <f t="shared" si="230"/>
        <v>-1079.8340000000317</v>
      </c>
      <c r="BT361" s="3">
        <v>-602262.36399999994</v>
      </c>
      <c r="BU361" s="3">
        <v>-601182.38500000001</v>
      </c>
      <c r="BV361" s="3">
        <f t="shared" si="231"/>
        <v>-1079.9789999999339</v>
      </c>
    </row>
    <row r="362" spans="1:74" x14ac:dyDescent="0.25">
      <c r="A362" t="s">
        <v>45</v>
      </c>
      <c r="B362" s="1" t="s">
        <v>646</v>
      </c>
      <c r="C362" s="1" t="s">
        <v>103</v>
      </c>
      <c r="D362" s="3">
        <v>-1.07</v>
      </c>
      <c r="E362" s="3">
        <v>1.1000000000000001</v>
      </c>
      <c r="F362" s="3">
        <v>-346.70100000000002</v>
      </c>
      <c r="G362" s="3">
        <v>-349.05599999999998</v>
      </c>
      <c r="H362" s="3">
        <f t="shared" si="295"/>
        <v>-2.3549999999999613</v>
      </c>
      <c r="I362" s="3">
        <v>-0.313</v>
      </c>
      <c r="J362" s="6">
        <v>-0.23100000000000001</v>
      </c>
      <c r="K362" s="3">
        <f t="shared" si="280"/>
        <v>8.199999999999999E-2</v>
      </c>
      <c r="L362" s="3">
        <v>0.112</v>
      </c>
      <c r="M362" s="6">
        <v>-3.5000000000000003E-2</v>
      </c>
      <c r="N362" s="3">
        <f t="shared" si="281"/>
        <v>-0.14700000000000002</v>
      </c>
      <c r="O362" s="3">
        <f t="shared" si="282"/>
        <v>0.10050000000000001</v>
      </c>
      <c r="P362" s="3">
        <f t="shared" si="282"/>
        <v>0.13300000000000001</v>
      </c>
      <c r="Q362" s="3">
        <f t="shared" si="283"/>
        <v>3.2500000000000001E-2</v>
      </c>
      <c r="R362" s="3">
        <f t="shared" si="284"/>
        <v>0.42499999999999999</v>
      </c>
      <c r="S362" s="3">
        <f t="shared" si="285"/>
        <v>0.19600000000000001</v>
      </c>
      <c r="T362" s="3">
        <f t="shared" si="286"/>
        <v>-0.22899999999999998</v>
      </c>
      <c r="U362" s="3">
        <f t="shared" si="287"/>
        <v>-0.10050000000000001</v>
      </c>
      <c r="V362" s="3">
        <f t="shared" si="288"/>
        <v>-0.13300000000000001</v>
      </c>
      <c r="W362" s="3">
        <f t="shared" si="244"/>
        <v>-3.2500000000000001E-2</v>
      </c>
      <c r="X362" s="3">
        <f t="shared" si="232"/>
        <v>1.1882647058823531E-2</v>
      </c>
      <c r="Y362" s="3">
        <f t="shared" si="233"/>
        <v>4.5125000000000005E-2</v>
      </c>
      <c r="Z362" s="3">
        <f t="shared" si="289"/>
        <v>3.3242352941176473E-2</v>
      </c>
      <c r="AA362" s="3">
        <v>0.45100000000000001</v>
      </c>
      <c r="AB362" s="3">
        <v>0.45800000000000002</v>
      </c>
      <c r="AC362" s="3">
        <f t="shared" si="290"/>
        <v>7.0000000000000062E-3</v>
      </c>
      <c r="AD362" s="3">
        <f>-346.521071*627.50956</f>
        <v>-217445.28479393874</v>
      </c>
      <c r="AE362" s="3">
        <f>-348.885411*627.50956</f>
        <v>-218928.93074702914</v>
      </c>
      <c r="AF362" s="3">
        <f t="shared" si="291"/>
        <v>-1483.6459530903958</v>
      </c>
      <c r="AG362" s="3">
        <f>-346.562609*627.50956</f>
        <v>-217471.35028604203</v>
      </c>
      <c r="AH362" s="3">
        <f>-348.927714*627.50956</f>
        <v>-218955.47628394581</v>
      </c>
      <c r="AI362" s="3">
        <f t="shared" si="292"/>
        <v>-1484.1259979037859</v>
      </c>
      <c r="AJ362" s="3">
        <v>-0.53600000000000003</v>
      </c>
      <c r="AK362" s="3">
        <v>-0.61499999999999999</v>
      </c>
      <c r="AL362" s="3">
        <f t="shared" si="293"/>
        <v>-7.8999999999999959E-2</v>
      </c>
      <c r="AM362" s="3">
        <v>118.17570000000001</v>
      </c>
      <c r="AN362" s="3">
        <v>195.608</v>
      </c>
      <c r="AO362" s="3">
        <v>208.85661999999999</v>
      </c>
      <c r="AP362" s="3">
        <f t="shared" si="294"/>
        <v>1.1492391160901592</v>
      </c>
      <c r="AQ362" s="3">
        <v>9.7669999999999995</v>
      </c>
      <c r="AR362" s="3">
        <v>2.2399100000000001</v>
      </c>
      <c r="AS362" s="3">
        <v>-959.76900000000001</v>
      </c>
      <c r="AT362" s="3">
        <v>-958.05</v>
      </c>
      <c r="AU362" s="3">
        <f t="shared" si="220"/>
        <v>-1.7190000000000509</v>
      </c>
      <c r="AV362" s="3">
        <v>-0.317</v>
      </c>
      <c r="AW362" s="3">
        <v>-0.45</v>
      </c>
      <c r="AX362" s="3">
        <f t="shared" si="221"/>
        <v>0.13300000000000001</v>
      </c>
      <c r="AY362" s="3">
        <v>-2.4E-2</v>
      </c>
      <c r="AZ362" s="3">
        <v>0.13500000000000001</v>
      </c>
      <c r="BA362" s="3">
        <f t="shared" si="222"/>
        <v>-0.159</v>
      </c>
      <c r="BB362" s="3">
        <f t="shared" si="277"/>
        <v>0.17050000000000001</v>
      </c>
      <c r="BC362" s="3">
        <f t="shared" si="277"/>
        <v>0.1575</v>
      </c>
      <c r="BD362" s="3">
        <f t="shared" si="224"/>
        <v>1.3000000000000012E-2</v>
      </c>
      <c r="BE362" s="3">
        <f t="shared" si="278"/>
        <v>0.29299999999999998</v>
      </c>
      <c r="BF362" s="3">
        <f t="shared" si="278"/>
        <v>0.58499999999999996</v>
      </c>
      <c r="BG362" s="3">
        <f t="shared" si="226"/>
        <v>-0.29199999999999998</v>
      </c>
      <c r="BH362" s="3">
        <f t="shared" si="279"/>
        <v>-0.17050000000000001</v>
      </c>
      <c r="BI362" s="3">
        <f t="shared" si="279"/>
        <v>-0.1575</v>
      </c>
      <c r="BJ362" s="3">
        <f t="shared" si="251"/>
        <v>-1.3000000000000012E-2</v>
      </c>
      <c r="BK362" s="3">
        <f t="shared" si="234"/>
        <v>4.9607935153583631E-2</v>
      </c>
      <c r="BL362" s="3">
        <f t="shared" si="235"/>
        <v>2.120192307692308E-2</v>
      </c>
      <c r="BM362" s="3">
        <f t="shared" si="228"/>
        <v>2.8406012076660551E-2</v>
      </c>
      <c r="BN362" s="3">
        <v>2.2370000000000001</v>
      </c>
      <c r="BO362" s="3">
        <v>2.431</v>
      </c>
      <c r="BP362" s="3">
        <f t="shared" si="229"/>
        <v>-0.19399999999999995</v>
      </c>
      <c r="BQ362" s="3">
        <v>-602243.07700000005</v>
      </c>
      <c r="BR362" s="3">
        <v>-601163.24300000002</v>
      </c>
      <c r="BS362" s="3">
        <f t="shared" si="230"/>
        <v>-1079.8340000000317</v>
      </c>
      <c r="BT362" s="3">
        <v>-602262.36399999994</v>
      </c>
      <c r="BU362" s="3">
        <v>-601182.38500000001</v>
      </c>
      <c r="BV362" s="3">
        <f t="shared" si="231"/>
        <v>-1079.9789999999339</v>
      </c>
    </row>
    <row r="363" spans="1:74" x14ac:dyDescent="0.25">
      <c r="A363" t="s">
        <v>10</v>
      </c>
      <c r="B363" s="1" t="s">
        <v>646</v>
      </c>
      <c r="C363" s="1" t="s">
        <v>103</v>
      </c>
      <c r="D363" s="3">
        <v>-1.01</v>
      </c>
      <c r="E363" s="3">
        <v>1.1000000000000001</v>
      </c>
      <c r="F363" s="3">
        <v>-551.35</v>
      </c>
      <c r="G363" s="3">
        <v>-553.072</v>
      </c>
      <c r="H363" s="3">
        <f>G363-F363</f>
        <v>-1.72199999999998</v>
      </c>
      <c r="I363" s="3">
        <v>-0.33500000000000002</v>
      </c>
      <c r="J363" s="6">
        <v>-0.245</v>
      </c>
      <c r="K363" s="3">
        <f t="shared" si="280"/>
        <v>9.0000000000000024E-2</v>
      </c>
      <c r="L363" s="3">
        <v>0.124</v>
      </c>
      <c r="M363" s="6">
        <v>-2.1000000000000001E-2</v>
      </c>
      <c r="N363" s="3">
        <f t="shared" si="281"/>
        <v>-0.14499999999999999</v>
      </c>
      <c r="O363" s="3">
        <f t="shared" si="282"/>
        <v>0.10550000000000001</v>
      </c>
      <c r="P363" s="3">
        <f t="shared" si="282"/>
        <v>0.13300000000000001</v>
      </c>
      <c r="Q363" s="3">
        <f t="shared" si="283"/>
        <v>2.7499999999999997E-2</v>
      </c>
      <c r="R363" s="3">
        <f t="shared" si="284"/>
        <v>0.45900000000000002</v>
      </c>
      <c r="S363" s="3">
        <f t="shared" si="285"/>
        <v>0.224</v>
      </c>
      <c r="T363" s="3">
        <f t="shared" si="286"/>
        <v>-0.23500000000000001</v>
      </c>
      <c r="U363" s="3">
        <f t="shared" si="287"/>
        <v>-0.10550000000000001</v>
      </c>
      <c r="V363" s="3">
        <f t="shared" si="288"/>
        <v>-0.13300000000000001</v>
      </c>
      <c r="W363" s="3">
        <f t="shared" si="244"/>
        <v>-2.7499999999999997E-2</v>
      </c>
      <c r="X363" s="3">
        <f t="shared" si="232"/>
        <v>1.2124455337690635E-2</v>
      </c>
      <c r="Y363" s="3">
        <f t="shared" si="233"/>
        <v>3.9484375000000009E-2</v>
      </c>
      <c r="Z363" s="3">
        <f t="shared" si="289"/>
        <v>2.7359919662309374E-2</v>
      </c>
      <c r="AA363" s="3">
        <v>1.0349999999999999</v>
      </c>
      <c r="AB363" s="3">
        <v>0.66100000000000003</v>
      </c>
      <c r="AC363" s="3">
        <f t="shared" si="290"/>
        <v>-0.37399999999999989</v>
      </c>
      <c r="AD363" s="3">
        <f>-551.274487*627.50956</f>
        <v>-345930.01077659574</v>
      </c>
      <c r="AE363" s="3">
        <f>-553.00094*627.50956</f>
        <v>-347013.3765389864</v>
      </c>
      <c r="AF363" s="3">
        <f t="shared" si="291"/>
        <v>-1083.365762390662</v>
      </c>
      <c r="AG363" s="3">
        <f>-551.306405*627.50956</f>
        <v>-345950.03962673183</v>
      </c>
      <c r="AH363" s="3">
        <f>-553.033218*627.50956</f>
        <v>-347033.6312925641</v>
      </c>
      <c r="AI363" s="3">
        <f t="shared" si="292"/>
        <v>-1083.5916658322676</v>
      </c>
      <c r="AJ363" s="3">
        <v>-0.35499999999999998</v>
      </c>
      <c r="AK363" s="3">
        <v>-0.38400000000000001</v>
      </c>
      <c r="AL363" s="3">
        <f t="shared" si="293"/>
        <v>-2.9000000000000026E-2</v>
      </c>
      <c r="AM363" s="3">
        <v>84.139499999999998</v>
      </c>
      <c r="AN363" s="3">
        <v>128.01949999999999</v>
      </c>
      <c r="AO363" s="3">
        <v>123.1173</v>
      </c>
      <c r="AP363" s="3">
        <f t="shared" si="294"/>
        <v>1.0698412899228329</v>
      </c>
      <c r="AQ363" s="3">
        <v>6.9610000000000003</v>
      </c>
      <c r="AR363" s="3">
        <v>1.3691571</v>
      </c>
      <c r="AS363" s="3">
        <v>-959.76900000000001</v>
      </c>
      <c r="AT363" s="3">
        <v>-958.05</v>
      </c>
      <c r="AU363" s="3">
        <f t="shared" si="220"/>
        <v>-1.7190000000000509</v>
      </c>
      <c r="AV363" s="3">
        <v>-0.317</v>
      </c>
      <c r="AW363" s="3">
        <v>-0.45</v>
      </c>
      <c r="AX363" s="3">
        <f t="shared" si="221"/>
        <v>0.13300000000000001</v>
      </c>
      <c r="AY363" s="3">
        <v>-2.4E-2</v>
      </c>
      <c r="AZ363" s="3">
        <v>0.13500000000000001</v>
      </c>
      <c r="BA363" s="3">
        <f t="shared" si="222"/>
        <v>-0.159</v>
      </c>
      <c r="BB363" s="3">
        <f t="shared" si="277"/>
        <v>0.17050000000000001</v>
      </c>
      <c r="BC363" s="3">
        <f t="shared" si="277"/>
        <v>0.1575</v>
      </c>
      <c r="BD363" s="3">
        <f t="shared" si="224"/>
        <v>1.3000000000000012E-2</v>
      </c>
      <c r="BE363" s="3">
        <f t="shared" si="278"/>
        <v>0.29299999999999998</v>
      </c>
      <c r="BF363" s="3">
        <f t="shared" si="278"/>
        <v>0.58499999999999996</v>
      </c>
      <c r="BG363" s="3">
        <f t="shared" si="226"/>
        <v>-0.29199999999999998</v>
      </c>
      <c r="BH363" s="3">
        <f t="shared" si="279"/>
        <v>-0.17050000000000001</v>
      </c>
      <c r="BI363" s="3">
        <f t="shared" si="279"/>
        <v>-0.1575</v>
      </c>
      <c r="BJ363" s="3">
        <f t="shared" si="251"/>
        <v>-1.3000000000000012E-2</v>
      </c>
      <c r="BK363" s="3">
        <f t="shared" si="234"/>
        <v>4.9607935153583631E-2</v>
      </c>
      <c r="BL363" s="3">
        <f t="shared" si="235"/>
        <v>2.120192307692308E-2</v>
      </c>
      <c r="BM363" s="3">
        <f t="shared" si="228"/>
        <v>2.8406012076660551E-2</v>
      </c>
      <c r="BN363" s="3">
        <v>2.2370000000000001</v>
      </c>
      <c r="BO363" s="3">
        <v>2.431</v>
      </c>
      <c r="BP363" s="3">
        <f t="shared" si="229"/>
        <v>-0.19399999999999995</v>
      </c>
      <c r="BQ363" s="3">
        <v>-602243.07700000005</v>
      </c>
      <c r="BR363" s="3">
        <v>-601163.24300000002</v>
      </c>
      <c r="BS363" s="3">
        <f t="shared" si="230"/>
        <v>-1079.8340000000317</v>
      </c>
      <c r="BT363" s="3">
        <v>-602262.36399999994</v>
      </c>
      <c r="BU363" s="3">
        <v>-601182.38500000001</v>
      </c>
      <c r="BV363" s="3">
        <f t="shared" si="231"/>
        <v>-1079.9789999999339</v>
      </c>
    </row>
    <row r="364" spans="1:74" x14ac:dyDescent="0.25">
      <c r="A364" t="s">
        <v>46</v>
      </c>
      <c r="B364" s="1" t="s">
        <v>646</v>
      </c>
      <c r="C364" s="1" t="s">
        <v>103</v>
      </c>
      <c r="D364" s="3">
        <v>-1</v>
      </c>
      <c r="E364" s="3">
        <v>1.4</v>
      </c>
      <c r="F364" s="3">
        <v>-234.23599999999999</v>
      </c>
      <c r="G364" s="3">
        <v>-235.923</v>
      </c>
      <c r="H364" s="3">
        <f t="shared" si="295"/>
        <v>-1.6870000000000118</v>
      </c>
      <c r="I364" s="3">
        <v>-0.32500000000000001</v>
      </c>
      <c r="J364" s="6">
        <v>-0.22700000000000001</v>
      </c>
      <c r="K364" s="3">
        <f t="shared" si="280"/>
        <v>9.8000000000000004E-2</v>
      </c>
      <c r="L364" s="3">
        <v>0.153</v>
      </c>
      <c r="M364" s="6">
        <v>2.5000000000000001E-2</v>
      </c>
      <c r="N364" s="3">
        <f t="shared" si="281"/>
        <v>-0.128</v>
      </c>
      <c r="O364" s="3">
        <f t="shared" si="282"/>
        <v>8.6000000000000007E-2</v>
      </c>
      <c r="P364" s="3">
        <f t="shared" si="282"/>
        <v>0.10100000000000001</v>
      </c>
      <c r="Q364" s="3">
        <f t="shared" si="283"/>
        <v>1.4999999999999999E-2</v>
      </c>
      <c r="R364" s="3">
        <f t="shared" si="284"/>
        <v>0.47799999999999998</v>
      </c>
      <c r="S364" s="3">
        <f t="shared" si="285"/>
        <v>0.252</v>
      </c>
      <c r="T364" s="3">
        <f t="shared" si="286"/>
        <v>-0.22599999999999998</v>
      </c>
      <c r="U364" s="3">
        <f t="shared" si="287"/>
        <v>-8.6000000000000007E-2</v>
      </c>
      <c r="V364" s="3">
        <f t="shared" si="288"/>
        <v>-0.10100000000000001</v>
      </c>
      <c r="W364" s="3">
        <f t="shared" si="244"/>
        <v>-1.4999999999999999E-2</v>
      </c>
      <c r="X364" s="3">
        <f t="shared" si="232"/>
        <v>7.7364016736401692E-3</v>
      </c>
      <c r="Y364" s="3">
        <f t="shared" si="233"/>
        <v>2.0240079365079367E-2</v>
      </c>
      <c r="Z364" s="3">
        <f t="shared" si="289"/>
        <v>1.2503677691439199E-2</v>
      </c>
      <c r="AA364" s="3">
        <v>0</v>
      </c>
      <c r="AB364" s="3">
        <v>0</v>
      </c>
      <c r="AC364" s="3">
        <f t="shared" si="290"/>
        <v>0</v>
      </c>
      <c r="AD364" s="3">
        <f>-234.055091*627.50956</f>
        <v>-146871.80716916994</v>
      </c>
      <c r="AE364" s="3">
        <f>-235.750994*627.50956</f>
        <v>-147936.00251450262</v>
      </c>
      <c r="AF364" s="3">
        <f t="shared" si="291"/>
        <v>-1064.1953453326714</v>
      </c>
      <c r="AG364" s="3">
        <f>-234.095295*627.50956</f>
        <v>-146897.03556352018</v>
      </c>
      <c r="AH364" s="3">
        <f>-235.793781*627.50956</f>
        <v>-147962.85176604634</v>
      </c>
      <c r="AI364" s="3">
        <f t="shared" si="292"/>
        <v>-1065.8162025261554</v>
      </c>
      <c r="AJ364" s="3">
        <v>-0.51500000000000001</v>
      </c>
      <c r="AK364" s="3">
        <v>-0.59099999999999997</v>
      </c>
      <c r="AL364" s="3">
        <f t="shared" si="293"/>
        <v>-7.5999999999999956E-2</v>
      </c>
      <c r="AM364" s="3">
        <v>84.159480000000002</v>
      </c>
      <c r="AN364" s="3">
        <v>171.09460000000001</v>
      </c>
      <c r="AO364" s="3">
        <v>179.85380000000001</v>
      </c>
      <c r="AP364" s="3">
        <f t="shared" si="294"/>
        <v>1.1105697530733696</v>
      </c>
      <c r="AQ364" s="3">
        <v>7.74</v>
      </c>
      <c r="AR364" s="3">
        <v>1.8181738999999999</v>
      </c>
      <c r="AS364" s="3">
        <v>-959.76900000000001</v>
      </c>
      <c r="AT364" s="3">
        <v>-958.05</v>
      </c>
      <c r="AU364" s="3">
        <f t="shared" si="220"/>
        <v>-1.7190000000000509</v>
      </c>
      <c r="AV364" s="3">
        <v>-0.317</v>
      </c>
      <c r="AW364" s="3">
        <v>-0.45</v>
      </c>
      <c r="AX364" s="3">
        <f t="shared" si="221"/>
        <v>0.13300000000000001</v>
      </c>
      <c r="AY364" s="3">
        <v>-2.4E-2</v>
      </c>
      <c r="AZ364" s="3">
        <v>0.13500000000000001</v>
      </c>
      <c r="BA364" s="3">
        <f t="shared" si="222"/>
        <v>-0.159</v>
      </c>
      <c r="BB364" s="3">
        <f t="shared" ref="BB364:BC378" si="296">-(AV364+AY364)/2</f>
        <v>0.17050000000000001</v>
      </c>
      <c r="BC364" s="3">
        <f t="shared" si="296"/>
        <v>0.1575</v>
      </c>
      <c r="BD364" s="3">
        <f t="shared" si="224"/>
        <v>1.3000000000000012E-2</v>
      </c>
      <c r="BE364" s="3">
        <f t="shared" ref="BE364:BF378" si="297">AY364-AV364</f>
        <v>0.29299999999999998</v>
      </c>
      <c r="BF364" s="3">
        <f t="shared" si="297"/>
        <v>0.58499999999999996</v>
      </c>
      <c r="BG364" s="3">
        <f t="shared" si="226"/>
        <v>-0.29199999999999998</v>
      </c>
      <c r="BH364" s="3">
        <f t="shared" ref="BH364:BI378" si="298">(AV364+AY364)/2</f>
        <v>-0.17050000000000001</v>
      </c>
      <c r="BI364" s="3">
        <f t="shared" si="298"/>
        <v>-0.1575</v>
      </c>
      <c r="BJ364" s="3">
        <f t="shared" si="251"/>
        <v>-1.3000000000000012E-2</v>
      </c>
      <c r="BK364" s="3">
        <f t="shared" si="234"/>
        <v>4.9607935153583631E-2</v>
      </c>
      <c r="BL364" s="3">
        <f t="shared" si="235"/>
        <v>2.120192307692308E-2</v>
      </c>
      <c r="BM364" s="3">
        <f t="shared" si="228"/>
        <v>2.8406012076660551E-2</v>
      </c>
      <c r="BN364" s="3">
        <v>2.2370000000000001</v>
      </c>
      <c r="BO364" s="3">
        <v>2.431</v>
      </c>
      <c r="BP364" s="3">
        <f t="shared" si="229"/>
        <v>-0.19399999999999995</v>
      </c>
      <c r="BQ364" s="3">
        <v>-602243.07700000005</v>
      </c>
      <c r="BR364" s="3">
        <v>-601163.24300000002</v>
      </c>
      <c r="BS364" s="3">
        <f t="shared" si="230"/>
        <v>-1079.8340000000317</v>
      </c>
      <c r="BT364" s="3">
        <v>-602262.36399999994</v>
      </c>
      <c r="BU364" s="3">
        <v>-601182.38500000001</v>
      </c>
      <c r="BV364" s="3">
        <f t="shared" si="231"/>
        <v>-1079.9789999999339</v>
      </c>
    </row>
    <row r="365" spans="1:74" x14ac:dyDescent="0.25">
      <c r="A365" t="s">
        <v>11</v>
      </c>
      <c r="B365" s="1" t="s">
        <v>646</v>
      </c>
      <c r="C365" s="1" t="s">
        <v>103</v>
      </c>
      <c r="D365" s="3">
        <v>-0.87</v>
      </c>
      <c r="E365" s="3">
        <v>1</v>
      </c>
      <c r="F365" s="3">
        <v>-154.96199999999999</v>
      </c>
      <c r="G365" s="3">
        <v>-156.04</v>
      </c>
      <c r="H365" s="3">
        <f t="shared" si="295"/>
        <v>-1.078000000000003</v>
      </c>
      <c r="I365" s="3">
        <v>-0.32900000000000001</v>
      </c>
      <c r="J365" s="6">
        <v>-0.24199999999999999</v>
      </c>
      <c r="K365" s="3">
        <f t="shared" si="280"/>
        <v>8.7000000000000022E-2</v>
      </c>
      <c r="L365" s="3">
        <v>0.11899999999999999</v>
      </c>
      <c r="M365" s="6">
        <v>-3.6999999999999998E-2</v>
      </c>
      <c r="N365" s="3">
        <f t="shared" si="281"/>
        <v>-0.156</v>
      </c>
      <c r="O365" s="3">
        <f t="shared" si="282"/>
        <v>0.10500000000000001</v>
      </c>
      <c r="P365" s="3">
        <f t="shared" si="282"/>
        <v>0.13949999999999999</v>
      </c>
      <c r="Q365" s="3">
        <f t="shared" si="283"/>
        <v>3.4499999999999975E-2</v>
      </c>
      <c r="R365" s="3">
        <f t="shared" si="284"/>
        <v>0.44800000000000001</v>
      </c>
      <c r="S365" s="3">
        <f t="shared" si="285"/>
        <v>0.20499999999999999</v>
      </c>
      <c r="T365" s="3">
        <f t="shared" si="286"/>
        <v>-0.24300000000000002</v>
      </c>
      <c r="U365" s="3">
        <f t="shared" si="287"/>
        <v>-0.10500000000000001</v>
      </c>
      <c r="V365" s="3">
        <f t="shared" si="288"/>
        <v>-0.13949999999999999</v>
      </c>
      <c r="W365" s="3">
        <f t="shared" si="244"/>
        <v>-3.4499999999999975E-2</v>
      </c>
      <c r="X365" s="3">
        <f t="shared" si="232"/>
        <v>1.2304687500000001E-2</v>
      </c>
      <c r="Y365" s="3">
        <f t="shared" si="233"/>
        <v>4.7464024390243893E-2</v>
      </c>
      <c r="Z365" s="3">
        <f t="shared" si="289"/>
        <v>3.5159336890243892E-2</v>
      </c>
      <c r="AA365" s="3">
        <v>0</v>
      </c>
      <c r="AB365" s="3">
        <v>0</v>
      </c>
      <c r="AC365" s="3">
        <f t="shared" si="290"/>
        <v>0</v>
      </c>
      <c r="AD365" s="3">
        <f>-154.866585*627.50956</f>
        <v>-97180.262612052582</v>
      </c>
      <c r="AE365" s="3">
        <f>-155.949996*627.50956</f>
        <v>-97860.11337196175</v>
      </c>
      <c r="AF365" s="3">
        <f t="shared" si="291"/>
        <v>-679.85075990916812</v>
      </c>
      <c r="AG365" s="3">
        <f>-154.897728*627.50956</f>
        <v>-97199.805142279671</v>
      </c>
      <c r="AH365" s="3">
        <f>-155.982014*627.50956</f>
        <v>-97880.204973053827</v>
      </c>
      <c r="AI365" s="3">
        <f t="shared" si="292"/>
        <v>-680.39983077415673</v>
      </c>
      <c r="AJ365" s="3">
        <v>-0.32900000000000001</v>
      </c>
      <c r="AK365" s="3">
        <v>-0.35</v>
      </c>
      <c r="AL365" s="3">
        <f t="shared" si="293"/>
        <v>-2.0999999999999963E-2</v>
      </c>
      <c r="AM365" s="3">
        <v>54.090440000000001</v>
      </c>
      <c r="AN365" s="3">
        <v>125.51893</v>
      </c>
      <c r="AO365" s="3">
        <v>115.69110000000001</v>
      </c>
      <c r="AP365" s="3">
        <f t="shared" si="294"/>
        <v>1.0933651117703009</v>
      </c>
      <c r="AQ365" s="3">
        <v>7.9459999999999997</v>
      </c>
      <c r="AR365" s="3">
        <v>1.5275396000000001</v>
      </c>
      <c r="AS365" s="3">
        <v>-959.76900000000001</v>
      </c>
      <c r="AT365" s="3">
        <v>-958.05</v>
      </c>
      <c r="AU365" s="3">
        <f t="shared" si="220"/>
        <v>-1.7190000000000509</v>
      </c>
      <c r="AV365" s="3">
        <v>-0.317</v>
      </c>
      <c r="AW365" s="3">
        <v>-0.45</v>
      </c>
      <c r="AX365" s="3">
        <f t="shared" si="221"/>
        <v>0.13300000000000001</v>
      </c>
      <c r="AY365" s="3">
        <v>-2.4E-2</v>
      </c>
      <c r="AZ365" s="3">
        <v>0.13500000000000001</v>
      </c>
      <c r="BA365" s="3">
        <f t="shared" si="222"/>
        <v>-0.159</v>
      </c>
      <c r="BB365" s="3">
        <f t="shared" si="296"/>
        <v>0.17050000000000001</v>
      </c>
      <c r="BC365" s="3">
        <f t="shared" si="296"/>
        <v>0.1575</v>
      </c>
      <c r="BD365" s="3">
        <f t="shared" si="224"/>
        <v>1.3000000000000012E-2</v>
      </c>
      <c r="BE365" s="3">
        <f t="shared" si="297"/>
        <v>0.29299999999999998</v>
      </c>
      <c r="BF365" s="3">
        <f t="shared" si="297"/>
        <v>0.58499999999999996</v>
      </c>
      <c r="BG365" s="3">
        <f t="shared" si="226"/>
        <v>-0.29199999999999998</v>
      </c>
      <c r="BH365" s="3">
        <f t="shared" si="298"/>
        <v>-0.17050000000000001</v>
      </c>
      <c r="BI365" s="3">
        <f t="shared" si="298"/>
        <v>-0.1575</v>
      </c>
      <c r="BJ365" s="3">
        <f t="shared" si="251"/>
        <v>-1.3000000000000012E-2</v>
      </c>
      <c r="BK365" s="3">
        <f t="shared" si="234"/>
        <v>4.9607935153583631E-2</v>
      </c>
      <c r="BL365" s="3">
        <f t="shared" si="235"/>
        <v>2.120192307692308E-2</v>
      </c>
      <c r="BM365" s="3">
        <f t="shared" si="228"/>
        <v>2.8406012076660551E-2</v>
      </c>
      <c r="BN365" s="3">
        <v>2.2370000000000001</v>
      </c>
      <c r="BO365" s="3">
        <v>2.431</v>
      </c>
      <c r="BP365" s="3">
        <f t="shared" si="229"/>
        <v>-0.19399999999999995</v>
      </c>
      <c r="BQ365" s="3">
        <v>-602243.07700000005</v>
      </c>
      <c r="BR365" s="3">
        <v>-601163.24300000002</v>
      </c>
      <c r="BS365" s="3">
        <f t="shared" si="230"/>
        <v>-1079.8340000000317</v>
      </c>
      <c r="BT365" s="3">
        <v>-602262.36399999994</v>
      </c>
      <c r="BU365" s="3">
        <v>-601182.38500000001</v>
      </c>
      <c r="BV365" s="3">
        <f t="shared" si="231"/>
        <v>-1079.9789999999339</v>
      </c>
    </row>
    <row r="366" spans="1:74" x14ac:dyDescent="0.25">
      <c r="A366" t="s">
        <v>47</v>
      </c>
      <c r="B366" s="1" t="s">
        <v>646</v>
      </c>
      <c r="C366" s="1" t="s">
        <v>103</v>
      </c>
      <c r="D366" s="3">
        <v>-0.8</v>
      </c>
      <c r="E366" s="3">
        <v>1</v>
      </c>
      <c r="F366" s="3">
        <v>-958.63099999999997</v>
      </c>
      <c r="G366" s="3">
        <v>-961.81700000000001</v>
      </c>
      <c r="H366" s="3">
        <f t="shared" si="295"/>
        <v>-3.1860000000000355</v>
      </c>
      <c r="I366" s="3">
        <v>-0.32900000000000001</v>
      </c>
      <c r="J366" s="6">
        <v>-0.24</v>
      </c>
      <c r="K366" s="3">
        <f t="shared" si="280"/>
        <v>8.9000000000000024E-2</v>
      </c>
      <c r="L366" s="3">
        <v>0.114</v>
      </c>
      <c r="M366" s="6">
        <v>-2.7E-2</v>
      </c>
      <c r="N366" s="3">
        <f t="shared" si="281"/>
        <v>-0.14100000000000001</v>
      </c>
      <c r="O366" s="3">
        <f t="shared" si="282"/>
        <v>0.10750000000000001</v>
      </c>
      <c r="P366" s="3">
        <f t="shared" si="282"/>
        <v>0.13350000000000001</v>
      </c>
      <c r="Q366" s="3">
        <f t="shared" si="283"/>
        <v>2.5999999999999995E-2</v>
      </c>
      <c r="R366" s="3">
        <f t="shared" si="284"/>
        <v>0.443</v>
      </c>
      <c r="S366" s="3">
        <f t="shared" si="285"/>
        <v>0.21299999999999999</v>
      </c>
      <c r="T366" s="3">
        <f t="shared" si="286"/>
        <v>-0.23</v>
      </c>
      <c r="U366" s="3">
        <f t="shared" si="287"/>
        <v>-0.10750000000000001</v>
      </c>
      <c r="V366" s="3">
        <f t="shared" si="288"/>
        <v>-0.13350000000000001</v>
      </c>
      <c r="W366" s="3">
        <f t="shared" si="244"/>
        <v>-2.5999999999999995E-2</v>
      </c>
      <c r="X366" s="3">
        <f t="shared" si="232"/>
        <v>1.3043171557562079E-2</v>
      </c>
      <c r="Y366" s="3">
        <f t="shared" si="233"/>
        <v>4.1836267605633803E-2</v>
      </c>
      <c r="Z366" s="3">
        <f t="shared" si="289"/>
        <v>2.8793096048071724E-2</v>
      </c>
      <c r="AA366" s="3">
        <v>1.1859999999999999</v>
      </c>
      <c r="AB366" s="3">
        <v>0.83699999999999997</v>
      </c>
      <c r="AC366" s="3">
        <f t="shared" si="290"/>
        <v>-0.34899999999999998</v>
      </c>
      <c r="AD366" s="3">
        <f>-958.441027*627.50956</f>
        <v>-601430.90713871806</v>
      </c>
      <c r="AE366" s="3">
        <f>-961.637006*627.50956</f>
        <v>-603436.41451477737</v>
      </c>
      <c r="AF366" s="3">
        <f t="shared" si="291"/>
        <v>-2005.5073760593077</v>
      </c>
      <c r="AG366" s="3">
        <f>-958.490811*627.50956</f>
        <v>-601462.14707465318</v>
      </c>
      <c r="AH366" s="3">
        <f>-961.688163*627.50956</f>
        <v>-603468.51602133829</v>
      </c>
      <c r="AI366" s="3">
        <f t="shared" si="292"/>
        <v>-2006.3689466851065</v>
      </c>
      <c r="AJ366" s="3">
        <v>-0.34499999999999997</v>
      </c>
      <c r="AK366" s="3">
        <v>-0.378</v>
      </c>
      <c r="AL366" s="3">
        <f t="shared" si="293"/>
        <v>-3.3000000000000029E-2</v>
      </c>
      <c r="AM366" s="3">
        <v>156.32068000000001</v>
      </c>
      <c r="AN366" s="3">
        <v>226.81059999999999</v>
      </c>
      <c r="AO366" s="3">
        <v>255.51990000000001</v>
      </c>
      <c r="AP366" s="3">
        <f t="shared" si="294"/>
        <v>1.1649379996817857</v>
      </c>
      <c r="AQ366" s="3">
        <v>9.9540000000000006</v>
      </c>
      <c r="AR366" s="3">
        <v>2.2855500000000002</v>
      </c>
      <c r="AS366" s="3">
        <v>-959.76900000000001</v>
      </c>
      <c r="AT366" s="3">
        <v>-958.05</v>
      </c>
      <c r="AU366" s="3">
        <f t="shared" si="220"/>
        <v>-1.7190000000000509</v>
      </c>
      <c r="AV366" s="3">
        <v>-0.317</v>
      </c>
      <c r="AW366" s="3">
        <v>-0.45</v>
      </c>
      <c r="AX366" s="3">
        <f t="shared" si="221"/>
        <v>0.13300000000000001</v>
      </c>
      <c r="AY366" s="3">
        <v>-2.4E-2</v>
      </c>
      <c r="AZ366" s="3">
        <v>0.13500000000000001</v>
      </c>
      <c r="BA366" s="3">
        <f t="shared" si="222"/>
        <v>-0.159</v>
      </c>
      <c r="BB366" s="3">
        <f t="shared" si="296"/>
        <v>0.17050000000000001</v>
      </c>
      <c r="BC366" s="3">
        <f t="shared" si="296"/>
        <v>0.1575</v>
      </c>
      <c r="BD366" s="3">
        <f t="shared" si="224"/>
        <v>1.3000000000000012E-2</v>
      </c>
      <c r="BE366" s="3">
        <f t="shared" si="297"/>
        <v>0.29299999999999998</v>
      </c>
      <c r="BF366" s="3">
        <f t="shared" si="297"/>
        <v>0.58499999999999996</v>
      </c>
      <c r="BG366" s="3">
        <f t="shared" si="226"/>
        <v>-0.29199999999999998</v>
      </c>
      <c r="BH366" s="3">
        <f t="shared" si="298"/>
        <v>-0.17050000000000001</v>
      </c>
      <c r="BI366" s="3">
        <f t="shared" si="298"/>
        <v>-0.1575</v>
      </c>
      <c r="BJ366" s="3">
        <f t="shared" si="251"/>
        <v>-1.3000000000000012E-2</v>
      </c>
      <c r="BK366" s="3">
        <f t="shared" si="234"/>
        <v>4.9607935153583631E-2</v>
      </c>
      <c r="BL366" s="3">
        <f t="shared" si="235"/>
        <v>2.120192307692308E-2</v>
      </c>
      <c r="BM366" s="3">
        <f t="shared" si="228"/>
        <v>2.8406012076660551E-2</v>
      </c>
      <c r="BN366" s="3">
        <v>2.2370000000000001</v>
      </c>
      <c r="BO366" s="3">
        <v>2.431</v>
      </c>
      <c r="BP366" s="3">
        <f t="shared" si="229"/>
        <v>-0.19399999999999995</v>
      </c>
      <c r="BQ366" s="3">
        <v>-602243.07700000005</v>
      </c>
      <c r="BR366" s="3">
        <v>-601163.24300000002</v>
      </c>
      <c r="BS366" s="3">
        <f t="shared" si="230"/>
        <v>-1079.8340000000317</v>
      </c>
      <c r="BT366" s="3">
        <v>-602262.36399999994</v>
      </c>
      <c r="BU366" s="3">
        <v>-601182.38500000001</v>
      </c>
      <c r="BV366" s="3">
        <f t="shared" si="231"/>
        <v>-1079.9789999999339</v>
      </c>
    </row>
    <row r="367" spans="1:74" x14ac:dyDescent="0.25">
      <c r="A367" t="s">
        <v>48</v>
      </c>
      <c r="B367" s="1" t="s">
        <v>646</v>
      </c>
      <c r="C367" s="1" t="s">
        <v>103</v>
      </c>
      <c r="D367" s="3">
        <v>-0.65</v>
      </c>
      <c r="E367" s="3">
        <v>1.59</v>
      </c>
      <c r="F367" s="3">
        <v>-753.97299999999996</v>
      </c>
      <c r="G367" s="3">
        <v>-757.79100000000005</v>
      </c>
      <c r="H367" s="3">
        <f t="shared" si="295"/>
        <v>-3.8180000000000973</v>
      </c>
      <c r="I367" s="3">
        <v>-0.315</v>
      </c>
      <c r="J367" s="6">
        <v>-0.23300000000000001</v>
      </c>
      <c r="K367" s="3">
        <f t="shared" si="280"/>
        <v>8.199999999999999E-2</v>
      </c>
      <c r="L367" s="3">
        <v>0.122</v>
      </c>
      <c r="M367" s="6">
        <v>-2.9000000000000001E-2</v>
      </c>
      <c r="N367" s="3">
        <f t="shared" si="281"/>
        <v>-0.151</v>
      </c>
      <c r="O367" s="3">
        <f t="shared" si="282"/>
        <v>9.6500000000000002E-2</v>
      </c>
      <c r="P367" s="3">
        <f t="shared" si="282"/>
        <v>0.13100000000000001</v>
      </c>
      <c r="Q367" s="3">
        <f t="shared" si="283"/>
        <v>3.4500000000000003E-2</v>
      </c>
      <c r="R367" s="3">
        <f t="shared" si="284"/>
        <v>0.437</v>
      </c>
      <c r="S367" s="3">
        <f t="shared" si="285"/>
        <v>0.20400000000000001</v>
      </c>
      <c r="T367" s="3">
        <f t="shared" si="286"/>
        <v>-0.23299999999999998</v>
      </c>
      <c r="U367" s="3">
        <f t="shared" si="287"/>
        <v>-9.6500000000000002E-2</v>
      </c>
      <c r="V367" s="3">
        <f t="shared" si="288"/>
        <v>-0.13100000000000001</v>
      </c>
      <c r="W367" s="3">
        <f t="shared" si="244"/>
        <v>-3.4500000000000003E-2</v>
      </c>
      <c r="X367" s="3">
        <f t="shared" si="232"/>
        <v>1.0654748283752862E-2</v>
      </c>
      <c r="Y367" s="3">
        <f t="shared" si="233"/>
        <v>4.2061274509803924E-2</v>
      </c>
      <c r="Z367" s="3">
        <f t="shared" si="289"/>
        <v>3.1406526226051064E-2</v>
      </c>
      <c r="AA367" s="3">
        <v>0.23200000000000001</v>
      </c>
      <c r="AB367" s="3">
        <v>0.373</v>
      </c>
      <c r="AC367" s="3">
        <f t="shared" si="290"/>
        <v>0.14099999999999999</v>
      </c>
      <c r="AD367" s="3">
        <f>-753.6794*627.50956</f>
        <v>-472941.02867506398</v>
      </c>
      <c r="AE367" s="3">
        <f>-757.513312*627.50956</f>
        <v>-475346.84510726272</v>
      </c>
      <c r="AF367" s="3">
        <f t="shared" si="291"/>
        <v>-2405.8164321987424</v>
      </c>
      <c r="AG367" s="3">
        <f>-753.740069*627.50956</f>
        <v>-472979.09905255958</v>
      </c>
      <c r="AH367" s="3">
        <f>-757.575544*627.50956</f>
        <v>-475385.89628220064</v>
      </c>
      <c r="AI367" s="3">
        <f t="shared" si="292"/>
        <v>-2406.7972296410589</v>
      </c>
      <c r="AJ367" s="3">
        <v>-0.50900000000000001</v>
      </c>
      <c r="AK367" s="3">
        <v>-0.58699999999999997</v>
      </c>
      <c r="AL367" s="3">
        <f t="shared" si="293"/>
        <v>-7.7999999999999958E-2</v>
      </c>
      <c r="AM367" s="3">
        <v>190.35682</v>
      </c>
      <c r="AN367" s="3">
        <v>287.70699999999999</v>
      </c>
      <c r="AO367" s="3">
        <v>339.33879999999999</v>
      </c>
      <c r="AP367" s="3">
        <f t="shared" si="294"/>
        <v>1.2230682690843073</v>
      </c>
      <c r="AQ367" s="3">
        <v>12.53</v>
      </c>
      <c r="AR367" s="3">
        <v>2.9119171100000001</v>
      </c>
      <c r="AS367" s="3">
        <v>-959.76900000000001</v>
      </c>
      <c r="AT367" s="3">
        <v>-958.05</v>
      </c>
      <c r="AU367" s="3">
        <f t="shared" si="220"/>
        <v>-1.7190000000000509</v>
      </c>
      <c r="AV367" s="3">
        <v>-0.317</v>
      </c>
      <c r="AW367" s="3">
        <v>-0.45</v>
      </c>
      <c r="AX367" s="3">
        <f t="shared" si="221"/>
        <v>0.13300000000000001</v>
      </c>
      <c r="AY367" s="3">
        <v>-2.4E-2</v>
      </c>
      <c r="AZ367" s="3">
        <v>0.13500000000000001</v>
      </c>
      <c r="BA367" s="3">
        <f t="shared" si="222"/>
        <v>-0.159</v>
      </c>
      <c r="BB367" s="3">
        <f t="shared" si="296"/>
        <v>0.17050000000000001</v>
      </c>
      <c r="BC367" s="3">
        <f t="shared" si="296"/>
        <v>0.1575</v>
      </c>
      <c r="BD367" s="3">
        <f t="shared" si="224"/>
        <v>1.3000000000000012E-2</v>
      </c>
      <c r="BE367" s="3">
        <f t="shared" si="297"/>
        <v>0.29299999999999998</v>
      </c>
      <c r="BF367" s="3">
        <f t="shared" si="297"/>
        <v>0.58499999999999996</v>
      </c>
      <c r="BG367" s="3">
        <f t="shared" si="226"/>
        <v>-0.29199999999999998</v>
      </c>
      <c r="BH367" s="3">
        <f t="shared" si="298"/>
        <v>-0.17050000000000001</v>
      </c>
      <c r="BI367" s="3">
        <f t="shared" si="298"/>
        <v>-0.1575</v>
      </c>
      <c r="BJ367" s="3">
        <f t="shared" si="251"/>
        <v>-1.3000000000000012E-2</v>
      </c>
      <c r="BK367" s="3">
        <f t="shared" si="234"/>
        <v>4.9607935153583631E-2</v>
      </c>
      <c r="BL367" s="3">
        <f t="shared" si="235"/>
        <v>2.120192307692308E-2</v>
      </c>
      <c r="BM367" s="3">
        <f t="shared" si="228"/>
        <v>2.8406012076660551E-2</v>
      </c>
      <c r="BN367" s="3">
        <v>2.2370000000000001</v>
      </c>
      <c r="BO367" s="3">
        <v>2.431</v>
      </c>
      <c r="BP367" s="3">
        <f t="shared" si="229"/>
        <v>-0.19399999999999995</v>
      </c>
      <c r="BQ367" s="3">
        <v>-602243.07700000005</v>
      </c>
      <c r="BR367" s="3">
        <v>-601163.24300000002</v>
      </c>
      <c r="BS367" s="3">
        <f t="shared" si="230"/>
        <v>-1079.8340000000317</v>
      </c>
      <c r="BT367" s="3">
        <v>-602262.36399999994</v>
      </c>
      <c r="BU367" s="3">
        <v>-601182.38500000001</v>
      </c>
      <c r="BV367" s="3">
        <f t="shared" si="231"/>
        <v>-1079.9789999999339</v>
      </c>
    </row>
    <row r="368" spans="1:74" x14ac:dyDescent="0.25">
      <c r="A368" t="s">
        <v>49</v>
      </c>
      <c r="B368" s="1" t="s">
        <v>646</v>
      </c>
      <c r="C368" s="1" t="s">
        <v>103</v>
      </c>
      <c r="D368" s="3">
        <v>-0.64</v>
      </c>
      <c r="E368" s="3">
        <v>1.1000000000000001</v>
      </c>
      <c r="F368" s="3">
        <v>-526.51499999999999</v>
      </c>
      <c r="G368" s="3">
        <v>-529.94600000000003</v>
      </c>
      <c r="H368" s="3">
        <f t="shared" si="295"/>
        <v>-3.43100000000004</v>
      </c>
      <c r="I368" s="3">
        <v>-0.35699999999999998</v>
      </c>
      <c r="J368" s="6">
        <v>-0.254</v>
      </c>
      <c r="K368" s="3">
        <f t="shared" si="280"/>
        <v>0.10299999999999998</v>
      </c>
      <c r="L368" s="3">
        <v>0.14799999999999999</v>
      </c>
      <c r="M368" s="6">
        <v>3.0000000000000001E-3</v>
      </c>
      <c r="N368" s="3">
        <f t="shared" si="281"/>
        <v>-0.14499999999999999</v>
      </c>
      <c r="O368" s="3">
        <f t="shared" si="282"/>
        <v>0.1045</v>
      </c>
      <c r="P368" s="3">
        <f t="shared" si="282"/>
        <v>0.1255</v>
      </c>
      <c r="Q368" s="3">
        <f t="shared" si="283"/>
        <v>2.1000000000000005E-2</v>
      </c>
      <c r="R368" s="3">
        <f t="shared" si="284"/>
        <v>0.505</v>
      </c>
      <c r="S368" s="3">
        <f t="shared" si="285"/>
        <v>0.25700000000000001</v>
      </c>
      <c r="T368" s="3">
        <f t="shared" si="286"/>
        <v>-0.248</v>
      </c>
      <c r="U368" s="3">
        <f t="shared" si="287"/>
        <v>-0.1045</v>
      </c>
      <c r="V368" s="3">
        <f t="shared" si="288"/>
        <v>-0.1255</v>
      </c>
      <c r="W368" s="3">
        <f t="shared" si="244"/>
        <v>-2.1000000000000005E-2</v>
      </c>
      <c r="X368" s="3">
        <f t="shared" si="232"/>
        <v>1.0812128712871287E-2</v>
      </c>
      <c r="Y368" s="3">
        <f t="shared" si="233"/>
        <v>3.0642509727626457E-2</v>
      </c>
      <c r="Z368" s="3">
        <f t="shared" si="289"/>
        <v>1.983038101475517E-2</v>
      </c>
      <c r="AA368" s="3">
        <v>2.23</v>
      </c>
      <c r="AB368" s="3">
        <v>2.0030000000000001</v>
      </c>
      <c r="AC368" s="3">
        <f t="shared" si="290"/>
        <v>-0.22699999999999987</v>
      </c>
      <c r="AD368" s="3">
        <f>-526.209873*627.50956</f>
        <v>-330201.72587388585</v>
      </c>
      <c r="AE368" s="3">
        <f>-529.657291*627.50956</f>
        <v>-332365.01362620195</v>
      </c>
      <c r="AF368" s="3">
        <f t="shared" si="291"/>
        <v>-2163.2877523161005</v>
      </c>
      <c r="AG368" s="3">
        <f>-526.268664*627.50956</f>
        <v>-330238.6177884278</v>
      </c>
      <c r="AH368" s="3">
        <f>-529.718226*627.50956</f>
        <v>-332403.25092124054</v>
      </c>
      <c r="AI368" s="3">
        <f t="shared" si="292"/>
        <v>-2164.6331328127417</v>
      </c>
      <c r="AJ368" s="3">
        <v>-0.75600000000000001</v>
      </c>
      <c r="AK368" s="3">
        <v>-0.79400000000000004</v>
      </c>
      <c r="AL368" s="3">
        <f t="shared" si="293"/>
        <v>-3.8000000000000034E-2</v>
      </c>
      <c r="AM368" s="3">
        <v>170.05690000000001</v>
      </c>
      <c r="AN368" s="3">
        <v>278.53640000000001</v>
      </c>
      <c r="AO368" s="3">
        <v>315.18020000000001</v>
      </c>
      <c r="AP368" s="3">
        <f t="shared" si="294"/>
        <v>1.2438422103446585</v>
      </c>
      <c r="AQ368" s="3">
        <v>11.186</v>
      </c>
      <c r="AR368" s="3">
        <v>2.7735599999999998</v>
      </c>
      <c r="AS368" s="3">
        <v>-959.76900000000001</v>
      </c>
      <c r="AT368" s="3">
        <v>-958.05</v>
      </c>
      <c r="AU368" s="3">
        <f t="shared" si="220"/>
        <v>-1.7190000000000509</v>
      </c>
      <c r="AV368" s="3">
        <v>-0.317</v>
      </c>
      <c r="AW368" s="3">
        <v>-0.45</v>
      </c>
      <c r="AX368" s="3">
        <f t="shared" si="221"/>
        <v>0.13300000000000001</v>
      </c>
      <c r="AY368" s="3">
        <v>-2.4E-2</v>
      </c>
      <c r="AZ368" s="3">
        <v>0.13500000000000001</v>
      </c>
      <c r="BA368" s="3">
        <f t="shared" si="222"/>
        <v>-0.159</v>
      </c>
      <c r="BB368" s="3">
        <f t="shared" si="296"/>
        <v>0.17050000000000001</v>
      </c>
      <c r="BC368" s="3">
        <f t="shared" si="296"/>
        <v>0.1575</v>
      </c>
      <c r="BD368" s="3">
        <f t="shared" si="224"/>
        <v>1.3000000000000012E-2</v>
      </c>
      <c r="BE368" s="3">
        <f t="shared" si="297"/>
        <v>0.29299999999999998</v>
      </c>
      <c r="BF368" s="3">
        <f t="shared" si="297"/>
        <v>0.58499999999999996</v>
      </c>
      <c r="BG368" s="3">
        <f t="shared" si="226"/>
        <v>-0.29199999999999998</v>
      </c>
      <c r="BH368" s="3">
        <f t="shared" si="298"/>
        <v>-0.17050000000000001</v>
      </c>
      <c r="BI368" s="3">
        <f t="shared" si="298"/>
        <v>-0.1575</v>
      </c>
      <c r="BJ368" s="3">
        <f t="shared" si="251"/>
        <v>-1.3000000000000012E-2</v>
      </c>
      <c r="BK368" s="3">
        <f t="shared" si="234"/>
        <v>4.9607935153583631E-2</v>
      </c>
      <c r="BL368" s="3">
        <f t="shared" si="235"/>
        <v>2.120192307692308E-2</v>
      </c>
      <c r="BM368" s="3">
        <f t="shared" si="228"/>
        <v>2.8406012076660551E-2</v>
      </c>
      <c r="BN368" s="3">
        <v>2.2370000000000001</v>
      </c>
      <c r="BO368" s="3">
        <v>2.431</v>
      </c>
      <c r="BP368" s="3">
        <f t="shared" si="229"/>
        <v>-0.19399999999999995</v>
      </c>
      <c r="BQ368" s="3">
        <v>-602243.07700000005</v>
      </c>
      <c r="BR368" s="3">
        <v>-601163.24300000002</v>
      </c>
      <c r="BS368" s="3">
        <f t="shared" si="230"/>
        <v>-1079.8340000000317</v>
      </c>
      <c r="BT368" s="3">
        <v>-602262.36399999994</v>
      </c>
      <c r="BU368" s="3">
        <v>-601182.38500000001</v>
      </c>
      <c r="BV368" s="3">
        <f t="shared" si="231"/>
        <v>-1079.9789999999339</v>
      </c>
    </row>
    <row r="369" spans="1:74" x14ac:dyDescent="0.25">
      <c r="A369" t="s">
        <v>50</v>
      </c>
      <c r="B369" s="1" t="s">
        <v>646</v>
      </c>
      <c r="C369" s="1" t="s">
        <v>103</v>
      </c>
      <c r="D369" s="3">
        <v>-0.56999999999999995</v>
      </c>
      <c r="E369" s="3">
        <v>0.95</v>
      </c>
      <c r="F369" s="3">
        <v>-944.31200000000001</v>
      </c>
      <c r="G369" s="3">
        <v>-947.03</v>
      </c>
      <c r="H369" s="3">
        <f t="shared" si="295"/>
        <v>-2.7179999999999609</v>
      </c>
      <c r="I369" s="3">
        <v>-0.35499999999999998</v>
      </c>
      <c r="J369" s="6">
        <v>-0.255</v>
      </c>
      <c r="K369" s="3">
        <f t="shared" si="280"/>
        <v>9.9999999999999978E-2</v>
      </c>
      <c r="L369" s="3">
        <v>0.14099999999999999</v>
      </c>
      <c r="M369" s="6">
        <v>-5.0000000000000001E-3</v>
      </c>
      <c r="N369" s="3">
        <f t="shared" si="281"/>
        <v>-0.14599999999999999</v>
      </c>
      <c r="O369" s="3">
        <f t="shared" si="282"/>
        <v>0.107</v>
      </c>
      <c r="P369" s="3">
        <f t="shared" si="282"/>
        <v>0.13</v>
      </c>
      <c r="Q369" s="3">
        <f t="shared" si="283"/>
        <v>2.3000000000000007E-2</v>
      </c>
      <c r="R369" s="3">
        <f t="shared" si="284"/>
        <v>0.496</v>
      </c>
      <c r="S369" s="3">
        <f t="shared" si="285"/>
        <v>0.25</v>
      </c>
      <c r="T369" s="3">
        <f t="shared" si="286"/>
        <v>-0.246</v>
      </c>
      <c r="U369" s="3">
        <f t="shared" si="287"/>
        <v>-0.107</v>
      </c>
      <c r="V369" s="3">
        <f t="shared" si="288"/>
        <v>-0.13</v>
      </c>
      <c r="W369" s="3">
        <f t="shared" si="244"/>
        <v>-2.3000000000000007E-2</v>
      </c>
      <c r="X369" s="3">
        <f t="shared" si="232"/>
        <v>1.154133064516129E-2</v>
      </c>
      <c r="Y369" s="3">
        <f t="shared" si="233"/>
        <v>3.3800000000000004E-2</v>
      </c>
      <c r="Z369" s="3">
        <f t="shared" si="289"/>
        <v>2.2258669354838716E-2</v>
      </c>
      <c r="AA369" s="3">
        <v>3.37</v>
      </c>
      <c r="AB369" s="3">
        <v>3.24</v>
      </c>
      <c r="AC369" s="3">
        <f t="shared" si="290"/>
        <v>-0.12999999999999989</v>
      </c>
      <c r="AD369" s="3">
        <f>-944.146533*627.50956</f>
        <v>-592460.97549835546</v>
      </c>
      <c r="AE369" s="3">
        <f>-946.872096*627.50956</f>
        <v>-594171.29233723774</v>
      </c>
      <c r="AF369" s="3">
        <f t="shared" si="291"/>
        <v>-1710.3168388822814</v>
      </c>
      <c r="AG369" s="3">
        <f>-944.193758*627.50956</f>
        <v>-592490.60963732644</v>
      </c>
      <c r="AH369" s="3">
        <f>-946.920305*627.50956</f>
        <v>-594201.54394561576</v>
      </c>
      <c r="AI369" s="3">
        <f t="shared" si="292"/>
        <v>-1710.9343082893174</v>
      </c>
      <c r="AJ369" s="3">
        <v>-0.85799999999999998</v>
      </c>
      <c r="AK369" s="3">
        <v>-0.874</v>
      </c>
      <c r="AL369" s="3">
        <f t="shared" si="293"/>
        <v>-1.6000000000000014E-2</v>
      </c>
      <c r="AM369" s="3">
        <v>134.67934</v>
      </c>
      <c r="AN369" s="3">
        <v>203.2062</v>
      </c>
      <c r="AO369" s="3">
        <v>222.03073000000001</v>
      </c>
      <c r="AP369" s="3">
        <f t="shared" si="294"/>
        <v>1.1461747769753898</v>
      </c>
      <c r="AQ369" s="3">
        <v>9.4830000000000005</v>
      </c>
      <c r="AR369" s="3">
        <v>2.1571609999999999</v>
      </c>
      <c r="AS369" s="3">
        <v>-959.76900000000001</v>
      </c>
      <c r="AT369" s="3">
        <v>-958.05</v>
      </c>
      <c r="AU369" s="3">
        <f t="shared" si="220"/>
        <v>-1.7190000000000509</v>
      </c>
      <c r="AV369" s="3">
        <v>-0.317</v>
      </c>
      <c r="AW369" s="3">
        <v>-0.45</v>
      </c>
      <c r="AX369" s="3">
        <f t="shared" si="221"/>
        <v>0.13300000000000001</v>
      </c>
      <c r="AY369" s="3">
        <v>-2.4E-2</v>
      </c>
      <c r="AZ369" s="3">
        <v>0.13500000000000001</v>
      </c>
      <c r="BA369" s="3">
        <f t="shared" si="222"/>
        <v>-0.159</v>
      </c>
      <c r="BB369" s="3">
        <f t="shared" si="296"/>
        <v>0.17050000000000001</v>
      </c>
      <c r="BC369" s="3">
        <f t="shared" si="296"/>
        <v>0.1575</v>
      </c>
      <c r="BD369" s="3">
        <f t="shared" si="224"/>
        <v>1.3000000000000012E-2</v>
      </c>
      <c r="BE369" s="3">
        <f t="shared" si="297"/>
        <v>0.29299999999999998</v>
      </c>
      <c r="BF369" s="3">
        <f t="shared" si="297"/>
        <v>0.58499999999999996</v>
      </c>
      <c r="BG369" s="3">
        <f t="shared" si="226"/>
        <v>-0.29199999999999998</v>
      </c>
      <c r="BH369" s="3">
        <f t="shared" si="298"/>
        <v>-0.17050000000000001</v>
      </c>
      <c r="BI369" s="3">
        <f t="shared" si="298"/>
        <v>-0.1575</v>
      </c>
      <c r="BJ369" s="3">
        <f t="shared" si="251"/>
        <v>-1.3000000000000012E-2</v>
      </c>
      <c r="BK369" s="3">
        <f t="shared" si="234"/>
        <v>4.9607935153583631E-2</v>
      </c>
      <c r="BL369" s="3">
        <f t="shared" si="235"/>
        <v>2.120192307692308E-2</v>
      </c>
      <c r="BM369" s="3">
        <f t="shared" si="228"/>
        <v>2.8406012076660551E-2</v>
      </c>
      <c r="BN369" s="3">
        <v>2.2370000000000001</v>
      </c>
      <c r="BO369" s="3">
        <v>2.431</v>
      </c>
      <c r="BP369" s="3">
        <f t="shared" si="229"/>
        <v>-0.19399999999999995</v>
      </c>
      <c r="BQ369" s="3">
        <v>-602243.07700000005</v>
      </c>
      <c r="BR369" s="3">
        <v>-601163.24300000002</v>
      </c>
      <c r="BS369" s="3">
        <f t="shared" si="230"/>
        <v>-1079.8340000000317</v>
      </c>
      <c r="BT369" s="3">
        <v>-602262.36399999994</v>
      </c>
      <c r="BU369" s="3">
        <v>-601182.38500000001</v>
      </c>
      <c r="BV369" s="3">
        <f t="shared" si="231"/>
        <v>-1079.9789999999339</v>
      </c>
    </row>
    <row r="370" spans="1:74" x14ac:dyDescent="0.25">
      <c r="A370" t="s">
        <v>12</v>
      </c>
      <c r="B370" s="1" t="s">
        <v>646</v>
      </c>
      <c r="C370" s="1" t="s">
        <v>103</v>
      </c>
      <c r="D370" s="3">
        <v>-0.56999999999999995</v>
      </c>
      <c r="E370" s="3">
        <v>1.06</v>
      </c>
      <c r="F370" s="3">
        <v>-1823.1969999999999</v>
      </c>
      <c r="G370" s="3">
        <v>-1827.0239999999999</v>
      </c>
      <c r="H370" s="3">
        <f t="shared" si="295"/>
        <v>-3.8269999999999982</v>
      </c>
      <c r="I370" s="3">
        <v>-0.35799999999999998</v>
      </c>
      <c r="J370" s="6">
        <v>-0.26</v>
      </c>
      <c r="K370" s="3">
        <f t="shared" si="280"/>
        <v>9.7999999999999976E-2</v>
      </c>
      <c r="L370" s="3">
        <v>0.13100000000000001</v>
      </c>
      <c r="M370" s="6">
        <v>-2.9000000000000001E-2</v>
      </c>
      <c r="N370" s="3">
        <f t="shared" si="281"/>
        <v>-0.16</v>
      </c>
      <c r="O370" s="3">
        <f t="shared" si="282"/>
        <v>0.11349999999999999</v>
      </c>
      <c r="P370" s="3">
        <f t="shared" si="282"/>
        <v>0.14450000000000002</v>
      </c>
      <c r="Q370" s="3">
        <f t="shared" si="283"/>
        <v>3.1000000000000028E-2</v>
      </c>
      <c r="R370" s="3">
        <f t="shared" si="284"/>
        <v>0.48899999999999999</v>
      </c>
      <c r="S370" s="3">
        <f t="shared" si="285"/>
        <v>0.23100000000000001</v>
      </c>
      <c r="T370" s="3">
        <f t="shared" si="286"/>
        <v>-0.25800000000000001</v>
      </c>
      <c r="U370" s="3">
        <f t="shared" si="287"/>
        <v>-0.11349999999999999</v>
      </c>
      <c r="V370" s="3">
        <f t="shared" si="288"/>
        <v>-0.14450000000000002</v>
      </c>
      <c r="W370" s="3">
        <f t="shared" si="244"/>
        <v>-3.1000000000000028E-2</v>
      </c>
      <c r="X370" s="3">
        <f t="shared" si="232"/>
        <v>1.3172034764826174E-2</v>
      </c>
      <c r="Y370" s="3">
        <f t="shared" si="233"/>
        <v>4.519534632034633E-2</v>
      </c>
      <c r="Z370" s="3">
        <f t="shared" si="289"/>
        <v>3.2023311555520156E-2</v>
      </c>
      <c r="AA370" s="3">
        <v>3.3479999999999999</v>
      </c>
      <c r="AB370" s="3">
        <v>3.2959999999999998</v>
      </c>
      <c r="AC370" s="3">
        <f t="shared" si="290"/>
        <v>-5.2000000000000046E-2</v>
      </c>
      <c r="AD370" s="3">
        <f>-1823.075437*627.50956</f>
        <v>-1143997.2653186775</v>
      </c>
      <c r="AE370" s="3">
        <f>-1826.908029*627.50956</f>
        <v>-1146402.2534382571</v>
      </c>
      <c r="AF370" s="3">
        <f t="shared" si="291"/>
        <v>-2404.9881195796188</v>
      </c>
      <c r="AG370" s="3">
        <f>-1823.124457*627.50956</f>
        <v>-1144028.0258373087</v>
      </c>
      <c r="AH370" s="3">
        <f>-1826.958278*627.50956</f>
        <v>-1146433.7851661376</v>
      </c>
      <c r="AI370" s="3">
        <f t="shared" si="292"/>
        <v>-2405.7593288288917</v>
      </c>
      <c r="AJ370" s="3">
        <v>-0.89100000000000001</v>
      </c>
      <c r="AK370" s="3">
        <v>-0.89800000000000002</v>
      </c>
      <c r="AL370" s="3">
        <f t="shared" si="293"/>
        <v>-7.0000000000000062E-3</v>
      </c>
      <c r="AM370" s="3">
        <v>189.54288</v>
      </c>
      <c r="AN370" s="3">
        <v>207.41686999999999</v>
      </c>
      <c r="AO370" s="3">
        <v>228.15110000000001</v>
      </c>
      <c r="AP370" s="3">
        <f t="shared" si="294"/>
        <v>1.1489072818153088</v>
      </c>
      <c r="AQ370" s="3">
        <v>9.3979999999999997</v>
      </c>
      <c r="AR370" s="3">
        <v>2.2689629</v>
      </c>
      <c r="AS370" s="3">
        <v>-959.76900000000001</v>
      </c>
      <c r="AT370" s="3">
        <v>-958.05</v>
      </c>
      <c r="AU370" s="3">
        <f t="shared" si="220"/>
        <v>-1.7190000000000509</v>
      </c>
      <c r="AV370" s="3">
        <v>-0.317</v>
      </c>
      <c r="AW370" s="3">
        <v>-0.45</v>
      </c>
      <c r="AX370" s="3">
        <f t="shared" si="221"/>
        <v>0.13300000000000001</v>
      </c>
      <c r="AY370" s="3">
        <v>-2.4E-2</v>
      </c>
      <c r="AZ370" s="3">
        <v>0.13500000000000001</v>
      </c>
      <c r="BA370" s="3">
        <f t="shared" si="222"/>
        <v>-0.159</v>
      </c>
      <c r="BB370" s="3">
        <f t="shared" si="296"/>
        <v>0.17050000000000001</v>
      </c>
      <c r="BC370" s="3">
        <f t="shared" si="296"/>
        <v>0.1575</v>
      </c>
      <c r="BD370" s="3">
        <f t="shared" si="224"/>
        <v>1.3000000000000012E-2</v>
      </c>
      <c r="BE370" s="3">
        <f t="shared" si="297"/>
        <v>0.29299999999999998</v>
      </c>
      <c r="BF370" s="3">
        <f t="shared" si="297"/>
        <v>0.58499999999999996</v>
      </c>
      <c r="BG370" s="3">
        <f t="shared" si="226"/>
        <v>-0.29199999999999998</v>
      </c>
      <c r="BH370" s="3">
        <f t="shared" si="298"/>
        <v>-0.17050000000000001</v>
      </c>
      <c r="BI370" s="3">
        <f t="shared" si="298"/>
        <v>-0.1575</v>
      </c>
      <c r="BJ370" s="3">
        <f t="shared" si="251"/>
        <v>-1.3000000000000012E-2</v>
      </c>
      <c r="BK370" s="3">
        <f t="shared" si="234"/>
        <v>4.9607935153583631E-2</v>
      </c>
      <c r="BL370" s="3">
        <f t="shared" si="235"/>
        <v>2.120192307692308E-2</v>
      </c>
      <c r="BM370" s="3">
        <f t="shared" si="228"/>
        <v>2.8406012076660551E-2</v>
      </c>
      <c r="BN370" s="3">
        <v>2.2370000000000001</v>
      </c>
      <c r="BO370" s="3">
        <v>2.431</v>
      </c>
      <c r="BP370" s="3">
        <f t="shared" si="229"/>
        <v>-0.19399999999999995</v>
      </c>
      <c r="BQ370" s="3">
        <v>-602243.07700000005</v>
      </c>
      <c r="BR370" s="3">
        <v>-601163.24300000002</v>
      </c>
      <c r="BS370" s="3">
        <f t="shared" si="230"/>
        <v>-1079.8340000000317</v>
      </c>
      <c r="BT370" s="3">
        <v>-602262.36399999994</v>
      </c>
      <c r="BU370" s="3">
        <v>-601182.38500000001</v>
      </c>
      <c r="BV370" s="3">
        <f t="shared" si="231"/>
        <v>-1079.9789999999339</v>
      </c>
    </row>
    <row r="371" spans="1:74" x14ac:dyDescent="0.25">
      <c r="A371" t="s">
        <v>13</v>
      </c>
      <c r="B371" s="1" t="s">
        <v>646</v>
      </c>
      <c r="C371" s="1" t="s">
        <v>103</v>
      </c>
      <c r="D371" s="3">
        <v>-0.5</v>
      </c>
      <c r="E371" s="3">
        <v>1.1000000000000001</v>
      </c>
      <c r="F371" s="3">
        <v>-309.96600000000001</v>
      </c>
      <c r="G371" s="3">
        <v>-312.12299999999999</v>
      </c>
      <c r="H371" s="3">
        <f t="shared" si="295"/>
        <v>-2.1569999999999823</v>
      </c>
      <c r="I371" s="3">
        <v>-0.318</v>
      </c>
      <c r="J371" s="6">
        <v>-0.22600000000000001</v>
      </c>
      <c r="K371" s="3">
        <f t="shared" si="280"/>
        <v>9.1999999999999998E-2</v>
      </c>
      <c r="L371" s="3">
        <v>0.13</v>
      </c>
      <c r="M371" s="6">
        <v>-2.3E-2</v>
      </c>
      <c r="N371" s="3">
        <f t="shared" si="281"/>
        <v>-0.153</v>
      </c>
      <c r="O371" s="3">
        <f t="shared" si="282"/>
        <v>9.4E-2</v>
      </c>
      <c r="P371" s="3">
        <f t="shared" si="282"/>
        <v>0.1245</v>
      </c>
      <c r="Q371" s="3">
        <f t="shared" si="283"/>
        <v>3.0499999999999999E-2</v>
      </c>
      <c r="R371" s="3">
        <f t="shared" si="284"/>
        <v>0.44800000000000001</v>
      </c>
      <c r="S371" s="3">
        <f t="shared" si="285"/>
        <v>0.20300000000000001</v>
      </c>
      <c r="T371" s="3">
        <f t="shared" si="286"/>
        <v>-0.245</v>
      </c>
      <c r="U371" s="3">
        <f t="shared" si="287"/>
        <v>-9.4E-2</v>
      </c>
      <c r="V371" s="3">
        <f t="shared" si="288"/>
        <v>-0.1245</v>
      </c>
      <c r="W371" s="3">
        <f t="shared" si="244"/>
        <v>-3.0499999999999999E-2</v>
      </c>
      <c r="X371" s="3">
        <f t="shared" si="232"/>
        <v>9.8616071428571424E-3</v>
      </c>
      <c r="Y371" s="3">
        <f t="shared" si="233"/>
        <v>3.8177955665024625E-2</v>
      </c>
      <c r="Z371" s="3">
        <f t="shared" si="289"/>
        <v>2.8316348522167481E-2</v>
      </c>
      <c r="AA371" s="3">
        <v>0.78500000000000003</v>
      </c>
      <c r="AB371" s="3">
        <v>0.77</v>
      </c>
      <c r="AC371" s="3">
        <f t="shared" si="290"/>
        <v>-1.5000000000000013E-2</v>
      </c>
      <c r="AD371" s="3">
        <f>-309.76612*627.50956</f>
        <v>-194381.20166410718</v>
      </c>
      <c r="AE371" s="3">
        <f>-311.935577*627.50956</f>
        <v>-195742.55667161613</v>
      </c>
      <c r="AF371" s="3">
        <f t="shared" si="291"/>
        <v>-1361.3550075089443</v>
      </c>
      <c r="AG371" s="3">
        <f>-309.804735*627.50956</f>
        <v>-194405.43294576657</v>
      </c>
      <c r="AH371" s="3">
        <f>-311.974991*627.50956</f>
        <v>-195767.28933341394</v>
      </c>
      <c r="AI371" s="3">
        <f t="shared" si="292"/>
        <v>-1361.8563876473636</v>
      </c>
      <c r="AJ371" s="3">
        <v>-0.36699999999999999</v>
      </c>
      <c r="AK371" s="3">
        <v>-0.42099999999999999</v>
      </c>
      <c r="AL371" s="3">
        <f t="shared" si="293"/>
        <v>-5.3999999999999992E-2</v>
      </c>
      <c r="AM371" s="3">
        <v>108.18088</v>
      </c>
      <c r="AN371" s="3">
        <v>181.44422</v>
      </c>
      <c r="AO371" s="3">
        <v>201.876</v>
      </c>
      <c r="AP371" s="3">
        <f t="shared" si="294"/>
        <v>1.0904588825763195</v>
      </c>
      <c r="AQ371" s="3">
        <v>7.9340000000000002</v>
      </c>
      <c r="AR371" s="3">
        <v>1.88344</v>
      </c>
      <c r="AS371" s="3">
        <v>-959.76900000000001</v>
      </c>
      <c r="AT371" s="3">
        <v>-958.05</v>
      </c>
      <c r="AU371" s="3">
        <f t="shared" si="220"/>
        <v>-1.7190000000000509</v>
      </c>
      <c r="AV371" s="3">
        <v>-0.317</v>
      </c>
      <c r="AW371" s="3">
        <v>-0.45</v>
      </c>
      <c r="AX371" s="3">
        <f t="shared" si="221"/>
        <v>0.13300000000000001</v>
      </c>
      <c r="AY371" s="3">
        <v>-2.4E-2</v>
      </c>
      <c r="AZ371" s="3">
        <v>0.13500000000000001</v>
      </c>
      <c r="BA371" s="3">
        <f t="shared" si="222"/>
        <v>-0.159</v>
      </c>
      <c r="BB371" s="3">
        <f t="shared" si="296"/>
        <v>0.17050000000000001</v>
      </c>
      <c r="BC371" s="3">
        <f t="shared" si="296"/>
        <v>0.1575</v>
      </c>
      <c r="BD371" s="3">
        <f t="shared" si="224"/>
        <v>1.3000000000000012E-2</v>
      </c>
      <c r="BE371" s="3">
        <f t="shared" si="297"/>
        <v>0.29299999999999998</v>
      </c>
      <c r="BF371" s="3">
        <f t="shared" si="297"/>
        <v>0.58499999999999996</v>
      </c>
      <c r="BG371" s="3">
        <f t="shared" si="226"/>
        <v>-0.29199999999999998</v>
      </c>
      <c r="BH371" s="3">
        <f t="shared" si="298"/>
        <v>-0.17050000000000001</v>
      </c>
      <c r="BI371" s="3">
        <f t="shared" si="298"/>
        <v>-0.1575</v>
      </c>
      <c r="BJ371" s="3">
        <f t="shared" si="251"/>
        <v>-1.3000000000000012E-2</v>
      </c>
      <c r="BK371" s="3">
        <f t="shared" si="234"/>
        <v>4.9607935153583631E-2</v>
      </c>
      <c r="BL371" s="3">
        <f t="shared" si="235"/>
        <v>2.120192307692308E-2</v>
      </c>
      <c r="BM371" s="3">
        <f t="shared" si="228"/>
        <v>2.8406012076660551E-2</v>
      </c>
      <c r="BN371" s="3">
        <v>2.2370000000000001</v>
      </c>
      <c r="BO371" s="3">
        <v>2.431</v>
      </c>
      <c r="BP371" s="3">
        <f t="shared" si="229"/>
        <v>-0.19399999999999995</v>
      </c>
      <c r="BQ371" s="3">
        <v>-602243.07700000005</v>
      </c>
      <c r="BR371" s="3">
        <v>-601163.24300000002</v>
      </c>
      <c r="BS371" s="3">
        <f t="shared" si="230"/>
        <v>-1079.8340000000317</v>
      </c>
      <c r="BT371" s="3">
        <v>-602262.36399999994</v>
      </c>
      <c r="BU371" s="3">
        <v>-601182.38500000001</v>
      </c>
      <c r="BV371" s="3">
        <f t="shared" si="231"/>
        <v>-1079.9789999999339</v>
      </c>
    </row>
    <row r="372" spans="1:74" x14ac:dyDescent="0.25">
      <c r="A372" t="s">
        <v>14</v>
      </c>
      <c r="B372" s="1" t="s">
        <v>646</v>
      </c>
      <c r="C372" s="1" t="s">
        <v>103</v>
      </c>
      <c r="D372" s="3">
        <v>-0.49</v>
      </c>
      <c r="E372" s="3">
        <v>1.18</v>
      </c>
      <c r="F372" s="3">
        <v>-346.70499999999998</v>
      </c>
      <c r="G372" s="3">
        <v>-349.06</v>
      </c>
      <c r="H372" s="3">
        <f>G372-F372</f>
        <v>-2.3550000000000182</v>
      </c>
      <c r="I372" s="3">
        <v>-0.30399999999999999</v>
      </c>
      <c r="J372" s="6">
        <v>-0.22600000000000001</v>
      </c>
      <c r="K372" s="3">
        <f t="shared" si="280"/>
        <v>7.7999999999999986E-2</v>
      </c>
      <c r="L372" s="3">
        <v>0.104</v>
      </c>
      <c r="M372" s="6">
        <v>-0.04</v>
      </c>
      <c r="N372" s="3">
        <f t="shared" si="281"/>
        <v>-0.14399999999999999</v>
      </c>
      <c r="O372" s="3">
        <f t="shared" si="282"/>
        <v>0.1</v>
      </c>
      <c r="P372" s="3">
        <f t="shared" si="282"/>
        <v>0.13300000000000001</v>
      </c>
      <c r="Q372" s="3">
        <f t="shared" si="283"/>
        <v>3.3000000000000002E-2</v>
      </c>
      <c r="R372" s="3">
        <f t="shared" si="284"/>
        <v>0.40799999999999997</v>
      </c>
      <c r="S372" s="3">
        <f t="shared" si="285"/>
        <v>0.186</v>
      </c>
      <c r="T372" s="3">
        <f t="shared" si="286"/>
        <v>-0.22199999999999998</v>
      </c>
      <c r="U372" s="3">
        <f t="shared" si="287"/>
        <v>-0.1</v>
      </c>
      <c r="V372" s="3">
        <f t="shared" si="288"/>
        <v>-0.13300000000000001</v>
      </c>
      <c r="W372" s="3">
        <f t="shared" si="244"/>
        <v>-3.3000000000000002E-2</v>
      </c>
      <c r="X372" s="3">
        <f t="shared" si="232"/>
        <v>1.2254901960784317E-2</v>
      </c>
      <c r="Y372" s="3">
        <f t="shared" si="233"/>
        <v>4.7551075268817217E-2</v>
      </c>
      <c r="Z372" s="3">
        <f t="shared" si="289"/>
        <v>3.5296173308032898E-2</v>
      </c>
      <c r="AA372" s="3">
        <v>0.59</v>
      </c>
      <c r="AB372" s="3">
        <v>0.63700000000000001</v>
      </c>
      <c r="AC372" s="3">
        <f t="shared" si="290"/>
        <v>4.7000000000000042E-2</v>
      </c>
      <c r="AD372" s="3">
        <f>-346.525414*627.50956</f>
        <v>-217448.01006795783</v>
      </c>
      <c r="AE372" s="3">
        <f>-348.890022*627.50956</f>
        <v>-218931.82419361029</v>
      </c>
      <c r="AF372" s="3">
        <f t="shared" si="291"/>
        <v>-1483.8141256524541</v>
      </c>
      <c r="AG372" s="3">
        <f>-346.567563*627.50956</f>
        <v>-217474.45896840226</v>
      </c>
      <c r="AH372" s="3">
        <f>-348.933266*627.50956</f>
        <v>-218958.96021702295</v>
      </c>
      <c r="AI372" s="3">
        <f t="shared" si="292"/>
        <v>-1484.5012486206833</v>
      </c>
      <c r="AJ372" s="3">
        <v>-0.51700000000000002</v>
      </c>
      <c r="AK372" s="3">
        <v>-0.59499999999999997</v>
      </c>
      <c r="AL372" s="3">
        <f t="shared" si="293"/>
        <v>-7.7999999999999958E-2</v>
      </c>
      <c r="AM372" s="3">
        <v>118.17570000000001</v>
      </c>
      <c r="AN372" s="3">
        <v>198.8845</v>
      </c>
      <c r="AO372" s="3">
        <v>209.63036</v>
      </c>
      <c r="AP372" s="3">
        <f t="shared" si="294"/>
        <v>1.1656122458593252</v>
      </c>
      <c r="AQ372" s="3">
        <v>10.723000000000001</v>
      </c>
      <c r="AR372" s="3">
        <v>2.4105012000000001</v>
      </c>
      <c r="AS372" s="3">
        <v>-959.76900000000001</v>
      </c>
      <c r="AT372" s="3">
        <v>-958.05</v>
      </c>
      <c r="AU372" s="3">
        <f t="shared" si="220"/>
        <v>-1.7190000000000509</v>
      </c>
      <c r="AV372" s="3">
        <v>-0.317</v>
      </c>
      <c r="AW372" s="3">
        <v>-0.45</v>
      </c>
      <c r="AX372" s="3">
        <f t="shared" si="221"/>
        <v>0.13300000000000001</v>
      </c>
      <c r="AY372" s="3">
        <v>-2.4E-2</v>
      </c>
      <c r="AZ372" s="3">
        <v>0.13500000000000001</v>
      </c>
      <c r="BA372" s="3">
        <f t="shared" si="222"/>
        <v>-0.159</v>
      </c>
      <c r="BB372" s="3">
        <f t="shared" si="296"/>
        <v>0.17050000000000001</v>
      </c>
      <c r="BC372" s="3">
        <f t="shared" si="296"/>
        <v>0.1575</v>
      </c>
      <c r="BD372" s="3">
        <f t="shared" si="224"/>
        <v>1.3000000000000012E-2</v>
      </c>
      <c r="BE372" s="3">
        <f t="shared" si="297"/>
        <v>0.29299999999999998</v>
      </c>
      <c r="BF372" s="3">
        <f t="shared" si="297"/>
        <v>0.58499999999999996</v>
      </c>
      <c r="BG372" s="3">
        <f t="shared" si="226"/>
        <v>-0.29199999999999998</v>
      </c>
      <c r="BH372" s="3">
        <f t="shared" si="298"/>
        <v>-0.17050000000000001</v>
      </c>
      <c r="BI372" s="3">
        <f t="shared" si="298"/>
        <v>-0.1575</v>
      </c>
      <c r="BJ372" s="3">
        <f t="shared" si="251"/>
        <v>-1.3000000000000012E-2</v>
      </c>
      <c r="BK372" s="3">
        <f t="shared" si="234"/>
        <v>4.9607935153583631E-2</v>
      </c>
      <c r="BL372" s="3">
        <f t="shared" si="235"/>
        <v>2.120192307692308E-2</v>
      </c>
      <c r="BM372" s="3">
        <f t="shared" si="228"/>
        <v>2.8406012076660551E-2</v>
      </c>
      <c r="BN372" s="3">
        <v>2.2370000000000001</v>
      </c>
      <c r="BO372" s="3">
        <v>2.431</v>
      </c>
      <c r="BP372" s="3">
        <f t="shared" si="229"/>
        <v>-0.19399999999999995</v>
      </c>
      <c r="BQ372" s="3">
        <v>-602243.07700000005</v>
      </c>
      <c r="BR372" s="3">
        <v>-601163.24300000002</v>
      </c>
      <c r="BS372" s="3">
        <f t="shared" si="230"/>
        <v>-1079.8340000000317</v>
      </c>
      <c r="BT372" s="3">
        <v>-602262.36399999994</v>
      </c>
      <c r="BU372" s="3">
        <v>-601182.38500000001</v>
      </c>
      <c r="BV372" s="3">
        <f t="shared" si="231"/>
        <v>-1079.9789999999339</v>
      </c>
    </row>
    <row r="373" spans="1:74" x14ac:dyDescent="0.25">
      <c r="A373" t="s">
        <v>51</v>
      </c>
      <c r="B373" s="1" t="s">
        <v>646</v>
      </c>
      <c r="C373" s="1" t="s">
        <v>103</v>
      </c>
      <c r="D373" s="3">
        <v>-0.47</v>
      </c>
      <c r="E373" s="3">
        <v>1.06</v>
      </c>
      <c r="F373" s="3">
        <v>-154.92699999999999</v>
      </c>
      <c r="G373" s="3">
        <v>-156.00800000000001</v>
      </c>
      <c r="H373" s="3">
        <f t="shared" si="295"/>
        <v>-1.0810000000000173</v>
      </c>
      <c r="I373" s="3">
        <v>-0.36799999999999999</v>
      </c>
      <c r="J373" s="6">
        <v>-0.26500000000000001</v>
      </c>
      <c r="K373" s="3">
        <f t="shared" si="280"/>
        <v>0.10299999999999998</v>
      </c>
      <c r="L373" s="3">
        <v>0.151</v>
      </c>
      <c r="M373" s="6">
        <v>-1E-3</v>
      </c>
      <c r="N373" s="3">
        <f t="shared" si="281"/>
        <v>-0.152</v>
      </c>
      <c r="O373" s="3">
        <f t="shared" si="282"/>
        <v>0.1085</v>
      </c>
      <c r="P373" s="3">
        <f t="shared" si="282"/>
        <v>0.13300000000000001</v>
      </c>
      <c r="Q373" s="3">
        <f t="shared" si="283"/>
        <v>2.4500000000000008E-2</v>
      </c>
      <c r="R373" s="3">
        <f t="shared" si="284"/>
        <v>0.51900000000000002</v>
      </c>
      <c r="S373" s="3">
        <f t="shared" si="285"/>
        <v>0.26400000000000001</v>
      </c>
      <c r="T373" s="3">
        <f t="shared" si="286"/>
        <v>-0.255</v>
      </c>
      <c r="U373" s="3">
        <f t="shared" si="287"/>
        <v>-0.1085</v>
      </c>
      <c r="V373" s="3">
        <f t="shared" si="288"/>
        <v>-0.13300000000000001</v>
      </c>
      <c r="W373" s="3">
        <f t="shared" si="244"/>
        <v>-2.4500000000000008E-2</v>
      </c>
      <c r="X373" s="3">
        <f t="shared" si="232"/>
        <v>1.1341281310211945E-2</v>
      </c>
      <c r="Y373" s="3">
        <f t="shared" si="233"/>
        <v>3.3501893939393942E-2</v>
      </c>
      <c r="Z373" s="3">
        <f t="shared" si="289"/>
        <v>2.2160612629181998E-2</v>
      </c>
      <c r="AA373" s="3">
        <v>0.56499999999999995</v>
      </c>
      <c r="AB373" s="3">
        <v>0.56100000000000005</v>
      </c>
      <c r="AC373" s="3">
        <f t="shared" si="290"/>
        <v>-3.9999999999998925E-3</v>
      </c>
      <c r="AD373" s="3">
        <f>-154.831216*627.50956</f>
        <v>-97158.068226424963</v>
      </c>
      <c r="AE373" s="3">
        <f>-155.91802*627.50956</f>
        <v>-97840.048126271198</v>
      </c>
      <c r="AF373" s="3">
        <f t="shared" si="291"/>
        <v>-681.97989984623564</v>
      </c>
      <c r="AG373" s="3">
        <f>-154.862115*627.50956</f>
        <v>-97177.457644319395</v>
      </c>
      <c r="AH373" s="3">
        <f>-155.949311*627.50956</f>
        <v>-97859.683527913148</v>
      </c>
      <c r="AI373" s="3">
        <f t="shared" si="292"/>
        <v>-682.22588359375368</v>
      </c>
      <c r="AJ373" s="3">
        <v>-0.375</v>
      </c>
      <c r="AK373" s="3">
        <v>-0.41299999999999998</v>
      </c>
      <c r="AL373" s="3">
        <f t="shared" si="293"/>
        <v>-3.7999999999999978E-2</v>
      </c>
      <c r="AM373" s="3">
        <v>54.090440000000001</v>
      </c>
      <c r="AN373" s="3">
        <v>124.005</v>
      </c>
      <c r="AO373" s="3">
        <v>113.61360000000001</v>
      </c>
      <c r="AP373" s="3">
        <f t="shared" si="294"/>
        <v>1.0933056678657767</v>
      </c>
      <c r="AQ373" s="3">
        <v>6.5819999999999999</v>
      </c>
      <c r="AR373" s="3">
        <v>1.3325355999999999</v>
      </c>
      <c r="AS373" s="3">
        <v>-959.76900000000001</v>
      </c>
      <c r="AT373" s="3">
        <v>-958.05</v>
      </c>
      <c r="AU373" s="3">
        <f t="shared" si="220"/>
        <v>-1.7190000000000509</v>
      </c>
      <c r="AV373" s="3">
        <v>-0.317</v>
      </c>
      <c r="AW373" s="3">
        <v>-0.45</v>
      </c>
      <c r="AX373" s="3">
        <f t="shared" si="221"/>
        <v>0.13300000000000001</v>
      </c>
      <c r="AY373" s="3">
        <v>-2.4E-2</v>
      </c>
      <c r="AZ373" s="3">
        <v>0.13500000000000001</v>
      </c>
      <c r="BA373" s="3">
        <f t="shared" si="222"/>
        <v>-0.159</v>
      </c>
      <c r="BB373" s="3">
        <f t="shared" si="296"/>
        <v>0.17050000000000001</v>
      </c>
      <c r="BC373" s="3">
        <f t="shared" si="296"/>
        <v>0.1575</v>
      </c>
      <c r="BD373" s="3">
        <f t="shared" si="224"/>
        <v>1.3000000000000012E-2</v>
      </c>
      <c r="BE373" s="3">
        <f t="shared" si="297"/>
        <v>0.29299999999999998</v>
      </c>
      <c r="BF373" s="3">
        <f t="shared" si="297"/>
        <v>0.58499999999999996</v>
      </c>
      <c r="BG373" s="3">
        <f t="shared" si="226"/>
        <v>-0.29199999999999998</v>
      </c>
      <c r="BH373" s="3">
        <f t="shared" si="298"/>
        <v>-0.17050000000000001</v>
      </c>
      <c r="BI373" s="3">
        <f t="shared" si="298"/>
        <v>-0.1575</v>
      </c>
      <c r="BJ373" s="3">
        <f t="shared" si="251"/>
        <v>-1.3000000000000012E-2</v>
      </c>
      <c r="BK373" s="3">
        <f t="shared" si="234"/>
        <v>4.9607935153583631E-2</v>
      </c>
      <c r="BL373" s="3">
        <f t="shared" si="235"/>
        <v>2.120192307692308E-2</v>
      </c>
      <c r="BM373" s="3">
        <f t="shared" si="228"/>
        <v>2.8406012076660551E-2</v>
      </c>
      <c r="BN373" s="3">
        <v>2.2370000000000001</v>
      </c>
      <c r="BO373" s="3">
        <v>2.431</v>
      </c>
      <c r="BP373" s="3">
        <f t="shared" si="229"/>
        <v>-0.19399999999999995</v>
      </c>
      <c r="BQ373" s="3">
        <v>-602243.07700000005</v>
      </c>
      <c r="BR373" s="3">
        <v>-601163.24300000002</v>
      </c>
      <c r="BS373" s="3">
        <f t="shared" si="230"/>
        <v>-1079.8340000000317</v>
      </c>
      <c r="BT373" s="3">
        <v>-602262.36399999994</v>
      </c>
      <c r="BU373" s="3">
        <v>-601182.38500000001</v>
      </c>
      <c r="BV373" s="3">
        <f t="shared" si="231"/>
        <v>-1079.9789999999339</v>
      </c>
    </row>
    <row r="374" spans="1:74" x14ac:dyDescent="0.25">
      <c r="A374" t="s">
        <v>52</v>
      </c>
      <c r="B374" s="1" t="s">
        <v>646</v>
      </c>
      <c r="C374" s="1" t="s">
        <v>103</v>
      </c>
      <c r="D374" s="3">
        <v>-0.43</v>
      </c>
      <c r="E374" s="3">
        <v>1.06</v>
      </c>
      <c r="F374" s="3">
        <v>-424.78699999999998</v>
      </c>
      <c r="G374" s="3">
        <v>-427.70499999999998</v>
      </c>
      <c r="H374" s="3">
        <f t="shared" si="295"/>
        <v>-2.9180000000000064</v>
      </c>
      <c r="I374" s="3">
        <v>-0.308</v>
      </c>
      <c r="J374" s="6">
        <v>-0.22700000000000001</v>
      </c>
      <c r="K374" s="3">
        <f t="shared" si="280"/>
        <v>8.0999999999999989E-2</v>
      </c>
      <c r="L374" s="3">
        <v>0.11899999999999999</v>
      </c>
      <c r="M374" s="6">
        <v>-3.2000000000000001E-2</v>
      </c>
      <c r="N374" s="3">
        <f t="shared" si="281"/>
        <v>-0.151</v>
      </c>
      <c r="O374" s="3">
        <f t="shared" si="282"/>
        <v>9.4500000000000001E-2</v>
      </c>
      <c r="P374" s="3">
        <f t="shared" si="282"/>
        <v>0.1295</v>
      </c>
      <c r="Q374" s="3">
        <f t="shared" si="283"/>
        <v>3.5000000000000003E-2</v>
      </c>
      <c r="R374" s="3">
        <f t="shared" si="284"/>
        <v>0.42699999999999999</v>
      </c>
      <c r="S374" s="3">
        <f t="shared" si="285"/>
        <v>0.19500000000000001</v>
      </c>
      <c r="T374" s="3">
        <f t="shared" si="286"/>
        <v>-0.23199999999999998</v>
      </c>
      <c r="U374" s="3">
        <f t="shared" si="287"/>
        <v>-9.4500000000000001E-2</v>
      </c>
      <c r="V374" s="3">
        <f t="shared" si="288"/>
        <v>-0.1295</v>
      </c>
      <c r="W374" s="3">
        <f t="shared" si="244"/>
        <v>-3.5000000000000003E-2</v>
      </c>
      <c r="X374" s="3">
        <f t="shared" si="232"/>
        <v>1.0456967213114754E-2</v>
      </c>
      <c r="Y374" s="3">
        <f t="shared" si="233"/>
        <v>4.3000641025641023E-2</v>
      </c>
      <c r="Z374" s="3">
        <f t="shared" si="289"/>
        <v>3.2543673812526271E-2</v>
      </c>
      <c r="AA374" s="3">
        <v>0.13</v>
      </c>
      <c r="AB374" s="3">
        <v>0.25700000000000001</v>
      </c>
      <c r="AC374" s="3">
        <f t="shared" si="290"/>
        <v>0.127</v>
      </c>
      <c r="AD374" s="3">
        <f>-424.546093*627.50956</f>
        <v>-266406.73201814905</v>
      </c>
      <c r="AE374" s="3">
        <f>-427.477395*627.50956</f>
        <v>-268246.15204639616</v>
      </c>
      <c r="AF374" s="3">
        <f t="shared" si="291"/>
        <v>-1839.4200282471138</v>
      </c>
      <c r="AG374" s="3">
        <f>-424.596142*627.50956</f>
        <v>-266438.13824411749</v>
      </c>
      <c r="AH374" s="3">
        <f>-427.527745*627.50956</f>
        <v>-268277.74715274217</v>
      </c>
      <c r="AI374" s="3">
        <f t="shared" si="292"/>
        <v>-1839.6089086246793</v>
      </c>
      <c r="AJ374" s="3">
        <v>-0.51400000000000001</v>
      </c>
      <c r="AK374" s="3">
        <v>-0.35799999999999998</v>
      </c>
      <c r="AL374" s="3">
        <f t="shared" si="293"/>
        <v>0.15600000000000003</v>
      </c>
      <c r="AM374" s="3">
        <v>146.22886</v>
      </c>
      <c r="AN374" s="3">
        <v>232.65600000000001</v>
      </c>
      <c r="AO374" s="3">
        <v>261.85840000000002</v>
      </c>
      <c r="AP374" s="3">
        <f t="shared" si="294"/>
        <v>1.1755989807386795</v>
      </c>
      <c r="AQ374" s="3">
        <v>10.755000000000001</v>
      </c>
      <c r="AR374" s="3">
        <v>2.4137754</v>
      </c>
      <c r="AS374" s="3">
        <v>-959.76900000000001</v>
      </c>
      <c r="AT374" s="3">
        <v>-958.05</v>
      </c>
      <c r="AU374" s="3">
        <f t="shared" si="220"/>
        <v>-1.7190000000000509</v>
      </c>
      <c r="AV374" s="3">
        <v>-0.317</v>
      </c>
      <c r="AW374" s="3">
        <v>-0.45</v>
      </c>
      <c r="AX374" s="3">
        <f t="shared" si="221"/>
        <v>0.13300000000000001</v>
      </c>
      <c r="AY374" s="3">
        <v>-2.4E-2</v>
      </c>
      <c r="AZ374" s="3">
        <v>0.13500000000000001</v>
      </c>
      <c r="BA374" s="3">
        <f t="shared" si="222"/>
        <v>-0.159</v>
      </c>
      <c r="BB374" s="3">
        <f t="shared" si="296"/>
        <v>0.17050000000000001</v>
      </c>
      <c r="BC374" s="3">
        <f t="shared" si="296"/>
        <v>0.1575</v>
      </c>
      <c r="BD374" s="3">
        <f t="shared" si="224"/>
        <v>1.3000000000000012E-2</v>
      </c>
      <c r="BE374" s="3">
        <f t="shared" si="297"/>
        <v>0.29299999999999998</v>
      </c>
      <c r="BF374" s="3">
        <f t="shared" si="297"/>
        <v>0.58499999999999996</v>
      </c>
      <c r="BG374" s="3">
        <f t="shared" si="226"/>
        <v>-0.29199999999999998</v>
      </c>
      <c r="BH374" s="3">
        <f t="shared" si="298"/>
        <v>-0.17050000000000001</v>
      </c>
      <c r="BI374" s="3">
        <f t="shared" si="298"/>
        <v>-0.1575</v>
      </c>
      <c r="BJ374" s="3">
        <f t="shared" si="251"/>
        <v>-1.3000000000000012E-2</v>
      </c>
      <c r="BK374" s="3">
        <f t="shared" si="234"/>
        <v>4.9607935153583631E-2</v>
      </c>
      <c r="BL374" s="3">
        <f t="shared" si="235"/>
        <v>2.120192307692308E-2</v>
      </c>
      <c r="BM374" s="3">
        <f t="shared" si="228"/>
        <v>2.8406012076660551E-2</v>
      </c>
      <c r="BN374" s="3">
        <v>2.2370000000000001</v>
      </c>
      <c r="BO374" s="3">
        <v>2.431</v>
      </c>
      <c r="BP374" s="3">
        <f t="shared" si="229"/>
        <v>-0.19399999999999995</v>
      </c>
      <c r="BQ374" s="3">
        <v>-602243.07700000005</v>
      </c>
      <c r="BR374" s="3">
        <v>-601163.24300000002</v>
      </c>
      <c r="BS374" s="3">
        <f t="shared" si="230"/>
        <v>-1079.8340000000317</v>
      </c>
      <c r="BT374" s="3">
        <v>-602262.36399999994</v>
      </c>
      <c r="BU374" s="3">
        <v>-601182.38500000001</v>
      </c>
      <c r="BV374" s="3">
        <f t="shared" si="231"/>
        <v>-1079.9789999999339</v>
      </c>
    </row>
    <row r="375" spans="1:74" x14ac:dyDescent="0.25">
      <c r="A375" t="s">
        <v>53</v>
      </c>
      <c r="B375" s="1" t="s">
        <v>646</v>
      </c>
      <c r="C375" s="1" t="s">
        <v>103</v>
      </c>
      <c r="D375" s="3">
        <v>-0.35</v>
      </c>
      <c r="E375" s="3">
        <v>0.93</v>
      </c>
      <c r="F375" s="3">
        <v>-680.601</v>
      </c>
      <c r="G375" s="3">
        <v>-683.31899999999996</v>
      </c>
      <c r="H375" s="3">
        <f t="shared" si="295"/>
        <v>-2.7179999999999609</v>
      </c>
      <c r="I375" s="3">
        <v>-0.40300000000000002</v>
      </c>
      <c r="J375" s="6">
        <v>-0.26800000000000002</v>
      </c>
      <c r="K375" s="3">
        <f t="shared" si="280"/>
        <v>0.13500000000000001</v>
      </c>
      <c r="L375" s="3">
        <v>7.0000000000000007E-2</v>
      </c>
      <c r="M375" s="6">
        <v>-9.0999999999999998E-2</v>
      </c>
      <c r="N375" s="3">
        <f t="shared" si="281"/>
        <v>-0.161</v>
      </c>
      <c r="O375" s="3">
        <f t="shared" si="282"/>
        <v>0.16650000000000001</v>
      </c>
      <c r="P375" s="3">
        <f t="shared" si="282"/>
        <v>0.17949999999999999</v>
      </c>
      <c r="Q375" s="3">
        <f t="shared" si="283"/>
        <v>1.2999999999999984E-2</v>
      </c>
      <c r="R375" s="3">
        <f t="shared" si="284"/>
        <v>0.47300000000000003</v>
      </c>
      <c r="S375" s="3">
        <f t="shared" si="285"/>
        <v>0.17700000000000002</v>
      </c>
      <c r="T375" s="3">
        <f t="shared" si="286"/>
        <v>-0.29600000000000004</v>
      </c>
      <c r="U375" s="3">
        <f t="shared" si="287"/>
        <v>-0.16650000000000001</v>
      </c>
      <c r="V375" s="3">
        <f t="shared" si="288"/>
        <v>-0.17949999999999999</v>
      </c>
      <c r="W375" s="3">
        <f t="shared" si="244"/>
        <v>-1.2999999999999984E-2</v>
      </c>
      <c r="X375" s="3">
        <f t="shared" si="232"/>
        <v>2.9304704016913322E-2</v>
      </c>
      <c r="Y375" s="3">
        <f t="shared" si="233"/>
        <v>9.1017655367231623E-2</v>
      </c>
      <c r="Z375" s="3">
        <f t="shared" si="289"/>
        <v>6.1712951350318304E-2</v>
      </c>
      <c r="AA375" s="3">
        <v>7.2290000000000001</v>
      </c>
      <c r="AB375" s="3">
        <v>6.8209999999999997</v>
      </c>
      <c r="AC375" s="3">
        <f t="shared" si="290"/>
        <v>-0.40800000000000036</v>
      </c>
      <c r="AD375" s="3">
        <f>-680.374982*627.50956</f>
        <v>-426941.80558982794</v>
      </c>
      <c r="AE375" s="3">
        <f>-683.129106*627.50956</f>
        <v>-428670.04472925334</v>
      </c>
      <c r="AF375" s="3">
        <f t="shared" si="291"/>
        <v>-1728.2391394253937</v>
      </c>
      <c r="AG375" s="3">
        <f>-680.44701*627.50956</f>
        <v>-426987.00384841557</v>
      </c>
      <c r="AH375" s="3">
        <f>-683.18762*627.50956</f>
        <v>-428706.76282364718</v>
      </c>
      <c r="AI375" s="3">
        <f t="shared" si="292"/>
        <v>-1719.7589752316126</v>
      </c>
      <c r="AJ375" s="3">
        <v>-0.50800000000000001</v>
      </c>
      <c r="AK375" s="3">
        <v>-0.22600000000000001</v>
      </c>
      <c r="AL375" s="3">
        <f t="shared" si="293"/>
        <v>0.28200000000000003</v>
      </c>
      <c r="AM375" s="3">
        <v>186.16499999999999</v>
      </c>
      <c r="AN375" s="3">
        <v>246.352</v>
      </c>
      <c r="AO375" s="3">
        <v>257.14260000000002</v>
      </c>
      <c r="AP375" s="3">
        <f t="shared" si="294"/>
        <v>1.2599772074526896</v>
      </c>
      <c r="AQ375" s="3">
        <v>12.766999999999999</v>
      </c>
      <c r="AR375" s="3">
        <v>2.8033999999999999</v>
      </c>
      <c r="AS375" s="3">
        <v>-959.76900000000001</v>
      </c>
      <c r="AT375" s="3">
        <v>-958.05</v>
      </c>
      <c r="AU375" s="3">
        <f t="shared" si="220"/>
        <v>-1.7190000000000509</v>
      </c>
      <c r="AV375" s="3">
        <v>-0.317</v>
      </c>
      <c r="AW375" s="3">
        <v>-0.45</v>
      </c>
      <c r="AX375" s="3">
        <f t="shared" si="221"/>
        <v>0.13300000000000001</v>
      </c>
      <c r="AY375" s="3">
        <v>-2.4E-2</v>
      </c>
      <c r="AZ375" s="3">
        <v>0.13500000000000001</v>
      </c>
      <c r="BA375" s="3">
        <f t="shared" si="222"/>
        <v>-0.159</v>
      </c>
      <c r="BB375" s="3">
        <f t="shared" si="296"/>
        <v>0.17050000000000001</v>
      </c>
      <c r="BC375" s="3">
        <f t="shared" si="296"/>
        <v>0.1575</v>
      </c>
      <c r="BD375" s="3">
        <f t="shared" si="224"/>
        <v>1.3000000000000012E-2</v>
      </c>
      <c r="BE375" s="3">
        <f t="shared" si="297"/>
        <v>0.29299999999999998</v>
      </c>
      <c r="BF375" s="3">
        <f t="shared" si="297"/>
        <v>0.58499999999999996</v>
      </c>
      <c r="BG375" s="3">
        <f t="shared" si="226"/>
        <v>-0.29199999999999998</v>
      </c>
      <c r="BH375" s="3">
        <f t="shared" si="298"/>
        <v>-0.17050000000000001</v>
      </c>
      <c r="BI375" s="3">
        <f t="shared" si="298"/>
        <v>-0.1575</v>
      </c>
      <c r="BJ375" s="3">
        <f t="shared" si="251"/>
        <v>-1.3000000000000012E-2</v>
      </c>
      <c r="BK375" s="3">
        <f t="shared" si="234"/>
        <v>4.9607935153583631E-2</v>
      </c>
      <c r="BL375" s="3">
        <f t="shared" si="235"/>
        <v>2.120192307692308E-2</v>
      </c>
      <c r="BM375" s="3">
        <f t="shared" si="228"/>
        <v>2.8406012076660551E-2</v>
      </c>
      <c r="BN375" s="3">
        <v>2.2370000000000001</v>
      </c>
      <c r="BO375" s="3">
        <v>2.431</v>
      </c>
      <c r="BP375" s="3">
        <f t="shared" si="229"/>
        <v>-0.19399999999999995</v>
      </c>
      <c r="BQ375" s="3">
        <v>-602243.07700000005</v>
      </c>
      <c r="BR375" s="3">
        <v>-601163.24300000002</v>
      </c>
      <c r="BS375" s="3">
        <f t="shared" si="230"/>
        <v>-1079.8340000000317</v>
      </c>
      <c r="BT375" s="3">
        <v>-602262.36399999994</v>
      </c>
      <c r="BU375" s="3">
        <v>-601182.38500000001</v>
      </c>
      <c r="BV375" s="3">
        <f t="shared" si="231"/>
        <v>-1079.9789999999339</v>
      </c>
    </row>
    <row r="376" spans="1:74" x14ac:dyDescent="0.25">
      <c r="A376" t="s">
        <v>54</v>
      </c>
      <c r="B376" s="1" t="s">
        <v>646</v>
      </c>
      <c r="C376" s="1" t="s">
        <v>103</v>
      </c>
      <c r="D376" s="3">
        <v>-0.26</v>
      </c>
      <c r="E376" s="3">
        <v>0.95</v>
      </c>
      <c r="F376" s="3">
        <v>-892.58399999999995</v>
      </c>
      <c r="G376" s="3">
        <v>-896.077</v>
      </c>
      <c r="H376" s="3">
        <f t="shared" si="295"/>
        <v>-3.4930000000000518</v>
      </c>
      <c r="I376" s="3">
        <v>-0.33300000000000002</v>
      </c>
      <c r="J376" s="6">
        <v>-0.23799999999999999</v>
      </c>
      <c r="K376" s="3">
        <f t="shared" si="280"/>
        <v>9.5000000000000029E-2</v>
      </c>
      <c r="L376" s="3">
        <v>0.13100000000000001</v>
      </c>
      <c r="M376" s="6">
        <v>-4.0000000000000001E-3</v>
      </c>
      <c r="N376" s="3">
        <f t="shared" si="281"/>
        <v>-0.13500000000000001</v>
      </c>
      <c r="O376" s="3">
        <f t="shared" si="282"/>
        <v>0.10100000000000001</v>
      </c>
      <c r="P376" s="3">
        <f t="shared" si="282"/>
        <v>0.121</v>
      </c>
      <c r="Q376" s="3">
        <f t="shared" si="283"/>
        <v>1.999999999999999E-2</v>
      </c>
      <c r="R376" s="3">
        <f t="shared" si="284"/>
        <v>0.46400000000000002</v>
      </c>
      <c r="S376" s="3">
        <f t="shared" si="285"/>
        <v>0.23399999999999999</v>
      </c>
      <c r="T376" s="3">
        <f t="shared" si="286"/>
        <v>-0.23000000000000004</v>
      </c>
      <c r="U376" s="3">
        <f t="shared" si="287"/>
        <v>-0.10100000000000001</v>
      </c>
      <c r="V376" s="3">
        <f t="shared" si="288"/>
        <v>-0.121</v>
      </c>
      <c r="W376" s="3">
        <f t="shared" si="244"/>
        <v>-1.999999999999999E-2</v>
      </c>
      <c r="X376" s="3">
        <f t="shared" si="232"/>
        <v>1.0992456896551725E-2</v>
      </c>
      <c r="Y376" s="3">
        <f t="shared" si="233"/>
        <v>3.1284188034188032E-2</v>
      </c>
      <c r="Z376" s="3">
        <f t="shared" si="289"/>
        <v>2.0291731137636305E-2</v>
      </c>
      <c r="AA376" s="3">
        <v>0.37</v>
      </c>
      <c r="AB376" s="3">
        <v>0.51</v>
      </c>
      <c r="AC376" s="3">
        <f t="shared" si="290"/>
        <v>0.14000000000000001</v>
      </c>
      <c r="AD376" s="3">
        <f>-892.297393*627.50956</f>
        <v>-559925.14447057713</v>
      </c>
      <c r="AE376" s="3">
        <f>-895.803533*627.50956</f>
        <v>-562125.28083927545</v>
      </c>
      <c r="AF376" s="3">
        <f t="shared" si="291"/>
        <v>-2200.1363686983241</v>
      </c>
      <c r="AG376" s="3">
        <f>-892.353885*627.50956</f>
        <v>-559960.59374064056</v>
      </c>
      <c r="AH376" s="3">
        <f>-895.866765*627.50956</f>
        <v>-562164.9595237734</v>
      </c>
      <c r="AI376" s="3">
        <f t="shared" si="292"/>
        <v>-2204.3657831328455</v>
      </c>
      <c r="AJ376" s="3">
        <v>-0.52200000000000002</v>
      </c>
      <c r="AK376" s="3">
        <v>-0.59599999999999997</v>
      </c>
      <c r="AL376" s="3">
        <f t="shared" si="293"/>
        <v>-7.3999999999999955E-2</v>
      </c>
      <c r="AM376" s="3">
        <v>172.41499999999999</v>
      </c>
      <c r="AN376" s="3">
        <v>270.84179999999998</v>
      </c>
      <c r="AO376" s="3">
        <v>334.59199999999998</v>
      </c>
      <c r="AP376" s="3">
        <f t="shared" si="294"/>
        <v>1.1622367575429058</v>
      </c>
      <c r="AQ376" s="3">
        <v>10.130000000000001</v>
      </c>
      <c r="AR376" s="3">
        <v>2.4327999999999999</v>
      </c>
      <c r="AS376" s="3">
        <v>-959.76900000000001</v>
      </c>
      <c r="AT376" s="3">
        <v>-958.05</v>
      </c>
      <c r="AU376" s="3">
        <f t="shared" si="220"/>
        <v>-1.7190000000000509</v>
      </c>
      <c r="AV376" s="3">
        <v>-0.317</v>
      </c>
      <c r="AW376" s="3">
        <v>-0.45</v>
      </c>
      <c r="AX376" s="3">
        <f t="shared" si="221"/>
        <v>0.13300000000000001</v>
      </c>
      <c r="AY376" s="3">
        <v>-2.4E-2</v>
      </c>
      <c r="AZ376" s="3">
        <v>0.13500000000000001</v>
      </c>
      <c r="BA376" s="3">
        <f t="shared" si="222"/>
        <v>-0.159</v>
      </c>
      <c r="BB376" s="3">
        <f t="shared" si="296"/>
        <v>0.17050000000000001</v>
      </c>
      <c r="BC376" s="3">
        <f t="shared" si="296"/>
        <v>0.1575</v>
      </c>
      <c r="BD376" s="3">
        <f t="shared" si="224"/>
        <v>1.3000000000000012E-2</v>
      </c>
      <c r="BE376" s="3">
        <f t="shared" si="297"/>
        <v>0.29299999999999998</v>
      </c>
      <c r="BF376" s="3">
        <f t="shared" si="297"/>
        <v>0.58499999999999996</v>
      </c>
      <c r="BG376" s="3">
        <f t="shared" si="226"/>
        <v>-0.29199999999999998</v>
      </c>
      <c r="BH376" s="3">
        <f t="shared" si="298"/>
        <v>-0.17050000000000001</v>
      </c>
      <c r="BI376" s="3">
        <f t="shared" si="298"/>
        <v>-0.1575</v>
      </c>
      <c r="BJ376" s="3">
        <f t="shared" si="251"/>
        <v>-1.3000000000000012E-2</v>
      </c>
      <c r="BK376" s="3">
        <f t="shared" si="234"/>
        <v>4.9607935153583631E-2</v>
      </c>
      <c r="BL376" s="3">
        <f t="shared" si="235"/>
        <v>2.120192307692308E-2</v>
      </c>
      <c r="BM376" s="3">
        <f t="shared" si="228"/>
        <v>2.8406012076660551E-2</v>
      </c>
      <c r="BN376" s="3">
        <v>2.2370000000000001</v>
      </c>
      <c r="BO376" s="3">
        <v>2.431</v>
      </c>
      <c r="BP376" s="3">
        <f t="shared" si="229"/>
        <v>-0.19399999999999995</v>
      </c>
      <c r="BQ376" s="3">
        <v>-602243.07700000005</v>
      </c>
      <c r="BR376" s="3">
        <v>-601163.24300000002</v>
      </c>
      <c r="BS376" s="3">
        <f t="shared" si="230"/>
        <v>-1079.8340000000317</v>
      </c>
      <c r="BT376" s="3">
        <v>-602262.36399999994</v>
      </c>
      <c r="BU376" s="3">
        <v>-601182.38500000001</v>
      </c>
      <c r="BV376" s="3">
        <f t="shared" si="231"/>
        <v>-1079.9789999999339</v>
      </c>
    </row>
    <row r="377" spans="1:74" x14ac:dyDescent="0.25">
      <c r="A377" t="s">
        <v>55</v>
      </c>
      <c r="B377" s="1" t="s">
        <v>646</v>
      </c>
      <c r="C377" s="1" t="s">
        <v>103</v>
      </c>
      <c r="D377" s="3">
        <v>-0.25</v>
      </c>
      <c r="E377" s="3">
        <v>1.0900000000000001</v>
      </c>
      <c r="F377" s="3">
        <v>-270.92399999999998</v>
      </c>
      <c r="G377" s="3">
        <v>-272.79899999999998</v>
      </c>
      <c r="H377" s="3">
        <f t="shared" si="295"/>
        <v>-1.875</v>
      </c>
      <c r="I377" s="3">
        <v>-0.34100000000000003</v>
      </c>
      <c r="J377" s="6">
        <v>-0.24199999999999999</v>
      </c>
      <c r="K377" s="3">
        <f t="shared" si="280"/>
        <v>9.9000000000000032E-2</v>
      </c>
      <c r="L377" s="3">
        <v>0.156</v>
      </c>
      <c r="M377" s="6">
        <v>0.01</v>
      </c>
      <c r="N377" s="3">
        <f t="shared" si="281"/>
        <v>-0.14599999999999999</v>
      </c>
      <c r="O377" s="3">
        <f t="shared" si="282"/>
        <v>9.2500000000000013E-2</v>
      </c>
      <c r="P377" s="3">
        <f t="shared" si="282"/>
        <v>0.11599999999999999</v>
      </c>
      <c r="Q377" s="3">
        <f t="shared" si="283"/>
        <v>2.3499999999999979E-2</v>
      </c>
      <c r="R377" s="3">
        <f t="shared" si="284"/>
        <v>0.497</v>
      </c>
      <c r="S377" s="3">
        <f t="shared" si="285"/>
        <v>0.252</v>
      </c>
      <c r="T377" s="3">
        <f t="shared" si="286"/>
        <v>-0.245</v>
      </c>
      <c r="U377" s="3">
        <f t="shared" si="287"/>
        <v>-9.2500000000000013E-2</v>
      </c>
      <c r="V377" s="3">
        <f t="shared" si="288"/>
        <v>-0.11599999999999999</v>
      </c>
      <c r="W377" s="3">
        <f t="shared" si="244"/>
        <v>-2.3499999999999979E-2</v>
      </c>
      <c r="X377" s="3">
        <f t="shared" si="232"/>
        <v>8.6078973843058387E-3</v>
      </c>
      <c r="Y377" s="3">
        <f t="shared" si="233"/>
        <v>2.6698412698412693E-2</v>
      </c>
      <c r="Z377" s="3">
        <f t="shared" si="289"/>
        <v>1.8090515314106853E-2</v>
      </c>
      <c r="AA377" s="3">
        <v>0.34300000000000003</v>
      </c>
      <c r="AB377" s="3">
        <v>0.40899999999999997</v>
      </c>
      <c r="AC377" s="3">
        <f t="shared" si="290"/>
        <v>6.5999999999999948E-2</v>
      </c>
      <c r="AD377" s="3">
        <f>-270.755804*627.50956</f>
        <v>-169901.85543548624</v>
      </c>
      <c r="AE377" s="3">
        <f>-272.640445*627.50956</f>
        <v>-171084.4856801542</v>
      </c>
      <c r="AF377" s="3">
        <f t="shared" si="291"/>
        <v>-1182.630244667962</v>
      </c>
      <c r="AG377" s="3">
        <f>-270.789957*627.50956</f>
        <v>-169923.28676948891</v>
      </c>
      <c r="AH377" s="3">
        <f>-272.675156*627.50956</f>
        <v>-171106.26716449135</v>
      </c>
      <c r="AI377" s="3">
        <f t="shared" si="292"/>
        <v>-1182.9803950024361</v>
      </c>
      <c r="AJ377" s="3">
        <v>-0.20599999999999999</v>
      </c>
      <c r="AK377" s="3">
        <v>-0.23599999999999999</v>
      </c>
      <c r="AL377" s="3">
        <f t="shared" si="293"/>
        <v>-0.03</v>
      </c>
      <c r="AM377" s="3">
        <v>94.154300000000006</v>
      </c>
      <c r="AN377" s="3">
        <v>159.9357</v>
      </c>
      <c r="AO377" s="3">
        <v>171.0043</v>
      </c>
      <c r="AP377" s="3">
        <f t="shared" si="294"/>
        <v>1.0736515245630887</v>
      </c>
      <c r="AQ377" s="3">
        <v>7.2359999999999998</v>
      </c>
      <c r="AR377" s="3">
        <v>1.5373578000000001</v>
      </c>
      <c r="AS377" s="3">
        <v>-959.76900000000001</v>
      </c>
      <c r="AT377" s="3">
        <v>-958.05</v>
      </c>
      <c r="AU377" s="3">
        <f t="shared" si="220"/>
        <v>-1.7190000000000509</v>
      </c>
      <c r="AV377" s="3">
        <v>-0.317</v>
      </c>
      <c r="AW377" s="3">
        <v>-0.45</v>
      </c>
      <c r="AX377" s="3">
        <f t="shared" si="221"/>
        <v>0.13300000000000001</v>
      </c>
      <c r="AY377" s="3">
        <v>-2.4E-2</v>
      </c>
      <c r="AZ377" s="3">
        <v>0.13500000000000001</v>
      </c>
      <c r="BA377" s="3">
        <f t="shared" si="222"/>
        <v>-0.159</v>
      </c>
      <c r="BB377" s="3">
        <f t="shared" si="296"/>
        <v>0.17050000000000001</v>
      </c>
      <c r="BC377" s="3">
        <f t="shared" si="296"/>
        <v>0.1575</v>
      </c>
      <c r="BD377" s="3">
        <f t="shared" si="224"/>
        <v>1.3000000000000012E-2</v>
      </c>
      <c r="BE377" s="3">
        <f t="shared" si="297"/>
        <v>0.29299999999999998</v>
      </c>
      <c r="BF377" s="3">
        <f t="shared" si="297"/>
        <v>0.58499999999999996</v>
      </c>
      <c r="BG377" s="3">
        <f t="shared" si="226"/>
        <v>-0.29199999999999998</v>
      </c>
      <c r="BH377" s="3">
        <f t="shared" si="298"/>
        <v>-0.17050000000000001</v>
      </c>
      <c r="BI377" s="3">
        <f t="shared" si="298"/>
        <v>-0.1575</v>
      </c>
      <c r="BJ377" s="3">
        <f t="shared" si="251"/>
        <v>-1.3000000000000012E-2</v>
      </c>
      <c r="BK377" s="3">
        <f t="shared" si="234"/>
        <v>4.9607935153583631E-2</v>
      </c>
      <c r="BL377" s="3">
        <f t="shared" si="235"/>
        <v>2.120192307692308E-2</v>
      </c>
      <c r="BM377" s="3">
        <f t="shared" si="228"/>
        <v>2.8406012076660551E-2</v>
      </c>
      <c r="BN377" s="3">
        <v>2.2370000000000001</v>
      </c>
      <c r="BO377" s="3">
        <v>2.431</v>
      </c>
      <c r="BP377" s="3">
        <f t="shared" si="229"/>
        <v>-0.19399999999999995</v>
      </c>
      <c r="BQ377" s="3">
        <v>-602243.07700000005</v>
      </c>
      <c r="BR377" s="3">
        <v>-601163.24300000002</v>
      </c>
      <c r="BS377" s="3">
        <f t="shared" si="230"/>
        <v>-1079.8340000000317</v>
      </c>
      <c r="BT377" s="3">
        <v>-602262.36399999994</v>
      </c>
      <c r="BU377" s="3">
        <v>-601182.38500000001</v>
      </c>
      <c r="BV377" s="3">
        <f t="shared" si="231"/>
        <v>-1079.9789999999339</v>
      </c>
    </row>
    <row r="378" spans="1:74" x14ac:dyDescent="0.25">
      <c r="A378" t="s">
        <v>15</v>
      </c>
      <c r="B378" s="1" t="s">
        <v>646</v>
      </c>
      <c r="C378" s="1" t="s">
        <v>103</v>
      </c>
      <c r="D378" s="3">
        <v>-0.13</v>
      </c>
      <c r="E378" s="3">
        <v>1.21</v>
      </c>
      <c r="F378" s="3">
        <v>-1096.011</v>
      </c>
      <c r="G378" s="3">
        <v>-1102.01</v>
      </c>
      <c r="H378" s="3">
        <f t="shared" si="295"/>
        <v>-5.9990000000000236</v>
      </c>
      <c r="I378" s="3">
        <v>-0.33</v>
      </c>
      <c r="J378" s="6">
        <v>-0.245</v>
      </c>
      <c r="K378" s="3">
        <f t="shared" si="280"/>
        <v>8.500000000000002E-2</v>
      </c>
      <c r="L378" s="3">
        <v>0.10299999999999999</v>
      </c>
      <c r="M378" s="6">
        <v>-3.1E-2</v>
      </c>
      <c r="N378" s="3">
        <f t="shared" si="281"/>
        <v>-0.13400000000000001</v>
      </c>
      <c r="O378" s="3">
        <f t="shared" si="282"/>
        <v>0.11350000000000002</v>
      </c>
      <c r="P378" s="3">
        <f t="shared" si="282"/>
        <v>0.13800000000000001</v>
      </c>
      <c r="Q378" s="3">
        <f t="shared" si="283"/>
        <v>2.4499999999999994E-2</v>
      </c>
      <c r="R378" s="3">
        <f t="shared" si="284"/>
        <v>0.433</v>
      </c>
      <c r="S378" s="3">
        <f t="shared" si="285"/>
        <v>0.214</v>
      </c>
      <c r="T378" s="3">
        <f t="shared" si="286"/>
        <v>-0.219</v>
      </c>
      <c r="U378" s="3">
        <f t="shared" si="287"/>
        <v>-0.11350000000000002</v>
      </c>
      <c r="V378" s="3">
        <f t="shared" si="288"/>
        <v>-0.13800000000000001</v>
      </c>
      <c r="W378" s="3">
        <f t="shared" si="244"/>
        <v>-2.4499999999999994E-2</v>
      </c>
      <c r="X378" s="3">
        <f t="shared" si="232"/>
        <v>1.4875577367205548E-2</v>
      </c>
      <c r="Y378" s="3">
        <f t="shared" si="233"/>
        <v>4.4495327102803746E-2</v>
      </c>
      <c r="Z378" s="3">
        <f t="shared" si="289"/>
        <v>2.9619749735598198E-2</v>
      </c>
      <c r="AA378" s="3">
        <v>0.81299999999999994</v>
      </c>
      <c r="AB378" s="3">
        <v>0.78100000000000003</v>
      </c>
      <c r="AC378" s="3">
        <f t="shared" si="290"/>
        <v>-3.1999999999999917E-2</v>
      </c>
      <c r="AD378" s="3">
        <f>-1095.628435*627.50956</f>
        <v>-687517.31717033859</v>
      </c>
      <c r="AE378" s="3">
        <f>-1101.646269*627.50956</f>
        <v>-691293.56553583161</v>
      </c>
      <c r="AF378" s="3">
        <f t="shared" si="291"/>
        <v>-3776.2483654930256</v>
      </c>
      <c r="AG378" s="3">
        <f>-1095.693435*627.50956</f>
        <v>-687558.10529173852</v>
      </c>
      <c r="AH378" s="3">
        <f>-1101.72093*627.50956</f>
        <v>-691340.41602709075</v>
      </c>
      <c r="AI378" s="3">
        <f t="shared" si="292"/>
        <v>-3782.3107353522209</v>
      </c>
      <c r="AJ378" s="3">
        <v>-0.85099999999999998</v>
      </c>
      <c r="AK378" s="3">
        <v>-0.86199999999999999</v>
      </c>
      <c r="AL378" s="3">
        <f t="shared" si="293"/>
        <v>-1.100000000000001E-2</v>
      </c>
      <c r="AM378" s="3">
        <v>300.46899999999999</v>
      </c>
      <c r="AN378" s="3">
        <v>383.21170000000001</v>
      </c>
      <c r="AO378" s="3">
        <v>474.92099999999999</v>
      </c>
      <c r="AP378" s="3">
        <f t="shared" si="294"/>
        <v>1.3020084263140448</v>
      </c>
      <c r="AQ378" s="3">
        <v>12.507999999999999</v>
      </c>
      <c r="AR378" s="3">
        <v>3.375</v>
      </c>
      <c r="AS378" s="3">
        <v>-959.76900000000001</v>
      </c>
      <c r="AT378" s="3">
        <v>-958.05</v>
      </c>
      <c r="AU378" s="3">
        <f t="shared" si="220"/>
        <v>-1.7190000000000509</v>
      </c>
      <c r="AV378" s="3">
        <v>-0.317</v>
      </c>
      <c r="AW378" s="3">
        <v>-0.45</v>
      </c>
      <c r="AX378" s="3">
        <f t="shared" si="221"/>
        <v>0.13300000000000001</v>
      </c>
      <c r="AY378" s="3">
        <v>-2.4E-2</v>
      </c>
      <c r="AZ378" s="3">
        <v>0.13500000000000001</v>
      </c>
      <c r="BA378" s="3">
        <f t="shared" si="222"/>
        <v>-0.159</v>
      </c>
      <c r="BB378" s="3">
        <f t="shared" si="296"/>
        <v>0.17050000000000001</v>
      </c>
      <c r="BC378" s="3">
        <f t="shared" si="296"/>
        <v>0.1575</v>
      </c>
      <c r="BD378" s="3">
        <f t="shared" si="224"/>
        <v>1.3000000000000012E-2</v>
      </c>
      <c r="BE378" s="3">
        <f t="shared" si="297"/>
        <v>0.29299999999999998</v>
      </c>
      <c r="BF378" s="3">
        <f t="shared" si="297"/>
        <v>0.58499999999999996</v>
      </c>
      <c r="BG378" s="3">
        <f t="shared" si="226"/>
        <v>-0.29199999999999998</v>
      </c>
      <c r="BH378" s="3">
        <f t="shared" si="298"/>
        <v>-0.17050000000000001</v>
      </c>
      <c r="BI378" s="3">
        <f t="shared" si="298"/>
        <v>-0.1575</v>
      </c>
      <c r="BJ378" s="3">
        <f t="shared" si="251"/>
        <v>-1.3000000000000012E-2</v>
      </c>
      <c r="BK378" s="3">
        <f t="shared" si="234"/>
        <v>4.9607935153583631E-2</v>
      </c>
      <c r="BL378" s="3">
        <f t="shared" si="235"/>
        <v>2.120192307692308E-2</v>
      </c>
      <c r="BM378" s="3">
        <f t="shared" si="228"/>
        <v>2.8406012076660551E-2</v>
      </c>
      <c r="BN378" s="3">
        <v>2.2370000000000001</v>
      </c>
      <c r="BO378" s="3">
        <v>2.431</v>
      </c>
      <c r="BP378" s="3">
        <f t="shared" si="229"/>
        <v>-0.19399999999999995</v>
      </c>
      <c r="BQ378" s="3">
        <v>-602243.07700000005</v>
      </c>
      <c r="BR378" s="3">
        <v>-601163.24300000002</v>
      </c>
      <c r="BS378" s="3">
        <f t="shared" si="230"/>
        <v>-1079.8340000000317</v>
      </c>
      <c r="BT378" s="3">
        <v>-602262.36399999994</v>
      </c>
      <c r="BU378" s="3">
        <v>-601182.38500000001</v>
      </c>
      <c r="BV378" s="3">
        <f t="shared" si="231"/>
        <v>-1079.9789999999339</v>
      </c>
    </row>
    <row r="379" spans="1:74" x14ac:dyDescent="0.25">
      <c r="A379" t="s">
        <v>56</v>
      </c>
      <c r="B379" s="1" t="s">
        <v>646</v>
      </c>
      <c r="C379" s="1" t="s">
        <v>103</v>
      </c>
      <c r="D379" s="3">
        <v>-0.1</v>
      </c>
      <c r="E379" s="3">
        <v>1.05</v>
      </c>
      <c r="F379" s="3">
        <v>-752.81399999999996</v>
      </c>
      <c r="G379" s="3">
        <v>-756.59100000000001</v>
      </c>
      <c r="H379" s="3">
        <f t="shared" si="295"/>
        <v>-3.7770000000000437</v>
      </c>
      <c r="I379" s="3">
        <v>-0.29699999999999999</v>
      </c>
      <c r="J379" s="6">
        <v>-0.221</v>
      </c>
      <c r="K379" s="3">
        <f t="shared" si="280"/>
        <v>7.5999999999999984E-2</v>
      </c>
      <c r="L379" s="3">
        <v>0.113</v>
      </c>
      <c r="M379" s="6">
        <v>-2.8000000000000001E-2</v>
      </c>
      <c r="N379" s="3">
        <f t="shared" si="281"/>
        <v>-0.14100000000000001</v>
      </c>
      <c r="O379" s="3">
        <f t="shared" si="282"/>
        <v>9.1999999999999998E-2</v>
      </c>
      <c r="P379" s="3">
        <f t="shared" si="282"/>
        <v>0.1245</v>
      </c>
      <c r="Q379" s="3">
        <f t="shared" si="283"/>
        <v>3.2500000000000001E-2</v>
      </c>
      <c r="R379" s="3">
        <f t="shared" si="284"/>
        <v>0.41</v>
      </c>
      <c r="S379" s="3">
        <f t="shared" si="285"/>
        <v>0.193</v>
      </c>
      <c r="T379" s="3">
        <f t="shared" si="286"/>
        <v>-0.21699999999999997</v>
      </c>
      <c r="U379" s="3">
        <f t="shared" si="287"/>
        <v>-9.1999999999999998E-2</v>
      </c>
      <c r="V379" s="3">
        <f t="shared" si="288"/>
        <v>-0.1245</v>
      </c>
      <c r="W379" s="3">
        <f t="shared" si="244"/>
        <v>-3.2500000000000001E-2</v>
      </c>
      <c r="X379" s="3">
        <f t="shared" si="232"/>
        <v>1.0321951219512194E-2</v>
      </c>
      <c r="Y379" s="3">
        <f t="shared" si="233"/>
        <v>4.0156088082901553E-2</v>
      </c>
      <c r="Z379" s="3">
        <f t="shared" si="289"/>
        <v>2.9834136863389357E-2</v>
      </c>
      <c r="AA379" s="3">
        <v>1.353</v>
      </c>
      <c r="AB379" s="3">
        <v>1.6830000000000001</v>
      </c>
      <c r="AC379" s="3">
        <f t="shared" si="290"/>
        <v>0.33000000000000007</v>
      </c>
      <c r="AD379" s="3">
        <f>-752.543789*627.50956</f>
        <v>-472228.42191612278</v>
      </c>
      <c r="AE379" s="3">
        <f>-756.335058*627.50956</f>
        <v>-474607.47945815447</v>
      </c>
      <c r="AF379" s="3">
        <f t="shared" si="291"/>
        <v>-2379.0575420316891</v>
      </c>
      <c r="AG379" s="3">
        <f>-752.598009*627.50956</f>
        <v>-472262.44548446604</v>
      </c>
      <c r="AH379" s="3">
        <f>-756.391173*627.50956</f>
        <v>-474642.69215711387</v>
      </c>
      <c r="AI379" s="3">
        <f t="shared" si="292"/>
        <v>-2380.2466726478306</v>
      </c>
      <c r="AJ379" s="3">
        <v>-0.67300000000000004</v>
      </c>
      <c r="AK379" s="3">
        <v>-0.66200000000000003</v>
      </c>
      <c r="AL379" s="3">
        <f t="shared" si="293"/>
        <v>1.100000000000001E-2</v>
      </c>
      <c r="AM379" s="3">
        <v>188.3409</v>
      </c>
      <c r="AN379" s="3">
        <v>266.38220000000001</v>
      </c>
      <c r="AO379" s="3">
        <v>319.71940000000001</v>
      </c>
      <c r="AP379" s="3">
        <f t="shared" si="294"/>
        <v>1.1782799624072811</v>
      </c>
      <c r="AQ379" s="3">
        <v>11.321999999999999</v>
      </c>
      <c r="AR379" s="3">
        <v>2.6001660000000002</v>
      </c>
      <c r="AS379" s="3">
        <v>-959.76900000000001</v>
      </c>
      <c r="AT379" s="3">
        <v>-958.05</v>
      </c>
      <c r="AU379" s="3">
        <f t="shared" ref="AU379:AU439" si="299">AS379-AT379</f>
        <v>-1.7190000000000509</v>
      </c>
      <c r="AV379" s="3">
        <v>-0.317</v>
      </c>
      <c r="AW379" s="3">
        <v>-0.45</v>
      </c>
      <c r="AX379" s="3">
        <f t="shared" ref="AX379:AX439" si="300">AV379-AW379</f>
        <v>0.13300000000000001</v>
      </c>
      <c r="AY379" s="3">
        <v>-2.4E-2</v>
      </c>
      <c r="AZ379" s="3">
        <v>0.13500000000000001</v>
      </c>
      <c r="BA379" s="3">
        <f t="shared" ref="BA379:BA439" si="301">AY379-AZ379</f>
        <v>-0.159</v>
      </c>
      <c r="BB379" s="3">
        <f t="shared" ref="BB379:BC412" si="302">-(AV379+AY379)/2</f>
        <v>0.17050000000000001</v>
      </c>
      <c r="BC379" s="3">
        <f t="shared" si="302"/>
        <v>0.1575</v>
      </c>
      <c r="BD379" s="3">
        <f t="shared" ref="BD379:BD439" si="303">BB379-BC379</f>
        <v>1.3000000000000012E-2</v>
      </c>
      <c r="BE379" s="3">
        <f t="shared" ref="BE379:BF412" si="304">AY379-AV379</f>
        <v>0.29299999999999998</v>
      </c>
      <c r="BF379" s="3">
        <f t="shared" si="304"/>
        <v>0.58499999999999996</v>
      </c>
      <c r="BG379" s="3">
        <f t="shared" ref="BG379:BG439" si="305">BE379-BF379</f>
        <v>-0.29199999999999998</v>
      </c>
      <c r="BH379" s="3">
        <f t="shared" ref="BH379:BI412" si="306">(AV379+AY379)/2</f>
        <v>-0.17050000000000001</v>
      </c>
      <c r="BI379" s="3">
        <f t="shared" si="306"/>
        <v>-0.1575</v>
      </c>
      <c r="BJ379" s="3">
        <f t="shared" si="251"/>
        <v>-1.3000000000000012E-2</v>
      </c>
      <c r="BK379" s="3">
        <f t="shared" si="234"/>
        <v>4.9607935153583631E-2</v>
      </c>
      <c r="BL379" s="3">
        <f t="shared" si="235"/>
        <v>2.120192307692308E-2</v>
      </c>
      <c r="BM379" s="3">
        <f t="shared" ref="BM379:BM439" si="307">BK379-BL379</f>
        <v>2.8406012076660551E-2</v>
      </c>
      <c r="BN379" s="3">
        <v>2.2370000000000001</v>
      </c>
      <c r="BO379" s="3">
        <v>2.431</v>
      </c>
      <c r="BP379" s="3">
        <f t="shared" ref="BP379:BP439" si="308">BN379-BO379</f>
        <v>-0.19399999999999995</v>
      </c>
      <c r="BQ379" s="3">
        <v>-602243.07700000005</v>
      </c>
      <c r="BR379" s="3">
        <v>-601163.24300000002</v>
      </c>
      <c r="BS379" s="3">
        <f t="shared" ref="BS379:BS439" si="309">BQ379-BR379</f>
        <v>-1079.8340000000317</v>
      </c>
      <c r="BT379" s="3">
        <v>-602262.36399999994</v>
      </c>
      <c r="BU379" s="3">
        <v>-601182.38500000001</v>
      </c>
      <c r="BV379" s="3">
        <f t="shared" ref="BV379:BV439" si="310">BT379-BU379</f>
        <v>-1079.9789999999339</v>
      </c>
    </row>
    <row r="380" spans="1:74" x14ac:dyDescent="0.25">
      <c r="A380" t="s">
        <v>57</v>
      </c>
      <c r="B380" s="1" t="s">
        <v>646</v>
      </c>
      <c r="C380" s="1" t="s">
        <v>103</v>
      </c>
      <c r="D380" s="3">
        <v>-0.04</v>
      </c>
      <c r="E380" s="3">
        <v>0.77</v>
      </c>
      <c r="F380" s="3">
        <v>-306.45</v>
      </c>
      <c r="G380" s="3">
        <v>-308.47699999999998</v>
      </c>
      <c r="H380" s="3">
        <f t="shared" si="295"/>
        <v>-2.0269999999999868</v>
      </c>
      <c r="I380" s="3">
        <v>-0.32800000000000001</v>
      </c>
      <c r="J380" s="6">
        <v>-0.247</v>
      </c>
      <c r="K380" s="3">
        <f t="shared" si="280"/>
        <v>8.1000000000000016E-2</v>
      </c>
      <c r="L380" s="3">
        <v>9.7000000000000003E-2</v>
      </c>
      <c r="M380" s="6">
        <v>-4.4999999999999998E-2</v>
      </c>
      <c r="N380" s="3">
        <f t="shared" si="281"/>
        <v>-0.14200000000000002</v>
      </c>
      <c r="O380" s="3">
        <f t="shared" si="282"/>
        <v>0.11550000000000001</v>
      </c>
      <c r="P380" s="3">
        <f t="shared" si="282"/>
        <v>0.14599999999999999</v>
      </c>
      <c r="Q380" s="3">
        <f t="shared" si="283"/>
        <v>3.0499999999999985E-2</v>
      </c>
      <c r="R380" s="3">
        <f t="shared" si="284"/>
        <v>0.42500000000000004</v>
      </c>
      <c r="S380" s="3">
        <f t="shared" si="285"/>
        <v>0.20200000000000001</v>
      </c>
      <c r="T380" s="3">
        <f t="shared" si="286"/>
        <v>-0.22300000000000003</v>
      </c>
      <c r="U380" s="3">
        <f t="shared" si="287"/>
        <v>-0.11550000000000001</v>
      </c>
      <c r="V380" s="3">
        <f t="shared" si="288"/>
        <v>-0.14599999999999999</v>
      </c>
      <c r="W380" s="3">
        <f t="shared" si="244"/>
        <v>-3.0499999999999985E-2</v>
      </c>
      <c r="X380" s="3">
        <f t="shared" si="232"/>
        <v>1.5694411764705884E-2</v>
      </c>
      <c r="Y380" s="3">
        <f t="shared" si="233"/>
        <v>5.2762376237623754E-2</v>
      </c>
      <c r="Z380" s="3">
        <f t="shared" si="289"/>
        <v>3.7067964472917866E-2</v>
      </c>
      <c r="AA380" s="3">
        <v>1.018</v>
      </c>
      <c r="AB380" s="3">
        <v>0.995</v>
      </c>
      <c r="AC380" s="3">
        <f t="shared" si="290"/>
        <v>-2.300000000000002E-2</v>
      </c>
      <c r="AD380" s="3">
        <f>-306.32625*627.50956</f>
        <v>-192222.65035395001</v>
      </c>
      <c r="AE380" s="3">
        <f>-308.360765*627.50956</f>
        <v>-193499.3279664134</v>
      </c>
      <c r="AF380" s="3">
        <f t="shared" si="291"/>
        <v>-1276.6776124633907</v>
      </c>
      <c r="AG380" s="3">
        <f>-306.36324*627.50956</f>
        <v>-192245.86193257439</v>
      </c>
      <c r="AH380" s="3">
        <f>-308.398582*627.50956</f>
        <v>-193523.0584954439</v>
      </c>
      <c r="AI380" s="3">
        <f t="shared" si="292"/>
        <v>-1277.1965628695034</v>
      </c>
      <c r="AJ380" s="3">
        <v>-0.219</v>
      </c>
      <c r="AK380" s="3">
        <v>-0.21299999999999999</v>
      </c>
      <c r="AL380" s="3">
        <f t="shared" si="293"/>
        <v>6.0000000000000053E-3</v>
      </c>
      <c r="AM380" s="3">
        <v>102.1332</v>
      </c>
      <c r="AN380" s="3">
        <v>170.28909999999999</v>
      </c>
      <c r="AO380" s="3">
        <v>171.0128</v>
      </c>
      <c r="AP380" s="3">
        <f t="shared" si="294"/>
        <v>1.1431162242241519</v>
      </c>
      <c r="AQ380" s="3">
        <v>9.9849999999999994</v>
      </c>
      <c r="AR380" s="3">
        <v>2.0263594299999999</v>
      </c>
      <c r="AS380" s="3">
        <v>-959.76900000000001</v>
      </c>
      <c r="AT380" s="3">
        <v>-958.05</v>
      </c>
      <c r="AU380" s="3">
        <f t="shared" si="299"/>
        <v>-1.7190000000000509</v>
      </c>
      <c r="AV380" s="3">
        <v>-0.317</v>
      </c>
      <c r="AW380" s="3">
        <v>-0.45</v>
      </c>
      <c r="AX380" s="3">
        <f t="shared" si="300"/>
        <v>0.13300000000000001</v>
      </c>
      <c r="AY380" s="3">
        <v>-2.4E-2</v>
      </c>
      <c r="AZ380" s="3">
        <v>0.13500000000000001</v>
      </c>
      <c r="BA380" s="3">
        <f t="shared" si="301"/>
        <v>-0.159</v>
      </c>
      <c r="BB380" s="3">
        <f t="shared" si="302"/>
        <v>0.17050000000000001</v>
      </c>
      <c r="BC380" s="3">
        <f t="shared" si="302"/>
        <v>0.1575</v>
      </c>
      <c r="BD380" s="3">
        <f t="shared" si="303"/>
        <v>1.3000000000000012E-2</v>
      </c>
      <c r="BE380" s="3">
        <f t="shared" si="304"/>
        <v>0.29299999999999998</v>
      </c>
      <c r="BF380" s="3">
        <f t="shared" si="304"/>
        <v>0.58499999999999996</v>
      </c>
      <c r="BG380" s="3">
        <f t="shared" si="305"/>
        <v>-0.29199999999999998</v>
      </c>
      <c r="BH380" s="3">
        <f t="shared" si="306"/>
        <v>-0.17050000000000001</v>
      </c>
      <c r="BI380" s="3">
        <f t="shared" si="306"/>
        <v>-0.1575</v>
      </c>
      <c r="BJ380" s="3">
        <f t="shared" si="251"/>
        <v>-1.3000000000000012E-2</v>
      </c>
      <c r="BK380" s="3">
        <f t="shared" si="234"/>
        <v>4.9607935153583631E-2</v>
      </c>
      <c r="BL380" s="3">
        <f t="shared" si="235"/>
        <v>2.120192307692308E-2</v>
      </c>
      <c r="BM380" s="3">
        <f t="shared" si="307"/>
        <v>2.8406012076660551E-2</v>
      </c>
      <c r="BN380" s="3">
        <v>2.2370000000000001</v>
      </c>
      <c r="BO380" s="3">
        <v>2.431</v>
      </c>
      <c r="BP380" s="3">
        <f t="shared" si="308"/>
        <v>-0.19399999999999995</v>
      </c>
      <c r="BQ380" s="3">
        <v>-602243.07700000005</v>
      </c>
      <c r="BR380" s="3">
        <v>-601163.24300000002</v>
      </c>
      <c r="BS380" s="3">
        <f t="shared" si="309"/>
        <v>-1079.8340000000317</v>
      </c>
      <c r="BT380" s="3">
        <v>-602262.36399999994</v>
      </c>
      <c r="BU380" s="3">
        <v>-601182.38500000001</v>
      </c>
      <c r="BV380" s="3">
        <f t="shared" si="310"/>
        <v>-1079.9789999999339</v>
      </c>
    </row>
    <row r="381" spans="1:74" x14ac:dyDescent="0.25">
      <c r="A381" t="s">
        <v>58</v>
      </c>
      <c r="B381" s="1" t="s">
        <v>646</v>
      </c>
      <c r="C381" s="1" t="s">
        <v>103</v>
      </c>
      <c r="D381" s="3">
        <v>0.06</v>
      </c>
      <c r="E381" s="3">
        <v>1.07</v>
      </c>
      <c r="F381" s="3">
        <v>-273.27699999999999</v>
      </c>
      <c r="G381" s="3">
        <v>-275.24200000000002</v>
      </c>
      <c r="H381" s="3">
        <f t="shared" si="295"/>
        <v>-1.9650000000000318</v>
      </c>
      <c r="I381" s="3">
        <v>-0.35</v>
      </c>
      <c r="J381" s="6">
        <v>-0.251</v>
      </c>
      <c r="K381" s="3">
        <f t="shared" si="280"/>
        <v>9.8999999999999977E-2</v>
      </c>
      <c r="L381" s="3">
        <v>0.154</v>
      </c>
      <c r="M381" s="6">
        <v>1.4999999999999999E-2</v>
      </c>
      <c r="N381" s="3">
        <f t="shared" si="281"/>
        <v>-0.13900000000000001</v>
      </c>
      <c r="O381" s="3">
        <f t="shared" si="282"/>
        <v>9.799999999999999E-2</v>
      </c>
      <c r="P381" s="3">
        <f t="shared" si="282"/>
        <v>0.11799999999999999</v>
      </c>
      <c r="Q381" s="3">
        <f t="shared" si="283"/>
        <v>2.0000000000000004E-2</v>
      </c>
      <c r="R381" s="3">
        <f t="shared" si="284"/>
        <v>0.504</v>
      </c>
      <c r="S381" s="3">
        <f t="shared" si="285"/>
        <v>0.26600000000000001</v>
      </c>
      <c r="T381" s="3">
        <f t="shared" si="286"/>
        <v>-0.23799999999999999</v>
      </c>
      <c r="U381" s="3">
        <f t="shared" si="287"/>
        <v>-9.799999999999999E-2</v>
      </c>
      <c r="V381" s="3">
        <f t="shared" si="288"/>
        <v>-0.11799999999999999</v>
      </c>
      <c r="W381" s="3">
        <f t="shared" si="244"/>
        <v>-2.0000000000000004E-2</v>
      </c>
      <c r="X381" s="3">
        <f t="shared" si="232"/>
        <v>9.5277777777777756E-3</v>
      </c>
      <c r="Y381" s="3">
        <f t="shared" si="233"/>
        <v>2.6172932330827063E-2</v>
      </c>
      <c r="Z381" s="3">
        <f t="shared" si="289"/>
        <v>1.6645154553049289E-2</v>
      </c>
      <c r="AA381" s="3">
        <v>0.68300000000000005</v>
      </c>
      <c r="AB381" s="3">
        <v>0.67300000000000004</v>
      </c>
      <c r="AC381" s="3">
        <f t="shared" si="290"/>
        <v>-1.0000000000000009E-2</v>
      </c>
      <c r="AD381" s="3">
        <f>-273.063818*627.50956</f>
        <v>-171350.15628510009</v>
      </c>
      <c r="AE381" s="3">
        <f>-275.039853*627.50956</f>
        <v>-172590.13713849467</v>
      </c>
      <c r="AF381" s="3">
        <f t="shared" si="291"/>
        <v>-1239.9808533945761</v>
      </c>
      <c r="AG381" s="3">
        <f>-273.105809*627.50956</f>
        <v>-171376.50603903405</v>
      </c>
      <c r="AH381" s="3">
        <f>-275.082959*627.50956</f>
        <v>-172617.18656558805</v>
      </c>
      <c r="AI381" s="3">
        <f t="shared" si="292"/>
        <v>-1240.6805265540024</v>
      </c>
      <c r="AJ381" s="3">
        <v>-0.52200000000000002</v>
      </c>
      <c r="AK381" s="3">
        <v>-0.59799999999999998</v>
      </c>
      <c r="AL381" s="3">
        <f t="shared" si="293"/>
        <v>-7.5999999999999956E-2</v>
      </c>
      <c r="AM381" s="3">
        <v>98.186059999999998</v>
      </c>
      <c r="AN381" s="3">
        <v>182.29400000000001</v>
      </c>
      <c r="AO381" s="3">
        <v>203.97927999999999</v>
      </c>
      <c r="AP381" s="3">
        <f t="shared" si="294"/>
        <v>1.0880218622346536</v>
      </c>
      <c r="AQ381" s="3">
        <v>8.0259999999999998</v>
      </c>
      <c r="AR381" s="3">
        <v>1.8336504</v>
      </c>
      <c r="AS381" s="3">
        <v>-959.76900000000001</v>
      </c>
      <c r="AT381" s="3">
        <v>-958.05</v>
      </c>
      <c r="AU381" s="3">
        <f t="shared" si="299"/>
        <v>-1.7190000000000509</v>
      </c>
      <c r="AV381" s="3">
        <v>-0.317</v>
      </c>
      <c r="AW381" s="3">
        <v>-0.45</v>
      </c>
      <c r="AX381" s="3">
        <f t="shared" si="300"/>
        <v>0.13300000000000001</v>
      </c>
      <c r="AY381" s="3">
        <v>-2.4E-2</v>
      </c>
      <c r="AZ381" s="3">
        <v>0.13500000000000001</v>
      </c>
      <c r="BA381" s="3">
        <f t="shared" si="301"/>
        <v>-0.159</v>
      </c>
      <c r="BB381" s="3">
        <f t="shared" si="302"/>
        <v>0.17050000000000001</v>
      </c>
      <c r="BC381" s="3">
        <f t="shared" si="302"/>
        <v>0.1575</v>
      </c>
      <c r="BD381" s="3">
        <f t="shared" si="303"/>
        <v>1.3000000000000012E-2</v>
      </c>
      <c r="BE381" s="3">
        <f t="shared" si="304"/>
        <v>0.29299999999999998</v>
      </c>
      <c r="BF381" s="3">
        <f t="shared" si="304"/>
        <v>0.58499999999999996</v>
      </c>
      <c r="BG381" s="3">
        <f t="shared" si="305"/>
        <v>-0.29199999999999998</v>
      </c>
      <c r="BH381" s="3">
        <f t="shared" si="306"/>
        <v>-0.17050000000000001</v>
      </c>
      <c r="BI381" s="3">
        <f t="shared" si="306"/>
        <v>-0.1575</v>
      </c>
      <c r="BJ381" s="3">
        <f t="shared" si="251"/>
        <v>-1.3000000000000012E-2</v>
      </c>
      <c r="BK381" s="3">
        <f t="shared" si="234"/>
        <v>4.9607935153583631E-2</v>
      </c>
      <c r="BL381" s="3">
        <f t="shared" si="235"/>
        <v>2.120192307692308E-2</v>
      </c>
      <c r="BM381" s="3">
        <f t="shared" si="307"/>
        <v>2.8406012076660551E-2</v>
      </c>
      <c r="BN381" s="3">
        <v>2.2370000000000001</v>
      </c>
      <c r="BO381" s="3">
        <v>2.431</v>
      </c>
      <c r="BP381" s="3">
        <f t="shared" si="308"/>
        <v>-0.19399999999999995</v>
      </c>
      <c r="BQ381" s="3">
        <v>-602243.07700000005</v>
      </c>
      <c r="BR381" s="3">
        <v>-601163.24300000002</v>
      </c>
      <c r="BS381" s="3">
        <f t="shared" si="309"/>
        <v>-1079.8340000000317</v>
      </c>
      <c r="BT381" s="3">
        <v>-602262.36399999994</v>
      </c>
      <c r="BU381" s="3">
        <v>-601182.38500000001</v>
      </c>
      <c r="BV381" s="3">
        <f t="shared" si="310"/>
        <v>-1079.9789999999339</v>
      </c>
    </row>
    <row r="382" spans="1:74" x14ac:dyDescent="0.25">
      <c r="A382" t="s">
        <v>59</v>
      </c>
      <c r="B382" s="1" t="s">
        <v>646</v>
      </c>
      <c r="C382" s="1" t="s">
        <v>103</v>
      </c>
      <c r="D382" s="3">
        <v>0.06</v>
      </c>
      <c r="E382" s="3">
        <v>1.1000000000000001</v>
      </c>
      <c r="F382" s="3">
        <v>-270.928</v>
      </c>
      <c r="G382" s="3">
        <v>-272.80500000000001</v>
      </c>
      <c r="H382" s="3">
        <f t="shared" si="295"/>
        <v>-1.8770000000000095</v>
      </c>
      <c r="I382" s="3">
        <v>-0.31</v>
      </c>
      <c r="J382" s="6">
        <v>-0.221</v>
      </c>
      <c r="K382" s="3">
        <f t="shared" si="280"/>
        <v>8.8999999999999996E-2</v>
      </c>
      <c r="L382" s="3">
        <v>0.11600000000000001</v>
      </c>
      <c r="M382" s="6">
        <v>-3.3000000000000002E-2</v>
      </c>
      <c r="N382" s="3">
        <f t="shared" si="281"/>
        <v>-0.14900000000000002</v>
      </c>
      <c r="O382" s="3">
        <f t="shared" si="282"/>
        <v>9.7000000000000003E-2</v>
      </c>
      <c r="P382" s="3">
        <f t="shared" si="282"/>
        <v>0.127</v>
      </c>
      <c r="Q382" s="3">
        <f t="shared" si="283"/>
        <v>0.03</v>
      </c>
      <c r="R382" s="3">
        <f t="shared" si="284"/>
        <v>0.42599999999999999</v>
      </c>
      <c r="S382" s="3">
        <f t="shared" si="285"/>
        <v>0.188</v>
      </c>
      <c r="T382" s="3">
        <f t="shared" si="286"/>
        <v>-0.23799999999999999</v>
      </c>
      <c r="U382" s="3">
        <f t="shared" si="287"/>
        <v>-9.7000000000000003E-2</v>
      </c>
      <c r="V382" s="3">
        <f t="shared" si="288"/>
        <v>-0.127</v>
      </c>
      <c r="W382" s="3">
        <f t="shared" si="244"/>
        <v>-0.03</v>
      </c>
      <c r="X382" s="3">
        <f t="shared" si="232"/>
        <v>1.104342723004695E-2</v>
      </c>
      <c r="Y382" s="3">
        <f t="shared" si="233"/>
        <v>4.2896276595744687E-2</v>
      </c>
      <c r="Z382" s="3">
        <f t="shared" si="289"/>
        <v>3.1852849365697739E-2</v>
      </c>
      <c r="AA382" s="3">
        <v>0.91800000000000004</v>
      </c>
      <c r="AB382" s="3">
        <v>0.96299999999999997</v>
      </c>
      <c r="AC382" s="3">
        <f t="shared" si="290"/>
        <v>4.4999999999999929E-2</v>
      </c>
      <c r="AD382" s="3">
        <f>-270.760098*627.50956</f>
        <v>-169904.54996153689</v>
      </c>
      <c r="AE382" s="3">
        <f>-272.647259*627.50956</f>
        <v>-171088.76153029603</v>
      </c>
      <c r="AF382" s="3">
        <f t="shared" si="291"/>
        <v>-1184.2115687591431</v>
      </c>
      <c r="AG382" s="3">
        <f>-270.79779*627.50956</f>
        <v>-169928.20205187242</v>
      </c>
      <c r="AH382" s="3">
        <f>-272.685382*627.50956</f>
        <v>-171112.68407725191</v>
      </c>
      <c r="AI382" s="3">
        <f t="shared" si="292"/>
        <v>-1184.4820253794896</v>
      </c>
      <c r="AJ382" s="3">
        <v>-0.36299999999999999</v>
      </c>
      <c r="AK382" s="3">
        <v>-0.41899999999999998</v>
      </c>
      <c r="AL382" s="3">
        <f t="shared" si="293"/>
        <v>-5.5999999999999994E-2</v>
      </c>
      <c r="AM382" s="3">
        <v>94.154300000000006</v>
      </c>
      <c r="AN382" s="3">
        <v>166.1139</v>
      </c>
      <c r="AO382" s="3">
        <v>176.8475</v>
      </c>
      <c r="AP382" s="3">
        <f t="shared" si="294"/>
        <v>1.0904254399841842</v>
      </c>
      <c r="AQ382" s="3">
        <v>7.7149999999999999</v>
      </c>
      <c r="AR382" s="3">
        <v>1.7638126999999999</v>
      </c>
      <c r="AS382" s="3">
        <v>-959.76900000000001</v>
      </c>
      <c r="AT382" s="3">
        <v>-958.05</v>
      </c>
      <c r="AU382" s="3">
        <f t="shared" si="299"/>
        <v>-1.7190000000000509</v>
      </c>
      <c r="AV382" s="3">
        <v>-0.317</v>
      </c>
      <c r="AW382" s="3">
        <v>-0.45</v>
      </c>
      <c r="AX382" s="3">
        <f t="shared" si="300"/>
        <v>0.13300000000000001</v>
      </c>
      <c r="AY382" s="3">
        <v>-2.4E-2</v>
      </c>
      <c r="AZ382" s="3">
        <v>0.13500000000000001</v>
      </c>
      <c r="BA382" s="3">
        <f t="shared" si="301"/>
        <v>-0.159</v>
      </c>
      <c r="BB382" s="3">
        <f t="shared" si="302"/>
        <v>0.17050000000000001</v>
      </c>
      <c r="BC382" s="3">
        <f t="shared" si="302"/>
        <v>0.1575</v>
      </c>
      <c r="BD382" s="3">
        <f t="shared" si="303"/>
        <v>1.3000000000000012E-2</v>
      </c>
      <c r="BE382" s="3">
        <f t="shared" si="304"/>
        <v>0.29299999999999998</v>
      </c>
      <c r="BF382" s="3">
        <f t="shared" si="304"/>
        <v>0.58499999999999996</v>
      </c>
      <c r="BG382" s="3">
        <f t="shared" si="305"/>
        <v>-0.29199999999999998</v>
      </c>
      <c r="BH382" s="3">
        <f t="shared" si="306"/>
        <v>-0.17050000000000001</v>
      </c>
      <c r="BI382" s="3">
        <f t="shared" si="306"/>
        <v>-0.1575</v>
      </c>
      <c r="BJ382" s="3">
        <f t="shared" si="251"/>
        <v>-1.3000000000000012E-2</v>
      </c>
      <c r="BK382" s="3">
        <f t="shared" si="234"/>
        <v>4.9607935153583631E-2</v>
      </c>
      <c r="BL382" s="3">
        <f t="shared" si="235"/>
        <v>2.120192307692308E-2</v>
      </c>
      <c r="BM382" s="3">
        <f t="shared" si="307"/>
        <v>2.8406012076660551E-2</v>
      </c>
      <c r="BN382" s="3">
        <v>2.2370000000000001</v>
      </c>
      <c r="BO382" s="3">
        <v>2.431</v>
      </c>
      <c r="BP382" s="3">
        <f t="shared" si="308"/>
        <v>-0.19399999999999995</v>
      </c>
      <c r="BQ382" s="3">
        <v>-602243.07700000005</v>
      </c>
      <c r="BR382" s="3">
        <v>-601163.24300000002</v>
      </c>
      <c r="BS382" s="3">
        <f t="shared" si="309"/>
        <v>-1079.8340000000317</v>
      </c>
      <c r="BT382" s="3">
        <v>-602262.36399999994</v>
      </c>
      <c r="BU382" s="3">
        <v>-601182.38500000001</v>
      </c>
      <c r="BV382" s="3">
        <f t="shared" si="310"/>
        <v>-1079.9789999999339</v>
      </c>
    </row>
    <row r="383" spans="1:74" x14ac:dyDescent="0.25">
      <c r="A383" t="s">
        <v>16</v>
      </c>
      <c r="B383" s="1" t="s">
        <v>646</v>
      </c>
      <c r="C383" s="1" t="s">
        <v>103</v>
      </c>
      <c r="D383" s="3">
        <v>0.08</v>
      </c>
      <c r="E383" s="3">
        <v>1.1499999999999999</v>
      </c>
      <c r="F383" s="3">
        <v>-272.12299999999999</v>
      </c>
      <c r="G383" s="3">
        <v>-274.04199999999997</v>
      </c>
      <c r="H383" s="3">
        <f t="shared" si="295"/>
        <v>-1.9189999999999827</v>
      </c>
      <c r="I383" s="3">
        <v>-0.33400000000000002</v>
      </c>
      <c r="J383" s="6">
        <v>-0.23499999999999999</v>
      </c>
      <c r="K383" s="3">
        <f t="shared" si="280"/>
        <v>9.9000000000000032E-2</v>
      </c>
      <c r="L383" s="3">
        <v>0.152</v>
      </c>
      <c r="M383" s="6">
        <v>2.1999999999999999E-2</v>
      </c>
      <c r="N383" s="3">
        <f t="shared" si="281"/>
        <v>-0.13</v>
      </c>
      <c r="O383" s="3">
        <f t="shared" si="282"/>
        <v>9.1000000000000011E-2</v>
      </c>
      <c r="P383" s="3">
        <f t="shared" si="282"/>
        <v>0.1065</v>
      </c>
      <c r="Q383" s="3">
        <f t="shared" si="283"/>
        <v>1.5499999999999986E-2</v>
      </c>
      <c r="R383" s="3">
        <f t="shared" si="284"/>
        <v>0.48599999999999999</v>
      </c>
      <c r="S383" s="3">
        <f t="shared" si="285"/>
        <v>0.25700000000000001</v>
      </c>
      <c r="T383" s="3">
        <f t="shared" si="286"/>
        <v>-0.22899999999999998</v>
      </c>
      <c r="U383" s="3">
        <f t="shared" si="287"/>
        <v>-9.1000000000000011E-2</v>
      </c>
      <c r="V383" s="3">
        <f t="shared" si="288"/>
        <v>-0.1065</v>
      </c>
      <c r="W383" s="3">
        <f t="shared" si="244"/>
        <v>-1.5499999999999986E-2</v>
      </c>
      <c r="X383" s="3">
        <f t="shared" si="232"/>
        <v>8.5195473251028827E-3</v>
      </c>
      <c r="Y383" s="3">
        <f t="shared" si="233"/>
        <v>2.2066634241245137E-2</v>
      </c>
      <c r="Z383" s="3">
        <f t="shared" si="289"/>
        <v>1.3547086916142254E-2</v>
      </c>
      <c r="AA383" s="3">
        <v>0.33500000000000002</v>
      </c>
      <c r="AB383" s="3">
        <v>0.33300000000000002</v>
      </c>
      <c r="AC383" s="3">
        <f t="shared" si="290"/>
        <v>-2.0000000000000018E-3</v>
      </c>
      <c r="AD383" s="3">
        <f>-271.931575*627.50956</f>
        <v>-170639.662978357</v>
      </c>
      <c r="AE383" s="3">
        <f>-273.860645*627.50956</f>
        <v>-171850.17284526618</v>
      </c>
      <c r="AF383" s="3">
        <f t="shared" si="291"/>
        <v>-1210.5098669091822</v>
      </c>
      <c r="AG383" s="3">
        <f>-271.969461*627.50956</f>
        <v>-170663.43680554716</v>
      </c>
      <c r="AH383" s="3">
        <f>-273.899253*627.50956</f>
        <v>-171874.39973435865</v>
      </c>
      <c r="AI383" s="3">
        <f t="shared" si="292"/>
        <v>-1210.9629288114957</v>
      </c>
      <c r="AJ383" s="3">
        <v>-0.51200000000000001</v>
      </c>
      <c r="AK383" s="3">
        <v>-0.58799999999999997</v>
      </c>
      <c r="AL383" s="3">
        <f t="shared" si="293"/>
        <v>-7.5999999999999956E-2</v>
      </c>
      <c r="AM383" s="3">
        <v>96.170180000000002</v>
      </c>
      <c r="AN383" s="3">
        <v>175.72059999999999</v>
      </c>
      <c r="AO383" s="3">
        <v>189.16579999999999</v>
      </c>
      <c r="AP383" s="3">
        <f t="shared" si="294"/>
        <v>1.1028510989209457</v>
      </c>
      <c r="AQ383" s="3">
        <v>8.3520000000000003</v>
      </c>
      <c r="AR383" s="3">
        <v>1.84141138</v>
      </c>
      <c r="AS383" s="3">
        <v>-959.76900000000001</v>
      </c>
      <c r="AT383" s="3">
        <v>-958.05</v>
      </c>
      <c r="AU383" s="3">
        <f t="shared" si="299"/>
        <v>-1.7190000000000509</v>
      </c>
      <c r="AV383" s="3">
        <v>-0.317</v>
      </c>
      <c r="AW383" s="3">
        <v>-0.45</v>
      </c>
      <c r="AX383" s="3">
        <f t="shared" si="300"/>
        <v>0.13300000000000001</v>
      </c>
      <c r="AY383" s="3">
        <v>-2.4E-2</v>
      </c>
      <c r="AZ383" s="3">
        <v>0.13500000000000001</v>
      </c>
      <c r="BA383" s="3">
        <f t="shared" si="301"/>
        <v>-0.159</v>
      </c>
      <c r="BB383" s="3">
        <f t="shared" si="302"/>
        <v>0.17050000000000001</v>
      </c>
      <c r="BC383" s="3">
        <f t="shared" si="302"/>
        <v>0.1575</v>
      </c>
      <c r="BD383" s="3">
        <f t="shared" si="303"/>
        <v>1.3000000000000012E-2</v>
      </c>
      <c r="BE383" s="3">
        <f t="shared" si="304"/>
        <v>0.29299999999999998</v>
      </c>
      <c r="BF383" s="3">
        <f t="shared" si="304"/>
        <v>0.58499999999999996</v>
      </c>
      <c r="BG383" s="3">
        <f t="shared" si="305"/>
        <v>-0.29199999999999998</v>
      </c>
      <c r="BH383" s="3">
        <f t="shared" si="306"/>
        <v>-0.17050000000000001</v>
      </c>
      <c r="BI383" s="3">
        <f t="shared" si="306"/>
        <v>-0.1575</v>
      </c>
      <c r="BJ383" s="3">
        <f t="shared" si="251"/>
        <v>-1.3000000000000012E-2</v>
      </c>
      <c r="BK383" s="3">
        <f t="shared" si="234"/>
        <v>4.9607935153583631E-2</v>
      </c>
      <c r="BL383" s="3">
        <f t="shared" si="235"/>
        <v>2.120192307692308E-2</v>
      </c>
      <c r="BM383" s="3">
        <f t="shared" si="307"/>
        <v>2.8406012076660551E-2</v>
      </c>
      <c r="BN383" s="3">
        <v>2.2370000000000001</v>
      </c>
      <c r="BO383" s="3">
        <v>2.431</v>
      </c>
      <c r="BP383" s="3">
        <f t="shared" si="308"/>
        <v>-0.19399999999999995</v>
      </c>
      <c r="BQ383" s="3">
        <v>-602243.07700000005</v>
      </c>
      <c r="BR383" s="3">
        <v>-601163.24300000002</v>
      </c>
      <c r="BS383" s="3">
        <f t="shared" si="309"/>
        <v>-1079.8340000000317</v>
      </c>
      <c r="BT383" s="3">
        <v>-602262.36399999994</v>
      </c>
      <c r="BU383" s="3">
        <v>-601182.38500000001</v>
      </c>
      <c r="BV383" s="3">
        <f t="shared" si="310"/>
        <v>-1079.9789999999339</v>
      </c>
    </row>
    <row r="384" spans="1:74" x14ac:dyDescent="0.25">
      <c r="A384" t="s">
        <v>60</v>
      </c>
      <c r="B384" s="1" t="s">
        <v>646</v>
      </c>
      <c r="C384" s="1" t="s">
        <v>103</v>
      </c>
      <c r="D384" s="3">
        <v>0.13</v>
      </c>
      <c r="E384" s="3">
        <v>1.27</v>
      </c>
      <c r="F384" s="3">
        <v>-383.71499999999997</v>
      </c>
      <c r="G384" s="3">
        <v>-386.19400000000002</v>
      </c>
      <c r="H384" s="3">
        <f t="shared" si="295"/>
        <v>-2.4790000000000418</v>
      </c>
      <c r="I384" s="3">
        <v>-0.312</v>
      </c>
      <c r="J384" s="6">
        <v>-0.22600000000000001</v>
      </c>
      <c r="K384" s="3">
        <f t="shared" si="280"/>
        <v>8.5999999999999993E-2</v>
      </c>
      <c r="L384" s="3">
        <v>0.13400000000000001</v>
      </c>
      <c r="M384" s="6">
        <v>-8.9999999999999993E-3</v>
      </c>
      <c r="N384" s="3">
        <f t="shared" si="281"/>
        <v>-0.14300000000000002</v>
      </c>
      <c r="O384" s="3">
        <f t="shared" si="282"/>
        <v>8.8999999999999996E-2</v>
      </c>
      <c r="P384" s="3">
        <f t="shared" si="282"/>
        <v>0.11750000000000001</v>
      </c>
      <c r="Q384" s="3">
        <f t="shared" si="283"/>
        <v>2.8500000000000011E-2</v>
      </c>
      <c r="R384" s="3">
        <f t="shared" si="284"/>
        <v>0.44600000000000001</v>
      </c>
      <c r="S384" s="3">
        <f t="shared" si="285"/>
        <v>0.217</v>
      </c>
      <c r="T384" s="3">
        <f t="shared" si="286"/>
        <v>-0.22900000000000001</v>
      </c>
      <c r="U384" s="3">
        <f t="shared" si="287"/>
        <v>-8.8999999999999996E-2</v>
      </c>
      <c r="V384" s="3">
        <f t="shared" si="288"/>
        <v>-0.11750000000000001</v>
      </c>
      <c r="W384" s="3">
        <f t="shared" si="244"/>
        <v>-2.8500000000000011E-2</v>
      </c>
      <c r="X384" s="3">
        <f t="shared" si="232"/>
        <v>8.8800448430493267E-3</v>
      </c>
      <c r="Y384" s="3">
        <f t="shared" si="233"/>
        <v>3.1811635944700468E-2</v>
      </c>
      <c r="Z384" s="3">
        <f t="shared" si="289"/>
        <v>2.293159110165114E-2</v>
      </c>
      <c r="AA384" s="3">
        <v>1.296</v>
      </c>
      <c r="AB384" s="3">
        <v>1.264</v>
      </c>
      <c r="AC384" s="3">
        <f t="shared" si="290"/>
        <v>-3.2000000000000028E-2</v>
      </c>
      <c r="AD384" s="3">
        <f>-383.535074*627.50956</f>
        <v>-240671.92553030743</v>
      </c>
      <c r="AE384" s="3">
        <f>-386.024266*627.50956</f>
        <v>-242233.91730698294</v>
      </c>
      <c r="AF384" s="3">
        <f t="shared" si="291"/>
        <v>-1561.9917766755098</v>
      </c>
      <c r="AG384" s="3">
        <f>-383.578183*627.50956</f>
        <v>-240698.97683992947</v>
      </c>
      <c r="AH384" s="3">
        <f>-386.068413*627.50956</f>
        <v>-242261.61997152827</v>
      </c>
      <c r="AI384" s="3">
        <f t="shared" si="292"/>
        <v>-1562.6431315988011</v>
      </c>
      <c r="AJ384" s="3">
        <v>-0.51100000000000001</v>
      </c>
      <c r="AK384" s="3">
        <v>-0.58499999999999996</v>
      </c>
      <c r="AL384" s="3">
        <f t="shared" si="293"/>
        <v>-7.3999999999999955E-2</v>
      </c>
      <c r="AM384" s="3">
        <v>122.1644</v>
      </c>
      <c r="AN384" s="3">
        <v>194.24737999999999</v>
      </c>
      <c r="AO384" s="3">
        <v>204.82390000000001</v>
      </c>
      <c r="AP384" s="3">
        <f t="shared" si="294"/>
        <v>1.1561762201489825</v>
      </c>
      <c r="AQ384" s="3">
        <v>9.9339999999999993</v>
      </c>
      <c r="AR384" s="3">
        <v>2.2039487000000002</v>
      </c>
      <c r="AS384" s="3">
        <v>-959.76900000000001</v>
      </c>
      <c r="AT384" s="3">
        <v>-958.05</v>
      </c>
      <c r="AU384" s="3">
        <f t="shared" si="299"/>
        <v>-1.7190000000000509</v>
      </c>
      <c r="AV384" s="3">
        <v>-0.317</v>
      </c>
      <c r="AW384" s="3">
        <v>-0.45</v>
      </c>
      <c r="AX384" s="3">
        <f t="shared" si="300"/>
        <v>0.13300000000000001</v>
      </c>
      <c r="AY384" s="3">
        <v>-2.4E-2</v>
      </c>
      <c r="AZ384" s="3">
        <v>0.13500000000000001</v>
      </c>
      <c r="BA384" s="3">
        <f t="shared" si="301"/>
        <v>-0.159</v>
      </c>
      <c r="BB384" s="3">
        <f t="shared" si="302"/>
        <v>0.17050000000000001</v>
      </c>
      <c r="BC384" s="3">
        <f t="shared" si="302"/>
        <v>0.1575</v>
      </c>
      <c r="BD384" s="3">
        <f t="shared" si="303"/>
        <v>1.3000000000000012E-2</v>
      </c>
      <c r="BE384" s="3">
        <f t="shared" si="304"/>
        <v>0.29299999999999998</v>
      </c>
      <c r="BF384" s="3">
        <f t="shared" si="304"/>
        <v>0.58499999999999996</v>
      </c>
      <c r="BG384" s="3">
        <f t="shared" si="305"/>
        <v>-0.29199999999999998</v>
      </c>
      <c r="BH384" s="3">
        <f t="shared" si="306"/>
        <v>-0.17050000000000001</v>
      </c>
      <c r="BI384" s="3">
        <f t="shared" si="306"/>
        <v>-0.1575</v>
      </c>
      <c r="BJ384" s="3">
        <f t="shared" si="251"/>
        <v>-1.3000000000000012E-2</v>
      </c>
      <c r="BK384" s="3">
        <f t="shared" si="234"/>
        <v>4.9607935153583631E-2</v>
      </c>
      <c r="BL384" s="3">
        <f t="shared" si="235"/>
        <v>2.120192307692308E-2</v>
      </c>
      <c r="BM384" s="3">
        <f t="shared" si="307"/>
        <v>2.8406012076660551E-2</v>
      </c>
      <c r="BN384" s="3">
        <v>2.2370000000000001</v>
      </c>
      <c r="BO384" s="3">
        <v>2.431</v>
      </c>
      <c r="BP384" s="3">
        <f t="shared" si="308"/>
        <v>-0.19399999999999995</v>
      </c>
      <c r="BQ384" s="3">
        <v>-602243.07700000005</v>
      </c>
      <c r="BR384" s="3">
        <v>-601163.24300000002</v>
      </c>
      <c r="BS384" s="3">
        <f t="shared" si="309"/>
        <v>-1079.8340000000317</v>
      </c>
      <c r="BT384" s="3">
        <v>-602262.36399999994</v>
      </c>
      <c r="BU384" s="3">
        <v>-601182.38500000001</v>
      </c>
      <c r="BV384" s="3">
        <f t="shared" si="310"/>
        <v>-1079.9789999999339</v>
      </c>
    </row>
    <row r="385" spans="1:74" x14ac:dyDescent="0.25">
      <c r="A385" t="s">
        <v>17</v>
      </c>
      <c r="B385" s="1" t="s">
        <v>646</v>
      </c>
      <c r="C385" s="1" t="s">
        <v>103</v>
      </c>
      <c r="D385" s="3">
        <v>0.25</v>
      </c>
      <c r="E385" s="3">
        <v>1</v>
      </c>
      <c r="F385" s="3">
        <v>-385.74599999999998</v>
      </c>
      <c r="G385" s="3">
        <v>-388.37900000000002</v>
      </c>
      <c r="H385" s="3">
        <f t="shared" si="295"/>
        <v>-2.6330000000000382</v>
      </c>
      <c r="I385" s="3">
        <v>-0.33</v>
      </c>
      <c r="J385" s="6">
        <v>-0.249</v>
      </c>
      <c r="K385" s="3">
        <f t="shared" si="280"/>
        <v>8.1000000000000016E-2</v>
      </c>
      <c r="L385" s="3">
        <v>0.128</v>
      </c>
      <c r="M385" s="6">
        <v>-1.4999999999999999E-2</v>
      </c>
      <c r="N385" s="3">
        <f t="shared" si="281"/>
        <v>-0.14300000000000002</v>
      </c>
      <c r="O385" s="3">
        <f t="shared" si="282"/>
        <v>0.10100000000000001</v>
      </c>
      <c r="P385" s="3">
        <f t="shared" si="282"/>
        <v>0.13200000000000001</v>
      </c>
      <c r="Q385" s="3">
        <f t="shared" si="283"/>
        <v>3.1E-2</v>
      </c>
      <c r="R385" s="3">
        <f t="shared" si="284"/>
        <v>0.45800000000000002</v>
      </c>
      <c r="S385" s="3">
        <f t="shared" si="285"/>
        <v>0.23399999999999999</v>
      </c>
      <c r="T385" s="3">
        <f t="shared" si="286"/>
        <v>-0.22400000000000003</v>
      </c>
      <c r="U385" s="3">
        <f t="shared" si="287"/>
        <v>-0.10100000000000001</v>
      </c>
      <c r="V385" s="3">
        <f t="shared" si="288"/>
        <v>-0.13200000000000001</v>
      </c>
      <c r="W385" s="3">
        <f t="shared" si="244"/>
        <v>-3.1E-2</v>
      </c>
      <c r="X385" s="3">
        <f t="shared" si="232"/>
        <v>1.1136462882096071E-2</v>
      </c>
      <c r="Y385" s="3">
        <f t="shared" si="233"/>
        <v>3.7230769230769234E-2</v>
      </c>
      <c r="Z385" s="3">
        <f t="shared" si="289"/>
        <v>2.6094306348673164E-2</v>
      </c>
      <c r="AA385" s="3">
        <v>0.45700000000000002</v>
      </c>
      <c r="AB385" s="3">
        <v>0.45400000000000001</v>
      </c>
      <c r="AC385" s="3">
        <f t="shared" si="290"/>
        <v>-3.0000000000000027E-3</v>
      </c>
      <c r="AD385" s="3">
        <f>-385.534946*627.50956</f>
        <v>-241926.86432908374</v>
      </c>
      <c r="AE385" s="3">
        <f>-388.179872*627.50956</f>
        <v>-243586.58067957629</v>
      </c>
      <c r="AF385" s="3">
        <f t="shared" si="291"/>
        <v>-1659.7163504925556</v>
      </c>
      <c r="AG385" s="3">
        <f>-385.580052*627.50956</f>
        <v>-241955.16877529712</v>
      </c>
      <c r="AH385" s="3">
        <f>-388.226255*627.50956</f>
        <v>-243615.68645549778</v>
      </c>
      <c r="AI385" s="3">
        <f t="shared" si="292"/>
        <v>-1660.5176802006608</v>
      </c>
      <c r="AJ385" s="3">
        <v>-0.52700000000000002</v>
      </c>
      <c r="AK385" s="3">
        <v>-0.60199999999999998</v>
      </c>
      <c r="AL385" s="3">
        <f t="shared" si="293"/>
        <v>-7.4999999999999956E-2</v>
      </c>
      <c r="AM385" s="3">
        <v>132.2022</v>
      </c>
      <c r="AN385" s="3">
        <v>215.9511</v>
      </c>
      <c r="AO385" s="3">
        <v>237.3854</v>
      </c>
      <c r="AP385" s="3">
        <f t="shared" si="294"/>
        <v>1.164953796494244</v>
      </c>
      <c r="AQ385" s="3">
        <v>10.218</v>
      </c>
      <c r="AR385" s="3">
        <v>2.3795829999999998</v>
      </c>
      <c r="AS385" s="3">
        <v>-959.76900000000001</v>
      </c>
      <c r="AT385" s="3">
        <v>-958.05</v>
      </c>
      <c r="AU385" s="3">
        <f t="shared" si="299"/>
        <v>-1.7190000000000509</v>
      </c>
      <c r="AV385" s="3">
        <v>-0.317</v>
      </c>
      <c r="AW385" s="3">
        <v>-0.45</v>
      </c>
      <c r="AX385" s="3">
        <f t="shared" si="300"/>
        <v>0.13300000000000001</v>
      </c>
      <c r="AY385" s="3">
        <v>-2.4E-2</v>
      </c>
      <c r="AZ385" s="3">
        <v>0.13500000000000001</v>
      </c>
      <c r="BA385" s="3">
        <f t="shared" si="301"/>
        <v>-0.159</v>
      </c>
      <c r="BB385" s="3">
        <f t="shared" si="302"/>
        <v>0.17050000000000001</v>
      </c>
      <c r="BC385" s="3">
        <f t="shared" si="302"/>
        <v>0.1575</v>
      </c>
      <c r="BD385" s="3">
        <f t="shared" si="303"/>
        <v>1.3000000000000012E-2</v>
      </c>
      <c r="BE385" s="3">
        <f t="shared" si="304"/>
        <v>0.29299999999999998</v>
      </c>
      <c r="BF385" s="3">
        <f t="shared" si="304"/>
        <v>0.58499999999999996</v>
      </c>
      <c r="BG385" s="3">
        <f t="shared" si="305"/>
        <v>-0.29199999999999998</v>
      </c>
      <c r="BH385" s="3">
        <f t="shared" si="306"/>
        <v>-0.17050000000000001</v>
      </c>
      <c r="BI385" s="3">
        <f t="shared" si="306"/>
        <v>-0.1575</v>
      </c>
      <c r="BJ385" s="3">
        <f t="shared" si="251"/>
        <v>-1.3000000000000012E-2</v>
      </c>
      <c r="BK385" s="3">
        <f t="shared" si="234"/>
        <v>4.9607935153583631E-2</v>
      </c>
      <c r="BL385" s="3">
        <f t="shared" si="235"/>
        <v>2.120192307692308E-2</v>
      </c>
      <c r="BM385" s="3">
        <f t="shared" si="307"/>
        <v>2.8406012076660551E-2</v>
      </c>
      <c r="BN385" s="3">
        <v>2.2370000000000001</v>
      </c>
      <c r="BO385" s="3">
        <v>2.431</v>
      </c>
      <c r="BP385" s="3">
        <f t="shared" si="308"/>
        <v>-0.19399999999999995</v>
      </c>
      <c r="BQ385" s="3">
        <v>-602243.07700000005</v>
      </c>
      <c r="BR385" s="3">
        <v>-601163.24300000002</v>
      </c>
      <c r="BS385" s="3">
        <f t="shared" si="309"/>
        <v>-1079.8340000000317</v>
      </c>
      <c r="BT385" s="3">
        <v>-602262.36399999994</v>
      </c>
      <c r="BU385" s="3">
        <v>-601182.38500000001</v>
      </c>
      <c r="BV385" s="3">
        <f t="shared" si="310"/>
        <v>-1079.9789999999339</v>
      </c>
    </row>
    <row r="386" spans="1:74" x14ac:dyDescent="0.25">
      <c r="A386" t="s">
        <v>61</v>
      </c>
      <c r="B386" s="1" t="s">
        <v>646</v>
      </c>
      <c r="C386" s="1" t="s">
        <v>103</v>
      </c>
      <c r="D386" s="3">
        <v>0.54</v>
      </c>
      <c r="E386" s="3">
        <v>1</v>
      </c>
      <c r="F386" s="3">
        <v>-194</v>
      </c>
      <c r="G386" s="3">
        <v>-195.35599999999999</v>
      </c>
      <c r="H386" s="3">
        <f t="shared" si="295"/>
        <v>-1.3559999999999945</v>
      </c>
      <c r="I386" s="3">
        <v>-0.36399999999999999</v>
      </c>
      <c r="J386" s="6">
        <v>-0.26400000000000001</v>
      </c>
      <c r="K386" s="3">
        <f t="shared" si="280"/>
        <v>9.9999999999999978E-2</v>
      </c>
      <c r="L386" s="3">
        <v>0.153</v>
      </c>
      <c r="M386" s="6">
        <v>-4.0000000000000001E-3</v>
      </c>
      <c r="N386" s="3">
        <f t="shared" si="281"/>
        <v>-0.157</v>
      </c>
      <c r="O386" s="3">
        <f t="shared" si="282"/>
        <v>0.1055</v>
      </c>
      <c r="P386" s="3">
        <f t="shared" si="282"/>
        <v>0.13400000000000001</v>
      </c>
      <c r="Q386" s="3">
        <f t="shared" si="283"/>
        <v>2.8500000000000011E-2</v>
      </c>
      <c r="R386" s="3">
        <f t="shared" si="284"/>
        <v>0.51700000000000002</v>
      </c>
      <c r="S386" s="3">
        <f t="shared" si="285"/>
        <v>0.26</v>
      </c>
      <c r="T386" s="3">
        <f t="shared" si="286"/>
        <v>-0.25700000000000001</v>
      </c>
      <c r="U386" s="3">
        <f t="shared" si="287"/>
        <v>-0.1055</v>
      </c>
      <c r="V386" s="3">
        <f t="shared" si="288"/>
        <v>-0.13400000000000001</v>
      </c>
      <c r="W386" s="3">
        <f t="shared" si="244"/>
        <v>-2.8500000000000011E-2</v>
      </c>
      <c r="X386" s="3">
        <f t="shared" ref="X386:X449" si="311">(U386*U386)/(2*R386)</f>
        <v>1.076426499032882E-2</v>
      </c>
      <c r="Y386" s="3">
        <f t="shared" ref="Y386:Y449" si="312">(V386*V386)/(2*S386)</f>
        <v>3.4530769230769233E-2</v>
      </c>
      <c r="Z386" s="3">
        <f t="shared" si="289"/>
        <v>2.3766504240440411E-2</v>
      </c>
      <c r="AA386" s="3">
        <v>0.38100000000000001</v>
      </c>
      <c r="AB386" s="3">
        <v>0.39600000000000002</v>
      </c>
      <c r="AC386" s="3">
        <f t="shared" si="290"/>
        <v>1.5000000000000013E-2</v>
      </c>
      <c r="AD386" s="3">
        <f>-193.872975*627.50956</f>
        <v>-121657.14523814099</v>
      </c>
      <c r="AE386" s="3">
        <f>-195.236689*627.50956</f>
        <v>-122512.88881024685</v>
      </c>
      <c r="AF386" s="3">
        <f t="shared" si="291"/>
        <v>-855.74357210585731</v>
      </c>
      <c r="AG386" s="3">
        <f>-193.908884*627.50956</f>
        <v>-121679.67847893103</v>
      </c>
      <c r="AH386" s="3">
        <f>-195.273081*627.50956</f>
        <v>-122535.72513815435</v>
      </c>
      <c r="AI386" s="3">
        <f t="shared" si="292"/>
        <v>-856.04665922331333</v>
      </c>
      <c r="AJ386" s="3">
        <v>-0.38900000000000001</v>
      </c>
      <c r="AK386" s="3">
        <v>-0.44500000000000001</v>
      </c>
      <c r="AL386" s="3">
        <f t="shared" si="293"/>
        <v>-5.5999999999999994E-2</v>
      </c>
      <c r="AM386" s="3">
        <v>68.117000000000004</v>
      </c>
      <c r="AN386" s="3">
        <v>149.35980000000001</v>
      </c>
      <c r="AO386" s="3">
        <v>144.33168000000001</v>
      </c>
      <c r="AP386" s="3">
        <f t="shared" si="294"/>
        <v>1.1226608102684119</v>
      </c>
      <c r="AQ386" s="3">
        <v>8.5820000000000007</v>
      </c>
      <c r="AR386" s="3">
        <v>1.8046346</v>
      </c>
      <c r="AS386" s="3">
        <v>-959.76900000000001</v>
      </c>
      <c r="AT386" s="3">
        <v>-958.05</v>
      </c>
      <c r="AU386" s="3">
        <f t="shared" si="299"/>
        <v>-1.7190000000000509</v>
      </c>
      <c r="AV386" s="3">
        <v>-0.317</v>
      </c>
      <c r="AW386" s="3">
        <v>-0.45</v>
      </c>
      <c r="AX386" s="3">
        <f t="shared" si="300"/>
        <v>0.13300000000000001</v>
      </c>
      <c r="AY386" s="3">
        <v>-2.4E-2</v>
      </c>
      <c r="AZ386" s="3">
        <v>0.13500000000000001</v>
      </c>
      <c r="BA386" s="3">
        <f t="shared" si="301"/>
        <v>-0.159</v>
      </c>
      <c r="BB386" s="3">
        <f t="shared" si="302"/>
        <v>0.17050000000000001</v>
      </c>
      <c r="BC386" s="3">
        <f t="shared" si="302"/>
        <v>0.1575</v>
      </c>
      <c r="BD386" s="3">
        <f t="shared" si="303"/>
        <v>1.3000000000000012E-2</v>
      </c>
      <c r="BE386" s="3">
        <f t="shared" si="304"/>
        <v>0.29299999999999998</v>
      </c>
      <c r="BF386" s="3">
        <f t="shared" si="304"/>
        <v>0.58499999999999996</v>
      </c>
      <c r="BG386" s="3">
        <f t="shared" si="305"/>
        <v>-0.29199999999999998</v>
      </c>
      <c r="BH386" s="3">
        <f t="shared" si="306"/>
        <v>-0.17050000000000001</v>
      </c>
      <c r="BI386" s="3">
        <f t="shared" si="306"/>
        <v>-0.1575</v>
      </c>
      <c r="BJ386" s="3">
        <f t="shared" si="251"/>
        <v>-1.3000000000000012E-2</v>
      </c>
      <c r="BK386" s="3">
        <f t="shared" ref="BK386:BK449" si="313">(BH386*BH386)/(2*BE386)</f>
        <v>4.9607935153583631E-2</v>
      </c>
      <c r="BL386" s="3">
        <f t="shared" ref="BL386:BL449" si="314">(BI386*BI386)/(2*BF386)</f>
        <v>2.120192307692308E-2</v>
      </c>
      <c r="BM386" s="3">
        <f t="shared" si="307"/>
        <v>2.8406012076660551E-2</v>
      </c>
      <c r="BN386" s="3">
        <v>2.2370000000000001</v>
      </c>
      <c r="BO386" s="3">
        <v>2.431</v>
      </c>
      <c r="BP386" s="3">
        <f t="shared" si="308"/>
        <v>-0.19399999999999995</v>
      </c>
      <c r="BQ386" s="3">
        <v>-602243.07700000005</v>
      </c>
      <c r="BR386" s="3">
        <v>-601163.24300000002</v>
      </c>
      <c r="BS386" s="3">
        <f t="shared" si="309"/>
        <v>-1079.8340000000317</v>
      </c>
      <c r="BT386" s="3">
        <v>-602262.36399999994</v>
      </c>
      <c r="BU386" s="3">
        <v>-601182.38500000001</v>
      </c>
      <c r="BV386" s="3">
        <f t="shared" si="310"/>
        <v>-1079.9789999999339</v>
      </c>
    </row>
    <row r="387" spans="1:74" x14ac:dyDescent="0.25">
      <c r="A387" t="s">
        <v>62</v>
      </c>
      <c r="B387" s="1" t="s">
        <v>646</v>
      </c>
      <c r="C387" s="1" t="s">
        <v>103</v>
      </c>
      <c r="D387" s="3">
        <v>0.57999999999999996</v>
      </c>
      <c r="E387" s="3">
        <v>0.91</v>
      </c>
      <c r="F387" s="3">
        <v>-2653.989</v>
      </c>
      <c r="G387" s="3">
        <v>-2666.1570000000002</v>
      </c>
      <c r="H387" s="3">
        <f t="shared" si="295"/>
        <v>-12.16800000000012</v>
      </c>
      <c r="I387" s="3">
        <v>-0.35899999999999999</v>
      </c>
      <c r="J387" s="6">
        <v>-0.254</v>
      </c>
      <c r="K387" s="3">
        <f t="shared" si="280"/>
        <v>0.10499999999999998</v>
      </c>
      <c r="L387" s="3">
        <v>5.8999999999999997E-2</v>
      </c>
      <c r="M387" s="6">
        <v>-6.8000000000000005E-2</v>
      </c>
      <c r="N387" s="3">
        <f t="shared" si="281"/>
        <v>-0.127</v>
      </c>
      <c r="O387" s="3">
        <f t="shared" si="282"/>
        <v>0.15</v>
      </c>
      <c r="P387" s="3">
        <f t="shared" si="282"/>
        <v>0.161</v>
      </c>
      <c r="Q387" s="3">
        <f t="shared" si="283"/>
        <v>1.100000000000001E-2</v>
      </c>
      <c r="R387" s="3">
        <f t="shared" si="284"/>
        <v>0.41799999999999998</v>
      </c>
      <c r="S387" s="3">
        <f t="shared" si="285"/>
        <v>0.186</v>
      </c>
      <c r="T387" s="3">
        <f t="shared" si="286"/>
        <v>-0.23199999999999998</v>
      </c>
      <c r="U387" s="3">
        <f t="shared" si="287"/>
        <v>-0.15</v>
      </c>
      <c r="V387" s="3">
        <f t="shared" si="288"/>
        <v>-0.161</v>
      </c>
      <c r="W387" s="3">
        <f t="shared" ref="W387:W450" si="315">(V387-U387)</f>
        <v>-1.100000000000001E-2</v>
      </c>
      <c r="X387" s="3">
        <f t="shared" si="311"/>
        <v>2.6913875598086126E-2</v>
      </c>
      <c r="Y387" s="3">
        <f t="shared" si="312"/>
        <v>6.9680107526881724E-2</v>
      </c>
      <c r="Z387" s="3">
        <f t="shared" si="289"/>
        <v>4.2766231928795598E-2</v>
      </c>
      <c r="AA387" s="3">
        <v>2.5099999999999998</v>
      </c>
      <c r="AB387" s="3">
        <v>2.0499999999999998</v>
      </c>
      <c r="AC387" s="3">
        <f t="shared" si="290"/>
        <v>-0.45999999999999996</v>
      </c>
      <c r="AD387" s="3">
        <f>-2653.717167*627.50956</f>
        <v>-1665232.8918286164</v>
      </c>
      <c r="AE387" s="3">
        <f>-2665.896722*627.50956</f>
        <v>-1672875.6790276621</v>
      </c>
      <c r="AF387" s="3">
        <f t="shared" si="291"/>
        <v>-7642.7871990457643</v>
      </c>
      <c r="AG387" s="3">
        <f>-2653.808885*627.50956</f>
        <v>-1665290.4457504405</v>
      </c>
      <c r="AH387" s="3">
        <f>-2666.002488*627.50956</f>
        <v>-1672942.0482037852</v>
      </c>
      <c r="AI387" s="3">
        <f t="shared" si="292"/>
        <v>-7651.6024533447344</v>
      </c>
      <c r="AJ387" s="3">
        <v>-0.55300000000000005</v>
      </c>
      <c r="AK387" s="3">
        <v>-0.622</v>
      </c>
      <c r="AL387" s="3">
        <f t="shared" si="293"/>
        <v>-6.899999999999995E-2</v>
      </c>
      <c r="AM387" s="3">
        <v>586.32500000000005</v>
      </c>
      <c r="AN387" s="3">
        <v>426.96100000000001</v>
      </c>
      <c r="AO387" s="3">
        <v>524.55399999999997</v>
      </c>
      <c r="AP387" s="3">
        <f t="shared" si="294"/>
        <v>1.357638114627262</v>
      </c>
      <c r="AQ387" s="3">
        <v>13.539</v>
      </c>
      <c r="AR387" s="3">
        <v>3.988</v>
      </c>
      <c r="AS387" s="3">
        <v>-959.76900000000001</v>
      </c>
      <c r="AT387" s="3">
        <v>-958.05</v>
      </c>
      <c r="AU387" s="3">
        <f t="shared" si="299"/>
        <v>-1.7190000000000509</v>
      </c>
      <c r="AV387" s="3">
        <v>-0.317</v>
      </c>
      <c r="AW387" s="3">
        <v>-0.45</v>
      </c>
      <c r="AX387" s="3">
        <f t="shared" si="300"/>
        <v>0.13300000000000001</v>
      </c>
      <c r="AY387" s="3">
        <v>-2.4E-2</v>
      </c>
      <c r="AZ387" s="3">
        <v>0.13500000000000001</v>
      </c>
      <c r="BA387" s="3">
        <f t="shared" si="301"/>
        <v>-0.159</v>
      </c>
      <c r="BB387" s="3">
        <f t="shared" si="302"/>
        <v>0.17050000000000001</v>
      </c>
      <c r="BC387" s="3">
        <f t="shared" si="302"/>
        <v>0.1575</v>
      </c>
      <c r="BD387" s="3">
        <f t="shared" si="303"/>
        <v>1.3000000000000012E-2</v>
      </c>
      <c r="BE387" s="3">
        <f t="shared" si="304"/>
        <v>0.29299999999999998</v>
      </c>
      <c r="BF387" s="3">
        <f t="shared" si="304"/>
        <v>0.58499999999999996</v>
      </c>
      <c r="BG387" s="3">
        <f t="shared" si="305"/>
        <v>-0.29199999999999998</v>
      </c>
      <c r="BH387" s="3">
        <f t="shared" si="306"/>
        <v>-0.17050000000000001</v>
      </c>
      <c r="BI387" s="3">
        <f t="shared" si="306"/>
        <v>-0.1575</v>
      </c>
      <c r="BJ387" s="3">
        <f t="shared" ref="BJ387:BJ450" si="316">(BH387-BI387)</f>
        <v>-1.3000000000000012E-2</v>
      </c>
      <c r="BK387" s="3">
        <f t="shared" si="313"/>
        <v>4.9607935153583631E-2</v>
      </c>
      <c r="BL387" s="3">
        <f t="shared" si="314"/>
        <v>2.120192307692308E-2</v>
      </c>
      <c r="BM387" s="3">
        <f t="shared" si="307"/>
        <v>2.8406012076660551E-2</v>
      </c>
      <c r="BN387" s="3">
        <v>2.2370000000000001</v>
      </c>
      <c r="BO387" s="3">
        <v>2.431</v>
      </c>
      <c r="BP387" s="3">
        <f t="shared" si="308"/>
        <v>-0.19399999999999995</v>
      </c>
      <c r="BQ387" s="3">
        <v>-602243.07700000005</v>
      </c>
      <c r="BR387" s="3">
        <v>-601163.24300000002</v>
      </c>
      <c r="BS387" s="3">
        <f t="shared" si="309"/>
        <v>-1079.8340000000317</v>
      </c>
      <c r="BT387" s="3">
        <v>-602262.36399999994</v>
      </c>
      <c r="BU387" s="3">
        <v>-601182.38500000001</v>
      </c>
      <c r="BV387" s="3">
        <f t="shared" si="310"/>
        <v>-1079.9789999999339</v>
      </c>
    </row>
    <row r="388" spans="1:74" x14ac:dyDescent="0.25">
      <c r="A388" t="s">
        <v>63</v>
      </c>
      <c r="B388" s="1" t="s">
        <v>646</v>
      </c>
      <c r="C388" s="1" t="s">
        <v>103</v>
      </c>
      <c r="D388" s="3">
        <v>0.65</v>
      </c>
      <c r="E388" s="3">
        <v>1</v>
      </c>
      <c r="F388" s="3">
        <v>-234.23699999999999</v>
      </c>
      <c r="G388" s="3">
        <v>-235.92</v>
      </c>
      <c r="H388" s="3">
        <f t="shared" si="295"/>
        <v>-1.6829999999999927</v>
      </c>
      <c r="I388" s="3">
        <v>-0.35</v>
      </c>
      <c r="J388" s="6">
        <v>-0.251</v>
      </c>
      <c r="K388" s="3">
        <f t="shared" si="280"/>
        <v>9.8999999999999977E-2</v>
      </c>
      <c r="L388" s="3">
        <v>0.153</v>
      </c>
      <c r="M388" s="6">
        <v>1.4E-2</v>
      </c>
      <c r="N388" s="3">
        <f t="shared" si="281"/>
        <v>-0.13899999999999998</v>
      </c>
      <c r="O388" s="3">
        <f t="shared" si="282"/>
        <v>9.849999999999999E-2</v>
      </c>
      <c r="P388" s="3">
        <f t="shared" si="282"/>
        <v>0.11849999999999999</v>
      </c>
      <c r="Q388" s="3">
        <f t="shared" si="283"/>
        <v>2.0000000000000004E-2</v>
      </c>
      <c r="R388" s="3">
        <f t="shared" si="284"/>
        <v>0.503</v>
      </c>
      <c r="S388" s="3">
        <f t="shared" si="285"/>
        <v>0.26500000000000001</v>
      </c>
      <c r="T388" s="3">
        <f t="shared" si="286"/>
        <v>-0.23799999999999999</v>
      </c>
      <c r="U388" s="3">
        <f t="shared" si="287"/>
        <v>-9.849999999999999E-2</v>
      </c>
      <c r="V388" s="3">
        <f t="shared" si="288"/>
        <v>-0.11849999999999999</v>
      </c>
      <c r="W388" s="3">
        <f t="shared" si="315"/>
        <v>-2.0000000000000004E-2</v>
      </c>
      <c r="X388" s="3">
        <f t="shared" si="311"/>
        <v>9.6443836978131192E-3</v>
      </c>
      <c r="Y388" s="3">
        <f t="shared" si="312"/>
        <v>2.6494811320754715E-2</v>
      </c>
      <c r="Z388" s="3">
        <f t="shared" si="289"/>
        <v>1.6850427622941595E-2</v>
      </c>
      <c r="AA388" s="3">
        <v>0.74199999999999999</v>
      </c>
      <c r="AB388" s="3">
        <v>0.73599999999999999</v>
      </c>
      <c r="AC388" s="3">
        <f t="shared" si="290"/>
        <v>-6.0000000000000053E-3</v>
      </c>
      <c r="AD388" s="3">
        <f>-234.054316*627.50956</f>
        <v>-146871.32084926096</v>
      </c>
      <c r="AE388" s="3">
        <f>-235.747494*627.50956</f>
        <v>-147933.80623104263</v>
      </c>
      <c r="AF388" s="3">
        <f t="shared" si="291"/>
        <v>-1062.4853817816766</v>
      </c>
      <c r="AG388" s="3">
        <f>-234.093966*627.50956</f>
        <v>-146896.20160331496</v>
      </c>
      <c r="AH388" s="3">
        <f>-235.787834*627.50956</f>
        <v>-147959.11996669305</v>
      </c>
      <c r="AI388" s="3">
        <f t="shared" si="292"/>
        <v>-1062.9183633780922</v>
      </c>
      <c r="AJ388" s="3">
        <v>-0.52100000000000002</v>
      </c>
      <c r="AK388" s="3">
        <v>-0.59699999999999998</v>
      </c>
      <c r="AL388" s="3">
        <f t="shared" si="293"/>
        <v>-7.5999999999999956E-2</v>
      </c>
      <c r="AM388" s="3">
        <v>84.159480000000002</v>
      </c>
      <c r="AN388" s="3">
        <v>169.19313</v>
      </c>
      <c r="AO388" s="3">
        <v>180.01900000000001</v>
      </c>
      <c r="AP388" s="3">
        <f t="shared" si="294"/>
        <v>1.0975553858220863</v>
      </c>
      <c r="AQ388" s="3">
        <v>8.0020000000000007</v>
      </c>
      <c r="AR388" s="3">
        <v>1.7787459999999999</v>
      </c>
      <c r="AS388" s="3">
        <v>-959.76900000000001</v>
      </c>
      <c r="AT388" s="3">
        <v>-958.05</v>
      </c>
      <c r="AU388" s="3">
        <f t="shared" si="299"/>
        <v>-1.7190000000000509</v>
      </c>
      <c r="AV388" s="3">
        <v>-0.317</v>
      </c>
      <c r="AW388" s="3">
        <v>-0.45</v>
      </c>
      <c r="AX388" s="3">
        <f t="shared" si="300"/>
        <v>0.13300000000000001</v>
      </c>
      <c r="AY388" s="3">
        <v>-2.4E-2</v>
      </c>
      <c r="AZ388" s="3">
        <v>0.13500000000000001</v>
      </c>
      <c r="BA388" s="3">
        <f t="shared" si="301"/>
        <v>-0.159</v>
      </c>
      <c r="BB388" s="3">
        <f t="shared" si="302"/>
        <v>0.17050000000000001</v>
      </c>
      <c r="BC388" s="3">
        <f t="shared" si="302"/>
        <v>0.1575</v>
      </c>
      <c r="BD388" s="3">
        <f t="shared" si="303"/>
        <v>1.3000000000000012E-2</v>
      </c>
      <c r="BE388" s="3">
        <f t="shared" si="304"/>
        <v>0.29299999999999998</v>
      </c>
      <c r="BF388" s="3">
        <f t="shared" si="304"/>
        <v>0.58499999999999996</v>
      </c>
      <c r="BG388" s="3">
        <f t="shared" si="305"/>
        <v>-0.29199999999999998</v>
      </c>
      <c r="BH388" s="3">
        <f t="shared" si="306"/>
        <v>-0.17050000000000001</v>
      </c>
      <c r="BI388" s="3">
        <f t="shared" si="306"/>
        <v>-0.1575</v>
      </c>
      <c r="BJ388" s="3">
        <f t="shared" si="316"/>
        <v>-1.3000000000000012E-2</v>
      </c>
      <c r="BK388" s="3">
        <f t="shared" si="313"/>
        <v>4.9607935153583631E-2</v>
      </c>
      <c r="BL388" s="3">
        <f t="shared" si="314"/>
        <v>2.120192307692308E-2</v>
      </c>
      <c r="BM388" s="3">
        <f t="shared" si="307"/>
        <v>2.8406012076660551E-2</v>
      </c>
      <c r="BN388" s="3">
        <v>2.2370000000000001</v>
      </c>
      <c r="BO388" s="3">
        <v>2.431</v>
      </c>
      <c r="BP388" s="3">
        <f t="shared" si="308"/>
        <v>-0.19399999999999995</v>
      </c>
      <c r="BQ388" s="3">
        <v>-602243.07700000005</v>
      </c>
      <c r="BR388" s="3">
        <v>-601163.24300000002</v>
      </c>
      <c r="BS388" s="3">
        <f t="shared" si="309"/>
        <v>-1079.8340000000317</v>
      </c>
      <c r="BT388" s="3">
        <v>-602262.36399999994</v>
      </c>
      <c r="BU388" s="3">
        <v>-601182.38500000001</v>
      </c>
      <c r="BV388" s="3">
        <f t="shared" si="310"/>
        <v>-1079.9789999999339</v>
      </c>
    </row>
    <row r="389" spans="1:74" x14ac:dyDescent="0.25">
      <c r="A389" t="s">
        <v>18</v>
      </c>
      <c r="B389" s="1" t="s">
        <v>646</v>
      </c>
      <c r="C389" s="1" t="s">
        <v>103</v>
      </c>
      <c r="D389" s="3">
        <v>0.65</v>
      </c>
      <c r="E389" s="3">
        <v>1.17</v>
      </c>
      <c r="F389" s="3">
        <v>-195.196</v>
      </c>
      <c r="G389" s="3">
        <v>-196.6</v>
      </c>
      <c r="H389" s="3">
        <f t="shared" si="295"/>
        <v>-1.4039999999999964</v>
      </c>
      <c r="I389" s="3">
        <v>-0.33600000000000002</v>
      </c>
      <c r="J389" s="6">
        <v>-0.23599999999999999</v>
      </c>
      <c r="K389" s="3">
        <f t="shared" si="280"/>
        <v>0.10000000000000003</v>
      </c>
      <c r="L389" s="3">
        <v>0.155</v>
      </c>
      <c r="M389" s="6">
        <v>2.4E-2</v>
      </c>
      <c r="N389" s="3">
        <f t="shared" si="281"/>
        <v>-0.13100000000000001</v>
      </c>
      <c r="O389" s="3">
        <f t="shared" si="282"/>
        <v>9.0500000000000011E-2</v>
      </c>
      <c r="P389" s="3">
        <f t="shared" si="282"/>
        <v>0.106</v>
      </c>
      <c r="Q389" s="3">
        <f t="shared" si="283"/>
        <v>1.5499999999999986E-2</v>
      </c>
      <c r="R389" s="3">
        <f t="shared" si="284"/>
        <v>0.49099999999999999</v>
      </c>
      <c r="S389" s="3">
        <f t="shared" si="285"/>
        <v>0.26</v>
      </c>
      <c r="T389" s="3">
        <f t="shared" si="286"/>
        <v>-0.23099999999999998</v>
      </c>
      <c r="U389" s="3">
        <f t="shared" si="287"/>
        <v>-9.0500000000000011E-2</v>
      </c>
      <c r="V389" s="3">
        <f t="shared" si="288"/>
        <v>-0.106</v>
      </c>
      <c r="W389" s="3">
        <f t="shared" si="315"/>
        <v>-1.5499999999999986E-2</v>
      </c>
      <c r="X389" s="3">
        <f t="shared" si="311"/>
        <v>8.3403767820773942E-3</v>
      </c>
      <c r="Y389" s="3">
        <f t="shared" si="312"/>
        <v>2.1607692307692307E-2</v>
      </c>
      <c r="Z389" s="3">
        <f t="shared" si="289"/>
        <v>1.3267315525614913E-2</v>
      </c>
      <c r="AA389" s="3">
        <v>0.27900000000000003</v>
      </c>
      <c r="AB389" s="3">
        <v>0.26700000000000002</v>
      </c>
      <c r="AC389" s="3">
        <f t="shared" si="290"/>
        <v>-1.2000000000000011E-2</v>
      </c>
      <c r="AD389" s="3">
        <f>-195.045236*627.50956</f>
        <v>-122392.75022245615</v>
      </c>
      <c r="AE389" s="3">
        <f>-196.457539*627.50956</f>
        <v>-123278.98385657283</v>
      </c>
      <c r="AF389" s="3">
        <f t="shared" si="291"/>
        <v>-886.23363411668106</v>
      </c>
      <c r="AG389" s="3">
        <f>-195.082645*627.50956</f>
        <v>-122416.2247275862</v>
      </c>
      <c r="AH389" s="3">
        <f>-196.495296*627.50956</f>
        <v>-123302.67673502975</v>
      </c>
      <c r="AI389" s="3">
        <f t="shared" si="292"/>
        <v>-886.45200744354224</v>
      </c>
      <c r="AJ389" s="3">
        <v>-0.52700000000000002</v>
      </c>
      <c r="AK389" s="3">
        <v>-0.60199999999999998</v>
      </c>
      <c r="AL389" s="3">
        <f t="shared" si="293"/>
        <v>-7.4999999999999956E-2</v>
      </c>
      <c r="AM389" s="3">
        <v>70.132900000000006</v>
      </c>
      <c r="AN389" s="3">
        <v>154.04300000000001</v>
      </c>
      <c r="AO389" s="3">
        <v>154.46549999999999</v>
      </c>
      <c r="AP389" s="3">
        <f t="shared" si="294"/>
        <v>1.1066499157827661</v>
      </c>
      <c r="AQ389" s="3">
        <v>7.7290000000000001</v>
      </c>
      <c r="AR389" s="3">
        <v>1.6996869999999999</v>
      </c>
      <c r="AS389" s="3">
        <v>-959.76900000000001</v>
      </c>
      <c r="AT389" s="3">
        <v>-958.05</v>
      </c>
      <c r="AU389" s="3">
        <f t="shared" si="299"/>
        <v>-1.7190000000000509</v>
      </c>
      <c r="AV389" s="3">
        <v>-0.317</v>
      </c>
      <c r="AW389" s="3">
        <v>-0.45</v>
      </c>
      <c r="AX389" s="3">
        <f t="shared" si="300"/>
        <v>0.13300000000000001</v>
      </c>
      <c r="AY389" s="3">
        <v>-2.4E-2</v>
      </c>
      <c r="AZ389" s="3">
        <v>0.13500000000000001</v>
      </c>
      <c r="BA389" s="3">
        <f t="shared" si="301"/>
        <v>-0.159</v>
      </c>
      <c r="BB389" s="3">
        <f t="shared" si="302"/>
        <v>0.17050000000000001</v>
      </c>
      <c r="BC389" s="3">
        <f t="shared" si="302"/>
        <v>0.1575</v>
      </c>
      <c r="BD389" s="3">
        <f t="shared" si="303"/>
        <v>1.3000000000000012E-2</v>
      </c>
      <c r="BE389" s="3">
        <f t="shared" si="304"/>
        <v>0.29299999999999998</v>
      </c>
      <c r="BF389" s="3">
        <f t="shared" si="304"/>
        <v>0.58499999999999996</v>
      </c>
      <c r="BG389" s="3">
        <f t="shared" si="305"/>
        <v>-0.29199999999999998</v>
      </c>
      <c r="BH389" s="3">
        <f t="shared" si="306"/>
        <v>-0.17050000000000001</v>
      </c>
      <c r="BI389" s="3">
        <f t="shared" si="306"/>
        <v>-0.1575</v>
      </c>
      <c r="BJ389" s="3">
        <f t="shared" si="316"/>
        <v>-1.3000000000000012E-2</v>
      </c>
      <c r="BK389" s="3">
        <f t="shared" si="313"/>
        <v>4.9607935153583631E-2</v>
      </c>
      <c r="BL389" s="3">
        <f t="shared" si="314"/>
        <v>2.120192307692308E-2</v>
      </c>
      <c r="BM389" s="3">
        <f t="shared" si="307"/>
        <v>2.8406012076660551E-2</v>
      </c>
      <c r="BN389" s="3">
        <v>2.2370000000000001</v>
      </c>
      <c r="BO389" s="3">
        <v>2.431</v>
      </c>
      <c r="BP389" s="3">
        <f t="shared" si="308"/>
        <v>-0.19399999999999995</v>
      </c>
      <c r="BQ389" s="3">
        <v>-602243.07700000005</v>
      </c>
      <c r="BR389" s="3">
        <v>-601163.24300000002</v>
      </c>
      <c r="BS389" s="3">
        <f t="shared" si="309"/>
        <v>-1079.8340000000317</v>
      </c>
      <c r="BT389" s="3">
        <v>-602262.36399999994</v>
      </c>
      <c r="BU389" s="3">
        <v>-601182.38500000001</v>
      </c>
      <c r="BV389" s="3">
        <f t="shared" si="310"/>
        <v>-1079.9789999999339</v>
      </c>
    </row>
    <row r="390" spans="1:74" x14ac:dyDescent="0.25">
      <c r="A390" t="s">
        <v>19</v>
      </c>
      <c r="B390" s="1" t="s">
        <v>646</v>
      </c>
      <c r="C390" s="1" t="s">
        <v>103</v>
      </c>
      <c r="D390" s="3">
        <v>0.66</v>
      </c>
      <c r="E390" s="3">
        <v>1</v>
      </c>
      <c r="F390" s="3">
        <v>-194.00800000000001</v>
      </c>
      <c r="G390" s="3">
        <v>-195.36799999999999</v>
      </c>
      <c r="H390" s="3">
        <f t="shared" si="295"/>
        <v>-1.3599999999999852</v>
      </c>
      <c r="I390" s="3">
        <v>-0.318</v>
      </c>
      <c r="J390" s="6">
        <v>-0.23100000000000001</v>
      </c>
      <c r="K390" s="3">
        <f t="shared" si="280"/>
        <v>8.6999999999999994E-2</v>
      </c>
      <c r="L390" s="3">
        <v>0.124</v>
      </c>
      <c r="M390" s="6">
        <v>-3.1E-2</v>
      </c>
      <c r="N390" s="3">
        <f t="shared" si="281"/>
        <v>-0.155</v>
      </c>
      <c r="O390" s="3">
        <f t="shared" si="282"/>
        <v>9.7000000000000003E-2</v>
      </c>
      <c r="P390" s="3">
        <f t="shared" si="282"/>
        <v>0.13100000000000001</v>
      </c>
      <c r="Q390" s="3">
        <f t="shared" si="283"/>
        <v>3.4000000000000002E-2</v>
      </c>
      <c r="R390" s="3">
        <f t="shared" si="284"/>
        <v>0.442</v>
      </c>
      <c r="S390" s="3">
        <f t="shared" si="285"/>
        <v>0.2</v>
      </c>
      <c r="T390" s="3">
        <f t="shared" si="286"/>
        <v>-0.24199999999999999</v>
      </c>
      <c r="U390" s="3">
        <f t="shared" si="287"/>
        <v>-9.7000000000000003E-2</v>
      </c>
      <c r="V390" s="3">
        <f t="shared" si="288"/>
        <v>-0.13100000000000001</v>
      </c>
      <c r="W390" s="3">
        <f t="shared" si="315"/>
        <v>-3.4000000000000002E-2</v>
      </c>
      <c r="X390" s="3">
        <f t="shared" si="311"/>
        <v>1.0643665158371042E-2</v>
      </c>
      <c r="Y390" s="3">
        <f t="shared" si="312"/>
        <v>4.2902500000000003E-2</v>
      </c>
      <c r="Z390" s="3">
        <f t="shared" si="289"/>
        <v>3.2258834841628961E-2</v>
      </c>
      <c r="AA390" s="3">
        <v>0.65800000000000003</v>
      </c>
      <c r="AB390" s="3">
        <v>0.73399999999999999</v>
      </c>
      <c r="AC390" s="3">
        <f t="shared" si="290"/>
        <v>7.5999999999999956E-2</v>
      </c>
      <c r="AD390" s="3">
        <f>-193.88083*627.50956</f>
        <v>-121662.07432573479</v>
      </c>
      <c r="AE390" s="3">
        <f>-195.248076*627.50956</f>
        <v>-122520.03426160655</v>
      </c>
      <c r="AF390" s="3">
        <f t="shared" si="291"/>
        <v>-857.95993587175326</v>
      </c>
      <c r="AG390" s="3">
        <f>-193.916571*627.50956</f>
        <v>-121684.50214491876</v>
      </c>
      <c r="AH390" s="3">
        <f>-195.284187*627.50956</f>
        <v>-122542.69425932772</v>
      </c>
      <c r="AI390" s="3">
        <f t="shared" si="292"/>
        <v>-858.19211440895742</v>
      </c>
      <c r="AJ390" s="3">
        <v>-0.53200000000000003</v>
      </c>
      <c r="AK390" s="3">
        <v>-0.60899999999999999</v>
      </c>
      <c r="AL390" s="3">
        <f t="shared" si="293"/>
        <v>-7.6999999999999957E-2</v>
      </c>
      <c r="AM390" s="3">
        <v>68.117019999999997</v>
      </c>
      <c r="AN390" s="3">
        <v>147.75178</v>
      </c>
      <c r="AO390" s="3">
        <v>143.34649999999999</v>
      </c>
      <c r="AP390" s="3">
        <f t="shared" si="294"/>
        <v>1.1156567815995808</v>
      </c>
      <c r="AQ390" s="3">
        <v>8.2769999999999992</v>
      </c>
      <c r="AR390" s="3">
        <v>1.8071164</v>
      </c>
      <c r="AS390" s="3">
        <v>-959.76900000000001</v>
      </c>
      <c r="AT390" s="3">
        <v>-958.05</v>
      </c>
      <c r="AU390" s="3">
        <f t="shared" si="299"/>
        <v>-1.7190000000000509</v>
      </c>
      <c r="AV390" s="3">
        <v>-0.317</v>
      </c>
      <c r="AW390" s="3">
        <v>-0.45</v>
      </c>
      <c r="AX390" s="3">
        <f t="shared" si="300"/>
        <v>0.13300000000000001</v>
      </c>
      <c r="AY390" s="3">
        <v>-2.4E-2</v>
      </c>
      <c r="AZ390" s="3">
        <v>0.13500000000000001</v>
      </c>
      <c r="BA390" s="3">
        <f t="shared" si="301"/>
        <v>-0.159</v>
      </c>
      <c r="BB390" s="3">
        <f t="shared" si="302"/>
        <v>0.17050000000000001</v>
      </c>
      <c r="BC390" s="3">
        <f t="shared" si="302"/>
        <v>0.1575</v>
      </c>
      <c r="BD390" s="3">
        <f t="shared" si="303"/>
        <v>1.3000000000000012E-2</v>
      </c>
      <c r="BE390" s="3">
        <f t="shared" si="304"/>
        <v>0.29299999999999998</v>
      </c>
      <c r="BF390" s="3">
        <f t="shared" si="304"/>
        <v>0.58499999999999996</v>
      </c>
      <c r="BG390" s="3">
        <f t="shared" si="305"/>
        <v>-0.29199999999999998</v>
      </c>
      <c r="BH390" s="3">
        <f t="shared" si="306"/>
        <v>-0.17050000000000001</v>
      </c>
      <c r="BI390" s="3">
        <f t="shared" si="306"/>
        <v>-0.1575</v>
      </c>
      <c r="BJ390" s="3">
        <f t="shared" si="316"/>
        <v>-1.3000000000000012E-2</v>
      </c>
      <c r="BK390" s="3">
        <f t="shared" si="313"/>
        <v>4.9607935153583631E-2</v>
      </c>
      <c r="BL390" s="3">
        <f t="shared" si="314"/>
        <v>2.120192307692308E-2</v>
      </c>
      <c r="BM390" s="3">
        <f t="shared" si="307"/>
        <v>2.8406012076660551E-2</v>
      </c>
      <c r="BN390" s="3">
        <v>2.2370000000000001</v>
      </c>
      <c r="BO390" s="3">
        <v>2.431</v>
      </c>
      <c r="BP390" s="3">
        <f t="shared" si="308"/>
        <v>-0.19399999999999995</v>
      </c>
      <c r="BQ390" s="3">
        <v>-602243.07700000005</v>
      </c>
      <c r="BR390" s="3">
        <v>-601163.24300000002</v>
      </c>
      <c r="BS390" s="3">
        <f t="shared" si="309"/>
        <v>-1079.8340000000317</v>
      </c>
      <c r="BT390" s="3">
        <v>-602262.36399999994</v>
      </c>
      <c r="BU390" s="3">
        <v>-601182.38500000001</v>
      </c>
      <c r="BV390" s="3">
        <f t="shared" si="310"/>
        <v>-1079.9789999999339</v>
      </c>
    </row>
    <row r="391" spans="1:74" x14ac:dyDescent="0.25">
      <c r="A391" t="s">
        <v>20</v>
      </c>
      <c r="B391" s="1" t="s">
        <v>646</v>
      </c>
      <c r="C391" s="1" t="s">
        <v>103</v>
      </c>
      <c r="D391" s="3">
        <v>0.67</v>
      </c>
      <c r="E391" s="3">
        <v>1.1000000000000001</v>
      </c>
      <c r="F391" s="3">
        <v>-230.75700000000001</v>
      </c>
      <c r="G391" s="3">
        <v>-232.31100000000001</v>
      </c>
      <c r="H391" s="3">
        <f t="shared" si="295"/>
        <v>-1.554000000000002</v>
      </c>
      <c r="I391" s="3">
        <v>-0.34</v>
      </c>
      <c r="J391" s="6">
        <v>-0.26</v>
      </c>
      <c r="K391" s="3">
        <f t="shared" si="280"/>
        <v>8.0000000000000016E-2</v>
      </c>
      <c r="L391" s="3">
        <v>0.13200000000000001</v>
      </c>
      <c r="M391" s="6">
        <v>-1.2999999999999999E-2</v>
      </c>
      <c r="N391" s="3">
        <f t="shared" si="281"/>
        <v>-0.14500000000000002</v>
      </c>
      <c r="O391" s="3">
        <f t="shared" si="282"/>
        <v>0.10400000000000001</v>
      </c>
      <c r="P391" s="3">
        <f t="shared" si="282"/>
        <v>0.13650000000000001</v>
      </c>
      <c r="Q391" s="3">
        <f t="shared" si="283"/>
        <v>3.2500000000000001E-2</v>
      </c>
      <c r="R391" s="3">
        <f t="shared" si="284"/>
        <v>0.47200000000000003</v>
      </c>
      <c r="S391" s="3">
        <f t="shared" si="285"/>
        <v>0.247</v>
      </c>
      <c r="T391" s="3">
        <f t="shared" si="286"/>
        <v>-0.22500000000000003</v>
      </c>
      <c r="U391" s="3">
        <f t="shared" si="287"/>
        <v>-0.10400000000000001</v>
      </c>
      <c r="V391" s="3">
        <f t="shared" si="288"/>
        <v>-0.13650000000000001</v>
      </c>
      <c r="W391" s="3">
        <f t="shared" si="315"/>
        <v>-3.2500000000000001E-2</v>
      </c>
      <c r="X391" s="3">
        <f t="shared" si="311"/>
        <v>1.145762711864407E-2</v>
      </c>
      <c r="Y391" s="3">
        <f t="shared" si="312"/>
        <v>3.7717105263157899E-2</v>
      </c>
      <c r="Z391" s="3">
        <f t="shared" si="289"/>
        <v>2.6259478144513827E-2</v>
      </c>
      <c r="AA391" s="3">
        <v>0</v>
      </c>
      <c r="AB391" s="3">
        <v>0</v>
      </c>
      <c r="AC391" s="3">
        <f t="shared" si="290"/>
        <v>0</v>
      </c>
      <c r="AD391" s="3">
        <f>-230.645477*627.50956</f>
        <v>-144732.24178826011</v>
      </c>
      <c r="AE391" s="3">
        <f>-232.205438*627.50956</f>
        <v>-145711.13222898726</v>
      </c>
      <c r="AF391" s="3">
        <f t="shared" si="291"/>
        <v>-978.89044072714751</v>
      </c>
      <c r="AG391" s="3">
        <f>-230.677219*627.50956</f>
        <v>-144752.16019671364</v>
      </c>
      <c r="AH391" s="3">
        <f>-232.237585*627.50956</f>
        <v>-145731.3047788126</v>
      </c>
      <c r="AI391" s="3">
        <f t="shared" si="292"/>
        <v>-979.14458209896111</v>
      </c>
      <c r="AJ391" s="3">
        <v>-0.192</v>
      </c>
      <c r="AK391" s="3">
        <v>-0.20599999999999999</v>
      </c>
      <c r="AL391" s="3">
        <f t="shared" si="293"/>
        <v>-1.3999999999999985E-2</v>
      </c>
      <c r="AM391" s="3">
        <v>78.111840000000001</v>
      </c>
      <c r="AN391" s="3">
        <v>139.95959999999999</v>
      </c>
      <c r="AO391" s="3">
        <v>138.02526</v>
      </c>
      <c r="AP391" s="3">
        <f t="shared" si="294"/>
        <v>1.0838094341631122</v>
      </c>
      <c r="AQ391" s="3">
        <v>7.359</v>
      </c>
      <c r="AR391" s="3">
        <v>1.50703795</v>
      </c>
      <c r="AS391" s="3">
        <v>-959.76900000000001</v>
      </c>
      <c r="AT391" s="3">
        <v>-958.05</v>
      </c>
      <c r="AU391" s="3">
        <f t="shared" si="299"/>
        <v>-1.7190000000000509</v>
      </c>
      <c r="AV391" s="3">
        <v>-0.317</v>
      </c>
      <c r="AW391" s="3">
        <v>-0.45</v>
      </c>
      <c r="AX391" s="3">
        <f t="shared" si="300"/>
        <v>0.13300000000000001</v>
      </c>
      <c r="AY391" s="3">
        <v>-2.4E-2</v>
      </c>
      <c r="AZ391" s="3">
        <v>0.13500000000000001</v>
      </c>
      <c r="BA391" s="3">
        <f t="shared" si="301"/>
        <v>-0.159</v>
      </c>
      <c r="BB391" s="3">
        <f t="shared" si="302"/>
        <v>0.17050000000000001</v>
      </c>
      <c r="BC391" s="3">
        <f t="shared" si="302"/>
        <v>0.1575</v>
      </c>
      <c r="BD391" s="3">
        <f t="shared" si="303"/>
        <v>1.3000000000000012E-2</v>
      </c>
      <c r="BE391" s="3">
        <f t="shared" si="304"/>
        <v>0.29299999999999998</v>
      </c>
      <c r="BF391" s="3">
        <f t="shared" si="304"/>
        <v>0.58499999999999996</v>
      </c>
      <c r="BG391" s="3">
        <f t="shared" si="305"/>
        <v>-0.29199999999999998</v>
      </c>
      <c r="BH391" s="3">
        <f t="shared" si="306"/>
        <v>-0.17050000000000001</v>
      </c>
      <c r="BI391" s="3">
        <f t="shared" si="306"/>
        <v>-0.1575</v>
      </c>
      <c r="BJ391" s="3">
        <f t="shared" si="316"/>
        <v>-1.3000000000000012E-2</v>
      </c>
      <c r="BK391" s="3">
        <f t="shared" si="313"/>
        <v>4.9607935153583631E-2</v>
      </c>
      <c r="BL391" s="3">
        <f t="shared" si="314"/>
        <v>2.120192307692308E-2</v>
      </c>
      <c r="BM391" s="3">
        <f t="shared" si="307"/>
        <v>2.8406012076660551E-2</v>
      </c>
      <c r="BN391" s="3">
        <v>2.2370000000000001</v>
      </c>
      <c r="BO391" s="3">
        <v>2.431</v>
      </c>
      <c r="BP391" s="3">
        <f t="shared" si="308"/>
        <v>-0.19399999999999995</v>
      </c>
      <c r="BQ391" s="3">
        <v>-602243.07700000005</v>
      </c>
      <c r="BR391" s="3">
        <v>-601163.24300000002</v>
      </c>
      <c r="BS391" s="3">
        <f t="shared" si="309"/>
        <v>-1079.8340000000317</v>
      </c>
      <c r="BT391" s="3">
        <v>-602262.36399999994</v>
      </c>
      <c r="BU391" s="3">
        <v>-601182.38500000001</v>
      </c>
      <c r="BV391" s="3">
        <f t="shared" si="310"/>
        <v>-1079.9789999999339</v>
      </c>
    </row>
    <row r="392" spans="1:74" x14ac:dyDescent="0.25">
      <c r="A392" t="s">
        <v>64</v>
      </c>
      <c r="B392" s="1" t="s">
        <v>646</v>
      </c>
      <c r="C392" s="1" t="s">
        <v>103</v>
      </c>
      <c r="D392" s="3">
        <v>0.68</v>
      </c>
      <c r="E392" s="3">
        <v>1.0900000000000001</v>
      </c>
      <c r="F392" s="3">
        <v>-424.78500000000003</v>
      </c>
      <c r="G392" s="3">
        <v>-427.70499999999998</v>
      </c>
      <c r="H392" s="3">
        <f t="shared" si="295"/>
        <v>-2.9199999999999591</v>
      </c>
      <c r="I392" s="3">
        <v>-0.30099999999999999</v>
      </c>
      <c r="J392" s="6">
        <v>-0.22700000000000001</v>
      </c>
      <c r="K392" s="3">
        <f t="shared" si="280"/>
        <v>7.3999999999999982E-2</v>
      </c>
      <c r="L392" s="3">
        <v>0.107</v>
      </c>
      <c r="M392" s="6">
        <v>-3.2000000000000001E-2</v>
      </c>
      <c r="N392" s="3">
        <f t="shared" si="281"/>
        <v>-0.13900000000000001</v>
      </c>
      <c r="O392" s="3">
        <f t="shared" si="282"/>
        <v>9.7000000000000003E-2</v>
      </c>
      <c r="P392" s="3">
        <f t="shared" si="282"/>
        <v>0.1295</v>
      </c>
      <c r="Q392" s="3">
        <f t="shared" si="283"/>
        <v>3.2500000000000001E-2</v>
      </c>
      <c r="R392" s="3">
        <f t="shared" si="284"/>
        <v>0.40799999999999997</v>
      </c>
      <c r="S392" s="3">
        <f t="shared" si="285"/>
        <v>0.19500000000000001</v>
      </c>
      <c r="T392" s="3">
        <f t="shared" si="286"/>
        <v>-0.21299999999999997</v>
      </c>
      <c r="U392" s="3">
        <f t="shared" si="287"/>
        <v>-9.7000000000000003E-2</v>
      </c>
      <c r="V392" s="3">
        <f t="shared" si="288"/>
        <v>-0.1295</v>
      </c>
      <c r="W392" s="3">
        <f t="shared" si="315"/>
        <v>-3.2500000000000001E-2</v>
      </c>
      <c r="X392" s="3">
        <f t="shared" si="311"/>
        <v>1.1530637254901962E-2</v>
      </c>
      <c r="Y392" s="3">
        <f t="shared" si="312"/>
        <v>4.3000641025641023E-2</v>
      </c>
      <c r="Z392" s="3">
        <f t="shared" si="289"/>
        <v>3.1470003770739059E-2</v>
      </c>
      <c r="AA392" s="3">
        <v>0.223</v>
      </c>
      <c r="AB392" s="3">
        <v>0.25700000000000001</v>
      </c>
      <c r="AC392" s="3">
        <f t="shared" si="290"/>
        <v>3.4000000000000002E-2</v>
      </c>
      <c r="AD392" s="3">
        <f>-424.545265*627.50956</f>
        <v>-266406.21244023339</v>
      </c>
      <c r="AE392" s="3">
        <f>-427.477395*627.50956</f>
        <v>-268246.15204639616</v>
      </c>
      <c r="AF392" s="3">
        <f t="shared" si="291"/>
        <v>-1839.9396061627776</v>
      </c>
      <c r="AG392" s="3">
        <f>-424.590442*627.50956</f>
        <v>-266434.56143962551</v>
      </c>
      <c r="AH392" s="3">
        <f>-427.527745*627.50956</f>
        <v>-268277.74715274217</v>
      </c>
      <c r="AI392" s="3">
        <f t="shared" si="292"/>
        <v>-1843.1857131166616</v>
      </c>
      <c r="AJ392" s="3">
        <v>-0.33300000000000002</v>
      </c>
      <c r="AK392" s="3">
        <v>-0.35799999999999998</v>
      </c>
      <c r="AL392" s="3">
        <f t="shared" si="293"/>
        <v>-2.4999999999999967E-2</v>
      </c>
      <c r="AM392" s="3">
        <v>146.22880000000001</v>
      </c>
      <c r="AN392" s="3">
        <v>232.65600000000001</v>
      </c>
      <c r="AO392" s="3">
        <v>261.858</v>
      </c>
      <c r="AP392" s="3">
        <f t="shared" si="294"/>
        <v>1.1756001779256349</v>
      </c>
      <c r="AQ392" s="3">
        <v>10.755000000000001</v>
      </c>
      <c r="AR392" s="3">
        <v>2.4137</v>
      </c>
      <c r="AS392" s="3">
        <v>-959.76900000000001</v>
      </c>
      <c r="AT392" s="3">
        <v>-958.05</v>
      </c>
      <c r="AU392" s="3">
        <f t="shared" si="299"/>
        <v>-1.7190000000000509</v>
      </c>
      <c r="AV392" s="3">
        <v>-0.317</v>
      </c>
      <c r="AW392" s="3">
        <v>-0.45</v>
      </c>
      <c r="AX392" s="3">
        <f t="shared" si="300"/>
        <v>0.13300000000000001</v>
      </c>
      <c r="AY392" s="3">
        <v>-2.4E-2</v>
      </c>
      <c r="AZ392" s="3">
        <v>0.13500000000000001</v>
      </c>
      <c r="BA392" s="3">
        <f t="shared" si="301"/>
        <v>-0.159</v>
      </c>
      <c r="BB392" s="3">
        <f t="shared" si="302"/>
        <v>0.17050000000000001</v>
      </c>
      <c r="BC392" s="3">
        <f t="shared" si="302"/>
        <v>0.1575</v>
      </c>
      <c r="BD392" s="3">
        <f t="shared" si="303"/>
        <v>1.3000000000000012E-2</v>
      </c>
      <c r="BE392" s="3">
        <f t="shared" si="304"/>
        <v>0.29299999999999998</v>
      </c>
      <c r="BF392" s="3">
        <f t="shared" si="304"/>
        <v>0.58499999999999996</v>
      </c>
      <c r="BG392" s="3">
        <f t="shared" si="305"/>
        <v>-0.29199999999999998</v>
      </c>
      <c r="BH392" s="3">
        <f t="shared" si="306"/>
        <v>-0.17050000000000001</v>
      </c>
      <c r="BI392" s="3">
        <f t="shared" si="306"/>
        <v>-0.1575</v>
      </c>
      <c r="BJ392" s="3">
        <f t="shared" si="316"/>
        <v>-1.3000000000000012E-2</v>
      </c>
      <c r="BK392" s="3">
        <f t="shared" si="313"/>
        <v>4.9607935153583631E-2</v>
      </c>
      <c r="BL392" s="3">
        <f t="shared" si="314"/>
        <v>2.120192307692308E-2</v>
      </c>
      <c r="BM392" s="3">
        <f t="shared" si="307"/>
        <v>2.8406012076660551E-2</v>
      </c>
      <c r="BN392" s="3">
        <v>2.2370000000000001</v>
      </c>
      <c r="BO392" s="3">
        <v>2.431</v>
      </c>
      <c r="BP392" s="3">
        <f t="shared" si="308"/>
        <v>-0.19399999999999995</v>
      </c>
      <c r="BQ392" s="3">
        <v>-602243.07700000005</v>
      </c>
      <c r="BR392" s="3">
        <v>-601163.24300000002</v>
      </c>
      <c r="BS392" s="3">
        <f t="shared" si="309"/>
        <v>-1079.8340000000317</v>
      </c>
      <c r="BT392" s="3">
        <v>-602262.36399999994</v>
      </c>
      <c r="BU392" s="3">
        <v>-601182.38500000001</v>
      </c>
      <c r="BV392" s="3">
        <f t="shared" si="310"/>
        <v>-1079.9789999999339</v>
      </c>
    </row>
    <row r="393" spans="1:74" x14ac:dyDescent="0.25">
      <c r="A393" t="s">
        <v>21</v>
      </c>
      <c r="B393" s="1" t="s">
        <v>646</v>
      </c>
      <c r="C393" s="1" t="s">
        <v>103</v>
      </c>
      <c r="D393" s="3">
        <v>0.78</v>
      </c>
      <c r="E393" s="3">
        <v>0.95</v>
      </c>
      <c r="F393" s="3">
        <v>-307.65699999999998</v>
      </c>
      <c r="G393" s="3">
        <v>-309.73</v>
      </c>
      <c r="H393" s="3">
        <f t="shared" si="295"/>
        <v>-2.0730000000000359</v>
      </c>
      <c r="I393" s="3">
        <v>-0.311</v>
      </c>
      <c r="J393" s="6">
        <v>-0.23499999999999999</v>
      </c>
      <c r="K393" s="3">
        <f t="shared" si="280"/>
        <v>7.6000000000000012E-2</v>
      </c>
      <c r="L393" s="3">
        <v>9.6000000000000002E-2</v>
      </c>
      <c r="M393" s="6">
        <v>-4.5999999999999999E-2</v>
      </c>
      <c r="N393" s="3">
        <f t="shared" si="281"/>
        <v>-0.14200000000000002</v>
      </c>
      <c r="O393" s="3">
        <f t="shared" si="282"/>
        <v>0.1075</v>
      </c>
      <c r="P393" s="3">
        <f t="shared" si="282"/>
        <v>0.14049999999999999</v>
      </c>
      <c r="Q393" s="3">
        <f t="shared" si="283"/>
        <v>3.2999999999999988E-2</v>
      </c>
      <c r="R393" s="3">
        <f t="shared" si="284"/>
        <v>0.40700000000000003</v>
      </c>
      <c r="S393" s="3">
        <f t="shared" si="285"/>
        <v>0.189</v>
      </c>
      <c r="T393" s="3">
        <f t="shared" si="286"/>
        <v>-0.21800000000000003</v>
      </c>
      <c r="U393" s="3">
        <f t="shared" si="287"/>
        <v>-0.1075</v>
      </c>
      <c r="V393" s="3">
        <f t="shared" si="288"/>
        <v>-0.14049999999999999</v>
      </c>
      <c r="W393" s="3">
        <f t="shared" si="315"/>
        <v>-3.2999999999999988E-2</v>
      </c>
      <c r="X393" s="3">
        <f t="shared" si="311"/>
        <v>1.4196867321867319E-2</v>
      </c>
      <c r="Y393" s="3">
        <f t="shared" si="312"/>
        <v>5.2222883597883588E-2</v>
      </c>
      <c r="Z393" s="3">
        <f t="shared" si="289"/>
        <v>3.8026016276016268E-2</v>
      </c>
      <c r="AA393" s="3">
        <v>0.18099999999999999</v>
      </c>
      <c r="AB393" s="3">
        <v>0.22600000000000001</v>
      </c>
      <c r="AC393" s="3">
        <f t="shared" si="290"/>
        <v>4.5000000000000012E-2</v>
      </c>
      <c r="AD393" s="3">
        <f>-307.508459*627.50956</f>
        <v>-192964.49780336805</v>
      </c>
      <c r="AE393" s="3">
        <f>-309.589752*627.50956</f>
        <v>-194270.52905802909</v>
      </c>
      <c r="AF393" s="3">
        <f t="shared" si="291"/>
        <v>-1306.0312546610367</v>
      </c>
      <c r="AG393" s="3">
        <f>-307.547481*627.50956</f>
        <v>-192988.98448141836</v>
      </c>
      <c r="AH393" s="3">
        <f>-309.628914*627.50956</f>
        <v>-194295.10358741783</v>
      </c>
      <c r="AI393" s="3">
        <f t="shared" si="292"/>
        <v>-1306.1191059994744</v>
      </c>
      <c r="AJ393" s="3">
        <v>-0.32700000000000001</v>
      </c>
      <c r="AK393" s="3">
        <v>-0.35099999999999998</v>
      </c>
      <c r="AL393" s="3">
        <f t="shared" si="293"/>
        <v>-2.3999999999999966E-2</v>
      </c>
      <c r="AM393" s="3">
        <v>104.14912</v>
      </c>
      <c r="AN393" s="3">
        <v>174.48589999999999</v>
      </c>
      <c r="AO393" s="3">
        <v>181.1532</v>
      </c>
      <c r="AP393" s="3">
        <f t="shared" si="294"/>
        <v>1.1271601206948711</v>
      </c>
      <c r="AQ393" s="3">
        <v>9.7420000000000009</v>
      </c>
      <c r="AR393" s="3">
        <v>2.0226886999999998</v>
      </c>
      <c r="AS393" s="3">
        <v>-959.76900000000001</v>
      </c>
      <c r="AT393" s="3">
        <v>-958.05</v>
      </c>
      <c r="AU393" s="3">
        <f t="shared" si="299"/>
        <v>-1.7190000000000509</v>
      </c>
      <c r="AV393" s="3">
        <v>-0.317</v>
      </c>
      <c r="AW393" s="3">
        <v>-0.45</v>
      </c>
      <c r="AX393" s="3">
        <f t="shared" si="300"/>
        <v>0.13300000000000001</v>
      </c>
      <c r="AY393" s="3">
        <v>-2.4E-2</v>
      </c>
      <c r="AZ393" s="3">
        <v>0.13500000000000001</v>
      </c>
      <c r="BA393" s="3">
        <f t="shared" si="301"/>
        <v>-0.159</v>
      </c>
      <c r="BB393" s="3">
        <f t="shared" si="302"/>
        <v>0.17050000000000001</v>
      </c>
      <c r="BC393" s="3">
        <f t="shared" si="302"/>
        <v>0.1575</v>
      </c>
      <c r="BD393" s="3">
        <f t="shared" si="303"/>
        <v>1.3000000000000012E-2</v>
      </c>
      <c r="BE393" s="3">
        <f t="shared" si="304"/>
        <v>0.29299999999999998</v>
      </c>
      <c r="BF393" s="3">
        <f t="shared" si="304"/>
        <v>0.58499999999999996</v>
      </c>
      <c r="BG393" s="3">
        <f t="shared" si="305"/>
        <v>-0.29199999999999998</v>
      </c>
      <c r="BH393" s="3">
        <f t="shared" si="306"/>
        <v>-0.17050000000000001</v>
      </c>
      <c r="BI393" s="3">
        <f t="shared" si="306"/>
        <v>-0.1575</v>
      </c>
      <c r="BJ393" s="3">
        <f t="shared" si="316"/>
        <v>-1.3000000000000012E-2</v>
      </c>
      <c r="BK393" s="3">
        <f t="shared" si="313"/>
        <v>4.9607935153583631E-2</v>
      </c>
      <c r="BL393" s="3">
        <f t="shared" si="314"/>
        <v>2.120192307692308E-2</v>
      </c>
      <c r="BM393" s="3">
        <f t="shared" si="307"/>
        <v>2.8406012076660551E-2</v>
      </c>
      <c r="BN393" s="3">
        <v>2.2370000000000001</v>
      </c>
      <c r="BO393" s="3">
        <v>2.431</v>
      </c>
      <c r="BP393" s="3">
        <f t="shared" si="308"/>
        <v>-0.19399999999999995</v>
      </c>
      <c r="BQ393" s="3">
        <v>-602243.07700000005</v>
      </c>
      <c r="BR393" s="3">
        <v>-601163.24300000002</v>
      </c>
      <c r="BS393" s="3">
        <f t="shared" si="309"/>
        <v>-1079.8340000000317</v>
      </c>
      <c r="BT393" s="3">
        <v>-602262.36399999994</v>
      </c>
      <c r="BU393" s="3">
        <v>-601182.38500000001</v>
      </c>
      <c r="BV393" s="3">
        <f t="shared" si="310"/>
        <v>-1079.9789999999339</v>
      </c>
    </row>
    <row r="394" spans="1:74" x14ac:dyDescent="0.25">
      <c r="A394" t="s">
        <v>65</v>
      </c>
      <c r="B394" s="1" t="s">
        <v>646</v>
      </c>
      <c r="C394" s="1" t="s">
        <v>103</v>
      </c>
      <c r="D394" s="3">
        <v>0.79</v>
      </c>
      <c r="E394" s="3">
        <v>1.07</v>
      </c>
      <c r="F394" s="3">
        <v>-312.322</v>
      </c>
      <c r="G394" s="3">
        <v>-314.56700000000001</v>
      </c>
      <c r="H394" s="3">
        <f t="shared" si="295"/>
        <v>-2.2450000000000045</v>
      </c>
      <c r="I394" s="3">
        <v>-0.34699999999999998</v>
      </c>
      <c r="J394" s="6">
        <v>-0.248</v>
      </c>
      <c r="K394" s="3">
        <f t="shared" si="280"/>
        <v>9.8999999999999977E-2</v>
      </c>
      <c r="L394" s="3">
        <v>0.14899999999999999</v>
      </c>
      <c r="M394" s="6">
        <v>8.9999999999999993E-3</v>
      </c>
      <c r="N394" s="3">
        <f t="shared" si="281"/>
        <v>-0.13999999999999999</v>
      </c>
      <c r="O394" s="3">
        <f t="shared" si="282"/>
        <v>9.8999999999999991E-2</v>
      </c>
      <c r="P394" s="3">
        <f t="shared" si="282"/>
        <v>0.1195</v>
      </c>
      <c r="Q394" s="3">
        <f t="shared" si="283"/>
        <v>2.0500000000000004E-2</v>
      </c>
      <c r="R394" s="3">
        <f t="shared" si="284"/>
        <v>0.496</v>
      </c>
      <c r="S394" s="3">
        <f t="shared" si="285"/>
        <v>0.25700000000000001</v>
      </c>
      <c r="T394" s="3">
        <f t="shared" si="286"/>
        <v>-0.23899999999999999</v>
      </c>
      <c r="U394" s="3">
        <f t="shared" si="287"/>
        <v>-9.8999999999999991E-2</v>
      </c>
      <c r="V394" s="3">
        <f t="shared" si="288"/>
        <v>-0.1195</v>
      </c>
      <c r="W394" s="3">
        <f t="shared" si="315"/>
        <v>-2.0500000000000004E-2</v>
      </c>
      <c r="X394" s="3">
        <f t="shared" si="311"/>
        <v>9.8800403225806441E-3</v>
      </c>
      <c r="Y394" s="3">
        <f t="shared" si="312"/>
        <v>2.7782587548638132E-2</v>
      </c>
      <c r="Z394" s="3">
        <f t="shared" si="289"/>
        <v>1.790254722605749E-2</v>
      </c>
      <c r="AA394" s="3">
        <v>0.624</v>
      </c>
      <c r="AB394" s="3">
        <v>0.61899999999999999</v>
      </c>
      <c r="AC394" s="3">
        <f t="shared" si="290"/>
        <v>-5.0000000000000044E-3</v>
      </c>
      <c r="AD394" s="3">
        <f>-312.077545*627.50956</f>
        <v>-195831.64294883018</v>
      </c>
      <c r="AE394" s="3">
        <f>-314.335832*627.50956</f>
        <v>-197248.7396305539</v>
      </c>
      <c r="AF394" s="3">
        <f t="shared" si="291"/>
        <v>-1417.0966817237204</v>
      </c>
      <c r="AG394" s="3">
        <f>-312.122165*627.50956</f>
        <v>-195859.64242539738</v>
      </c>
      <c r="AH394" s="3">
        <f>-314.381694*627.50956</f>
        <v>-197277.51847399463</v>
      </c>
      <c r="AI394" s="3">
        <f t="shared" si="292"/>
        <v>-1417.8760485972452</v>
      </c>
      <c r="AJ394" s="3">
        <v>-0.52</v>
      </c>
      <c r="AK394" s="3">
        <v>-0.59599999999999997</v>
      </c>
      <c r="AL394" s="3">
        <f t="shared" si="293"/>
        <v>-7.5999999999999956E-2</v>
      </c>
      <c r="AM394" s="3">
        <v>112.21259999999999</v>
      </c>
      <c r="AN394" s="3">
        <v>201.5086</v>
      </c>
      <c r="AO394" s="3">
        <v>232.05629999999999</v>
      </c>
      <c r="AP394" s="3">
        <f t="shared" si="294"/>
        <v>1.1036227062117145</v>
      </c>
      <c r="AQ394" s="3">
        <v>8.9689999999999994</v>
      </c>
      <c r="AR394" s="3">
        <v>2.0837279999999998</v>
      </c>
      <c r="AS394" s="3">
        <v>-959.76900000000001</v>
      </c>
      <c r="AT394" s="3">
        <v>-958.05</v>
      </c>
      <c r="AU394" s="3">
        <f t="shared" si="299"/>
        <v>-1.7190000000000509</v>
      </c>
      <c r="AV394" s="3">
        <v>-0.317</v>
      </c>
      <c r="AW394" s="3">
        <v>-0.45</v>
      </c>
      <c r="AX394" s="3">
        <f t="shared" si="300"/>
        <v>0.13300000000000001</v>
      </c>
      <c r="AY394" s="3">
        <v>-2.4E-2</v>
      </c>
      <c r="AZ394" s="3">
        <v>0.13500000000000001</v>
      </c>
      <c r="BA394" s="3">
        <f t="shared" si="301"/>
        <v>-0.159</v>
      </c>
      <c r="BB394" s="3">
        <f t="shared" si="302"/>
        <v>0.17050000000000001</v>
      </c>
      <c r="BC394" s="3">
        <f t="shared" si="302"/>
        <v>0.1575</v>
      </c>
      <c r="BD394" s="3">
        <f t="shared" si="303"/>
        <v>1.3000000000000012E-2</v>
      </c>
      <c r="BE394" s="3">
        <f t="shared" si="304"/>
        <v>0.29299999999999998</v>
      </c>
      <c r="BF394" s="3">
        <f t="shared" si="304"/>
        <v>0.58499999999999996</v>
      </c>
      <c r="BG394" s="3">
        <f t="shared" si="305"/>
        <v>-0.29199999999999998</v>
      </c>
      <c r="BH394" s="3">
        <f t="shared" si="306"/>
        <v>-0.17050000000000001</v>
      </c>
      <c r="BI394" s="3">
        <f t="shared" si="306"/>
        <v>-0.1575</v>
      </c>
      <c r="BJ394" s="3">
        <f t="shared" si="316"/>
        <v>-1.3000000000000012E-2</v>
      </c>
      <c r="BK394" s="3">
        <f t="shared" si="313"/>
        <v>4.9607935153583631E-2</v>
      </c>
      <c r="BL394" s="3">
        <f t="shared" si="314"/>
        <v>2.120192307692308E-2</v>
      </c>
      <c r="BM394" s="3">
        <f t="shared" si="307"/>
        <v>2.8406012076660551E-2</v>
      </c>
      <c r="BN394" s="3">
        <v>2.2370000000000001</v>
      </c>
      <c r="BO394" s="3">
        <v>2.431</v>
      </c>
      <c r="BP394" s="3">
        <f t="shared" si="308"/>
        <v>-0.19399999999999995</v>
      </c>
      <c r="BQ394" s="3">
        <v>-602243.07700000005</v>
      </c>
      <c r="BR394" s="3">
        <v>-601163.24300000002</v>
      </c>
      <c r="BS394" s="3">
        <f t="shared" si="309"/>
        <v>-1079.8340000000317</v>
      </c>
      <c r="BT394" s="3">
        <v>-602262.36399999994</v>
      </c>
      <c r="BU394" s="3">
        <v>-601182.38500000001</v>
      </c>
      <c r="BV394" s="3">
        <f t="shared" si="310"/>
        <v>-1079.9789999999339</v>
      </c>
    </row>
    <row r="395" spans="1:74" x14ac:dyDescent="0.25">
      <c r="A395" t="s">
        <v>22</v>
      </c>
      <c r="B395" s="1" t="s">
        <v>646</v>
      </c>
      <c r="C395" s="1" t="s">
        <v>103</v>
      </c>
      <c r="D395" s="3">
        <v>0.84</v>
      </c>
      <c r="E395" s="3">
        <v>1.06</v>
      </c>
      <c r="F395" s="3">
        <v>-234.239</v>
      </c>
      <c r="G395" s="3">
        <v>-235.922</v>
      </c>
      <c r="H395" s="3">
        <f t="shared" si="295"/>
        <v>-1.6829999999999927</v>
      </c>
      <c r="I395" s="3">
        <v>-0.35</v>
      </c>
      <c r="J395" s="6">
        <v>-0.25</v>
      </c>
      <c r="K395" s="3">
        <f t="shared" si="280"/>
        <v>9.9999999999999978E-2</v>
      </c>
      <c r="L395" s="3">
        <v>0.155</v>
      </c>
      <c r="M395" s="6">
        <v>1.4E-2</v>
      </c>
      <c r="N395" s="3">
        <f t="shared" si="281"/>
        <v>-0.14099999999999999</v>
      </c>
      <c r="O395" s="3">
        <f t="shared" si="282"/>
        <v>9.7499999999999989E-2</v>
      </c>
      <c r="P395" s="3">
        <f t="shared" si="282"/>
        <v>0.11799999999999999</v>
      </c>
      <c r="Q395" s="3">
        <f t="shared" si="283"/>
        <v>2.0500000000000004E-2</v>
      </c>
      <c r="R395" s="3">
        <f t="shared" si="284"/>
        <v>0.505</v>
      </c>
      <c r="S395" s="3">
        <f t="shared" si="285"/>
        <v>0.26400000000000001</v>
      </c>
      <c r="T395" s="3">
        <f t="shared" si="286"/>
        <v>-0.24099999999999999</v>
      </c>
      <c r="U395" s="3">
        <f t="shared" si="287"/>
        <v>-9.7499999999999989E-2</v>
      </c>
      <c r="V395" s="3">
        <f t="shared" si="288"/>
        <v>-0.11799999999999999</v>
      </c>
      <c r="W395" s="3">
        <f t="shared" si="315"/>
        <v>-2.0500000000000004E-2</v>
      </c>
      <c r="X395" s="3">
        <f t="shared" si="311"/>
        <v>9.4121287128712851E-3</v>
      </c>
      <c r="Y395" s="3">
        <f t="shared" si="312"/>
        <v>2.6371212121212118E-2</v>
      </c>
      <c r="Z395" s="3">
        <f t="shared" si="289"/>
        <v>1.6959083408340833E-2</v>
      </c>
      <c r="AA395" s="3">
        <v>0.73599999999999999</v>
      </c>
      <c r="AB395" s="3">
        <v>0.73</v>
      </c>
      <c r="AC395" s="3">
        <f t="shared" si="290"/>
        <v>-6.0000000000000053E-3</v>
      </c>
      <c r="AD395" s="3">
        <f>-234.056363*627.50956</f>
        <v>-146872.60536133026</v>
      </c>
      <c r="AE395" s="3">
        <f>-235.74874*627.50956</f>
        <v>-147934.58810795439</v>
      </c>
      <c r="AF395" s="3">
        <f t="shared" si="291"/>
        <v>-1061.9827466241259</v>
      </c>
      <c r="AG395" s="3">
        <f>-234.096664*627.50956</f>
        <v>-146897.89462410784</v>
      </c>
      <c r="AH395" s="3">
        <f>-235.789652*627.50956</f>
        <v>-147960.26077907311</v>
      </c>
      <c r="AI395" s="3">
        <f t="shared" si="292"/>
        <v>-1062.3661549652752</v>
      </c>
      <c r="AJ395" s="3">
        <v>-0.52600000000000002</v>
      </c>
      <c r="AK395" s="3">
        <v>-0.60099999999999998</v>
      </c>
      <c r="AL395" s="3">
        <f t="shared" si="293"/>
        <v>-7.4999999999999956E-2</v>
      </c>
      <c r="AM395" s="3">
        <v>84.159480000000002</v>
      </c>
      <c r="AN395" s="3">
        <v>175.04900000000001</v>
      </c>
      <c r="AO395" s="3">
        <v>182.47730000000001</v>
      </c>
      <c r="AP395" s="3">
        <f t="shared" si="294"/>
        <v>1.1253208190098583</v>
      </c>
      <c r="AQ395" s="3">
        <v>9.0020000000000007</v>
      </c>
      <c r="AR395" s="3">
        <v>2.00068</v>
      </c>
      <c r="AS395" s="3">
        <v>-959.76900000000001</v>
      </c>
      <c r="AT395" s="3">
        <v>-958.05</v>
      </c>
      <c r="AU395" s="3">
        <f t="shared" si="299"/>
        <v>-1.7190000000000509</v>
      </c>
      <c r="AV395" s="3">
        <v>-0.317</v>
      </c>
      <c r="AW395" s="3">
        <v>-0.45</v>
      </c>
      <c r="AX395" s="3">
        <f t="shared" si="300"/>
        <v>0.13300000000000001</v>
      </c>
      <c r="AY395" s="3">
        <v>-2.4E-2</v>
      </c>
      <c r="AZ395" s="3">
        <v>0.13500000000000001</v>
      </c>
      <c r="BA395" s="3">
        <f t="shared" si="301"/>
        <v>-0.159</v>
      </c>
      <c r="BB395" s="3">
        <f t="shared" si="302"/>
        <v>0.17050000000000001</v>
      </c>
      <c r="BC395" s="3">
        <f t="shared" si="302"/>
        <v>0.1575</v>
      </c>
      <c r="BD395" s="3">
        <f t="shared" si="303"/>
        <v>1.3000000000000012E-2</v>
      </c>
      <c r="BE395" s="3">
        <f t="shared" si="304"/>
        <v>0.29299999999999998</v>
      </c>
      <c r="BF395" s="3">
        <f t="shared" si="304"/>
        <v>0.58499999999999996</v>
      </c>
      <c r="BG395" s="3">
        <f t="shared" si="305"/>
        <v>-0.29199999999999998</v>
      </c>
      <c r="BH395" s="3">
        <f t="shared" si="306"/>
        <v>-0.17050000000000001</v>
      </c>
      <c r="BI395" s="3">
        <f t="shared" si="306"/>
        <v>-0.1575</v>
      </c>
      <c r="BJ395" s="3">
        <f t="shared" si="316"/>
        <v>-1.3000000000000012E-2</v>
      </c>
      <c r="BK395" s="3">
        <f t="shared" si="313"/>
        <v>4.9607935153583631E-2</v>
      </c>
      <c r="BL395" s="3">
        <f t="shared" si="314"/>
        <v>2.120192307692308E-2</v>
      </c>
      <c r="BM395" s="3">
        <f t="shared" si="307"/>
        <v>2.8406012076660551E-2</v>
      </c>
      <c r="BN395" s="3">
        <v>2.2370000000000001</v>
      </c>
      <c r="BO395" s="3">
        <v>2.431</v>
      </c>
      <c r="BP395" s="3">
        <f t="shared" si="308"/>
        <v>-0.19399999999999995</v>
      </c>
      <c r="BQ395" s="3">
        <v>-602243.07700000005</v>
      </c>
      <c r="BR395" s="3">
        <v>-601163.24300000002</v>
      </c>
      <c r="BS395" s="3">
        <f t="shared" si="309"/>
        <v>-1079.8340000000317</v>
      </c>
      <c r="BT395" s="3">
        <v>-602262.36399999994</v>
      </c>
      <c r="BU395" s="3">
        <v>-601182.38500000001</v>
      </c>
      <c r="BV395" s="3">
        <f t="shared" si="310"/>
        <v>-1079.9789999999339</v>
      </c>
    </row>
    <row r="396" spans="1:74" x14ac:dyDescent="0.25">
      <c r="A396" t="s">
        <v>66</v>
      </c>
      <c r="B396" s="1" t="s">
        <v>646</v>
      </c>
      <c r="C396" s="1" t="s">
        <v>103</v>
      </c>
      <c r="D396" s="3">
        <v>0.9</v>
      </c>
      <c r="E396" s="3">
        <v>1.17</v>
      </c>
      <c r="F396" s="3">
        <v>-602.46900000000005</v>
      </c>
      <c r="G396" s="3">
        <v>-605.33799999999997</v>
      </c>
      <c r="H396" s="3">
        <f t="shared" si="295"/>
        <v>-2.8689999999999145</v>
      </c>
      <c r="I396" s="3">
        <v>-0.32</v>
      </c>
      <c r="J396" s="6">
        <v>-0.223</v>
      </c>
      <c r="K396" s="3">
        <f t="shared" si="280"/>
        <v>9.7000000000000003E-2</v>
      </c>
      <c r="L396" s="3">
        <v>0.13700000000000001</v>
      </c>
      <c r="M396" s="6">
        <v>0.02</v>
      </c>
      <c r="N396" s="3">
        <f t="shared" si="281"/>
        <v>-0.11700000000000001</v>
      </c>
      <c r="O396" s="3">
        <f t="shared" si="282"/>
        <v>9.1499999999999998E-2</v>
      </c>
      <c r="P396" s="3">
        <f t="shared" si="282"/>
        <v>0.10150000000000001</v>
      </c>
      <c r="Q396" s="3">
        <f t="shared" si="283"/>
        <v>1.0000000000000009E-2</v>
      </c>
      <c r="R396" s="3">
        <f t="shared" si="284"/>
        <v>0.45700000000000002</v>
      </c>
      <c r="S396" s="3">
        <f t="shared" si="285"/>
        <v>0.24299999999999999</v>
      </c>
      <c r="T396" s="3">
        <f t="shared" si="286"/>
        <v>-0.21400000000000002</v>
      </c>
      <c r="U396" s="3">
        <f t="shared" si="287"/>
        <v>-9.1499999999999998E-2</v>
      </c>
      <c r="V396" s="3">
        <f t="shared" si="288"/>
        <v>-0.10150000000000001</v>
      </c>
      <c r="W396" s="3">
        <f t="shared" si="315"/>
        <v>-1.0000000000000009E-2</v>
      </c>
      <c r="X396" s="3">
        <f t="shared" si="311"/>
        <v>9.1600109409190368E-3</v>
      </c>
      <c r="Y396" s="3">
        <f t="shared" si="312"/>
        <v>2.1198045267489713E-2</v>
      </c>
      <c r="Z396" s="3">
        <f t="shared" si="289"/>
        <v>1.2038034326570676E-2</v>
      </c>
      <c r="AA396" s="3">
        <v>0.23300000000000001</v>
      </c>
      <c r="AB396" s="3">
        <v>0.29799999999999999</v>
      </c>
      <c r="AC396" s="3">
        <f t="shared" si="290"/>
        <v>6.4999999999999974E-2</v>
      </c>
      <c r="AD396" s="3">
        <f>-602.20387*627.50956</f>
        <v>-377888.68549399724</v>
      </c>
      <c r="AE396" s="3">
        <f>-605.086544*627.50956</f>
        <v>-379697.59098736063</v>
      </c>
      <c r="AF396" s="3">
        <f t="shared" si="291"/>
        <v>-1808.9054933633888</v>
      </c>
      <c r="AG396" s="3">
        <f>-602.258671*627.50956</f>
        <v>-377923.07364539476</v>
      </c>
      <c r="AH396" s="3">
        <f>-605.143151*627.50956</f>
        <v>-379733.11242102354</v>
      </c>
      <c r="AI396" s="3">
        <f t="shared" si="292"/>
        <v>-1810.0387756287819</v>
      </c>
      <c r="AJ396" s="3">
        <v>-0.83</v>
      </c>
      <c r="AK396" s="3">
        <v>-0.84699999999999998</v>
      </c>
      <c r="AL396" s="3">
        <f t="shared" si="293"/>
        <v>-1.7000000000000015E-2</v>
      </c>
      <c r="AM396" s="3">
        <v>142.31402</v>
      </c>
      <c r="AN396" s="3">
        <v>247.70410000000001</v>
      </c>
      <c r="AO396" s="3">
        <v>286.56529999999998</v>
      </c>
      <c r="AP396" s="3">
        <f t="shared" si="294"/>
        <v>1.1786189286588551</v>
      </c>
      <c r="AQ396" s="3">
        <v>10.813000000000001</v>
      </c>
      <c r="AR396" s="3">
        <v>2.5070277999999999</v>
      </c>
      <c r="AS396" s="3">
        <v>-959.76900000000001</v>
      </c>
      <c r="AT396" s="3">
        <v>-958.05</v>
      </c>
      <c r="AU396" s="3">
        <f t="shared" si="299"/>
        <v>-1.7190000000000509</v>
      </c>
      <c r="AV396" s="3">
        <v>-0.317</v>
      </c>
      <c r="AW396" s="3">
        <v>-0.45</v>
      </c>
      <c r="AX396" s="3">
        <f t="shared" si="300"/>
        <v>0.13300000000000001</v>
      </c>
      <c r="AY396" s="3">
        <v>-2.4E-2</v>
      </c>
      <c r="AZ396" s="3">
        <v>0.13500000000000001</v>
      </c>
      <c r="BA396" s="3">
        <f t="shared" si="301"/>
        <v>-0.159</v>
      </c>
      <c r="BB396" s="3">
        <f t="shared" si="302"/>
        <v>0.17050000000000001</v>
      </c>
      <c r="BC396" s="3">
        <f t="shared" si="302"/>
        <v>0.1575</v>
      </c>
      <c r="BD396" s="3">
        <f t="shared" si="303"/>
        <v>1.3000000000000012E-2</v>
      </c>
      <c r="BE396" s="3">
        <f t="shared" si="304"/>
        <v>0.29299999999999998</v>
      </c>
      <c r="BF396" s="3">
        <f t="shared" si="304"/>
        <v>0.58499999999999996</v>
      </c>
      <c r="BG396" s="3">
        <f t="shared" si="305"/>
        <v>-0.29199999999999998</v>
      </c>
      <c r="BH396" s="3">
        <f t="shared" si="306"/>
        <v>-0.17050000000000001</v>
      </c>
      <c r="BI396" s="3">
        <f t="shared" si="306"/>
        <v>-0.1575</v>
      </c>
      <c r="BJ396" s="3">
        <f t="shared" si="316"/>
        <v>-1.3000000000000012E-2</v>
      </c>
      <c r="BK396" s="3">
        <f t="shared" si="313"/>
        <v>4.9607935153583631E-2</v>
      </c>
      <c r="BL396" s="3">
        <f t="shared" si="314"/>
        <v>2.120192307692308E-2</v>
      </c>
      <c r="BM396" s="3">
        <f t="shared" si="307"/>
        <v>2.8406012076660551E-2</v>
      </c>
      <c r="BN396" s="3">
        <v>2.2370000000000001</v>
      </c>
      <c r="BO396" s="3">
        <v>2.431</v>
      </c>
      <c r="BP396" s="3">
        <f t="shared" si="308"/>
        <v>-0.19399999999999995</v>
      </c>
      <c r="BQ396" s="3">
        <v>-602243.07700000005</v>
      </c>
      <c r="BR396" s="3">
        <v>-601163.24300000002</v>
      </c>
      <c r="BS396" s="3">
        <f t="shared" si="309"/>
        <v>-1079.8340000000317</v>
      </c>
      <c r="BT396" s="3">
        <v>-602262.36399999994</v>
      </c>
      <c r="BU396" s="3">
        <v>-601182.38500000001</v>
      </c>
      <c r="BV396" s="3">
        <f t="shared" si="310"/>
        <v>-1079.9789999999339</v>
      </c>
    </row>
    <row r="397" spans="1:74" x14ac:dyDescent="0.25">
      <c r="A397" t="s">
        <v>67</v>
      </c>
      <c r="B397" s="1" t="s">
        <v>646</v>
      </c>
      <c r="C397" s="1" t="s">
        <v>103</v>
      </c>
      <c r="D397" s="3">
        <v>1</v>
      </c>
      <c r="E397" s="3">
        <v>1</v>
      </c>
      <c r="F397" s="3">
        <v>-195.19499999999999</v>
      </c>
      <c r="G397" s="3">
        <v>-196.59700000000001</v>
      </c>
      <c r="H397" s="3">
        <f t="shared" si="295"/>
        <v>-1.4020000000000152</v>
      </c>
      <c r="I397" s="3">
        <v>-0.35099999999999998</v>
      </c>
      <c r="J397" s="6">
        <v>-0.251</v>
      </c>
      <c r="K397" s="3">
        <f t="shared" si="280"/>
        <v>9.9999999999999978E-2</v>
      </c>
      <c r="L397" s="3">
        <v>0.153</v>
      </c>
      <c r="M397" s="6">
        <v>1.2999999999999999E-2</v>
      </c>
      <c r="N397" s="3">
        <f t="shared" si="281"/>
        <v>-0.13999999999999999</v>
      </c>
      <c r="O397" s="3">
        <f t="shared" si="282"/>
        <v>9.8999999999999991E-2</v>
      </c>
      <c r="P397" s="3">
        <f t="shared" si="282"/>
        <v>0.11899999999999999</v>
      </c>
      <c r="Q397" s="3">
        <f t="shared" si="283"/>
        <v>2.0000000000000004E-2</v>
      </c>
      <c r="R397" s="3">
        <f t="shared" si="284"/>
        <v>0.504</v>
      </c>
      <c r="S397" s="3">
        <f t="shared" si="285"/>
        <v>0.26400000000000001</v>
      </c>
      <c r="T397" s="3">
        <f t="shared" si="286"/>
        <v>-0.24</v>
      </c>
      <c r="U397" s="3">
        <f t="shared" si="287"/>
        <v>-9.8999999999999991E-2</v>
      </c>
      <c r="V397" s="3">
        <f t="shared" si="288"/>
        <v>-0.11899999999999999</v>
      </c>
      <c r="W397" s="3">
        <f t="shared" si="315"/>
        <v>-2.0000000000000004E-2</v>
      </c>
      <c r="X397" s="3">
        <f t="shared" si="311"/>
        <v>9.7232142857142847E-3</v>
      </c>
      <c r="Y397" s="3">
        <f t="shared" si="312"/>
        <v>2.6820075757575754E-2</v>
      </c>
      <c r="Z397" s="3">
        <f t="shared" si="289"/>
        <v>1.7096861471861471E-2</v>
      </c>
      <c r="AA397" s="3">
        <v>0.71399999999999997</v>
      </c>
      <c r="AB397" s="3">
        <v>0.70399999999999996</v>
      </c>
      <c r="AC397" s="3">
        <f t="shared" si="290"/>
        <v>-1.0000000000000009E-2</v>
      </c>
      <c r="AD397" s="3">
        <f>-195.043701*627.50956</f>
        <v>-122391.78699528155</v>
      </c>
      <c r="AE397" s="3">
        <f>-196.454038*627.50956</f>
        <v>-123276.78694560326</v>
      </c>
      <c r="AF397" s="3">
        <f t="shared" si="291"/>
        <v>-884.99995032171137</v>
      </c>
      <c r="AG397" s="3">
        <f>-195.080514*627.50956</f>
        <v>-122414.88750471383</v>
      </c>
      <c r="AH397" s="3">
        <f>-196.491317*627.50956</f>
        <v>-123300.17987449052</v>
      </c>
      <c r="AI397" s="3">
        <f t="shared" si="292"/>
        <v>-885.29236977669643</v>
      </c>
      <c r="AJ397" s="3">
        <v>-0.52700000000000002</v>
      </c>
      <c r="AK397" s="3">
        <v>-0.60199999999999998</v>
      </c>
      <c r="AL397" s="3">
        <f t="shared" si="293"/>
        <v>-7.4999999999999956E-2</v>
      </c>
      <c r="AM397" s="3">
        <v>70.132900000000006</v>
      </c>
      <c r="AN397" s="3">
        <v>152.80680000000001</v>
      </c>
      <c r="AO397" s="3">
        <v>154.57458</v>
      </c>
      <c r="AP397" s="3">
        <f t="shared" si="294"/>
        <v>1.0972525058725924</v>
      </c>
      <c r="AQ397" s="3">
        <v>7.8230000000000004</v>
      </c>
      <c r="AR397" s="3">
        <v>1.6562140000000001</v>
      </c>
      <c r="AS397" s="3">
        <v>-959.76900000000001</v>
      </c>
      <c r="AT397" s="3">
        <v>-958.05</v>
      </c>
      <c r="AU397" s="3">
        <f t="shared" si="299"/>
        <v>-1.7190000000000509</v>
      </c>
      <c r="AV397" s="3">
        <v>-0.317</v>
      </c>
      <c r="AW397" s="3">
        <v>-0.45</v>
      </c>
      <c r="AX397" s="3">
        <f t="shared" si="300"/>
        <v>0.13300000000000001</v>
      </c>
      <c r="AY397" s="3">
        <v>-2.4E-2</v>
      </c>
      <c r="AZ397" s="3">
        <v>0.13500000000000001</v>
      </c>
      <c r="BA397" s="3">
        <f t="shared" si="301"/>
        <v>-0.159</v>
      </c>
      <c r="BB397" s="3">
        <f t="shared" si="302"/>
        <v>0.17050000000000001</v>
      </c>
      <c r="BC397" s="3">
        <f t="shared" si="302"/>
        <v>0.1575</v>
      </c>
      <c r="BD397" s="3">
        <f t="shared" si="303"/>
        <v>1.3000000000000012E-2</v>
      </c>
      <c r="BE397" s="3">
        <f t="shared" si="304"/>
        <v>0.29299999999999998</v>
      </c>
      <c r="BF397" s="3">
        <f t="shared" si="304"/>
        <v>0.58499999999999996</v>
      </c>
      <c r="BG397" s="3">
        <f t="shared" si="305"/>
        <v>-0.29199999999999998</v>
      </c>
      <c r="BH397" s="3">
        <f t="shared" si="306"/>
        <v>-0.17050000000000001</v>
      </c>
      <c r="BI397" s="3">
        <f t="shared" si="306"/>
        <v>-0.1575</v>
      </c>
      <c r="BJ397" s="3">
        <f t="shared" si="316"/>
        <v>-1.3000000000000012E-2</v>
      </c>
      <c r="BK397" s="3">
        <f t="shared" si="313"/>
        <v>4.9607935153583631E-2</v>
      </c>
      <c r="BL397" s="3">
        <f t="shared" si="314"/>
        <v>2.120192307692308E-2</v>
      </c>
      <c r="BM397" s="3">
        <f t="shared" si="307"/>
        <v>2.8406012076660551E-2</v>
      </c>
      <c r="BN397" s="3">
        <v>2.2370000000000001</v>
      </c>
      <c r="BO397" s="3">
        <v>2.431</v>
      </c>
      <c r="BP397" s="3">
        <f t="shared" si="308"/>
        <v>-0.19399999999999995</v>
      </c>
      <c r="BQ397" s="3">
        <v>-602243.07700000005</v>
      </c>
      <c r="BR397" s="3">
        <v>-601163.24300000002</v>
      </c>
      <c r="BS397" s="3">
        <f t="shared" si="309"/>
        <v>-1079.8340000000317</v>
      </c>
      <c r="BT397" s="3">
        <v>-602262.36399999994</v>
      </c>
      <c r="BU397" s="3">
        <v>-601182.38500000001</v>
      </c>
      <c r="BV397" s="3">
        <f t="shared" si="310"/>
        <v>-1079.9789999999339</v>
      </c>
    </row>
    <row r="398" spans="1:74" x14ac:dyDescent="0.25">
      <c r="A398" t="s">
        <v>23</v>
      </c>
      <c r="B398" s="1" t="s">
        <v>646</v>
      </c>
      <c r="C398" s="1" t="s">
        <v>103</v>
      </c>
      <c r="D398" s="3">
        <v>1.1000000000000001</v>
      </c>
      <c r="E398" s="3">
        <v>0.98</v>
      </c>
      <c r="F398" s="3">
        <v>-194.00899999999999</v>
      </c>
      <c r="G398" s="3">
        <v>-195.36799999999999</v>
      </c>
      <c r="H398" s="3">
        <f t="shared" si="295"/>
        <v>-1.3590000000000089</v>
      </c>
      <c r="I398" s="3">
        <v>-0.32600000000000001</v>
      </c>
      <c r="J398" s="6">
        <v>-0.23899999999999999</v>
      </c>
      <c r="K398" s="3">
        <f t="shared" si="280"/>
        <v>8.7000000000000022E-2</v>
      </c>
      <c r="L398" s="3">
        <v>0.12</v>
      </c>
      <c r="M398" s="6">
        <v>-3.4000000000000002E-2</v>
      </c>
      <c r="N398" s="3">
        <f t="shared" si="281"/>
        <v>-0.154</v>
      </c>
      <c r="O398" s="3">
        <f t="shared" si="282"/>
        <v>0.10300000000000001</v>
      </c>
      <c r="P398" s="3">
        <f t="shared" si="282"/>
        <v>0.13650000000000001</v>
      </c>
      <c r="Q398" s="3">
        <f t="shared" si="283"/>
        <v>3.3500000000000002E-2</v>
      </c>
      <c r="R398" s="3">
        <f t="shared" si="284"/>
        <v>0.44600000000000001</v>
      </c>
      <c r="S398" s="3">
        <f t="shared" si="285"/>
        <v>0.20499999999999999</v>
      </c>
      <c r="T398" s="3">
        <f t="shared" si="286"/>
        <v>-0.24100000000000002</v>
      </c>
      <c r="U398" s="3">
        <f t="shared" si="287"/>
        <v>-0.10300000000000001</v>
      </c>
      <c r="V398" s="3">
        <f t="shared" si="288"/>
        <v>-0.13650000000000001</v>
      </c>
      <c r="W398" s="3">
        <f t="shared" si="315"/>
        <v>-3.3500000000000002E-2</v>
      </c>
      <c r="X398" s="3">
        <f t="shared" si="311"/>
        <v>1.1893497757847536E-2</v>
      </c>
      <c r="Y398" s="3">
        <f t="shared" si="312"/>
        <v>4.544451219512196E-2</v>
      </c>
      <c r="Z398" s="3">
        <f t="shared" si="289"/>
        <v>3.3551014437274422E-2</v>
      </c>
      <c r="AA398" s="3">
        <v>0.30599999999999999</v>
      </c>
      <c r="AB398" s="3">
        <v>0.316</v>
      </c>
      <c r="AC398" s="3">
        <f t="shared" si="290"/>
        <v>1.0000000000000009E-2</v>
      </c>
      <c r="AD398" s="3">
        <f>-193.881942*627.50956</f>
        <v>-121662.77211636552</v>
      </c>
      <c r="AE398" s="3">
        <f>-195.248452*627.50956</f>
        <v>-122520.2702052011</v>
      </c>
      <c r="AF398" s="3">
        <f t="shared" si="291"/>
        <v>-857.49808883557853</v>
      </c>
      <c r="AG398" s="3">
        <f>-193.916799*627.50956</f>
        <v>-121684.64521709843</v>
      </c>
      <c r="AH398" s="3">
        <f>-195.283745*627.50956</f>
        <v>-122542.41690010219</v>
      </c>
      <c r="AI398" s="3">
        <f t="shared" si="292"/>
        <v>-857.77168300376798</v>
      </c>
      <c r="AJ398" s="3">
        <v>-0.52400000000000002</v>
      </c>
      <c r="AK398" s="3">
        <v>-0.6</v>
      </c>
      <c r="AL398" s="3">
        <f t="shared" si="293"/>
        <v>-7.5999999999999956E-2</v>
      </c>
      <c r="AM398" s="3">
        <v>68.117019999999997</v>
      </c>
      <c r="AN398" s="3">
        <v>144.32050000000001</v>
      </c>
      <c r="AO398" s="3">
        <v>142.24629999999999</v>
      </c>
      <c r="AP398" s="3">
        <f t="shared" si="294"/>
        <v>1.0953594416559982</v>
      </c>
      <c r="AQ398" s="3">
        <v>7.9349999999999996</v>
      </c>
      <c r="AR398" s="3">
        <v>1.6217809999999999</v>
      </c>
      <c r="AS398" s="3">
        <v>-959.76900000000001</v>
      </c>
      <c r="AT398" s="3">
        <v>-958.05</v>
      </c>
      <c r="AU398" s="3">
        <f t="shared" si="299"/>
        <v>-1.7190000000000509</v>
      </c>
      <c r="AV398" s="3">
        <v>-0.317</v>
      </c>
      <c r="AW398" s="3">
        <v>-0.45</v>
      </c>
      <c r="AX398" s="3">
        <f t="shared" si="300"/>
        <v>0.13300000000000001</v>
      </c>
      <c r="AY398" s="3">
        <v>-2.4E-2</v>
      </c>
      <c r="AZ398" s="3">
        <v>0.13500000000000001</v>
      </c>
      <c r="BA398" s="3">
        <f t="shared" si="301"/>
        <v>-0.159</v>
      </c>
      <c r="BB398" s="3">
        <f t="shared" si="302"/>
        <v>0.17050000000000001</v>
      </c>
      <c r="BC398" s="3">
        <f t="shared" si="302"/>
        <v>0.1575</v>
      </c>
      <c r="BD398" s="3">
        <f t="shared" si="303"/>
        <v>1.3000000000000012E-2</v>
      </c>
      <c r="BE398" s="3">
        <f t="shared" si="304"/>
        <v>0.29299999999999998</v>
      </c>
      <c r="BF398" s="3">
        <f t="shared" si="304"/>
        <v>0.58499999999999996</v>
      </c>
      <c r="BG398" s="3">
        <f t="shared" si="305"/>
        <v>-0.29199999999999998</v>
      </c>
      <c r="BH398" s="3">
        <f t="shared" si="306"/>
        <v>-0.17050000000000001</v>
      </c>
      <c r="BI398" s="3">
        <f t="shared" si="306"/>
        <v>-0.1575</v>
      </c>
      <c r="BJ398" s="3">
        <f t="shared" si="316"/>
        <v>-1.3000000000000012E-2</v>
      </c>
      <c r="BK398" s="3">
        <f t="shared" si="313"/>
        <v>4.9607935153583631E-2</v>
      </c>
      <c r="BL398" s="3">
        <f t="shared" si="314"/>
        <v>2.120192307692308E-2</v>
      </c>
      <c r="BM398" s="3">
        <f t="shared" si="307"/>
        <v>2.8406012076660551E-2</v>
      </c>
      <c r="BN398" s="3">
        <v>2.2370000000000001</v>
      </c>
      <c r="BO398" s="3">
        <v>2.431</v>
      </c>
      <c r="BP398" s="3">
        <f t="shared" si="308"/>
        <v>-0.19399999999999995</v>
      </c>
      <c r="BQ398" s="3">
        <v>-602243.07700000005</v>
      </c>
      <c r="BR398" s="3">
        <v>-601163.24300000002</v>
      </c>
      <c r="BS398" s="3">
        <f t="shared" si="309"/>
        <v>-1079.8340000000317</v>
      </c>
      <c r="BT398" s="3">
        <v>-602262.36399999994</v>
      </c>
      <c r="BU398" s="3">
        <v>-601182.38500000001</v>
      </c>
      <c r="BV398" s="3">
        <f t="shared" si="310"/>
        <v>-1079.9789999999339</v>
      </c>
    </row>
    <row r="399" spans="1:74" x14ac:dyDescent="0.25">
      <c r="A399" t="s">
        <v>24</v>
      </c>
      <c r="B399" s="1" t="s">
        <v>646</v>
      </c>
      <c r="C399" s="1" t="s">
        <v>103</v>
      </c>
      <c r="D399" s="3">
        <v>1.1100000000000001</v>
      </c>
      <c r="E399" s="3">
        <v>0.98</v>
      </c>
      <c r="F399" s="3">
        <v>-156.15299999999999</v>
      </c>
      <c r="G399" s="3">
        <v>-157.27500000000001</v>
      </c>
      <c r="H399" s="3">
        <f t="shared" si="295"/>
        <v>-1.1220000000000141</v>
      </c>
      <c r="I399" s="3">
        <v>-0.35099999999999998</v>
      </c>
      <c r="J399" s="6">
        <v>-0.251</v>
      </c>
      <c r="K399" s="3">
        <f t="shared" si="280"/>
        <v>9.9999999999999978E-2</v>
      </c>
      <c r="L399" s="3">
        <v>0.156</v>
      </c>
      <c r="M399" s="6">
        <v>1.4999999999999999E-2</v>
      </c>
      <c r="N399" s="3">
        <f t="shared" si="281"/>
        <v>-0.14100000000000001</v>
      </c>
      <c r="O399" s="3">
        <f t="shared" si="282"/>
        <v>9.7499999999999989E-2</v>
      </c>
      <c r="P399" s="3">
        <f t="shared" si="282"/>
        <v>0.11799999999999999</v>
      </c>
      <c r="Q399" s="3">
        <f t="shared" si="283"/>
        <v>2.0500000000000004E-2</v>
      </c>
      <c r="R399" s="3">
        <f t="shared" si="284"/>
        <v>0.50700000000000001</v>
      </c>
      <c r="S399" s="3">
        <f t="shared" si="285"/>
        <v>0.26600000000000001</v>
      </c>
      <c r="T399" s="3">
        <f t="shared" si="286"/>
        <v>-0.24099999999999999</v>
      </c>
      <c r="U399" s="3">
        <f t="shared" si="287"/>
        <v>-9.7499999999999989E-2</v>
      </c>
      <c r="V399" s="3">
        <f t="shared" si="288"/>
        <v>-0.11799999999999999</v>
      </c>
      <c r="W399" s="3">
        <f t="shared" si="315"/>
        <v>-2.0500000000000004E-2</v>
      </c>
      <c r="X399" s="3">
        <f t="shared" si="311"/>
        <v>9.3749999999999979E-3</v>
      </c>
      <c r="Y399" s="3">
        <f t="shared" si="312"/>
        <v>2.6172932330827063E-2</v>
      </c>
      <c r="Z399" s="3">
        <f t="shared" si="289"/>
        <v>1.6797932330827065E-2</v>
      </c>
      <c r="AA399" s="3">
        <v>0.72</v>
      </c>
      <c r="AB399" s="3">
        <v>0.71699999999999997</v>
      </c>
      <c r="AC399" s="3">
        <f t="shared" si="290"/>
        <v>-3.0000000000000027E-3</v>
      </c>
      <c r="AD399" s="3">
        <f>-156.033009*627.50956</f>
        <v>-97912.204823066029</v>
      </c>
      <c r="AE399" s="3">
        <f>-157.161268*627.50956</f>
        <v>-98620.198131722078</v>
      </c>
      <c r="AF399" s="3">
        <f t="shared" si="291"/>
        <v>-707.99330865604861</v>
      </c>
      <c r="AG399" s="3">
        <f>-156.066305*627.50956</f>
        <v>-97933.098381375792</v>
      </c>
      <c r="AH399" s="3">
        <f>-157.194932*627.50956</f>
        <v>-98641.322613549914</v>
      </c>
      <c r="AI399" s="3">
        <f t="shared" si="292"/>
        <v>-708.22423217412143</v>
      </c>
      <c r="AJ399" s="3">
        <v>-0.52500000000000002</v>
      </c>
      <c r="AK399" s="3">
        <v>-0.59899999999999998</v>
      </c>
      <c r="AL399" s="3">
        <f t="shared" si="293"/>
        <v>-7.3999999999999955E-2</v>
      </c>
      <c r="AM399" s="3">
        <v>56.106319999999997</v>
      </c>
      <c r="AN399" s="3">
        <v>132.26759999999999</v>
      </c>
      <c r="AO399" s="3">
        <v>127.113</v>
      </c>
      <c r="AP399" s="3">
        <f t="shared" si="294"/>
        <v>1.082055270185428</v>
      </c>
      <c r="AQ399" s="3">
        <v>6.7190000000000003</v>
      </c>
      <c r="AR399" s="3">
        <v>1.4168099999999999</v>
      </c>
      <c r="AS399" s="3">
        <v>-959.76900000000001</v>
      </c>
      <c r="AT399" s="3">
        <v>-958.05</v>
      </c>
      <c r="AU399" s="3">
        <f t="shared" si="299"/>
        <v>-1.7190000000000509</v>
      </c>
      <c r="AV399" s="3">
        <v>-0.317</v>
      </c>
      <c r="AW399" s="3">
        <v>-0.45</v>
      </c>
      <c r="AX399" s="3">
        <f t="shared" si="300"/>
        <v>0.13300000000000001</v>
      </c>
      <c r="AY399" s="3">
        <v>-2.4E-2</v>
      </c>
      <c r="AZ399" s="3">
        <v>0.13500000000000001</v>
      </c>
      <c r="BA399" s="3">
        <f t="shared" si="301"/>
        <v>-0.159</v>
      </c>
      <c r="BB399" s="3">
        <f t="shared" si="302"/>
        <v>0.17050000000000001</v>
      </c>
      <c r="BC399" s="3">
        <f t="shared" si="302"/>
        <v>0.1575</v>
      </c>
      <c r="BD399" s="3">
        <f t="shared" si="303"/>
        <v>1.3000000000000012E-2</v>
      </c>
      <c r="BE399" s="3">
        <f t="shared" si="304"/>
        <v>0.29299999999999998</v>
      </c>
      <c r="BF399" s="3">
        <f t="shared" si="304"/>
        <v>0.58499999999999996</v>
      </c>
      <c r="BG399" s="3">
        <f t="shared" si="305"/>
        <v>-0.29199999999999998</v>
      </c>
      <c r="BH399" s="3">
        <f t="shared" si="306"/>
        <v>-0.17050000000000001</v>
      </c>
      <c r="BI399" s="3">
        <f t="shared" si="306"/>
        <v>-0.1575</v>
      </c>
      <c r="BJ399" s="3">
        <f t="shared" si="316"/>
        <v>-1.3000000000000012E-2</v>
      </c>
      <c r="BK399" s="3">
        <f t="shared" si="313"/>
        <v>4.9607935153583631E-2</v>
      </c>
      <c r="BL399" s="3">
        <f t="shared" si="314"/>
        <v>2.120192307692308E-2</v>
      </c>
      <c r="BM399" s="3">
        <f t="shared" si="307"/>
        <v>2.8406012076660551E-2</v>
      </c>
      <c r="BN399" s="3">
        <v>2.2370000000000001</v>
      </c>
      <c r="BO399" s="3">
        <v>2.431</v>
      </c>
      <c r="BP399" s="3">
        <f t="shared" si="308"/>
        <v>-0.19399999999999995</v>
      </c>
      <c r="BQ399" s="3">
        <v>-602243.07700000005</v>
      </c>
      <c r="BR399" s="3">
        <v>-601163.24300000002</v>
      </c>
      <c r="BS399" s="3">
        <f t="shared" si="309"/>
        <v>-1079.8340000000317</v>
      </c>
      <c r="BT399" s="3">
        <v>-602262.36399999994</v>
      </c>
      <c r="BU399" s="3">
        <v>-601182.38500000001</v>
      </c>
      <c r="BV399" s="3">
        <f t="shared" si="310"/>
        <v>-1079.9789999999339</v>
      </c>
    </row>
    <row r="400" spans="1:74" x14ac:dyDescent="0.25">
      <c r="A400" t="s">
        <v>68</v>
      </c>
      <c r="B400" s="1" t="s">
        <v>646</v>
      </c>
      <c r="C400" s="1" t="s">
        <v>103</v>
      </c>
      <c r="D400" s="3">
        <v>1.1399999999999999</v>
      </c>
      <c r="E400" s="3">
        <v>1</v>
      </c>
      <c r="F400" s="3">
        <v>-311.13799999999998</v>
      </c>
      <c r="G400" s="3">
        <v>-313.33800000000002</v>
      </c>
      <c r="H400" s="3">
        <f t="shared" si="295"/>
        <v>-2.2000000000000455</v>
      </c>
      <c r="I400" s="3">
        <v>-0.34499999999999997</v>
      </c>
      <c r="J400" s="6">
        <v>-0.247</v>
      </c>
      <c r="K400" s="3">
        <f t="shared" si="280"/>
        <v>9.7999999999999976E-2</v>
      </c>
      <c r="L400" s="3">
        <v>0.151</v>
      </c>
      <c r="M400" s="6">
        <v>6.0000000000000001E-3</v>
      </c>
      <c r="N400" s="3">
        <f t="shared" si="281"/>
        <v>-0.14499999999999999</v>
      </c>
      <c r="O400" s="3">
        <f t="shared" si="282"/>
        <v>9.6999999999999989E-2</v>
      </c>
      <c r="P400" s="3">
        <f t="shared" si="282"/>
        <v>0.1205</v>
      </c>
      <c r="Q400" s="3">
        <f t="shared" si="283"/>
        <v>2.3500000000000007E-2</v>
      </c>
      <c r="R400" s="3">
        <f t="shared" si="284"/>
        <v>0.496</v>
      </c>
      <c r="S400" s="3">
        <f t="shared" si="285"/>
        <v>0.253</v>
      </c>
      <c r="T400" s="3">
        <f t="shared" si="286"/>
        <v>-0.24299999999999999</v>
      </c>
      <c r="U400" s="3">
        <f t="shared" si="287"/>
        <v>-9.6999999999999989E-2</v>
      </c>
      <c r="V400" s="3">
        <f t="shared" si="288"/>
        <v>-0.1205</v>
      </c>
      <c r="W400" s="3">
        <f t="shared" si="315"/>
        <v>-2.3500000000000007E-2</v>
      </c>
      <c r="X400" s="3">
        <f t="shared" si="311"/>
        <v>9.4848790322580624E-3</v>
      </c>
      <c r="Y400" s="3">
        <f t="shared" si="312"/>
        <v>2.8696146245059284E-2</v>
      </c>
      <c r="Z400" s="3">
        <f t="shared" si="289"/>
        <v>1.9211267212801222E-2</v>
      </c>
      <c r="AA400" s="3">
        <v>0</v>
      </c>
      <c r="AB400" s="3">
        <v>0</v>
      </c>
      <c r="AC400" s="3">
        <f t="shared" si="290"/>
        <v>0</v>
      </c>
      <c r="AD400" s="3">
        <f>-310.917785*627.50956</f>
        <v>-195103.88246152457</v>
      </c>
      <c r="AE400" s="3">
        <f>-313.12993*627.50956</f>
        <v>-196492.0245971308</v>
      </c>
      <c r="AF400" s="3">
        <f t="shared" si="291"/>
        <v>-1388.1421356062347</v>
      </c>
      <c r="AG400" s="3">
        <f>-310.964518*627.50956</f>
        <v>-195133.20786579206</v>
      </c>
      <c r="AH400" s="3">
        <f>-313.177212*627.50956</f>
        <v>-196521.6945041467</v>
      </c>
      <c r="AI400" s="3">
        <f t="shared" si="292"/>
        <v>-1388.4866383546323</v>
      </c>
      <c r="AJ400" s="3">
        <v>-0.52500000000000002</v>
      </c>
      <c r="AK400" s="3">
        <v>-0.6</v>
      </c>
      <c r="AL400" s="3">
        <f t="shared" si="293"/>
        <v>-7.4999999999999956E-2</v>
      </c>
      <c r="AM400" s="3">
        <v>110.19676</v>
      </c>
      <c r="AN400" s="3">
        <v>208.5977</v>
      </c>
      <c r="AO400" s="3">
        <v>225.6532</v>
      </c>
      <c r="AP400" s="3">
        <f t="shared" si="294"/>
        <v>1.1639593184064583</v>
      </c>
      <c r="AQ400" s="3">
        <v>10.247</v>
      </c>
      <c r="AR400" s="3">
        <v>2.3949259999999999</v>
      </c>
      <c r="AS400" s="3">
        <v>-959.76900000000001</v>
      </c>
      <c r="AT400" s="3">
        <v>-958.05</v>
      </c>
      <c r="AU400" s="3">
        <f t="shared" si="299"/>
        <v>-1.7190000000000509</v>
      </c>
      <c r="AV400" s="3">
        <v>-0.317</v>
      </c>
      <c r="AW400" s="3">
        <v>-0.45</v>
      </c>
      <c r="AX400" s="3">
        <f t="shared" si="300"/>
        <v>0.13300000000000001</v>
      </c>
      <c r="AY400" s="3">
        <v>-2.4E-2</v>
      </c>
      <c r="AZ400" s="3">
        <v>0.13500000000000001</v>
      </c>
      <c r="BA400" s="3">
        <f t="shared" si="301"/>
        <v>-0.159</v>
      </c>
      <c r="BB400" s="3">
        <f t="shared" si="302"/>
        <v>0.17050000000000001</v>
      </c>
      <c r="BC400" s="3">
        <f t="shared" si="302"/>
        <v>0.1575</v>
      </c>
      <c r="BD400" s="3">
        <f t="shared" si="303"/>
        <v>1.3000000000000012E-2</v>
      </c>
      <c r="BE400" s="3">
        <f t="shared" si="304"/>
        <v>0.29299999999999998</v>
      </c>
      <c r="BF400" s="3">
        <f t="shared" si="304"/>
        <v>0.58499999999999996</v>
      </c>
      <c r="BG400" s="3">
        <f t="shared" si="305"/>
        <v>-0.29199999999999998</v>
      </c>
      <c r="BH400" s="3">
        <f t="shared" si="306"/>
        <v>-0.17050000000000001</v>
      </c>
      <c r="BI400" s="3">
        <f t="shared" si="306"/>
        <v>-0.1575</v>
      </c>
      <c r="BJ400" s="3">
        <f t="shared" si="316"/>
        <v>-1.3000000000000012E-2</v>
      </c>
      <c r="BK400" s="3">
        <f t="shared" si="313"/>
        <v>4.9607935153583631E-2</v>
      </c>
      <c r="BL400" s="3">
        <f t="shared" si="314"/>
        <v>2.120192307692308E-2</v>
      </c>
      <c r="BM400" s="3">
        <f t="shared" si="307"/>
        <v>2.8406012076660551E-2</v>
      </c>
      <c r="BN400" s="3">
        <v>2.2370000000000001</v>
      </c>
      <c r="BO400" s="3">
        <v>2.431</v>
      </c>
      <c r="BP400" s="3">
        <f t="shared" si="308"/>
        <v>-0.19399999999999995</v>
      </c>
      <c r="BQ400" s="3">
        <v>-602243.07700000005</v>
      </c>
      <c r="BR400" s="3">
        <v>-601163.24300000002</v>
      </c>
      <c r="BS400" s="3">
        <f t="shared" si="309"/>
        <v>-1079.8340000000317</v>
      </c>
      <c r="BT400" s="3">
        <v>-602262.36399999994</v>
      </c>
      <c r="BU400" s="3">
        <v>-601182.38500000001</v>
      </c>
      <c r="BV400" s="3">
        <f t="shared" si="310"/>
        <v>-1079.9789999999339</v>
      </c>
    </row>
    <row r="401" spans="1:74" x14ac:dyDescent="0.25">
      <c r="A401" t="s">
        <v>69</v>
      </c>
      <c r="B401" s="1" t="s">
        <v>646</v>
      </c>
      <c r="C401" s="1" t="s">
        <v>103</v>
      </c>
      <c r="D401" s="3">
        <v>1.1599999999999999</v>
      </c>
      <c r="E401" s="3">
        <v>1.04</v>
      </c>
      <c r="F401" s="3">
        <v>-272.12099999999998</v>
      </c>
      <c r="G401" s="3">
        <v>-274.03800000000001</v>
      </c>
      <c r="H401" s="3">
        <f t="shared" si="295"/>
        <v>-1.91700000000003</v>
      </c>
      <c r="I401" s="3">
        <v>-0.34799999999999998</v>
      </c>
      <c r="J401" s="6">
        <v>-0.249</v>
      </c>
      <c r="K401" s="3">
        <f t="shared" si="280"/>
        <v>9.8999999999999977E-2</v>
      </c>
      <c r="L401" s="3">
        <v>0.14799999999999999</v>
      </c>
      <c r="M401" s="6">
        <v>0.01</v>
      </c>
      <c r="N401" s="3">
        <f t="shared" si="281"/>
        <v>-0.13799999999999998</v>
      </c>
      <c r="O401" s="3">
        <f t="shared" si="282"/>
        <v>9.9999999999999992E-2</v>
      </c>
      <c r="P401" s="3">
        <f t="shared" si="282"/>
        <v>0.1195</v>
      </c>
      <c r="Q401" s="3">
        <f t="shared" si="283"/>
        <v>1.9500000000000003E-2</v>
      </c>
      <c r="R401" s="3">
        <f t="shared" si="284"/>
        <v>0.496</v>
      </c>
      <c r="S401" s="3">
        <f t="shared" si="285"/>
        <v>0.25900000000000001</v>
      </c>
      <c r="T401" s="3">
        <f t="shared" si="286"/>
        <v>-0.23699999999999999</v>
      </c>
      <c r="U401" s="3">
        <f t="shared" si="287"/>
        <v>-9.9999999999999992E-2</v>
      </c>
      <c r="V401" s="3">
        <f t="shared" si="288"/>
        <v>-0.1195</v>
      </c>
      <c r="W401" s="3">
        <f t="shared" si="315"/>
        <v>-1.9500000000000003E-2</v>
      </c>
      <c r="X401" s="3">
        <f t="shared" si="311"/>
        <v>1.0080645161290321E-2</v>
      </c>
      <c r="Y401" s="3">
        <f t="shared" si="312"/>
        <v>2.7568050193050191E-2</v>
      </c>
      <c r="Z401" s="3">
        <f t="shared" si="289"/>
        <v>1.748740503175987E-2</v>
      </c>
      <c r="AA401" s="3">
        <v>0.85299999999999998</v>
      </c>
      <c r="AB401" s="3">
        <v>0.84499999999999997</v>
      </c>
      <c r="AC401" s="3">
        <f t="shared" si="290"/>
        <v>-8.0000000000000071E-3</v>
      </c>
      <c r="AD401" s="3">
        <f>-271.928277*627.50956</f>
        <v>-170637.59345182808</v>
      </c>
      <c r="AE401" s="3">
        <f>-273.856536*627.50956</f>
        <v>-171847.59440848415</v>
      </c>
      <c r="AF401" s="3">
        <f t="shared" si="291"/>
        <v>-1210.000956656062</v>
      </c>
      <c r="AG401" s="3">
        <f>-271.965378*627.50956</f>
        <v>-170660.87468401366</v>
      </c>
      <c r="AH401" s="3">
        <f>-273.894339*627.50956</f>
        <v>-171871.31615238084</v>
      </c>
      <c r="AI401" s="3">
        <f t="shared" si="292"/>
        <v>-1210.4414683671785</v>
      </c>
      <c r="AJ401" s="3">
        <v>-0.35599999999999998</v>
      </c>
      <c r="AK401" s="3">
        <v>-0.40899999999999997</v>
      </c>
      <c r="AL401" s="3">
        <f t="shared" si="293"/>
        <v>-5.2999999999999992E-2</v>
      </c>
      <c r="AM401" s="3">
        <v>96.170180000000002</v>
      </c>
      <c r="AN401" s="3">
        <v>173.39293000000001</v>
      </c>
      <c r="AO401" s="3">
        <v>188.31049999999999</v>
      </c>
      <c r="AP401" s="3">
        <f t="shared" si="294"/>
        <v>1.0915349469061673</v>
      </c>
      <c r="AQ401" s="3">
        <v>8.1240000000000006</v>
      </c>
      <c r="AR401" s="3">
        <v>1.795706</v>
      </c>
      <c r="AS401" s="3">
        <v>-959.76900000000001</v>
      </c>
      <c r="AT401" s="3">
        <v>-958.05</v>
      </c>
      <c r="AU401" s="3">
        <f t="shared" si="299"/>
        <v>-1.7190000000000509</v>
      </c>
      <c r="AV401" s="3">
        <v>-0.317</v>
      </c>
      <c r="AW401" s="3">
        <v>-0.45</v>
      </c>
      <c r="AX401" s="3">
        <f t="shared" si="300"/>
        <v>0.13300000000000001</v>
      </c>
      <c r="AY401" s="3">
        <v>-2.4E-2</v>
      </c>
      <c r="AZ401" s="3">
        <v>0.13500000000000001</v>
      </c>
      <c r="BA401" s="3">
        <f t="shared" si="301"/>
        <v>-0.159</v>
      </c>
      <c r="BB401" s="3">
        <f t="shared" si="302"/>
        <v>0.17050000000000001</v>
      </c>
      <c r="BC401" s="3">
        <f t="shared" si="302"/>
        <v>0.1575</v>
      </c>
      <c r="BD401" s="3">
        <f t="shared" si="303"/>
        <v>1.3000000000000012E-2</v>
      </c>
      <c r="BE401" s="3">
        <f t="shared" si="304"/>
        <v>0.29299999999999998</v>
      </c>
      <c r="BF401" s="3">
        <f t="shared" si="304"/>
        <v>0.58499999999999996</v>
      </c>
      <c r="BG401" s="3">
        <f t="shared" si="305"/>
        <v>-0.29199999999999998</v>
      </c>
      <c r="BH401" s="3">
        <f t="shared" si="306"/>
        <v>-0.17050000000000001</v>
      </c>
      <c r="BI401" s="3">
        <f t="shared" si="306"/>
        <v>-0.1575</v>
      </c>
      <c r="BJ401" s="3">
        <f t="shared" si="316"/>
        <v>-1.3000000000000012E-2</v>
      </c>
      <c r="BK401" s="3">
        <f t="shared" si="313"/>
        <v>4.9607935153583631E-2</v>
      </c>
      <c r="BL401" s="3">
        <f t="shared" si="314"/>
        <v>2.120192307692308E-2</v>
      </c>
      <c r="BM401" s="3">
        <f t="shared" si="307"/>
        <v>2.8406012076660551E-2</v>
      </c>
      <c r="BN401" s="3">
        <v>2.2370000000000001</v>
      </c>
      <c r="BO401" s="3">
        <v>2.431</v>
      </c>
      <c r="BP401" s="3">
        <f t="shared" si="308"/>
        <v>-0.19399999999999995</v>
      </c>
      <c r="BQ401" s="3">
        <v>-602243.07700000005</v>
      </c>
      <c r="BR401" s="3">
        <v>-601163.24300000002</v>
      </c>
      <c r="BS401" s="3">
        <f t="shared" si="309"/>
        <v>-1079.8340000000317</v>
      </c>
      <c r="BT401" s="3">
        <v>-602262.36399999994</v>
      </c>
      <c r="BU401" s="3">
        <v>-601182.38500000001</v>
      </c>
      <c r="BV401" s="3">
        <f t="shared" si="310"/>
        <v>-1079.9789999999339</v>
      </c>
    </row>
    <row r="402" spans="1:74" x14ac:dyDescent="0.25">
      <c r="A402" t="s">
        <v>26</v>
      </c>
      <c r="B402" s="1" t="s">
        <v>646</v>
      </c>
      <c r="C402" s="1" t="s">
        <v>103</v>
      </c>
      <c r="D402" s="3">
        <v>1.17</v>
      </c>
      <c r="E402" s="3">
        <v>1</v>
      </c>
      <c r="F402" s="3">
        <v>-233.053</v>
      </c>
      <c r="G402" s="3">
        <v>-234.69399999999999</v>
      </c>
      <c r="H402" s="3">
        <f t="shared" si="295"/>
        <v>-1.6409999999999911</v>
      </c>
      <c r="I402" s="3">
        <v>-0.32600000000000001</v>
      </c>
      <c r="J402" s="6">
        <v>-0.23699999999999999</v>
      </c>
      <c r="K402" s="3">
        <f t="shared" si="280"/>
        <v>8.9000000000000024E-2</v>
      </c>
      <c r="L402" s="3">
        <v>0.12</v>
      </c>
      <c r="M402" s="6">
        <v>-3.2000000000000001E-2</v>
      </c>
      <c r="N402" s="3">
        <f t="shared" si="281"/>
        <v>-0.152</v>
      </c>
      <c r="O402" s="3">
        <f t="shared" si="282"/>
        <v>0.10300000000000001</v>
      </c>
      <c r="P402" s="3">
        <f t="shared" si="282"/>
        <v>0.13450000000000001</v>
      </c>
      <c r="Q402" s="3">
        <f t="shared" si="283"/>
        <v>3.15E-2</v>
      </c>
      <c r="R402" s="3">
        <f t="shared" si="284"/>
        <v>0.44600000000000001</v>
      </c>
      <c r="S402" s="3">
        <f t="shared" si="285"/>
        <v>0.20499999999999999</v>
      </c>
      <c r="T402" s="3">
        <f t="shared" si="286"/>
        <v>-0.24100000000000002</v>
      </c>
      <c r="U402" s="3">
        <f t="shared" si="287"/>
        <v>-0.10300000000000001</v>
      </c>
      <c r="V402" s="3">
        <f t="shared" si="288"/>
        <v>-0.13450000000000001</v>
      </c>
      <c r="W402" s="3">
        <f t="shared" si="315"/>
        <v>-3.15E-2</v>
      </c>
      <c r="X402" s="3">
        <f t="shared" si="311"/>
        <v>1.1893497757847536E-2</v>
      </c>
      <c r="Y402" s="3">
        <f t="shared" si="312"/>
        <v>4.4122560975609765E-2</v>
      </c>
      <c r="Z402" s="3">
        <f t="shared" si="289"/>
        <v>3.2229063217762227E-2</v>
      </c>
      <c r="AA402" s="3">
        <v>0</v>
      </c>
      <c r="AB402" s="3">
        <v>0</v>
      </c>
      <c r="AC402" s="3">
        <f t="shared" si="290"/>
        <v>0</v>
      </c>
      <c r="AD402" s="3">
        <f>-232.894741*627.50956</f>
        <v>-146143.67645122396</v>
      </c>
      <c r="AE402" s="3">
        <f>-234.544715*627.50956</f>
        <v>-147179.0509099754</v>
      </c>
      <c r="AF402" s="3">
        <f t="shared" si="291"/>
        <v>-1035.3744587514375</v>
      </c>
      <c r="AG402" s="3">
        <f>-232.932584*627.50956</f>
        <v>-146167.42329550302</v>
      </c>
      <c r="AH402" s="3">
        <f>-234.583245*627.50956</f>
        <v>-147203.22885332219</v>
      </c>
      <c r="AI402" s="3">
        <f t="shared" si="292"/>
        <v>-1035.8055578191706</v>
      </c>
      <c r="AJ402" s="3">
        <v>-0.51900000000000002</v>
      </c>
      <c r="AK402" s="3">
        <v>-0.59599999999999997</v>
      </c>
      <c r="AL402" s="3">
        <f t="shared" si="293"/>
        <v>-7.6999999999999957E-2</v>
      </c>
      <c r="AM402" s="3">
        <v>82.143600000000006</v>
      </c>
      <c r="AN402" s="3">
        <v>162.22300000000001</v>
      </c>
      <c r="AO402" s="3">
        <v>168.0626</v>
      </c>
      <c r="AP402" s="3">
        <f t="shared" si="294"/>
        <v>1.1016771124446478</v>
      </c>
      <c r="AQ402" s="3">
        <v>8.0079999999999991</v>
      </c>
      <c r="AR402" s="3">
        <v>1.7610189999999999</v>
      </c>
      <c r="AS402" s="3">
        <v>-959.76900000000001</v>
      </c>
      <c r="AT402" s="3">
        <v>-958.05</v>
      </c>
      <c r="AU402" s="3">
        <f t="shared" si="299"/>
        <v>-1.7190000000000509</v>
      </c>
      <c r="AV402" s="3">
        <v>-0.317</v>
      </c>
      <c r="AW402" s="3">
        <v>-0.45</v>
      </c>
      <c r="AX402" s="3">
        <f t="shared" si="300"/>
        <v>0.13300000000000001</v>
      </c>
      <c r="AY402" s="3">
        <v>-2.4E-2</v>
      </c>
      <c r="AZ402" s="3">
        <v>0.13500000000000001</v>
      </c>
      <c r="BA402" s="3">
        <f t="shared" si="301"/>
        <v>-0.159</v>
      </c>
      <c r="BB402" s="3">
        <f t="shared" si="302"/>
        <v>0.17050000000000001</v>
      </c>
      <c r="BC402" s="3">
        <f t="shared" si="302"/>
        <v>0.1575</v>
      </c>
      <c r="BD402" s="3">
        <f t="shared" si="303"/>
        <v>1.3000000000000012E-2</v>
      </c>
      <c r="BE402" s="3">
        <f t="shared" si="304"/>
        <v>0.29299999999999998</v>
      </c>
      <c r="BF402" s="3">
        <f t="shared" si="304"/>
        <v>0.58499999999999996</v>
      </c>
      <c r="BG402" s="3">
        <f t="shared" si="305"/>
        <v>-0.29199999999999998</v>
      </c>
      <c r="BH402" s="3">
        <f t="shared" si="306"/>
        <v>-0.17050000000000001</v>
      </c>
      <c r="BI402" s="3">
        <f t="shared" si="306"/>
        <v>-0.1575</v>
      </c>
      <c r="BJ402" s="3">
        <f t="shared" si="316"/>
        <v>-1.3000000000000012E-2</v>
      </c>
      <c r="BK402" s="3">
        <f t="shared" si="313"/>
        <v>4.9607935153583631E-2</v>
      </c>
      <c r="BL402" s="3">
        <f t="shared" si="314"/>
        <v>2.120192307692308E-2</v>
      </c>
      <c r="BM402" s="3">
        <f t="shared" si="307"/>
        <v>2.8406012076660551E-2</v>
      </c>
      <c r="BN402" s="3">
        <v>2.2370000000000001</v>
      </c>
      <c r="BO402" s="3">
        <v>2.431</v>
      </c>
      <c r="BP402" s="3">
        <f t="shared" si="308"/>
        <v>-0.19399999999999995</v>
      </c>
      <c r="BQ402" s="3">
        <v>-602243.07700000005</v>
      </c>
      <c r="BR402" s="3">
        <v>-601163.24300000002</v>
      </c>
      <c r="BS402" s="3">
        <f t="shared" si="309"/>
        <v>-1079.8340000000317</v>
      </c>
      <c r="BT402" s="3">
        <v>-602262.36399999994</v>
      </c>
      <c r="BU402" s="3">
        <v>-601182.38500000001</v>
      </c>
      <c r="BV402" s="3">
        <f t="shared" si="310"/>
        <v>-1079.9789999999339</v>
      </c>
    </row>
    <row r="403" spans="1:74" x14ac:dyDescent="0.25">
      <c r="A403" t="s">
        <v>25</v>
      </c>
      <c r="B403" s="1" t="s">
        <v>646</v>
      </c>
      <c r="C403" s="1" t="s">
        <v>103</v>
      </c>
      <c r="D403" s="3">
        <v>1.17</v>
      </c>
      <c r="E403" s="3">
        <v>1.1000000000000001</v>
      </c>
      <c r="F403" s="3">
        <v>-233.059</v>
      </c>
      <c r="G403" s="3">
        <v>-234.7</v>
      </c>
      <c r="H403" s="3">
        <f t="shared" si="295"/>
        <v>-1.6409999999999911</v>
      </c>
      <c r="I403" s="3">
        <v>-0.307</v>
      </c>
      <c r="J403" s="6">
        <v>-0.22</v>
      </c>
      <c r="K403" s="3">
        <f t="shared" si="280"/>
        <v>8.6999999999999994E-2</v>
      </c>
      <c r="L403" s="3">
        <v>0.13500000000000001</v>
      </c>
      <c r="M403" s="6">
        <v>-2.1000000000000001E-2</v>
      </c>
      <c r="N403" s="3">
        <f t="shared" si="281"/>
        <v>-0.156</v>
      </c>
      <c r="O403" s="3">
        <f t="shared" si="282"/>
        <v>8.5999999999999993E-2</v>
      </c>
      <c r="P403" s="3">
        <f t="shared" si="282"/>
        <v>0.1205</v>
      </c>
      <c r="Q403" s="3">
        <f t="shared" si="283"/>
        <v>3.4500000000000003E-2</v>
      </c>
      <c r="R403" s="3">
        <f t="shared" si="284"/>
        <v>0.442</v>
      </c>
      <c r="S403" s="3">
        <f t="shared" si="285"/>
        <v>0.19900000000000001</v>
      </c>
      <c r="T403" s="3">
        <f t="shared" si="286"/>
        <v>-0.24299999999999999</v>
      </c>
      <c r="U403" s="3">
        <f t="shared" si="287"/>
        <v>-8.5999999999999993E-2</v>
      </c>
      <c r="V403" s="3">
        <f t="shared" si="288"/>
        <v>-0.1205</v>
      </c>
      <c r="W403" s="3">
        <f t="shared" si="315"/>
        <v>-3.4500000000000003E-2</v>
      </c>
      <c r="X403" s="3">
        <f t="shared" si="311"/>
        <v>8.3665158371040715E-3</v>
      </c>
      <c r="Y403" s="3">
        <f t="shared" si="312"/>
        <v>3.6483040201005019E-2</v>
      </c>
      <c r="Z403" s="3">
        <f t="shared" si="289"/>
        <v>2.8116524363900948E-2</v>
      </c>
      <c r="AA403" s="3">
        <v>0</v>
      </c>
      <c r="AB403" s="3">
        <v>0</v>
      </c>
      <c r="AC403" s="3">
        <f t="shared" si="290"/>
        <v>0</v>
      </c>
      <c r="AD403" s="3">
        <f>-232.900658*627.50956</f>
        <v>-146147.38942529046</v>
      </c>
      <c r="AE403" s="3">
        <f>-234.550789*627.50956</f>
        <v>-147182.86240304285</v>
      </c>
      <c r="AF403" s="3">
        <f t="shared" si="291"/>
        <v>-1035.4729777523899</v>
      </c>
      <c r="AG403" s="3">
        <f>-232.939821*627.50956</f>
        <v>-146171.96458218875</v>
      </c>
      <c r="AH403" s="3">
        <f>-234.590515*627.50956</f>
        <v>-147207.7908478234</v>
      </c>
      <c r="AI403" s="3">
        <f t="shared" si="292"/>
        <v>-1035.8262656346487</v>
      </c>
      <c r="AJ403" s="3">
        <v>-0.51900000000000002</v>
      </c>
      <c r="AK403" s="3">
        <v>-0.59799999999999998</v>
      </c>
      <c r="AL403" s="3">
        <f t="shared" si="293"/>
        <v>-7.8999999999999959E-2</v>
      </c>
      <c r="AM403" s="3">
        <v>82.143600000000006</v>
      </c>
      <c r="AN403" s="3">
        <v>174.57300000000001</v>
      </c>
      <c r="AO403" s="3">
        <v>172.8349</v>
      </c>
      <c r="AP403" s="3">
        <f t="shared" si="294"/>
        <v>1.1636223756165147</v>
      </c>
      <c r="AQ403" s="3">
        <v>10.119</v>
      </c>
      <c r="AR403" s="3">
        <v>2.3108759999999999</v>
      </c>
      <c r="AS403" s="3">
        <v>-959.76900000000001</v>
      </c>
      <c r="AT403" s="3">
        <v>-958.05</v>
      </c>
      <c r="AU403" s="3">
        <f t="shared" si="299"/>
        <v>-1.7190000000000509</v>
      </c>
      <c r="AV403" s="3">
        <v>-0.317</v>
      </c>
      <c r="AW403" s="3">
        <v>-0.45</v>
      </c>
      <c r="AX403" s="3">
        <f t="shared" si="300"/>
        <v>0.13300000000000001</v>
      </c>
      <c r="AY403" s="3">
        <v>-2.4E-2</v>
      </c>
      <c r="AZ403" s="3">
        <v>0.13500000000000001</v>
      </c>
      <c r="BA403" s="3">
        <f t="shared" si="301"/>
        <v>-0.159</v>
      </c>
      <c r="BB403" s="3">
        <f t="shared" si="302"/>
        <v>0.17050000000000001</v>
      </c>
      <c r="BC403" s="3">
        <f t="shared" si="302"/>
        <v>0.1575</v>
      </c>
      <c r="BD403" s="3">
        <f t="shared" si="303"/>
        <v>1.3000000000000012E-2</v>
      </c>
      <c r="BE403" s="3">
        <f t="shared" si="304"/>
        <v>0.29299999999999998</v>
      </c>
      <c r="BF403" s="3">
        <f t="shared" si="304"/>
        <v>0.58499999999999996</v>
      </c>
      <c r="BG403" s="3">
        <f t="shared" si="305"/>
        <v>-0.29199999999999998</v>
      </c>
      <c r="BH403" s="3">
        <f t="shared" si="306"/>
        <v>-0.17050000000000001</v>
      </c>
      <c r="BI403" s="3">
        <f t="shared" si="306"/>
        <v>-0.1575</v>
      </c>
      <c r="BJ403" s="3">
        <f t="shared" si="316"/>
        <v>-1.3000000000000012E-2</v>
      </c>
      <c r="BK403" s="3">
        <f t="shared" si="313"/>
        <v>4.9607935153583631E-2</v>
      </c>
      <c r="BL403" s="3">
        <f t="shared" si="314"/>
        <v>2.120192307692308E-2</v>
      </c>
      <c r="BM403" s="3">
        <f t="shared" si="307"/>
        <v>2.8406012076660551E-2</v>
      </c>
      <c r="BN403" s="3">
        <v>2.2370000000000001</v>
      </c>
      <c r="BO403" s="3">
        <v>2.431</v>
      </c>
      <c r="BP403" s="3">
        <f t="shared" si="308"/>
        <v>-0.19399999999999995</v>
      </c>
      <c r="BQ403" s="3">
        <v>-602243.07700000005</v>
      </c>
      <c r="BR403" s="3">
        <v>-601163.24300000002</v>
      </c>
      <c r="BS403" s="3">
        <f t="shared" si="309"/>
        <v>-1079.8340000000317</v>
      </c>
      <c r="BT403" s="3">
        <v>-602262.36399999994</v>
      </c>
      <c r="BU403" s="3">
        <v>-601182.38500000001</v>
      </c>
      <c r="BV403" s="3">
        <f t="shared" si="310"/>
        <v>-1079.9789999999339</v>
      </c>
    </row>
    <row r="404" spans="1:74" x14ac:dyDescent="0.25">
      <c r="A404" t="s">
        <v>27</v>
      </c>
      <c r="B404" s="1" t="s">
        <v>646</v>
      </c>
      <c r="C404" s="1" t="s">
        <v>103</v>
      </c>
      <c r="D404" s="3">
        <v>1.18</v>
      </c>
      <c r="E404" s="3">
        <v>1.17</v>
      </c>
      <c r="F404" s="3">
        <v>-233.07400000000001</v>
      </c>
      <c r="G404" s="3">
        <v>-234.71199999999999</v>
      </c>
      <c r="H404" s="3">
        <f t="shared" si="295"/>
        <v>-1.6379999999999768</v>
      </c>
      <c r="I404" s="3">
        <v>-0.33300000000000002</v>
      </c>
      <c r="J404" s="6">
        <v>-0.23300000000000001</v>
      </c>
      <c r="K404" s="3">
        <f t="shared" si="280"/>
        <v>0.1</v>
      </c>
      <c r="L404" s="3">
        <v>0.154</v>
      </c>
      <c r="M404" s="6">
        <v>2.4E-2</v>
      </c>
      <c r="N404" s="3">
        <f t="shared" si="281"/>
        <v>-0.13</v>
      </c>
      <c r="O404" s="3">
        <f t="shared" si="282"/>
        <v>8.950000000000001E-2</v>
      </c>
      <c r="P404" s="3">
        <f t="shared" si="282"/>
        <v>0.10450000000000001</v>
      </c>
      <c r="Q404" s="3">
        <f t="shared" si="283"/>
        <v>1.4999999999999999E-2</v>
      </c>
      <c r="R404" s="3">
        <f t="shared" si="284"/>
        <v>0.48699999999999999</v>
      </c>
      <c r="S404" s="3">
        <f t="shared" si="285"/>
        <v>0.25700000000000001</v>
      </c>
      <c r="T404" s="3">
        <f t="shared" si="286"/>
        <v>-0.22999999999999998</v>
      </c>
      <c r="U404" s="3">
        <f t="shared" si="287"/>
        <v>-8.950000000000001E-2</v>
      </c>
      <c r="V404" s="3">
        <f t="shared" si="288"/>
        <v>-0.10450000000000001</v>
      </c>
      <c r="W404" s="3">
        <f t="shared" si="315"/>
        <v>-1.4999999999999999E-2</v>
      </c>
      <c r="X404" s="3">
        <f t="shared" si="311"/>
        <v>8.2240759753593445E-3</v>
      </c>
      <c r="Y404" s="3">
        <f t="shared" si="312"/>
        <v>2.1245622568093387E-2</v>
      </c>
      <c r="Z404" s="3">
        <f t="shared" si="289"/>
        <v>1.3021546592734043E-2</v>
      </c>
      <c r="AA404" s="3">
        <v>0.34899999999999998</v>
      </c>
      <c r="AB404" s="3">
        <v>0.34200000000000003</v>
      </c>
      <c r="AC404" s="3">
        <f t="shared" si="290"/>
        <v>-6.9999999999999507E-3</v>
      </c>
      <c r="AD404" s="3">
        <f>-232.913895*627.50956</f>
        <v>-146155.69576933619</v>
      </c>
      <c r="AE404" s="3">
        <f>-234.560849*627.50956</f>
        <v>-147189.17514921643</v>
      </c>
      <c r="AF404" s="3">
        <f t="shared" si="291"/>
        <v>-1033.479379880242</v>
      </c>
      <c r="AG404" s="3">
        <f>-232.949898*627.50956</f>
        <v>-146178.28799602485</v>
      </c>
      <c r="AH404" s="3">
        <f>-234.597473*627.50956</f>
        <v>-147212.15705934187</v>
      </c>
      <c r="AI404" s="3">
        <f t="shared" si="292"/>
        <v>-1033.869063317019</v>
      </c>
      <c r="AJ404" s="3">
        <v>-0.52100000000000002</v>
      </c>
      <c r="AK404" s="3">
        <v>-0.59699999999999998</v>
      </c>
      <c r="AL404" s="3">
        <f t="shared" si="293"/>
        <v>-7.5999999999999956E-2</v>
      </c>
      <c r="AM404" s="3">
        <v>82.143600000000006</v>
      </c>
      <c r="AN404" s="3">
        <v>159.92551</v>
      </c>
      <c r="AO404" s="3">
        <v>164.41334000000001</v>
      </c>
      <c r="AP404" s="3">
        <f t="shared" si="294"/>
        <v>1.1020864430376425</v>
      </c>
      <c r="AQ404" s="3">
        <v>7.8659999999999997</v>
      </c>
      <c r="AR404" s="3">
        <v>1.6837464</v>
      </c>
      <c r="AS404" s="3">
        <v>-959.76900000000001</v>
      </c>
      <c r="AT404" s="3">
        <v>-958.05</v>
      </c>
      <c r="AU404" s="3">
        <f t="shared" si="299"/>
        <v>-1.7190000000000509</v>
      </c>
      <c r="AV404" s="3">
        <v>-0.317</v>
      </c>
      <c r="AW404" s="3">
        <v>-0.45</v>
      </c>
      <c r="AX404" s="3">
        <f t="shared" si="300"/>
        <v>0.13300000000000001</v>
      </c>
      <c r="AY404" s="3">
        <v>-2.4E-2</v>
      </c>
      <c r="AZ404" s="3">
        <v>0.13500000000000001</v>
      </c>
      <c r="BA404" s="3">
        <f t="shared" si="301"/>
        <v>-0.159</v>
      </c>
      <c r="BB404" s="3">
        <f t="shared" si="302"/>
        <v>0.17050000000000001</v>
      </c>
      <c r="BC404" s="3">
        <f t="shared" si="302"/>
        <v>0.1575</v>
      </c>
      <c r="BD404" s="3">
        <f t="shared" si="303"/>
        <v>1.3000000000000012E-2</v>
      </c>
      <c r="BE404" s="3">
        <f t="shared" si="304"/>
        <v>0.29299999999999998</v>
      </c>
      <c r="BF404" s="3">
        <f t="shared" si="304"/>
        <v>0.58499999999999996</v>
      </c>
      <c r="BG404" s="3">
        <f t="shared" si="305"/>
        <v>-0.29199999999999998</v>
      </c>
      <c r="BH404" s="3">
        <f t="shared" si="306"/>
        <v>-0.17050000000000001</v>
      </c>
      <c r="BI404" s="3">
        <f t="shared" si="306"/>
        <v>-0.1575</v>
      </c>
      <c r="BJ404" s="3">
        <f t="shared" si="316"/>
        <v>-1.3000000000000012E-2</v>
      </c>
      <c r="BK404" s="3">
        <f t="shared" si="313"/>
        <v>4.9607935153583631E-2</v>
      </c>
      <c r="BL404" s="3">
        <f t="shared" si="314"/>
        <v>2.120192307692308E-2</v>
      </c>
      <c r="BM404" s="3">
        <f t="shared" si="307"/>
        <v>2.8406012076660551E-2</v>
      </c>
      <c r="BN404" s="3">
        <v>2.2370000000000001</v>
      </c>
      <c r="BO404" s="3">
        <v>2.431</v>
      </c>
      <c r="BP404" s="3">
        <f t="shared" si="308"/>
        <v>-0.19399999999999995</v>
      </c>
      <c r="BQ404" s="3">
        <v>-602243.07700000005</v>
      </c>
      <c r="BR404" s="3">
        <v>-601163.24300000002</v>
      </c>
      <c r="BS404" s="3">
        <f t="shared" si="309"/>
        <v>-1079.8340000000317</v>
      </c>
      <c r="BT404" s="3">
        <v>-602262.36399999994</v>
      </c>
      <c r="BU404" s="3">
        <v>-601182.38500000001</v>
      </c>
      <c r="BV404" s="3">
        <f t="shared" si="310"/>
        <v>-1079.9789999999339</v>
      </c>
    </row>
    <row r="405" spans="1:74" x14ac:dyDescent="0.25">
      <c r="A405" t="s">
        <v>28</v>
      </c>
      <c r="B405" s="1" t="s">
        <v>646</v>
      </c>
      <c r="C405" s="1" t="s">
        <v>103</v>
      </c>
      <c r="D405" s="3">
        <v>1.33</v>
      </c>
      <c r="E405" s="3">
        <v>1.29</v>
      </c>
      <c r="F405" s="3">
        <v>-228.684</v>
      </c>
      <c r="G405" s="3">
        <v>-230.08600000000001</v>
      </c>
      <c r="H405" s="3">
        <f t="shared" si="295"/>
        <v>-1.4020000000000152</v>
      </c>
      <c r="I405" s="3">
        <v>-0.32700000000000001</v>
      </c>
      <c r="J405" s="6">
        <v>-0.23799999999999999</v>
      </c>
      <c r="K405" s="3">
        <f t="shared" si="280"/>
        <v>8.9000000000000024E-2</v>
      </c>
      <c r="L405" s="3">
        <v>0.16200000000000001</v>
      </c>
      <c r="M405" s="6">
        <v>3.0000000000000001E-3</v>
      </c>
      <c r="N405" s="3">
        <f t="shared" si="281"/>
        <v>-0.159</v>
      </c>
      <c r="O405" s="3">
        <f t="shared" si="282"/>
        <v>8.2500000000000004E-2</v>
      </c>
      <c r="P405" s="3">
        <f t="shared" si="282"/>
        <v>0.11749999999999999</v>
      </c>
      <c r="Q405" s="3">
        <f t="shared" si="283"/>
        <v>3.4999999999999989E-2</v>
      </c>
      <c r="R405" s="3">
        <f t="shared" si="284"/>
        <v>0.48899999999999999</v>
      </c>
      <c r="S405" s="3">
        <f t="shared" si="285"/>
        <v>0.24099999999999999</v>
      </c>
      <c r="T405" s="3">
        <f t="shared" si="286"/>
        <v>-0.248</v>
      </c>
      <c r="U405" s="3">
        <f t="shared" si="287"/>
        <v>-8.2500000000000004E-2</v>
      </c>
      <c r="V405" s="3">
        <f t="shared" si="288"/>
        <v>-0.11749999999999999</v>
      </c>
      <c r="W405" s="3">
        <f t="shared" si="315"/>
        <v>-3.4999999999999989E-2</v>
      </c>
      <c r="X405" s="3">
        <f t="shared" si="311"/>
        <v>6.9593558282208595E-3</v>
      </c>
      <c r="Y405" s="3">
        <f t="shared" si="312"/>
        <v>2.8643672199170123E-2</v>
      </c>
      <c r="Z405" s="3">
        <f t="shared" si="289"/>
        <v>2.1684316370949263E-2</v>
      </c>
      <c r="AA405" s="3">
        <v>0.84399999999999997</v>
      </c>
      <c r="AB405" s="3">
        <v>0.747</v>
      </c>
      <c r="AC405" s="3">
        <f t="shared" si="290"/>
        <v>-9.6999999999999975E-2</v>
      </c>
      <c r="AD405" s="3">
        <f>-228.604992*627.50956</f>
        <v>-143451.81794372352</v>
      </c>
      <c r="AE405" s="3">
        <f>-230.011797*627.50956</f>
        <v>-144334.60153027932</v>
      </c>
      <c r="AF405" s="3">
        <f t="shared" si="291"/>
        <v>-882.78358655580087</v>
      </c>
      <c r="AG405" s="3">
        <f>-228.635597*627.50956</f>
        <v>-143471.02287380732</v>
      </c>
      <c r="AH405" s="3">
        <f>-230.042722*627.50956</f>
        <v>-144354.0072634223</v>
      </c>
      <c r="AI405" s="3">
        <f t="shared" si="292"/>
        <v>-882.98438961498323</v>
      </c>
      <c r="AJ405" s="3">
        <v>-0.308</v>
      </c>
      <c r="AK405" s="3">
        <v>-0.312</v>
      </c>
      <c r="AL405" s="3">
        <f t="shared" si="293"/>
        <v>-4.0000000000000036E-3</v>
      </c>
      <c r="AM405" s="3">
        <v>68.07396</v>
      </c>
      <c r="AN405" s="3">
        <v>116.74550000000001</v>
      </c>
      <c r="AO405" s="3">
        <v>107.2632</v>
      </c>
      <c r="AP405" s="3">
        <f t="shared" si="294"/>
        <v>1.0695364757105514</v>
      </c>
      <c r="AQ405" s="3">
        <v>6.7350000000000003</v>
      </c>
      <c r="AR405" s="3">
        <v>1.2594802</v>
      </c>
      <c r="AS405" s="3">
        <v>-959.76900000000001</v>
      </c>
      <c r="AT405" s="3">
        <v>-958.05</v>
      </c>
      <c r="AU405" s="3">
        <f t="shared" si="299"/>
        <v>-1.7190000000000509</v>
      </c>
      <c r="AV405" s="3">
        <v>-0.317</v>
      </c>
      <c r="AW405" s="3">
        <v>-0.45</v>
      </c>
      <c r="AX405" s="3">
        <f t="shared" si="300"/>
        <v>0.13300000000000001</v>
      </c>
      <c r="AY405" s="3">
        <v>-2.4E-2</v>
      </c>
      <c r="AZ405" s="3">
        <v>0.13500000000000001</v>
      </c>
      <c r="BA405" s="3">
        <f t="shared" si="301"/>
        <v>-0.159</v>
      </c>
      <c r="BB405" s="3">
        <f t="shared" si="302"/>
        <v>0.17050000000000001</v>
      </c>
      <c r="BC405" s="3">
        <f t="shared" si="302"/>
        <v>0.1575</v>
      </c>
      <c r="BD405" s="3">
        <f t="shared" si="303"/>
        <v>1.3000000000000012E-2</v>
      </c>
      <c r="BE405" s="3">
        <f t="shared" si="304"/>
        <v>0.29299999999999998</v>
      </c>
      <c r="BF405" s="3">
        <f t="shared" si="304"/>
        <v>0.58499999999999996</v>
      </c>
      <c r="BG405" s="3">
        <f t="shared" si="305"/>
        <v>-0.29199999999999998</v>
      </c>
      <c r="BH405" s="3">
        <f t="shared" si="306"/>
        <v>-0.17050000000000001</v>
      </c>
      <c r="BI405" s="3">
        <f t="shared" si="306"/>
        <v>-0.1575</v>
      </c>
      <c r="BJ405" s="3">
        <f t="shared" si="316"/>
        <v>-1.3000000000000012E-2</v>
      </c>
      <c r="BK405" s="3">
        <f t="shared" si="313"/>
        <v>4.9607935153583631E-2</v>
      </c>
      <c r="BL405" s="3">
        <f t="shared" si="314"/>
        <v>2.120192307692308E-2</v>
      </c>
      <c r="BM405" s="3">
        <f t="shared" si="307"/>
        <v>2.8406012076660551E-2</v>
      </c>
      <c r="BN405" s="3">
        <v>2.2370000000000001</v>
      </c>
      <c r="BO405" s="3">
        <v>2.431</v>
      </c>
      <c r="BP405" s="3">
        <f t="shared" si="308"/>
        <v>-0.19399999999999995</v>
      </c>
      <c r="BQ405" s="3">
        <v>-602243.07700000005</v>
      </c>
      <c r="BR405" s="3">
        <v>-601163.24300000002</v>
      </c>
      <c r="BS405" s="3">
        <f t="shared" si="309"/>
        <v>-1079.8340000000317</v>
      </c>
      <c r="BT405" s="3">
        <v>-602262.36399999994</v>
      </c>
      <c r="BU405" s="3">
        <v>-601182.38500000001</v>
      </c>
      <c r="BV405" s="3">
        <f t="shared" si="310"/>
        <v>-1079.9789999999339</v>
      </c>
    </row>
    <row r="406" spans="1:74" x14ac:dyDescent="0.25">
      <c r="A406" t="s">
        <v>29</v>
      </c>
      <c r="B406" s="1" t="s">
        <v>646</v>
      </c>
      <c r="C406" s="1" t="s">
        <v>103</v>
      </c>
      <c r="D406" s="3">
        <v>1.35</v>
      </c>
      <c r="E406" s="3">
        <v>0.99</v>
      </c>
      <c r="F406" s="3">
        <v>-590.39800000000002</v>
      </c>
      <c r="G406" s="3">
        <v>-592.40099999999995</v>
      </c>
      <c r="H406" s="3">
        <f t="shared" si="295"/>
        <v>-2.0029999999999291</v>
      </c>
      <c r="I406" s="3">
        <v>-0.32400000000000001</v>
      </c>
      <c r="J406" s="6">
        <v>-0.23400000000000001</v>
      </c>
      <c r="K406" s="3">
        <f t="shared" si="280"/>
        <v>0.09</v>
      </c>
      <c r="L406" s="3">
        <v>0.125</v>
      </c>
      <c r="M406" s="6">
        <v>-1.7999999999999999E-2</v>
      </c>
      <c r="N406" s="3">
        <f t="shared" si="281"/>
        <v>-0.14299999999999999</v>
      </c>
      <c r="O406" s="3">
        <f t="shared" si="282"/>
        <v>9.9500000000000005E-2</v>
      </c>
      <c r="P406" s="3">
        <f t="shared" si="282"/>
        <v>0.126</v>
      </c>
      <c r="Q406" s="3">
        <f t="shared" si="283"/>
        <v>2.6499999999999996E-2</v>
      </c>
      <c r="R406" s="3">
        <f t="shared" si="284"/>
        <v>0.44900000000000001</v>
      </c>
      <c r="S406" s="3">
        <f t="shared" si="285"/>
        <v>0.21600000000000003</v>
      </c>
      <c r="T406" s="3">
        <f t="shared" si="286"/>
        <v>-0.23299999999999998</v>
      </c>
      <c r="U406" s="3">
        <f t="shared" si="287"/>
        <v>-9.9500000000000005E-2</v>
      </c>
      <c r="V406" s="3">
        <f t="shared" si="288"/>
        <v>-0.126</v>
      </c>
      <c r="W406" s="3">
        <f t="shared" si="315"/>
        <v>-2.6499999999999996E-2</v>
      </c>
      <c r="X406" s="3">
        <f t="shared" si="311"/>
        <v>1.102477728285078E-2</v>
      </c>
      <c r="Y406" s="3">
        <f t="shared" si="312"/>
        <v>3.6749999999999998E-2</v>
      </c>
      <c r="Z406" s="3">
        <f t="shared" si="289"/>
        <v>2.5725222717149217E-2</v>
      </c>
      <c r="AA406" s="3">
        <v>1.1319999999999999</v>
      </c>
      <c r="AB406" s="3">
        <v>0.88200000000000001</v>
      </c>
      <c r="AC406" s="3">
        <f t="shared" si="290"/>
        <v>-0.24999999999999989</v>
      </c>
      <c r="AD406" s="3">
        <f>-590.291315*627.50956</f>
        <v>-370413.44334747142</v>
      </c>
      <c r="AE406" s="3">
        <f>-592.300126*627.50956</f>
        <v>-371673.99145420454</v>
      </c>
      <c r="AF406" s="3">
        <f t="shared" si="291"/>
        <v>-1260.5481067331275</v>
      </c>
      <c r="AG406" s="3">
        <f>-590.327107*627.50956</f>
        <v>-370435.90316964284</v>
      </c>
      <c r="AH406" s="3">
        <f>-592.336643*627.50956</f>
        <v>-371696.90622080705</v>
      </c>
      <c r="AI406" s="3">
        <f t="shared" si="292"/>
        <v>-1261.0030511642108</v>
      </c>
      <c r="AJ406" s="3">
        <v>-0.52200000000000002</v>
      </c>
      <c r="AK406" s="3">
        <v>-0.60099999999999998</v>
      </c>
      <c r="AL406" s="3">
        <f t="shared" si="293"/>
        <v>-7.8999999999999959E-2</v>
      </c>
      <c r="AM406" s="3">
        <v>98.166139999999999</v>
      </c>
      <c r="AN406" s="3">
        <v>151.5299</v>
      </c>
      <c r="AO406" s="3">
        <v>151.70269999999999</v>
      </c>
      <c r="AP406" s="3">
        <f t="shared" si="294"/>
        <v>1.1017728850824731</v>
      </c>
      <c r="AQ406" s="3">
        <v>8.0739999999999998</v>
      </c>
      <c r="AR406" s="3">
        <v>1.62352228</v>
      </c>
      <c r="AS406" s="3">
        <v>-959.76900000000001</v>
      </c>
      <c r="AT406" s="3">
        <v>-958.05</v>
      </c>
      <c r="AU406" s="3">
        <f t="shared" si="299"/>
        <v>-1.7190000000000509</v>
      </c>
      <c r="AV406" s="3">
        <v>-0.317</v>
      </c>
      <c r="AW406" s="3">
        <v>-0.45</v>
      </c>
      <c r="AX406" s="3">
        <f t="shared" si="300"/>
        <v>0.13300000000000001</v>
      </c>
      <c r="AY406" s="3">
        <v>-2.4E-2</v>
      </c>
      <c r="AZ406" s="3">
        <v>0.13500000000000001</v>
      </c>
      <c r="BA406" s="3">
        <f t="shared" si="301"/>
        <v>-0.159</v>
      </c>
      <c r="BB406" s="3">
        <f t="shared" si="302"/>
        <v>0.17050000000000001</v>
      </c>
      <c r="BC406" s="3">
        <f t="shared" si="302"/>
        <v>0.1575</v>
      </c>
      <c r="BD406" s="3">
        <f t="shared" si="303"/>
        <v>1.3000000000000012E-2</v>
      </c>
      <c r="BE406" s="3">
        <f t="shared" si="304"/>
        <v>0.29299999999999998</v>
      </c>
      <c r="BF406" s="3">
        <f t="shared" si="304"/>
        <v>0.58499999999999996</v>
      </c>
      <c r="BG406" s="3">
        <f t="shared" si="305"/>
        <v>-0.29199999999999998</v>
      </c>
      <c r="BH406" s="3">
        <f t="shared" si="306"/>
        <v>-0.17050000000000001</v>
      </c>
      <c r="BI406" s="3">
        <f t="shared" si="306"/>
        <v>-0.1575</v>
      </c>
      <c r="BJ406" s="3">
        <f t="shared" si="316"/>
        <v>-1.3000000000000012E-2</v>
      </c>
      <c r="BK406" s="3">
        <f t="shared" si="313"/>
        <v>4.9607935153583631E-2</v>
      </c>
      <c r="BL406" s="3">
        <f t="shared" si="314"/>
        <v>2.120192307692308E-2</v>
      </c>
      <c r="BM406" s="3">
        <f t="shared" si="307"/>
        <v>2.8406012076660551E-2</v>
      </c>
      <c r="BN406" s="3">
        <v>2.2370000000000001</v>
      </c>
      <c r="BO406" s="3">
        <v>2.431</v>
      </c>
      <c r="BP406" s="3">
        <f t="shared" si="308"/>
        <v>-0.19399999999999995</v>
      </c>
      <c r="BQ406" s="3">
        <v>-602243.07700000005</v>
      </c>
      <c r="BR406" s="3">
        <v>-601163.24300000002</v>
      </c>
      <c r="BS406" s="3">
        <f t="shared" si="309"/>
        <v>-1079.8340000000317</v>
      </c>
      <c r="BT406" s="3">
        <v>-602262.36399999994</v>
      </c>
      <c r="BU406" s="3">
        <v>-601182.38500000001</v>
      </c>
      <c r="BV406" s="3">
        <f t="shared" si="310"/>
        <v>-1079.9789999999339</v>
      </c>
    </row>
    <row r="407" spans="1:74" x14ac:dyDescent="0.25">
      <c r="A407" t="s">
        <v>70</v>
      </c>
      <c r="B407" s="1" t="s">
        <v>646</v>
      </c>
      <c r="C407" s="1" t="s">
        <v>103</v>
      </c>
      <c r="D407" s="3">
        <v>1.47</v>
      </c>
      <c r="E407" s="3">
        <v>0.89</v>
      </c>
      <c r="F407" s="3">
        <v>-1284.1959999999999</v>
      </c>
      <c r="G407" s="3">
        <v>-1290.0319999999999</v>
      </c>
      <c r="H407" s="3">
        <f t="shared" si="295"/>
        <v>-5.8360000000000127</v>
      </c>
      <c r="I407" s="3">
        <v>-0.34599999999999997</v>
      </c>
      <c r="J407" s="6">
        <v>-0.24399999999999999</v>
      </c>
      <c r="K407" s="3">
        <f t="shared" si="280"/>
        <v>0.10199999999999998</v>
      </c>
      <c r="L407" s="3">
        <v>8.5999999999999993E-2</v>
      </c>
      <c r="M407" s="6">
        <v>-4.8000000000000001E-2</v>
      </c>
      <c r="N407" s="3">
        <f t="shared" si="281"/>
        <v>-0.13400000000000001</v>
      </c>
      <c r="O407" s="3">
        <f t="shared" si="282"/>
        <v>0.13</v>
      </c>
      <c r="P407" s="3">
        <f t="shared" si="282"/>
        <v>0.14599999999999999</v>
      </c>
      <c r="Q407" s="3">
        <f t="shared" si="283"/>
        <v>1.5999999999999986E-2</v>
      </c>
      <c r="R407" s="3">
        <f t="shared" si="284"/>
        <v>0.43199999999999994</v>
      </c>
      <c r="S407" s="3">
        <f t="shared" si="285"/>
        <v>0.19600000000000001</v>
      </c>
      <c r="T407" s="3">
        <f t="shared" si="286"/>
        <v>-0.23599999999999993</v>
      </c>
      <c r="U407" s="3">
        <f t="shared" si="287"/>
        <v>-0.13</v>
      </c>
      <c r="V407" s="3">
        <f t="shared" si="288"/>
        <v>-0.14599999999999999</v>
      </c>
      <c r="W407" s="3">
        <f t="shared" si="315"/>
        <v>-1.5999999999999986E-2</v>
      </c>
      <c r="X407" s="3">
        <f t="shared" si="311"/>
        <v>1.9560185185185191E-2</v>
      </c>
      <c r="Y407" s="3">
        <f t="shared" si="312"/>
        <v>5.4377551020408157E-2</v>
      </c>
      <c r="Z407" s="3">
        <f t="shared" si="289"/>
        <v>3.4817365835222963E-2</v>
      </c>
      <c r="AA407" s="3">
        <v>4.0540000000000003</v>
      </c>
      <c r="AB407" s="3">
        <v>3.5950000000000002</v>
      </c>
      <c r="AC407" s="3">
        <f t="shared" si="290"/>
        <v>-0.45900000000000007</v>
      </c>
      <c r="AD407" s="3">
        <f>-1283.968409*627.50956</f>
        <v>-805702.45138549001</v>
      </c>
      <c r="AE407" s="3">
        <f>-1289.813457*627.50956</f>
        <v>-809370.27488414885</v>
      </c>
      <c r="AF407" s="3">
        <f t="shared" si="291"/>
        <v>-3667.8234986588359</v>
      </c>
      <c r="AG407" s="3">
        <f>-1284.031076*627.50956</f>
        <v>-805741.77552708646</v>
      </c>
      <c r="AH407" s="3">
        <f>-1289.884249*627.50956</f>
        <v>-809414.69754092034</v>
      </c>
      <c r="AI407" s="3">
        <f t="shared" si="292"/>
        <v>-3672.922013833886</v>
      </c>
      <c r="AJ407" s="3">
        <v>-0.43</v>
      </c>
      <c r="AK407" s="3">
        <v>-0.45200000000000001</v>
      </c>
      <c r="AL407" s="3">
        <f t="shared" si="293"/>
        <v>-2.200000000000002E-2</v>
      </c>
      <c r="AM407" s="3">
        <v>282.28190000000001</v>
      </c>
      <c r="AN407" s="3">
        <v>295.00599999999997</v>
      </c>
      <c r="AO407" s="3">
        <v>338.25220000000002</v>
      </c>
      <c r="AP407" s="3">
        <f t="shared" si="294"/>
        <v>1.2567813077125725</v>
      </c>
      <c r="AQ407" s="3">
        <v>12.775</v>
      </c>
      <c r="AR407" s="3">
        <v>3.2559999999999998</v>
      </c>
      <c r="AS407" s="3">
        <v>-959.76900000000001</v>
      </c>
      <c r="AT407" s="3">
        <v>-958.05</v>
      </c>
      <c r="AU407" s="3">
        <f t="shared" si="299"/>
        <v>-1.7190000000000509</v>
      </c>
      <c r="AV407" s="3">
        <v>-0.317</v>
      </c>
      <c r="AW407" s="3">
        <v>-0.45</v>
      </c>
      <c r="AX407" s="3">
        <f t="shared" si="300"/>
        <v>0.13300000000000001</v>
      </c>
      <c r="AY407" s="3">
        <v>-2.4E-2</v>
      </c>
      <c r="AZ407" s="3">
        <v>0.13500000000000001</v>
      </c>
      <c r="BA407" s="3">
        <f t="shared" si="301"/>
        <v>-0.159</v>
      </c>
      <c r="BB407" s="3">
        <f t="shared" si="302"/>
        <v>0.17050000000000001</v>
      </c>
      <c r="BC407" s="3">
        <f t="shared" si="302"/>
        <v>0.1575</v>
      </c>
      <c r="BD407" s="3">
        <f t="shared" si="303"/>
        <v>1.3000000000000012E-2</v>
      </c>
      <c r="BE407" s="3">
        <f t="shared" si="304"/>
        <v>0.29299999999999998</v>
      </c>
      <c r="BF407" s="3">
        <f t="shared" si="304"/>
        <v>0.58499999999999996</v>
      </c>
      <c r="BG407" s="3">
        <f t="shared" si="305"/>
        <v>-0.29199999999999998</v>
      </c>
      <c r="BH407" s="3">
        <f t="shared" si="306"/>
        <v>-0.17050000000000001</v>
      </c>
      <c r="BI407" s="3">
        <f t="shared" si="306"/>
        <v>-0.1575</v>
      </c>
      <c r="BJ407" s="3">
        <f t="shared" si="316"/>
        <v>-1.3000000000000012E-2</v>
      </c>
      <c r="BK407" s="3">
        <f t="shared" si="313"/>
        <v>4.9607935153583631E-2</v>
      </c>
      <c r="BL407" s="3">
        <f t="shared" si="314"/>
        <v>2.120192307692308E-2</v>
      </c>
      <c r="BM407" s="3">
        <f t="shared" si="307"/>
        <v>2.8406012076660551E-2</v>
      </c>
      <c r="BN407" s="3">
        <v>2.2370000000000001</v>
      </c>
      <c r="BO407" s="3">
        <v>2.431</v>
      </c>
      <c r="BP407" s="3">
        <f t="shared" si="308"/>
        <v>-0.19399999999999995</v>
      </c>
      <c r="BQ407" s="3">
        <v>-602243.07700000005</v>
      </c>
      <c r="BR407" s="3">
        <v>-601163.24300000002</v>
      </c>
      <c r="BS407" s="3">
        <f t="shared" si="309"/>
        <v>-1079.8340000000317</v>
      </c>
      <c r="BT407" s="3">
        <v>-602262.36399999994</v>
      </c>
      <c r="BU407" s="3">
        <v>-601182.38500000001</v>
      </c>
      <c r="BV407" s="3">
        <f t="shared" si="310"/>
        <v>-1079.9789999999339</v>
      </c>
    </row>
    <row r="408" spans="1:74" x14ac:dyDescent="0.25">
      <c r="A408" t="s">
        <v>30</v>
      </c>
      <c r="B408" s="1" t="s">
        <v>646</v>
      </c>
      <c r="C408" s="1" t="s">
        <v>103</v>
      </c>
      <c r="D408" s="3">
        <v>1.49</v>
      </c>
      <c r="E408" s="3">
        <v>1</v>
      </c>
      <c r="F408" s="3">
        <v>-194.011</v>
      </c>
      <c r="G408" s="3">
        <v>-195.37</v>
      </c>
      <c r="H408" s="3">
        <f t="shared" si="295"/>
        <v>-1.3590000000000089</v>
      </c>
      <c r="I408" s="3">
        <v>-0.318</v>
      </c>
      <c r="J408" s="6">
        <v>-0.23</v>
      </c>
      <c r="K408" s="3">
        <f t="shared" si="280"/>
        <v>8.7999999999999995E-2</v>
      </c>
      <c r="L408" s="3">
        <v>0.127</v>
      </c>
      <c r="M408" s="6">
        <v>-2.9000000000000001E-2</v>
      </c>
      <c r="N408" s="3">
        <f t="shared" si="281"/>
        <v>-0.156</v>
      </c>
      <c r="O408" s="3">
        <f t="shared" si="282"/>
        <v>9.5500000000000002E-2</v>
      </c>
      <c r="P408" s="3">
        <f t="shared" si="282"/>
        <v>0.1295</v>
      </c>
      <c r="Q408" s="3">
        <f t="shared" si="283"/>
        <v>3.4000000000000002E-2</v>
      </c>
      <c r="R408" s="3">
        <f t="shared" si="284"/>
        <v>0.44500000000000001</v>
      </c>
      <c r="S408" s="3">
        <f t="shared" si="285"/>
        <v>0.20100000000000001</v>
      </c>
      <c r="T408" s="3">
        <f t="shared" si="286"/>
        <v>-0.24399999999999999</v>
      </c>
      <c r="U408" s="3">
        <f t="shared" si="287"/>
        <v>-9.5500000000000002E-2</v>
      </c>
      <c r="V408" s="3">
        <f t="shared" si="288"/>
        <v>-0.1295</v>
      </c>
      <c r="W408" s="3">
        <f t="shared" si="315"/>
        <v>-3.4000000000000002E-2</v>
      </c>
      <c r="X408" s="3">
        <f t="shared" si="311"/>
        <v>1.024747191011236E-2</v>
      </c>
      <c r="Y408" s="3">
        <f t="shared" si="312"/>
        <v>4.1717039800995025E-2</v>
      </c>
      <c r="Z408" s="3">
        <f t="shared" si="289"/>
        <v>3.1469567890882663E-2</v>
      </c>
      <c r="AA408" s="3">
        <v>0.76400000000000001</v>
      </c>
      <c r="AB408" s="3">
        <v>0.83799999999999997</v>
      </c>
      <c r="AC408" s="3">
        <f t="shared" si="290"/>
        <v>7.3999999999999955E-2</v>
      </c>
      <c r="AD408" s="3">
        <f>-193.883865*627.50956</f>
        <v>-121663.97881724939</v>
      </c>
      <c r="AE408" s="3">
        <f>-195.250658*627.50956</f>
        <v>-122521.65449129046</v>
      </c>
      <c r="AF408" s="3">
        <f t="shared" si="291"/>
        <v>-857.67567404107831</v>
      </c>
      <c r="AG408" s="3">
        <f>-193.919359*627.50956</f>
        <v>-121686.25164157203</v>
      </c>
      <c r="AH408" s="3">
        <f>-195.286537*627.50956</f>
        <v>-122544.16890679373</v>
      </c>
      <c r="AI408" s="3">
        <f t="shared" si="292"/>
        <v>-857.91726522169483</v>
      </c>
      <c r="AJ408" s="3">
        <v>-0.52100000000000002</v>
      </c>
      <c r="AK408" s="3">
        <v>-0.6</v>
      </c>
      <c r="AL408" s="3">
        <f t="shared" si="293"/>
        <v>-7.8999999999999959E-2</v>
      </c>
      <c r="AM408" s="3">
        <v>68.117019999999997</v>
      </c>
      <c r="AN408" s="3">
        <v>150.0454</v>
      </c>
      <c r="AO408" s="3">
        <v>144.27029999999999</v>
      </c>
      <c r="AP408" s="3">
        <f t="shared" si="294"/>
        <v>1.1281339769521703</v>
      </c>
      <c r="AQ408" s="3">
        <v>8.9830000000000005</v>
      </c>
      <c r="AR408" s="3">
        <v>1.9194353</v>
      </c>
      <c r="AS408" s="3">
        <v>-959.76900000000001</v>
      </c>
      <c r="AT408" s="3">
        <v>-958.05</v>
      </c>
      <c r="AU408" s="3">
        <f t="shared" si="299"/>
        <v>-1.7190000000000509</v>
      </c>
      <c r="AV408" s="3">
        <v>-0.317</v>
      </c>
      <c r="AW408" s="3">
        <v>-0.45</v>
      </c>
      <c r="AX408" s="3">
        <f t="shared" si="300"/>
        <v>0.13300000000000001</v>
      </c>
      <c r="AY408" s="3">
        <v>-2.4E-2</v>
      </c>
      <c r="AZ408" s="3">
        <v>0.13500000000000001</v>
      </c>
      <c r="BA408" s="3">
        <f t="shared" si="301"/>
        <v>-0.159</v>
      </c>
      <c r="BB408" s="3">
        <f t="shared" si="302"/>
        <v>0.17050000000000001</v>
      </c>
      <c r="BC408" s="3">
        <f t="shared" si="302"/>
        <v>0.1575</v>
      </c>
      <c r="BD408" s="3">
        <f t="shared" si="303"/>
        <v>1.3000000000000012E-2</v>
      </c>
      <c r="BE408" s="3">
        <f t="shared" si="304"/>
        <v>0.29299999999999998</v>
      </c>
      <c r="BF408" s="3">
        <f t="shared" si="304"/>
        <v>0.58499999999999996</v>
      </c>
      <c r="BG408" s="3">
        <f t="shared" si="305"/>
        <v>-0.29199999999999998</v>
      </c>
      <c r="BH408" s="3">
        <f t="shared" si="306"/>
        <v>-0.17050000000000001</v>
      </c>
      <c r="BI408" s="3">
        <f t="shared" si="306"/>
        <v>-0.1575</v>
      </c>
      <c r="BJ408" s="3">
        <f t="shared" si="316"/>
        <v>-1.3000000000000012E-2</v>
      </c>
      <c r="BK408" s="3">
        <f t="shared" si="313"/>
        <v>4.9607935153583631E-2</v>
      </c>
      <c r="BL408" s="3">
        <f t="shared" si="314"/>
        <v>2.120192307692308E-2</v>
      </c>
      <c r="BM408" s="3">
        <f t="shared" si="307"/>
        <v>2.8406012076660551E-2</v>
      </c>
      <c r="BN408" s="3">
        <v>2.2370000000000001</v>
      </c>
      <c r="BO408" s="3">
        <v>2.431</v>
      </c>
      <c r="BP408" s="3">
        <f t="shared" si="308"/>
        <v>-0.19399999999999995</v>
      </c>
      <c r="BQ408" s="3">
        <v>-602243.07700000005</v>
      </c>
      <c r="BR408" s="3">
        <v>-601163.24300000002</v>
      </c>
      <c r="BS408" s="3">
        <f t="shared" si="309"/>
        <v>-1079.8340000000317</v>
      </c>
      <c r="BT408" s="3">
        <v>-602262.36399999994</v>
      </c>
      <c r="BU408" s="3">
        <v>-601182.38500000001</v>
      </c>
      <c r="BV408" s="3">
        <f t="shared" si="310"/>
        <v>-1079.9789999999339</v>
      </c>
    </row>
    <row r="409" spans="1:74" x14ac:dyDescent="0.25">
      <c r="A409" t="s">
        <v>71</v>
      </c>
      <c r="B409" s="1" t="s">
        <v>646</v>
      </c>
      <c r="C409" s="1" t="s">
        <v>103</v>
      </c>
      <c r="D409" s="3">
        <v>1.52</v>
      </c>
      <c r="E409" s="3">
        <v>0.9</v>
      </c>
      <c r="F409" s="3">
        <v>-506.34899999999999</v>
      </c>
      <c r="G409" s="3">
        <v>-509.95499999999998</v>
      </c>
      <c r="H409" s="3">
        <f t="shared" si="295"/>
        <v>-3.6059999999999945</v>
      </c>
      <c r="I409" s="3">
        <v>-0.34399999999999997</v>
      </c>
      <c r="J409" s="6">
        <v>-0.247</v>
      </c>
      <c r="K409" s="3">
        <f t="shared" si="280"/>
        <v>9.6999999999999975E-2</v>
      </c>
      <c r="L409" s="3">
        <v>0.153</v>
      </c>
      <c r="M409" s="6">
        <v>0.01</v>
      </c>
      <c r="N409" s="3">
        <f t="shared" si="281"/>
        <v>-0.14299999999999999</v>
      </c>
      <c r="O409" s="3">
        <f t="shared" ref="O409:P460" si="317">-(I409+L409)/2</f>
        <v>9.5499999999999988E-2</v>
      </c>
      <c r="P409" s="3">
        <f t="shared" si="317"/>
        <v>0.11849999999999999</v>
      </c>
      <c r="Q409" s="3">
        <f t="shared" si="283"/>
        <v>2.3000000000000007E-2</v>
      </c>
      <c r="R409" s="3">
        <f t="shared" si="284"/>
        <v>0.497</v>
      </c>
      <c r="S409" s="3">
        <f t="shared" si="285"/>
        <v>0.25700000000000001</v>
      </c>
      <c r="T409" s="3">
        <f t="shared" si="286"/>
        <v>-0.24</v>
      </c>
      <c r="U409" s="3">
        <f t="shared" si="287"/>
        <v>-9.5499999999999988E-2</v>
      </c>
      <c r="V409" s="3">
        <f t="shared" si="288"/>
        <v>-0.11849999999999999</v>
      </c>
      <c r="W409" s="3">
        <f t="shared" si="315"/>
        <v>-2.3000000000000007E-2</v>
      </c>
      <c r="X409" s="3">
        <f t="shared" si="311"/>
        <v>9.1753018108651895E-3</v>
      </c>
      <c r="Y409" s="3">
        <f t="shared" si="312"/>
        <v>2.7319552529182878E-2</v>
      </c>
      <c r="Z409" s="3">
        <f t="shared" si="289"/>
        <v>1.8144250718317691E-2</v>
      </c>
      <c r="AA409" s="3">
        <v>0.79700000000000004</v>
      </c>
      <c r="AB409" s="3">
        <v>0.77100000000000002</v>
      </c>
      <c r="AC409" s="3">
        <f t="shared" si="290"/>
        <v>-2.6000000000000023E-2</v>
      </c>
      <c r="AD409" s="3">
        <f>-505.969194*627.50956</f>
        <v>-317500.50630049466</v>
      </c>
      <c r="AE409" s="3">
        <f>-509.594672*627.50956</f>
        <v>-319775.52840506431</v>
      </c>
      <c r="AF409" s="3">
        <f t="shared" si="291"/>
        <v>-2275.0221045696526</v>
      </c>
      <c r="AG409" s="3">
        <f>-506.020328*627.50956</f>
        <v>-317532.59337433567</v>
      </c>
      <c r="AH409" s="3">
        <f>-509.650272*627.50956</f>
        <v>-319810.41793660028</v>
      </c>
      <c r="AI409" s="3">
        <f t="shared" si="292"/>
        <v>-2277.8245622646064</v>
      </c>
      <c r="AJ409" s="3">
        <v>-0.36299999999999999</v>
      </c>
      <c r="AK409" s="3">
        <v>-0.41499999999999998</v>
      </c>
      <c r="AL409" s="3">
        <f t="shared" si="293"/>
        <v>-5.1999999999999991E-2</v>
      </c>
      <c r="AM409" s="3">
        <v>180.3296</v>
      </c>
      <c r="AN409" s="3">
        <v>269.94099999999997</v>
      </c>
      <c r="AO409" s="3">
        <v>342.86770000000001</v>
      </c>
      <c r="AP409" s="3">
        <f t="shared" si="294"/>
        <v>1.1396559266936821</v>
      </c>
      <c r="AQ409" s="3">
        <v>10.984</v>
      </c>
      <c r="AR409" s="3">
        <v>2.7669999999999999</v>
      </c>
      <c r="AS409" s="3">
        <v>-959.76900000000001</v>
      </c>
      <c r="AT409" s="3">
        <v>-958.05</v>
      </c>
      <c r="AU409" s="3">
        <f t="shared" si="299"/>
        <v>-1.7190000000000509</v>
      </c>
      <c r="AV409" s="3">
        <v>-0.317</v>
      </c>
      <c r="AW409" s="3">
        <v>-0.45</v>
      </c>
      <c r="AX409" s="3">
        <f t="shared" si="300"/>
        <v>0.13300000000000001</v>
      </c>
      <c r="AY409" s="3">
        <v>-2.4E-2</v>
      </c>
      <c r="AZ409" s="3">
        <v>0.13500000000000001</v>
      </c>
      <c r="BA409" s="3">
        <f t="shared" si="301"/>
        <v>-0.159</v>
      </c>
      <c r="BB409" s="3">
        <f t="shared" si="302"/>
        <v>0.17050000000000001</v>
      </c>
      <c r="BC409" s="3">
        <f t="shared" si="302"/>
        <v>0.1575</v>
      </c>
      <c r="BD409" s="3">
        <f t="shared" si="303"/>
        <v>1.3000000000000012E-2</v>
      </c>
      <c r="BE409" s="3">
        <f t="shared" si="304"/>
        <v>0.29299999999999998</v>
      </c>
      <c r="BF409" s="3">
        <f t="shared" si="304"/>
        <v>0.58499999999999996</v>
      </c>
      <c r="BG409" s="3">
        <f t="shared" si="305"/>
        <v>-0.29199999999999998</v>
      </c>
      <c r="BH409" s="3">
        <f t="shared" si="306"/>
        <v>-0.17050000000000001</v>
      </c>
      <c r="BI409" s="3">
        <f t="shared" si="306"/>
        <v>-0.1575</v>
      </c>
      <c r="BJ409" s="3">
        <f t="shared" si="316"/>
        <v>-1.3000000000000012E-2</v>
      </c>
      <c r="BK409" s="3">
        <f t="shared" si="313"/>
        <v>4.9607935153583631E-2</v>
      </c>
      <c r="BL409" s="3">
        <f t="shared" si="314"/>
        <v>2.120192307692308E-2</v>
      </c>
      <c r="BM409" s="3">
        <f t="shared" si="307"/>
        <v>2.8406012076660551E-2</v>
      </c>
      <c r="BN409" s="3">
        <v>2.2370000000000001</v>
      </c>
      <c r="BO409" s="3">
        <v>2.431</v>
      </c>
      <c r="BP409" s="3">
        <f t="shared" si="308"/>
        <v>-0.19399999999999995</v>
      </c>
      <c r="BQ409" s="3">
        <v>-602243.07700000005</v>
      </c>
      <c r="BR409" s="3">
        <v>-601163.24300000002</v>
      </c>
      <c r="BS409" s="3">
        <f t="shared" si="309"/>
        <v>-1079.8340000000317</v>
      </c>
      <c r="BT409" s="3">
        <v>-602262.36399999994</v>
      </c>
      <c r="BU409" s="3">
        <v>-601182.38500000001</v>
      </c>
      <c r="BV409" s="3">
        <f t="shared" si="310"/>
        <v>-1079.9789999999339</v>
      </c>
    </row>
    <row r="410" spans="1:74" x14ac:dyDescent="0.25">
      <c r="A410" t="s">
        <v>72</v>
      </c>
      <c r="B410" s="1" t="s">
        <v>646</v>
      </c>
      <c r="C410" s="1" t="s">
        <v>103</v>
      </c>
      <c r="D410" s="3">
        <v>1.58</v>
      </c>
      <c r="E410" s="3">
        <v>1</v>
      </c>
      <c r="F410" s="3">
        <v>-389.22699999999998</v>
      </c>
      <c r="G410" s="3">
        <v>-391.98700000000002</v>
      </c>
      <c r="H410" s="3">
        <f t="shared" si="295"/>
        <v>-2.7600000000000477</v>
      </c>
      <c r="I410" s="3">
        <v>-0.34699999999999998</v>
      </c>
      <c r="J410" s="6">
        <v>-0.248</v>
      </c>
      <c r="K410" s="3">
        <f t="shared" si="280"/>
        <v>9.8999999999999977E-2</v>
      </c>
      <c r="L410" s="3">
        <v>0.154</v>
      </c>
      <c r="M410" s="6">
        <v>1.0999999999999999E-2</v>
      </c>
      <c r="N410" s="3">
        <f t="shared" si="281"/>
        <v>-0.14299999999999999</v>
      </c>
      <c r="O410" s="3">
        <f t="shared" si="317"/>
        <v>9.6499999999999989E-2</v>
      </c>
      <c r="P410" s="3">
        <f t="shared" si="317"/>
        <v>0.11849999999999999</v>
      </c>
      <c r="Q410" s="3">
        <f t="shared" si="283"/>
        <v>2.2000000000000006E-2</v>
      </c>
      <c r="R410" s="3">
        <f t="shared" si="284"/>
        <v>0.501</v>
      </c>
      <c r="S410" s="3">
        <f t="shared" si="285"/>
        <v>0.25900000000000001</v>
      </c>
      <c r="T410" s="3">
        <f t="shared" si="286"/>
        <v>-0.24199999999999999</v>
      </c>
      <c r="U410" s="3">
        <f t="shared" si="287"/>
        <v>-9.6499999999999989E-2</v>
      </c>
      <c r="V410" s="3">
        <f t="shared" si="288"/>
        <v>-0.11849999999999999</v>
      </c>
      <c r="W410" s="3">
        <f t="shared" si="315"/>
        <v>-2.2000000000000006E-2</v>
      </c>
      <c r="X410" s="3">
        <f t="shared" si="311"/>
        <v>9.2936626746506958E-3</v>
      </c>
      <c r="Y410" s="3">
        <f t="shared" si="312"/>
        <v>2.7108590733590732E-2</v>
      </c>
      <c r="Z410" s="3">
        <f t="shared" si="289"/>
        <v>1.7814928058940034E-2</v>
      </c>
      <c r="AA410" s="3">
        <v>0</v>
      </c>
      <c r="AB410" s="3">
        <v>0</v>
      </c>
      <c r="AC410" s="3">
        <f t="shared" si="290"/>
        <v>0</v>
      </c>
      <c r="AD410" s="3">
        <f>-388.943318*627.50956</f>
        <v>-244065.65034312004</v>
      </c>
      <c r="AE410" s="3">
        <f>-391.719404*627.50956</f>
        <v>-245807.67084750222</v>
      </c>
      <c r="AF410" s="3">
        <f t="shared" si="291"/>
        <v>-1742.020504382177</v>
      </c>
      <c r="AG410" s="3">
        <f>-388.996921*627.50956</f>
        <v>-244099.28673806475</v>
      </c>
      <c r="AH410" s="3">
        <f>-391.774141*627.50956</f>
        <v>-245842.01883828794</v>
      </c>
      <c r="AI410" s="3">
        <f t="shared" si="292"/>
        <v>-1742.7321002231911</v>
      </c>
      <c r="AJ410" s="3">
        <v>-0.52500000000000002</v>
      </c>
      <c r="AK410" s="3">
        <v>-0.6</v>
      </c>
      <c r="AL410" s="3">
        <f t="shared" si="293"/>
        <v>-7.4999999999999956E-2</v>
      </c>
      <c r="AM410" s="3">
        <v>138.2499</v>
      </c>
      <c r="AN410" s="3">
        <v>253.3169</v>
      </c>
      <c r="AO410" s="3">
        <v>281.55119999999999</v>
      </c>
      <c r="AP410" s="3">
        <f t="shared" ref="AP410:AP464" si="318">(AN410/(4*3.14*POWER(((3*AO410)/(4*3.14)),2/3)))</f>
        <v>1.2195937588615338</v>
      </c>
      <c r="AQ410" s="3">
        <v>12.679</v>
      </c>
      <c r="AR410" s="3">
        <v>3.1535109000000001</v>
      </c>
      <c r="AS410" s="3">
        <v>-959.76900000000001</v>
      </c>
      <c r="AT410" s="3">
        <v>-958.05</v>
      </c>
      <c r="AU410" s="3">
        <f t="shared" si="299"/>
        <v>-1.7190000000000509</v>
      </c>
      <c r="AV410" s="3">
        <v>-0.317</v>
      </c>
      <c r="AW410" s="3">
        <v>-0.45</v>
      </c>
      <c r="AX410" s="3">
        <f t="shared" si="300"/>
        <v>0.13300000000000001</v>
      </c>
      <c r="AY410" s="3">
        <v>-2.4E-2</v>
      </c>
      <c r="AZ410" s="3">
        <v>0.13500000000000001</v>
      </c>
      <c r="BA410" s="3">
        <f t="shared" si="301"/>
        <v>-0.159</v>
      </c>
      <c r="BB410" s="3">
        <f t="shared" si="302"/>
        <v>0.17050000000000001</v>
      </c>
      <c r="BC410" s="3">
        <f t="shared" si="302"/>
        <v>0.1575</v>
      </c>
      <c r="BD410" s="3">
        <f t="shared" si="303"/>
        <v>1.3000000000000012E-2</v>
      </c>
      <c r="BE410" s="3">
        <f t="shared" si="304"/>
        <v>0.29299999999999998</v>
      </c>
      <c r="BF410" s="3">
        <f t="shared" si="304"/>
        <v>0.58499999999999996</v>
      </c>
      <c r="BG410" s="3">
        <f t="shared" si="305"/>
        <v>-0.29199999999999998</v>
      </c>
      <c r="BH410" s="3">
        <f t="shared" si="306"/>
        <v>-0.17050000000000001</v>
      </c>
      <c r="BI410" s="3">
        <f t="shared" si="306"/>
        <v>-0.1575</v>
      </c>
      <c r="BJ410" s="3">
        <f t="shared" si="316"/>
        <v>-1.3000000000000012E-2</v>
      </c>
      <c r="BK410" s="3">
        <f t="shared" si="313"/>
        <v>4.9607935153583631E-2</v>
      </c>
      <c r="BL410" s="3">
        <f t="shared" si="314"/>
        <v>2.120192307692308E-2</v>
      </c>
      <c r="BM410" s="3">
        <f t="shared" si="307"/>
        <v>2.8406012076660551E-2</v>
      </c>
      <c r="BN410" s="3">
        <v>2.2370000000000001</v>
      </c>
      <c r="BO410" s="3">
        <v>2.431</v>
      </c>
      <c r="BP410" s="3">
        <f t="shared" si="308"/>
        <v>-0.19399999999999995</v>
      </c>
      <c r="BQ410" s="3">
        <v>-602243.07700000005</v>
      </c>
      <c r="BR410" s="3">
        <v>-601163.24300000002</v>
      </c>
      <c r="BS410" s="3">
        <f t="shared" si="309"/>
        <v>-1079.8340000000317</v>
      </c>
      <c r="BT410" s="3">
        <v>-602262.36399999994</v>
      </c>
      <c r="BU410" s="3">
        <v>-601182.38500000001</v>
      </c>
      <c r="BV410" s="3">
        <f t="shared" si="310"/>
        <v>-1079.9789999999339</v>
      </c>
    </row>
    <row r="411" spans="1:74" x14ac:dyDescent="0.25">
      <c r="A411" t="s">
        <v>73</v>
      </c>
      <c r="B411" s="1" t="s">
        <v>646</v>
      </c>
      <c r="C411" s="1" t="s">
        <v>103</v>
      </c>
      <c r="D411" s="3">
        <v>1.65</v>
      </c>
      <c r="E411" s="3">
        <v>0.9</v>
      </c>
      <c r="F411" s="3">
        <v>-193.99</v>
      </c>
      <c r="G411" s="3">
        <v>-195.34899999999999</v>
      </c>
      <c r="H411" s="3">
        <f t="shared" si="295"/>
        <v>-1.3589999999999804</v>
      </c>
      <c r="I411" s="3">
        <v>-0.35199999999999998</v>
      </c>
      <c r="J411" s="6">
        <v>-0.251</v>
      </c>
      <c r="K411" s="3">
        <f t="shared" si="280"/>
        <v>0.10099999999999998</v>
      </c>
      <c r="L411" s="3">
        <v>0.151</v>
      </c>
      <c r="M411" s="6">
        <v>5.0000000000000001E-3</v>
      </c>
      <c r="N411" s="3">
        <f t="shared" si="281"/>
        <v>-0.14599999999999999</v>
      </c>
      <c r="O411" s="3">
        <f t="shared" si="317"/>
        <v>0.10049999999999999</v>
      </c>
      <c r="P411" s="3">
        <f t="shared" si="317"/>
        <v>0.123</v>
      </c>
      <c r="Q411" s="3">
        <f t="shared" si="283"/>
        <v>2.2500000000000006E-2</v>
      </c>
      <c r="R411" s="3">
        <f t="shared" si="284"/>
        <v>0.503</v>
      </c>
      <c r="S411" s="3">
        <f t="shared" si="285"/>
        <v>0.25600000000000001</v>
      </c>
      <c r="T411" s="3">
        <f t="shared" si="286"/>
        <v>-0.247</v>
      </c>
      <c r="U411" s="3">
        <f t="shared" si="287"/>
        <v>-0.10049999999999999</v>
      </c>
      <c r="V411" s="3">
        <f t="shared" si="288"/>
        <v>-0.123</v>
      </c>
      <c r="W411" s="3">
        <f t="shared" si="315"/>
        <v>-2.2500000000000006E-2</v>
      </c>
      <c r="X411" s="3">
        <f t="shared" si="311"/>
        <v>1.0040009940357851E-2</v>
      </c>
      <c r="Y411" s="3">
        <f t="shared" si="312"/>
        <v>2.9548828124999999E-2</v>
      </c>
      <c r="Z411" s="3">
        <f t="shared" si="289"/>
        <v>1.9508818184642146E-2</v>
      </c>
      <c r="AA411" s="3">
        <v>0.75900000000000001</v>
      </c>
      <c r="AB411" s="3">
        <v>0.71699999999999997</v>
      </c>
      <c r="AC411" s="3">
        <f t="shared" si="290"/>
        <v>-4.2000000000000037E-2</v>
      </c>
      <c r="AD411" s="3">
        <f>-193.862735*627.50956</f>
        <v>-121650.71954024659</v>
      </c>
      <c r="AE411" s="3">
        <f>-195.229217*627.50956</f>
        <v>-122508.20005881452</v>
      </c>
      <c r="AF411" s="3">
        <f t="shared" si="291"/>
        <v>-857.48051856792881</v>
      </c>
      <c r="AG411" s="3">
        <f>-193.896268*627.50956</f>
        <v>-121671.76181832206</v>
      </c>
      <c r="AH411" s="3">
        <f>-195.263282*627.50956</f>
        <v>-122529.57617197592</v>
      </c>
      <c r="AI411" s="3">
        <f t="shared" si="292"/>
        <v>-857.81435365385551</v>
      </c>
      <c r="AJ411" s="3">
        <v>-0.36199999999999999</v>
      </c>
      <c r="AK411" s="3">
        <v>-0.41099999999999998</v>
      </c>
      <c r="AL411" s="3">
        <f t="shared" si="293"/>
        <v>-4.8999999999999988E-2</v>
      </c>
      <c r="AM411" s="3">
        <v>68.117019999999997</v>
      </c>
      <c r="AN411" s="3">
        <v>142.26689999999999</v>
      </c>
      <c r="AO411" s="3">
        <v>139.3288</v>
      </c>
      <c r="AP411" s="3">
        <f t="shared" si="318"/>
        <v>1.0947943671947893</v>
      </c>
      <c r="AQ411" s="3">
        <v>7.4210000000000003</v>
      </c>
      <c r="AR411" s="3">
        <v>1.49709</v>
      </c>
      <c r="AS411" s="3">
        <v>-959.76900000000001</v>
      </c>
      <c r="AT411" s="3">
        <v>-958.05</v>
      </c>
      <c r="AU411" s="3">
        <f t="shared" si="299"/>
        <v>-1.7190000000000509</v>
      </c>
      <c r="AV411" s="3">
        <v>-0.317</v>
      </c>
      <c r="AW411" s="3">
        <v>-0.45</v>
      </c>
      <c r="AX411" s="3">
        <f t="shared" si="300"/>
        <v>0.13300000000000001</v>
      </c>
      <c r="AY411" s="3">
        <v>-2.4E-2</v>
      </c>
      <c r="AZ411" s="3">
        <v>0.13500000000000001</v>
      </c>
      <c r="BA411" s="3">
        <f t="shared" si="301"/>
        <v>-0.159</v>
      </c>
      <c r="BB411" s="3">
        <f t="shared" si="302"/>
        <v>0.17050000000000001</v>
      </c>
      <c r="BC411" s="3">
        <f t="shared" si="302"/>
        <v>0.1575</v>
      </c>
      <c r="BD411" s="3">
        <f t="shared" si="303"/>
        <v>1.3000000000000012E-2</v>
      </c>
      <c r="BE411" s="3">
        <f t="shared" si="304"/>
        <v>0.29299999999999998</v>
      </c>
      <c r="BF411" s="3">
        <f t="shared" si="304"/>
        <v>0.58499999999999996</v>
      </c>
      <c r="BG411" s="3">
        <f t="shared" si="305"/>
        <v>-0.29199999999999998</v>
      </c>
      <c r="BH411" s="3">
        <f t="shared" si="306"/>
        <v>-0.17050000000000001</v>
      </c>
      <c r="BI411" s="3">
        <f t="shared" si="306"/>
        <v>-0.1575</v>
      </c>
      <c r="BJ411" s="3">
        <f t="shared" si="316"/>
        <v>-1.3000000000000012E-2</v>
      </c>
      <c r="BK411" s="3">
        <f t="shared" si="313"/>
        <v>4.9607935153583631E-2</v>
      </c>
      <c r="BL411" s="3">
        <f t="shared" si="314"/>
        <v>2.120192307692308E-2</v>
      </c>
      <c r="BM411" s="3">
        <f t="shared" si="307"/>
        <v>2.8406012076660551E-2</v>
      </c>
      <c r="BN411" s="3">
        <v>2.2370000000000001</v>
      </c>
      <c r="BO411" s="3">
        <v>2.431</v>
      </c>
      <c r="BP411" s="3">
        <f t="shared" si="308"/>
        <v>-0.19399999999999995</v>
      </c>
      <c r="BQ411" s="3">
        <v>-602243.07700000005</v>
      </c>
      <c r="BR411" s="3">
        <v>-601163.24300000002</v>
      </c>
      <c r="BS411" s="3">
        <f t="shared" si="309"/>
        <v>-1079.8340000000317</v>
      </c>
      <c r="BT411" s="3">
        <v>-602262.36399999994</v>
      </c>
      <c r="BU411" s="3">
        <v>-601182.38500000001</v>
      </c>
      <c r="BV411" s="3">
        <f t="shared" si="310"/>
        <v>-1079.9789999999339</v>
      </c>
    </row>
    <row r="412" spans="1:74" x14ac:dyDescent="0.25">
      <c r="A412" t="s">
        <v>31</v>
      </c>
      <c r="B412" s="1" t="s">
        <v>646</v>
      </c>
      <c r="C412" s="1" t="s">
        <v>103</v>
      </c>
      <c r="D412" s="3">
        <v>1.68</v>
      </c>
      <c r="E412" s="3">
        <v>1</v>
      </c>
      <c r="F412" s="3">
        <v>-524.37699999999995</v>
      </c>
      <c r="G412" s="3">
        <v>-526.68299999999999</v>
      </c>
      <c r="H412" s="3">
        <f t="shared" si="295"/>
        <v>-2.30600000000004</v>
      </c>
      <c r="I412" s="3">
        <v>-0.34399999999999997</v>
      </c>
      <c r="J412" s="6">
        <v>-0.24399999999999999</v>
      </c>
      <c r="K412" s="3">
        <f t="shared" si="280"/>
        <v>9.9999999999999978E-2</v>
      </c>
      <c r="L412" s="3">
        <v>0.14000000000000001</v>
      </c>
      <c r="M412" s="6">
        <v>0.01</v>
      </c>
      <c r="N412" s="3">
        <f t="shared" si="281"/>
        <v>-0.13</v>
      </c>
      <c r="O412" s="3">
        <f t="shared" si="317"/>
        <v>0.10199999999999998</v>
      </c>
      <c r="P412" s="3">
        <f t="shared" si="317"/>
        <v>0.11699999999999999</v>
      </c>
      <c r="Q412" s="3">
        <f t="shared" si="283"/>
        <v>1.5000000000000013E-2</v>
      </c>
      <c r="R412" s="3">
        <f t="shared" si="284"/>
        <v>0.48399999999999999</v>
      </c>
      <c r="S412" s="3">
        <f t="shared" si="285"/>
        <v>0.254</v>
      </c>
      <c r="T412" s="3">
        <f t="shared" si="286"/>
        <v>-0.22999999999999998</v>
      </c>
      <c r="U412" s="3">
        <f t="shared" si="287"/>
        <v>-0.10199999999999998</v>
      </c>
      <c r="V412" s="3">
        <f t="shared" si="288"/>
        <v>-0.11699999999999999</v>
      </c>
      <c r="W412" s="3">
        <f t="shared" si="315"/>
        <v>-1.5000000000000013E-2</v>
      </c>
      <c r="X412" s="3">
        <f t="shared" si="311"/>
        <v>1.0747933884297517E-2</v>
      </c>
      <c r="Y412" s="3">
        <f t="shared" si="312"/>
        <v>2.6946850393700782E-2</v>
      </c>
      <c r="Z412" s="3">
        <f t="shared" si="289"/>
        <v>1.6198916509403263E-2</v>
      </c>
      <c r="AA412" s="3">
        <v>0.73799999999999999</v>
      </c>
      <c r="AB412" s="3">
        <v>0.85299999999999998</v>
      </c>
      <c r="AC412" s="3">
        <f t="shared" si="290"/>
        <v>0.11499999999999999</v>
      </c>
      <c r="AD412" s="3">
        <f>-524.174466*627.50956</f>
        <v>-328924.48852289497</v>
      </c>
      <c r="AE412" s="3">
        <f>-526.490206*627.50956</f>
        <v>-330377.63751136931</v>
      </c>
      <c r="AF412" s="3">
        <f t="shared" si="291"/>
        <v>-1453.1489884743351</v>
      </c>
      <c r="AG412" s="3">
        <f>-524.222242*627.50956</f>
        <v>-328954.46841963351</v>
      </c>
      <c r="AH412" s="3">
        <f>-526.538973*627.50956</f>
        <v>-330408.23927008192</v>
      </c>
      <c r="AI412" s="3">
        <f t="shared" si="292"/>
        <v>-1453.7708504484035</v>
      </c>
      <c r="AJ412" s="3">
        <v>-0.83399999999999996</v>
      </c>
      <c r="AK412" s="3">
        <v>-0.85</v>
      </c>
      <c r="AL412" s="3">
        <f t="shared" si="293"/>
        <v>-1.6000000000000014E-2</v>
      </c>
      <c r="AM412" s="3">
        <v>114.26085999999999</v>
      </c>
      <c r="AN412" s="3">
        <v>208.95830000000001</v>
      </c>
      <c r="AO412" s="3">
        <v>231.89572999999999</v>
      </c>
      <c r="AP412" s="3">
        <f t="shared" si="318"/>
        <v>1.1449514607459155</v>
      </c>
      <c r="AQ412" s="3">
        <v>9.5850000000000009</v>
      </c>
      <c r="AR412" s="3">
        <v>2.0904069000000001</v>
      </c>
      <c r="AS412" s="3">
        <v>-959.76900000000001</v>
      </c>
      <c r="AT412" s="3">
        <v>-958.05</v>
      </c>
      <c r="AU412" s="3">
        <f t="shared" si="299"/>
        <v>-1.7190000000000509</v>
      </c>
      <c r="AV412" s="3">
        <v>-0.317</v>
      </c>
      <c r="AW412" s="3">
        <v>-0.45</v>
      </c>
      <c r="AX412" s="3">
        <f t="shared" si="300"/>
        <v>0.13300000000000001</v>
      </c>
      <c r="AY412" s="3">
        <v>-2.4E-2</v>
      </c>
      <c r="AZ412" s="3">
        <v>0.13500000000000001</v>
      </c>
      <c r="BA412" s="3">
        <f t="shared" si="301"/>
        <v>-0.159</v>
      </c>
      <c r="BB412" s="3">
        <f t="shared" si="302"/>
        <v>0.17050000000000001</v>
      </c>
      <c r="BC412" s="3">
        <f t="shared" si="302"/>
        <v>0.1575</v>
      </c>
      <c r="BD412" s="3">
        <f t="shared" si="303"/>
        <v>1.3000000000000012E-2</v>
      </c>
      <c r="BE412" s="3">
        <f t="shared" si="304"/>
        <v>0.29299999999999998</v>
      </c>
      <c r="BF412" s="3">
        <f t="shared" si="304"/>
        <v>0.58499999999999996</v>
      </c>
      <c r="BG412" s="3">
        <f t="shared" si="305"/>
        <v>-0.29199999999999998</v>
      </c>
      <c r="BH412" s="3">
        <f t="shared" si="306"/>
        <v>-0.17050000000000001</v>
      </c>
      <c r="BI412" s="3">
        <f t="shared" si="306"/>
        <v>-0.1575</v>
      </c>
      <c r="BJ412" s="3">
        <f t="shared" si="316"/>
        <v>-1.3000000000000012E-2</v>
      </c>
      <c r="BK412" s="3">
        <f t="shared" si="313"/>
        <v>4.9607935153583631E-2</v>
      </c>
      <c r="BL412" s="3">
        <f t="shared" si="314"/>
        <v>2.120192307692308E-2</v>
      </c>
      <c r="BM412" s="3">
        <f t="shared" si="307"/>
        <v>2.8406012076660551E-2</v>
      </c>
      <c r="BN412" s="3">
        <v>2.2370000000000001</v>
      </c>
      <c r="BO412" s="3">
        <v>2.431</v>
      </c>
      <c r="BP412" s="3">
        <f t="shared" si="308"/>
        <v>-0.19399999999999995</v>
      </c>
      <c r="BQ412" s="3">
        <v>-602243.07700000005</v>
      </c>
      <c r="BR412" s="3">
        <v>-601163.24300000002</v>
      </c>
      <c r="BS412" s="3">
        <f t="shared" si="309"/>
        <v>-1079.8340000000317</v>
      </c>
      <c r="BT412" s="3">
        <v>-602262.36399999994</v>
      </c>
      <c r="BU412" s="3">
        <v>-601182.38500000001</v>
      </c>
      <c r="BV412" s="3">
        <f t="shared" si="310"/>
        <v>-1079.9789999999339</v>
      </c>
    </row>
    <row r="413" spans="1:74" x14ac:dyDescent="0.25">
      <c r="A413" t="s">
        <v>74</v>
      </c>
      <c r="B413" s="1" t="s">
        <v>646</v>
      </c>
      <c r="C413" s="1" t="s">
        <v>99</v>
      </c>
      <c r="D413" s="3">
        <v>1.68</v>
      </c>
      <c r="E413" s="3">
        <v>1.26</v>
      </c>
      <c r="F413" s="3">
        <v>-705.4</v>
      </c>
      <c r="G413" s="3">
        <v>-709.84100000000001</v>
      </c>
      <c r="H413" s="3">
        <f t="shared" si="295"/>
        <v>-4.4410000000000309</v>
      </c>
      <c r="I413" s="3">
        <v>-0.30199999999999999</v>
      </c>
      <c r="J413" s="6">
        <v>-0.22700000000000001</v>
      </c>
      <c r="K413" s="3">
        <f t="shared" si="280"/>
        <v>7.4999999999999983E-2</v>
      </c>
      <c r="L413" s="3">
        <v>0.10199999999999999</v>
      </c>
      <c r="M413" s="6">
        <v>-3.5999999999999997E-2</v>
      </c>
      <c r="N413" s="3">
        <f t="shared" si="281"/>
        <v>-0.13799999999999998</v>
      </c>
      <c r="O413" s="3">
        <f t="shared" si="317"/>
        <v>0.1</v>
      </c>
      <c r="P413" s="3">
        <f t="shared" si="317"/>
        <v>0.13150000000000001</v>
      </c>
      <c r="Q413" s="3">
        <f t="shared" si="283"/>
        <v>3.15E-2</v>
      </c>
      <c r="R413" s="3">
        <f t="shared" si="284"/>
        <v>0.40399999999999997</v>
      </c>
      <c r="S413" s="3">
        <f t="shared" si="285"/>
        <v>0.191</v>
      </c>
      <c r="T413" s="3">
        <f t="shared" si="286"/>
        <v>-0.21299999999999997</v>
      </c>
      <c r="U413" s="3">
        <f t="shared" si="287"/>
        <v>-0.1</v>
      </c>
      <c r="V413" s="3">
        <f t="shared" si="288"/>
        <v>-0.13150000000000001</v>
      </c>
      <c r="W413" s="3">
        <f t="shared" si="315"/>
        <v>-3.15E-2</v>
      </c>
      <c r="X413" s="3">
        <f t="shared" si="311"/>
        <v>1.237623762376238E-2</v>
      </c>
      <c r="Y413" s="3">
        <f t="shared" si="312"/>
        <v>4.526767015706807E-2</v>
      </c>
      <c r="Z413" s="3">
        <f t="shared" si="289"/>
        <v>3.289143253330569E-2</v>
      </c>
      <c r="AA413" s="3">
        <v>3.8319999999999999</v>
      </c>
      <c r="AB413" s="3">
        <v>3.7149999999999999</v>
      </c>
      <c r="AC413" s="3">
        <f t="shared" si="290"/>
        <v>-0.11699999999999999</v>
      </c>
      <c r="AD413" s="3">
        <f>-705.115519*627.50956</f>
        <v>-442466.72907686158</v>
      </c>
      <c r="AE413" s="3">
        <f>-709.570219*627.50956</f>
        <v>-445262.0959137936</v>
      </c>
      <c r="AF413" s="3">
        <f t="shared" si="291"/>
        <v>-2795.3668369320221</v>
      </c>
      <c r="AG413" s="3">
        <f>-705.167637*627.50956</f>
        <v>-442499.43362010969</v>
      </c>
      <c r="AH413" s="3">
        <f>-709.627467*627.50956</f>
        <v>-445298.01958108449</v>
      </c>
      <c r="AI413" s="3">
        <f t="shared" si="292"/>
        <v>-2798.5859609748004</v>
      </c>
      <c r="AJ413" s="3">
        <v>-0.26800000000000002</v>
      </c>
      <c r="AK413" s="3">
        <v>-0.26300000000000001</v>
      </c>
      <c r="AL413" s="3">
        <f t="shared" si="293"/>
        <v>5.0000000000000044E-3</v>
      </c>
      <c r="AM413" s="3">
        <v>217.2637</v>
      </c>
      <c r="AN413" s="3">
        <v>285.43799999999999</v>
      </c>
      <c r="AO413" s="3">
        <v>327.697</v>
      </c>
      <c r="AP413" s="3">
        <f t="shared" si="318"/>
        <v>1.2419938053812296</v>
      </c>
      <c r="AQ413" s="3">
        <v>13.173</v>
      </c>
      <c r="AR413" s="3">
        <v>3.073</v>
      </c>
      <c r="AS413" s="3">
        <v>-132.80099999999999</v>
      </c>
      <c r="AT413" s="3">
        <v>-131.97</v>
      </c>
      <c r="AU413" s="3">
        <f t="shared" si="299"/>
        <v>-0.83099999999998886</v>
      </c>
      <c r="AV413" s="3">
        <v>-0.34100000000000003</v>
      </c>
      <c r="AW413" s="3">
        <v>-0.47499999999999998</v>
      </c>
      <c r="AX413" s="3">
        <f t="shared" si="300"/>
        <v>0.13399999999999995</v>
      </c>
      <c r="AY413" s="3">
        <v>2.9000000000000001E-2</v>
      </c>
      <c r="AZ413" s="3">
        <v>0.156</v>
      </c>
      <c r="BA413" s="3">
        <f t="shared" si="301"/>
        <v>-0.127</v>
      </c>
      <c r="BB413" s="3">
        <f t="shared" ref="BB413:BC428" si="319">-(AV413+AY413)/2</f>
        <v>0.156</v>
      </c>
      <c r="BC413" s="3">
        <f t="shared" si="319"/>
        <v>0.15949999999999998</v>
      </c>
      <c r="BD413" s="3">
        <f t="shared" si="303"/>
        <v>-3.4999999999999754E-3</v>
      </c>
      <c r="BE413" s="3">
        <f t="shared" ref="BE413:BF428" si="320">AY413-AV413</f>
        <v>0.37000000000000005</v>
      </c>
      <c r="BF413" s="3">
        <f t="shared" si="320"/>
        <v>0.63100000000000001</v>
      </c>
      <c r="BG413" s="3">
        <f t="shared" si="305"/>
        <v>-0.26099999999999995</v>
      </c>
      <c r="BH413" s="3">
        <f t="shared" ref="BH413:BI428" si="321">(AV413+AY413)/2</f>
        <v>-0.156</v>
      </c>
      <c r="BI413" s="3">
        <f t="shared" si="321"/>
        <v>-0.15949999999999998</v>
      </c>
      <c r="BJ413" s="3">
        <f t="shared" si="316"/>
        <v>3.4999999999999754E-3</v>
      </c>
      <c r="BK413" s="3">
        <f t="shared" si="313"/>
        <v>3.2886486486486483E-2</v>
      </c>
      <c r="BL413" s="3">
        <f t="shared" si="314"/>
        <v>2.0158676703645E-2</v>
      </c>
      <c r="BM413" s="3">
        <f t="shared" si="307"/>
        <v>1.2727809782841482E-2</v>
      </c>
      <c r="BN413" s="3">
        <v>4.7279999999999998</v>
      </c>
      <c r="BO413" s="3">
        <v>4.9340000000000002</v>
      </c>
      <c r="BP413" s="3">
        <f t="shared" si="308"/>
        <v>-0.20600000000000041</v>
      </c>
      <c r="BQ413" s="3">
        <v>-83302.89</v>
      </c>
      <c r="BR413" s="3">
        <v>-82779.224000000002</v>
      </c>
      <c r="BS413" s="3">
        <f t="shared" si="309"/>
        <v>-523.66599999999744</v>
      </c>
      <c r="BT413" s="3">
        <v>-83320.774999999994</v>
      </c>
      <c r="BU413" s="3">
        <v>-82796.997000000003</v>
      </c>
      <c r="BV413" s="3">
        <f t="shared" si="310"/>
        <v>-523.77799999999115</v>
      </c>
    </row>
    <row r="414" spans="1:74" x14ac:dyDescent="0.25">
      <c r="A414" t="s">
        <v>75</v>
      </c>
      <c r="B414" s="1" t="s">
        <v>646</v>
      </c>
      <c r="C414" s="1" t="s">
        <v>103</v>
      </c>
      <c r="D414" s="3">
        <v>1.69</v>
      </c>
      <c r="E414" s="3">
        <v>0.9</v>
      </c>
      <c r="F414" s="3">
        <v>-584.44100000000003</v>
      </c>
      <c r="G414" s="3">
        <v>-588.60599999999999</v>
      </c>
      <c r="H414" s="3">
        <f t="shared" si="295"/>
        <v>-4.1649999999999636</v>
      </c>
      <c r="I414" s="3">
        <v>-0.34699999999999998</v>
      </c>
      <c r="J414" s="6">
        <v>-0.248</v>
      </c>
      <c r="K414" s="3">
        <f t="shared" ref="K414:K477" si="322">J414-I414</f>
        <v>9.8999999999999977E-2</v>
      </c>
      <c r="L414" s="3">
        <v>0.156</v>
      </c>
      <c r="M414" s="6">
        <v>1.2E-2</v>
      </c>
      <c r="N414" s="3">
        <f t="shared" ref="N414:N477" si="323">M414-L414</f>
        <v>-0.14399999999999999</v>
      </c>
      <c r="O414" s="3">
        <f t="shared" si="317"/>
        <v>9.5499999999999988E-2</v>
      </c>
      <c r="P414" s="3">
        <f t="shared" si="317"/>
        <v>0.11799999999999999</v>
      </c>
      <c r="Q414" s="3">
        <f t="shared" ref="Q414:Q477" si="324">P414-O414</f>
        <v>2.2500000000000006E-2</v>
      </c>
      <c r="R414" s="3">
        <f t="shared" ref="R414:R477" si="325">L414-I414</f>
        <v>0.503</v>
      </c>
      <c r="S414" s="3">
        <f t="shared" ref="S414:S477" si="326">M414-J414</f>
        <v>0.26</v>
      </c>
      <c r="T414" s="3">
        <f t="shared" ref="T414:T477" si="327">S414-R414</f>
        <v>-0.24299999999999999</v>
      </c>
      <c r="U414" s="3">
        <f t="shared" ref="U414:U477" si="328">(I414+L414)/2</f>
        <v>-9.5499999999999988E-2</v>
      </c>
      <c r="V414" s="3">
        <f t="shared" ref="V414:V477" si="329">(J414+M414)/2</f>
        <v>-0.11799999999999999</v>
      </c>
      <c r="W414" s="3">
        <f t="shared" si="315"/>
        <v>-2.2500000000000006E-2</v>
      </c>
      <c r="X414" s="3">
        <f t="shared" si="311"/>
        <v>9.0658548707753459E-3</v>
      </c>
      <c r="Y414" s="3">
        <f t="shared" si="312"/>
        <v>2.6776923076923073E-2</v>
      </c>
      <c r="Z414" s="3">
        <f t="shared" ref="Z414:Z477" si="330">Y414-X414</f>
        <v>1.7711068206147727E-2</v>
      </c>
      <c r="AA414" s="3">
        <v>0.91400000000000003</v>
      </c>
      <c r="AB414" s="3">
        <v>0.92600000000000005</v>
      </c>
      <c r="AC414" s="3">
        <f t="shared" ref="AC414:AC477" si="331">AB414-AA414</f>
        <v>1.2000000000000011E-2</v>
      </c>
      <c r="AD414" s="3">
        <f>-583.996406*627.50956</f>
        <v>-366463.32777064131</v>
      </c>
      <c r="AE414" s="3">
        <f>-588.186853*627.50956</f>
        <v>-369092.87332381471</v>
      </c>
      <c r="AF414" s="3">
        <f t="shared" ref="AF414:AF477" si="332">AE414-AD414</f>
        <v>-2629.5455531734042</v>
      </c>
      <c r="AG414" s="3">
        <f>-584.055366*627.50956</f>
        <v>-366500.32573429897</v>
      </c>
      <c r="AH414" s="3">
        <f>-588.248046*627.50956</f>
        <v>-369131.27251631976</v>
      </c>
      <c r="AI414" s="3">
        <f t="shared" ref="AI414:AI477" si="333">AH414-AG414</f>
        <v>-2630.9467820207938</v>
      </c>
      <c r="AJ414" s="3">
        <v>-0.35199999999999998</v>
      </c>
      <c r="AK414" s="3">
        <v>-0.40799999999999997</v>
      </c>
      <c r="AL414" s="3">
        <f t="shared" ref="AL414:AL477" si="334">AK414-AJ414</f>
        <v>-5.5999999999999994E-2</v>
      </c>
      <c r="AM414" s="3">
        <v>208.38282000000001</v>
      </c>
      <c r="AN414" s="3">
        <v>306.1472</v>
      </c>
      <c r="AO414" s="3">
        <v>396.17149999999998</v>
      </c>
      <c r="AP414" s="3">
        <f t="shared" si="318"/>
        <v>1.1738089653985053</v>
      </c>
      <c r="AQ414" s="3">
        <v>12.378</v>
      </c>
      <c r="AR414" s="3">
        <v>3.1118242</v>
      </c>
      <c r="AS414" s="3">
        <v>-959.76900000000001</v>
      </c>
      <c r="AT414" s="3">
        <v>-958.05</v>
      </c>
      <c r="AU414" s="3">
        <f t="shared" si="299"/>
        <v>-1.7190000000000509</v>
      </c>
      <c r="AV414" s="3">
        <v>-0.317</v>
      </c>
      <c r="AW414" s="3">
        <v>-0.45</v>
      </c>
      <c r="AX414" s="3">
        <f t="shared" si="300"/>
        <v>0.13300000000000001</v>
      </c>
      <c r="AY414" s="3">
        <v>-2.4E-2</v>
      </c>
      <c r="AZ414" s="3">
        <v>0.13500000000000001</v>
      </c>
      <c r="BA414" s="3">
        <f t="shared" si="301"/>
        <v>-0.159</v>
      </c>
      <c r="BB414" s="3">
        <f t="shared" si="319"/>
        <v>0.17050000000000001</v>
      </c>
      <c r="BC414" s="3">
        <f t="shared" si="319"/>
        <v>0.1575</v>
      </c>
      <c r="BD414" s="3">
        <f t="shared" si="303"/>
        <v>1.3000000000000012E-2</v>
      </c>
      <c r="BE414" s="3">
        <f t="shared" si="320"/>
        <v>0.29299999999999998</v>
      </c>
      <c r="BF414" s="3">
        <f t="shared" si="320"/>
        <v>0.58499999999999996</v>
      </c>
      <c r="BG414" s="3">
        <f t="shared" si="305"/>
        <v>-0.29199999999999998</v>
      </c>
      <c r="BH414" s="3">
        <f t="shared" si="321"/>
        <v>-0.17050000000000001</v>
      </c>
      <c r="BI414" s="3">
        <f t="shared" si="321"/>
        <v>-0.1575</v>
      </c>
      <c r="BJ414" s="3">
        <f t="shared" si="316"/>
        <v>-1.3000000000000012E-2</v>
      </c>
      <c r="BK414" s="3">
        <f t="shared" si="313"/>
        <v>4.9607935153583631E-2</v>
      </c>
      <c r="BL414" s="3">
        <f t="shared" si="314"/>
        <v>2.120192307692308E-2</v>
      </c>
      <c r="BM414" s="3">
        <f t="shared" si="307"/>
        <v>2.8406012076660551E-2</v>
      </c>
      <c r="BN414" s="3">
        <v>2.2370000000000001</v>
      </c>
      <c r="BO414" s="3">
        <v>2.431</v>
      </c>
      <c r="BP414" s="3">
        <f t="shared" si="308"/>
        <v>-0.19399999999999995</v>
      </c>
      <c r="BQ414" s="3">
        <v>-602243.07700000005</v>
      </c>
      <c r="BR414" s="3">
        <v>-601163.24300000002</v>
      </c>
      <c r="BS414" s="3">
        <f t="shared" si="309"/>
        <v>-1079.8340000000317</v>
      </c>
      <c r="BT414" s="3">
        <v>-602262.36399999994</v>
      </c>
      <c r="BU414" s="3">
        <v>-601182.38500000001</v>
      </c>
      <c r="BV414" s="3">
        <f t="shared" si="310"/>
        <v>-1079.9789999999339</v>
      </c>
    </row>
    <row r="415" spans="1:74" x14ac:dyDescent="0.25">
      <c r="A415" t="s">
        <v>76</v>
      </c>
      <c r="B415" s="1" t="s">
        <v>646</v>
      </c>
      <c r="C415" s="1" t="s">
        <v>103</v>
      </c>
      <c r="D415" s="3">
        <v>1.69</v>
      </c>
      <c r="E415" s="3">
        <v>1</v>
      </c>
      <c r="F415" s="3">
        <v>-350.18200000000002</v>
      </c>
      <c r="G415" s="3">
        <v>-352.66199999999998</v>
      </c>
      <c r="H415" s="3">
        <f t="shared" ref="H415:H478" si="335">G415-F415</f>
        <v>-2.4799999999999613</v>
      </c>
      <c r="I415" s="3">
        <v>-0.34599999999999997</v>
      </c>
      <c r="J415" s="6">
        <v>-0.247</v>
      </c>
      <c r="K415" s="3">
        <f t="shared" si="322"/>
        <v>9.8999999999999977E-2</v>
      </c>
      <c r="L415" s="3">
        <v>0.15</v>
      </c>
      <c r="M415" s="6">
        <v>6.0000000000000001E-3</v>
      </c>
      <c r="N415" s="3">
        <f t="shared" si="323"/>
        <v>-0.14399999999999999</v>
      </c>
      <c r="O415" s="3">
        <f t="shared" si="317"/>
        <v>9.799999999999999E-2</v>
      </c>
      <c r="P415" s="3">
        <f t="shared" si="317"/>
        <v>0.1205</v>
      </c>
      <c r="Q415" s="3">
        <f t="shared" si="324"/>
        <v>2.2500000000000006E-2</v>
      </c>
      <c r="R415" s="3">
        <f t="shared" si="325"/>
        <v>0.496</v>
      </c>
      <c r="S415" s="3">
        <f t="shared" si="326"/>
        <v>0.253</v>
      </c>
      <c r="T415" s="3">
        <f t="shared" si="327"/>
        <v>-0.24299999999999999</v>
      </c>
      <c r="U415" s="3">
        <f t="shared" si="328"/>
        <v>-9.799999999999999E-2</v>
      </c>
      <c r="V415" s="3">
        <f t="shared" si="329"/>
        <v>-0.1205</v>
      </c>
      <c r="W415" s="3">
        <f t="shared" si="315"/>
        <v>-2.2500000000000006E-2</v>
      </c>
      <c r="X415" s="3">
        <f t="shared" si="311"/>
        <v>9.6814516129032236E-3</v>
      </c>
      <c r="Y415" s="3">
        <f t="shared" si="312"/>
        <v>2.8696146245059284E-2</v>
      </c>
      <c r="Z415" s="3">
        <f t="shared" si="330"/>
        <v>1.9014694632156062E-2</v>
      </c>
      <c r="AA415" s="3">
        <v>1.08</v>
      </c>
      <c r="AB415" s="3">
        <v>1.077</v>
      </c>
      <c r="AC415" s="3">
        <f t="shared" si="331"/>
        <v>-3.0000000000001137E-3</v>
      </c>
      <c r="AD415" s="3">
        <f>-349.930603*627.50956</f>
        <v>-219584.79871906468</v>
      </c>
      <c r="AE415" s="3">
        <f>-352.424735*627.50956</f>
        <v>-221149.8903929666</v>
      </c>
      <c r="AF415" s="3">
        <f t="shared" si="332"/>
        <v>-1565.0916739019158</v>
      </c>
      <c r="AG415" s="3">
        <f>-349.980499*627.50956</f>
        <v>-219616.10893607044</v>
      </c>
      <c r="AH415" s="3">
        <f>-352.475969*627.50956</f>
        <v>-221182.04021776363</v>
      </c>
      <c r="AI415" s="3">
        <f t="shared" si="333"/>
        <v>-1565.9312816931924</v>
      </c>
      <c r="AJ415" s="3">
        <v>-0.52500000000000002</v>
      </c>
      <c r="AK415" s="3">
        <v>-0.6</v>
      </c>
      <c r="AL415" s="3">
        <f t="shared" si="334"/>
        <v>-7.4999999999999956E-2</v>
      </c>
      <c r="AM415" s="3">
        <v>124.22333999999999</v>
      </c>
      <c r="AN415" s="3">
        <v>230.9573</v>
      </c>
      <c r="AO415" s="3">
        <v>253.57563999999999</v>
      </c>
      <c r="AP415" s="3">
        <f t="shared" si="318"/>
        <v>1.1922919836579025</v>
      </c>
      <c r="AQ415" s="3">
        <v>10.973000000000001</v>
      </c>
      <c r="AR415" s="3">
        <v>2.7417220000000002</v>
      </c>
      <c r="AS415" s="3">
        <v>-959.76900000000001</v>
      </c>
      <c r="AT415" s="3">
        <v>-958.05</v>
      </c>
      <c r="AU415" s="3">
        <f t="shared" si="299"/>
        <v>-1.7190000000000509</v>
      </c>
      <c r="AV415" s="3">
        <v>-0.317</v>
      </c>
      <c r="AW415" s="3">
        <v>-0.45</v>
      </c>
      <c r="AX415" s="3">
        <f t="shared" si="300"/>
        <v>0.13300000000000001</v>
      </c>
      <c r="AY415" s="3">
        <v>-2.4E-2</v>
      </c>
      <c r="AZ415" s="3">
        <v>0.13500000000000001</v>
      </c>
      <c r="BA415" s="3">
        <f t="shared" si="301"/>
        <v>-0.159</v>
      </c>
      <c r="BB415" s="3">
        <f t="shared" si="319"/>
        <v>0.17050000000000001</v>
      </c>
      <c r="BC415" s="3">
        <f t="shared" si="319"/>
        <v>0.1575</v>
      </c>
      <c r="BD415" s="3">
        <f t="shared" si="303"/>
        <v>1.3000000000000012E-2</v>
      </c>
      <c r="BE415" s="3">
        <f t="shared" si="320"/>
        <v>0.29299999999999998</v>
      </c>
      <c r="BF415" s="3">
        <f t="shared" si="320"/>
        <v>0.58499999999999996</v>
      </c>
      <c r="BG415" s="3">
        <f t="shared" si="305"/>
        <v>-0.29199999999999998</v>
      </c>
      <c r="BH415" s="3">
        <f t="shared" si="321"/>
        <v>-0.17050000000000001</v>
      </c>
      <c r="BI415" s="3">
        <f t="shared" si="321"/>
        <v>-0.1575</v>
      </c>
      <c r="BJ415" s="3">
        <f t="shared" si="316"/>
        <v>-1.3000000000000012E-2</v>
      </c>
      <c r="BK415" s="3">
        <f t="shared" si="313"/>
        <v>4.9607935153583631E-2</v>
      </c>
      <c r="BL415" s="3">
        <f t="shared" si="314"/>
        <v>2.120192307692308E-2</v>
      </c>
      <c r="BM415" s="3">
        <f t="shared" si="307"/>
        <v>2.8406012076660551E-2</v>
      </c>
      <c r="BN415" s="3">
        <v>2.2370000000000001</v>
      </c>
      <c r="BO415" s="3">
        <v>2.431</v>
      </c>
      <c r="BP415" s="3">
        <f t="shared" si="308"/>
        <v>-0.19399999999999995</v>
      </c>
      <c r="BQ415" s="3">
        <v>-602243.07700000005</v>
      </c>
      <c r="BR415" s="3">
        <v>-601163.24300000002</v>
      </c>
      <c r="BS415" s="3">
        <f t="shared" si="309"/>
        <v>-1079.8340000000317</v>
      </c>
      <c r="BT415" s="3">
        <v>-602262.36399999994</v>
      </c>
      <c r="BU415" s="3">
        <v>-601182.38500000001</v>
      </c>
      <c r="BV415" s="3">
        <f t="shared" si="310"/>
        <v>-1079.9789999999339</v>
      </c>
    </row>
    <row r="416" spans="1:74" x14ac:dyDescent="0.25">
      <c r="A416" t="s">
        <v>77</v>
      </c>
      <c r="B416" s="1" t="s">
        <v>646</v>
      </c>
      <c r="C416" s="1" t="s">
        <v>103</v>
      </c>
      <c r="D416" s="3">
        <v>1.69</v>
      </c>
      <c r="E416" s="3">
        <v>1.1000000000000001</v>
      </c>
      <c r="F416" s="3">
        <v>-563.42200000000003</v>
      </c>
      <c r="G416" s="3">
        <v>-566.01</v>
      </c>
      <c r="H416" s="3">
        <f t="shared" si="335"/>
        <v>-2.5879999999999654</v>
      </c>
      <c r="I416" s="3">
        <v>-0.33</v>
      </c>
      <c r="J416" s="6">
        <v>-0.23200000000000001</v>
      </c>
      <c r="K416" s="3">
        <f t="shared" si="322"/>
        <v>9.8000000000000004E-2</v>
      </c>
      <c r="L416" s="3">
        <v>0.13800000000000001</v>
      </c>
      <c r="M416" s="6">
        <v>1.9E-2</v>
      </c>
      <c r="N416" s="3">
        <f t="shared" si="323"/>
        <v>-0.11900000000000001</v>
      </c>
      <c r="O416" s="3">
        <f t="shared" si="317"/>
        <v>9.6000000000000002E-2</v>
      </c>
      <c r="P416" s="3">
        <f t="shared" si="317"/>
        <v>0.10650000000000001</v>
      </c>
      <c r="Q416" s="3">
        <f t="shared" si="324"/>
        <v>1.0500000000000009E-2</v>
      </c>
      <c r="R416" s="3">
        <f t="shared" si="325"/>
        <v>0.46800000000000003</v>
      </c>
      <c r="S416" s="3">
        <f t="shared" si="326"/>
        <v>0.251</v>
      </c>
      <c r="T416" s="3">
        <f t="shared" si="327"/>
        <v>-0.21700000000000003</v>
      </c>
      <c r="U416" s="3">
        <f t="shared" si="328"/>
        <v>-9.6000000000000002E-2</v>
      </c>
      <c r="V416" s="3">
        <f t="shared" si="329"/>
        <v>-0.10650000000000001</v>
      </c>
      <c r="W416" s="3">
        <f t="shared" si="315"/>
        <v>-1.0500000000000009E-2</v>
      </c>
      <c r="X416" s="3">
        <f t="shared" si="311"/>
        <v>9.8461538461538465E-3</v>
      </c>
      <c r="Y416" s="3">
        <f t="shared" si="312"/>
        <v>2.2594123505976099E-2</v>
      </c>
      <c r="Z416" s="3">
        <f t="shared" si="330"/>
        <v>1.2747969659822252E-2</v>
      </c>
      <c r="AA416" s="3">
        <v>0.39600000000000002</v>
      </c>
      <c r="AB416" s="3">
        <v>0.49099999999999999</v>
      </c>
      <c r="AC416" s="3">
        <f t="shared" si="331"/>
        <v>9.4999999999999973E-2</v>
      </c>
      <c r="AD416" s="3">
        <f>-563.188158*627.50956</f>
        <v>-353405.95322379051</v>
      </c>
      <c r="AE416" s="3">
        <f>-565.787497*627.50956</f>
        <v>-355037.06329597131</v>
      </c>
      <c r="AF416" s="3">
        <f t="shared" si="332"/>
        <v>-1631.1100721808034</v>
      </c>
      <c r="AG416" s="3">
        <f>-563.239731*627.50956</f>
        <v>-353438.31577432837</v>
      </c>
      <c r="AH416" s="3">
        <f>-565.840443*627.50956</f>
        <v>-355070.28741713508</v>
      </c>
      <c r="AI416" s="3">
        <f t="shared" si="333"/>
        <v>-1631.9716428067186</v>
      </c>
      <c r="AJ416" s="3">
        <v>-0.83799999999999997</v>
      </c>
      <c r="AK416" s="3">
        <v>-0.60399999999999998</v>
      </c>
      <c r="AL416" s="3">
        <f t="shared" si="334"/>
        <v>0.23399999999999999</v>
      </c>
      <c r="AM416" s="3">
        <v>128.28744</v>
      </c>
      <c r="AN416" s="3">
        <v>227.32509999999999</v>
      </c>
      <c r="AO416" s="3">
        <v>259.29340000000002</v>
      </c>
      <c r="AP416" s="3">
        <f t="shared" si="318"/>
        <v>1.1562250285330324</v>
      </c>
      <c r="AQ416" s="3">
        <v>9.9280000000000008</v>
      </c>
      <c r="AR416" s="3">
        <v>2.3025229999999999</v>
      </c>
      <c r="AS416" s="3">
        <v>-959.76900000000001</v>
      </c>
      <c r="AT416" s="3">
        <v>-958.05</v>
      </c>
      <c r="AU416" s="3">
        <f t="shared" si="299"/>
        <v>-1.7190000000000509</v>
      </c>
      <c r="AV416" s="3">
        <v>-0.317</v>
      </c>
      <c r="AW416" s="3">
        <v>-0.45</v>
      </c>
      <c r="AX416" s="3">
        <f t="shared" si="300"/>
        <v>0.13300000000000001</v>
      </c>
      <c r="AY416" s="3">
        <v>-2.4E-2</v>
      </c>
      <c r="AZ416" s="3">
        <v>0.13500000000000001</v>
      </c>
      <c r="BA416" s="3">
        <f t="shared" si="301"/>
        <v>-0.159</v>
      </c>
      <c r="BB416" s="3">
        <f t="shared" si="319"/>
        <v>0.17050000000000001</v>
      </c>
      <c r="BC416" s="3">
        <f t="shared" si="319"/>
        <v>0.1575</v>
      </c>
      <c r="BD416" s="3">
        <f t="shared" si="303"/>
        <v>1.3000000000000012E-2</v>
      </c>
      <c r="BE416" s="3">
        <f t="shared" si="320"/>
        <v>0.29299999999999998</v>
      </c>
      <c r="BF416" s="3">
        <f t="shared" si="320"/>
        <v>0.58499999999999996</v>
      </c>
      <c r="BG416" s="3">
        <f t="shared" si="305"/>
        <v>-0.29199999999999998</v>
      </c>
      <c r="BH416" s="3">
        <f t="shared" si="321"/>
        <v>-0.17050000000000001</v>
      </c>
      <c r="BI416" s="3">
        <f t="shared" si="321"/>
        <v>-0.1575</v>
      </c>
      <c r="BJ416" s="3">
        <f t="shared" si="316"/>
        <v>-1.3000000000000012E-2</v>
      </c>
      <c r="BK416" s="3">
        <f t="shared" si="313"/>
        <v>4.9607935153583631E-2</v>
      </c>
      <c r="BL416" s="3">
        <f t="shared" si="314"/>
        <v>2.120192307692308E-2</v>
      </c>
      <c r="BM416" s="3">
        <f t="shared" si="307"/>
        <v>2.8406012076660551E-2</v>
      </c>
      <c r="BN416" s="3">
        <v>2.2370000000000001</v>
      </c>
      <c r="BO416" s="3">
        <v>2.431</v>
      </c>
      <c r="BP416" s="3">
        <f t="shared" si="308"/>
        <v>-0.19399999999999995</v>
      </c>
      <c r="BQ416" s="3">
        <v>-602243.07700000005</v>
      </c>
      <c r="BR416" s="3">
        <v>-601163.24300000002</v>
      </c>
      <c r="BS416" s="3">
        <f t="shared" si="309"/>
        <v>-1079.8340000000317</v>
      </c>
      <c r="BT416" s="3">
        <v>-602262.36399999994</v>
      </c>
      <c r="BU416" s="3">
        <v>-601182.38500000001</v>
      </c>
      <c r="BV416" s="3">
        <f t="shared" si="310"/>
        <v>-1079.9789999999339</v>
      </c>
    </row>
    <row r="417" spans="1:74" x14ac:dyDescent="0.25">
      <c r="A417" t="s">
        <v>78</v>
      </c>
      <c r="B417" s="1" t="s">
        <v>646</v>
      </c>
      <c r="C417" s="1" t="s">
        <v>103</v>
      </c>
      <c r="D417" s="3">
        <v>1.7</v>
      </c>
      <c r="E417" s="3">
        <v>1.06</v>
      </c>
      <c r="F417" s="3">
        <v>-346.70400000000001</v>
      </c>
      <c r="G417" s="3">
        <v>-349.05799999999999</v>
      </c>
      <c r="H417" s="3">
        <f t="shared" si="335"/>
        <v>-2.353999999999985</v>
      </c>
      <c r="I417" s="3">
        <v>-0.30299999999999999</v>
      </c>
      <c r="J417" s="6">
        <v>-0.22800000000000001</v>
      </c>
      <c r="K417" s="3">
        <f t="shared" si="322"/>
        <v>7.4999999999999983E-2</v>
      </c>
      <c r="L417" s="3">
        <v>0.1</v>
      </c>
      <c r="M417" s="6">
        <v>-4.2000000000000003E-2</v>
      </c>
      <c r="N417" s="3">
        <f t="shared" si="323"/>
        <v>-0.14200000000000002</v>
      </c>
      <c r="O417" s="3">
        <f t="shared" si="317"/>
        <v>0.10149999999999999</v>
      </c>
      <c r="P417" s="3">
        <f t="shared" si="317"/>
        <v>0.13500000000000001</v>
      </c>
      <c r="Q417" s="3">
        <f t="shared" si="324"/>
        <v>3.3500000000000016E-2</v>
      </c>
      <c r="R417" s="3">
        <f t="shared" si="325"/>
        <v>0.40300000000000002</v>
      </c>
      <c r="S417" s="3">
        <f t="shared" si="326"/>
        <v>0.186</v>
      </c>
      <c r="T417" s="3">
        <f t="shared" si="327"/>
        <v>-0.21700000000000003</v>
      </c>
      <c r="U417" s="3">
        <f t="shared" si="328"/>
        <v>-0.10149999999999999</v>
      </c>
      <c r="V417" s="3">
        <f t="shared" si="329"/>
        <v>-0.13500000000000001</v>
      </c>
      <c r="W417" s="3">
        <f t="shared" si="315"/>
        <v>-3.3500000000000016E-2</v>
      </c>
      <c r="X417" s="3">
        <f t="shared" si="311"/>
        <v>1.2781947890818856E-2</v>
      </c>
      <c r="Y417" s="3">
        <f t="shared" si="312"/>
        <v>4.8991935483870971E-2</v>
      </c>
      <c r="Z417" s="3">
        <f t="shared" si="330"/>
        <v>3.6209987593052113E-2</v>
      </c>
      <c r="AA417" s="3">
        <v>0.75700000000000001</v>
      </c>
      <c r="AB417" s="3">
        <v>0.86</v>
      </c>
      <c r="AC417" s="3">
        <f t="shared" si="331"/>
        <v>0.10299999999999998</v>
      </c>
      <c r="AD417" s="3">
        <f>-346.523997*627.50956</f>
        <v>-217447.12088691132</v>
      </c>
      <c r="AE417" s="3">
        <f>-348.888605*627.50956</f>
        <v>-218930.93501256377</v>
      </c>
      <c r="AF417" s="3">
        <f t="shared" si="332"/>
        <v>-1483.8141256524541</v>
      </c>
      <c r="AG417" s="3">
        <f>-346.568149*627.50956</f>
        <v>-217474.82668900443</v>
      </c>
      <c r="AH417" s="3">
        <f>-348.933975*627.50956</f>
        <v>-218959.40512130098</v>
      </c>
      <c r="AI417" s="3">
        <f t="shared" si="333"/>
        <v>-1484.5784322965483</v>
      </c>
      <c r="AJ417" s="3">
        <v>-0.51</v>
      </c>
      <c r="AK417" s="3">
        <v>-0.58799999999999997</v>
      </c>
      <c r="AL417" s="3">
        <f t="shared" si="334"/>
        <v>-7.7999999999999958E-2</v>
      </c>
      <c r="AM417" s="3">
        <v>118.17570000000001</v>
      </c>
      <c r="AN417" s="3">
        <v>196.8374</v>
      </c>
      <c r="AO417" s="3">
        <v>209.18020000000001</v>
      </c>
      <c r="AP417" s="3">
        <f t="shared" si="318"/>
        <v>1.1552691804200599</v>
      </c>
      <c r="AQ417" s="3">
        <v>10.752000000000001</v>
      </c>
      <c r="AR417" s="3">
        <v>2.2876251000000001</v>
      </c>
      <c r="AS417" s="3">
        <v>-959.76900000000001</v>
      </c>
      <c r="AT417" s="3">
        <v>-958.05</v>
      </c>
      <c r="AU417" s="3">
        <f t="shared" si="299"/>
        <v>-1.7190000000000509</v>
      </c>
      <c r="AV417" s="3">
        <v>-0.317</v>
      </c>
      <c r="AW417" s="3">
        <v>-0.45</v>
      </c>
      <c r="AX417" s="3">
        <f t="shared" si="300"/>
        <v>0.13300000000000001</v>
      </c>
      <c r="AY417" s="3">
        <v>-2.4E-2</v>
      </c>
      <c r="AZ417" s="3">
        <v>0.13500000000000001</v>
      </c>
      <c r="BA417" s="3">
        <f t="shared" si="301"/>
        <v>-0.159</v>
      </c>
      <c r="BB417" s="3">
        <f t="shared" si="319"/>
        <v>0.17050000000000001</v>
      </c>
      <c r="BC417" s="3">
        <f t="shared" si="319"/>
        <v>0.1575</v>
      </c>
      <c r="BD417" s="3">
        <f t="shared" si="303"/>
        <v>1.3000000000000012E-2</v>
      </c>
      <c r="BE417" s="3">
        <f t="shared" si="320"/>
        <v>0.29299999999999998</v>
      </c>
      <c r="BF417" s="3">
        <f t="shared" si="320"/>
        <v>0.58499999999999996</v>
      </c>
      <c r="BG417" s="3">
        <f t="shared" si="305"/>
        <v>-0.29199999999999998</v>
      </c>
      <c r="BH417" s="3">
        <f t="shared" si="321"/>
        <v>-0.17050000000000001</v>
      </c>
      <c r="BI417" s="3">
        <f t="shared" si="321"/>
        <v>-0.1575</v>
      </c>
      <c r="BJ417" s="3">
        <f t="shared" si="316"/>
        <v>-1.3000000000000012E-2</v>
      </c>
      <c r="BK417" s="3">
        <f t="shared" si="313"/>
        <v>4.9607935153583631E-2</v>
      </c>
      <c r="BL417" s="3">
        <f t="shared" si="314"/>
        <v>2.120192307692308E-2</v>
      </c>
      <c r="BM417" s="3">
        <f t="shared" si="307"/>
        <v>2.8406012076660551E-2</v>
      </c>
      <c r="BN417" s="3">
        <v>2.2370000000000001</v>
      </c>
      <c r="BO417" s="3">
        <v>2.431</v>
      </c>
      <c r="BP417" s="3">
        <f t="shared" si="308"/>
        <v>-0.19399999999999995</v>
      </c>
      <c r="BQ417" s="3">
        <v>-602243.07700000005</v>
      </c>
      <c r="BR417" s="3">
        <v>-601163.24300000002</v>
      </c>
      <c r="BS417" s="3">
        <f t="shared" si="309"/>
        <v>-1079.8340000000317</v>
      </c>
      <c r="BT417" s="3">
        <v>-602262.36399999994</v>
      </c>
      <c r="BU417" s="3">
        <v>-601182.38500000001</v>
      </c>
      <c r="BV417" s="3">
        <f t="shared" si="310"/>
        <v>-1079.9789999999339</v>
      </c>
    </row>
    <row r="418" spans="1:74" x14ac:dyDescent="0.25">
      <c r="A418" t="s">
        <v>79</v>
      </c>
      <c r="B418" s="1" t="s">
        <v>646</v>
      </c>
      <c r="C418" s="1" t="s">
        <v>103</v>
      </c>
      <c r="D418" s="3">
        <v>1.77</v>
      </c>
      <c r="E418" s="3">
        <v>1.1000000000000001</v>
      </c>
      <c r="F418" s="3">
        <v>-601.29300000000001</v>
      </c>
      <c r="G418" s="3">
        <v>-604.11599999999999</v>
      </c>
      <c r="H418" s="3">
        <f t="shared" si="335"/>
        <v>-2.8229999999999791</v>
      </c>
      <c r="I418" s="3">
        <v>-0.32500000000000001</v>
      </c>
      <c r="J418" s="6">
        <v>-0.22700000000000001</v>
      </c>
      <c r="K418" s="3">
        <f t="shared" si="322"/>
        <v>9.8000000000000004E-2</v>
      </c>
      <c r="L418" s="3">
        <v>0.13800000000000001</v>
      </c>
      <c r="M418" s="6">
        <v>1.6E-2</v>
      </c>
      <c r="N418" s="3">
        <f t="shared" si="323"/>
        <v>-0.12200000000000001</v>
      </c>
      <c r="O418" s="3">
        <f t="shared" si="317"/>
        <v>9.35E-2</v>
      </c>
      <c r="P418" s="3">
        <f t="shared" si="317"/>
        <v>0.10550000000000001</v>
      </c>
      <c r="Q418" s="3">
        <f t="shared" si="324"/>
        <v>1.2000000000000011E-2</v>
      </c>
      <c r="R418" s="3">
        <f t="shared" si="325"/>
        <v>0.46300000000000002</v>
      </c>
      <c r="S418" s="3">
        <f t="shared" si="326"/>
        <v>0.24299999999999999</v>
      </c>
      <c r="T418" s="3">
        <f t="shared" si="327"/>
        <v>-0.22000000000000003</v>
      </c>
      <c r="U418" s="3">
        <f t="shared" si="328"/>
        <v>-9.35E-2</v>
      </c>
      <c r="V418" s="3">
        <f t="shared" si="329"/>
        <v>-0.10550000000000001</v>
      </c>
      <c r="W418" s="3">
        <f t="shared" si="315"/>
        <v>-1.2000000000000011E-2</v>
      </c>
      <c r="X418" s="3">
        <f t="shared" si="311"/>
        <v>9.4408747300215971E-3</v>
      </c>
      <c r="Y418" s="3">
        <f t="shared" si="312"/>
        <v>2.2901748971193424E-2</v>
      </c>
      <c r="Z418" s="3">
        <f t="shared" si="330"/>
        <v>1.3460874241171827E-2</v>
      </c>
      <c r="AA418" s="3">
        <v>0.26800000000000002</v>
      </c>
      <c r="AB418" s="3">
        <v>0.36</v>
      </c>
      <c r="AC418" s="3">
        <f t="shared" si="331"/>
        <v>9.1999999999999971E-2</v>
      </c>
      <c r="AD418" s="3">
        <f>-601.050647*627.50956</f>
        <v>-377165.02703668532</v>
      </c>
      <c r="AE418" s="3">
        <f>-603.885928*627.50956</f>
        <v>-378944.19296947168</v>
      </c>
      <c r="AF418" s="3">
        <f t="shared" si="332"/>
        <v>-1779.1659327863599</v>
      </c>
      <c r="AG418" s="3">
        <f>-601.100387*627.50956</f>
        <v>-377196.23936219967</v>
      </c>
      <c r="AH418" s="3">
        <f>-603.93741*627.50956</f>
        <v>-378976.49841663957</v>
      </c>
      <c r="AI418" s="3">
        <f t="shared" si="333"/>
        <v>-1780.259054439899</v>
      </c>
      <c r="AJ418" s="3">
        <v>-0.66500000000000004</v>
      </c>
      <c r="AK418" s="3">
        <v>-0.66100000000000003</v>
      </c>
      <c r="AL418" s="3">
        <f t="shared" si="334"/>
        <v>4.0000000000000036E-3</v>
      </c>
      <c r="AM418" s="3">
        <v>140.29813999999999</v>
      </c>
      <c r="AN418" s="3">
        <v>225.81649999999999</v>
      </c>
      <c r="AO418" s="3">
        <v>265.67912999999999</v>
      </c>
      <c r="AP418" s="3">
        <f t="shared" si="318"/>
        <v>1.1300734246037587</v>
      </c>
      <c r="AQ418" s="3">
        <v>9.5340000000000007</v>
      </c>
      <c r="AR418" s="3">
        <v>2.1963903</v>
      </c>
      <c r="AS418" s="3">
        <v>-959.76900000000001</v>
      </c>
      <c r="AT418" s="3">
        <v>-958.05</v>
      </c>
      <c r="AU418" s="3">
        <f t="shared" si="299"/>
        <v>-1.7190000000000509</v>
      </c>
      <c r="AV418" s="3">
        <v>-0.317</v>
      </c>
      <c r="AW418" s="3">
        <v>-0.45</v>
      </c>
      <c r="AX418" s="3">
        <f t="shared" si="300"/>
        <v>0.13300000000000001</v>
      </c>
      <c r="AY418" s="3">
        <v>-2.4E-2</v>
      </c>
      <c r="AZ418" s="3">
        <v>0.13500000000000001</v>
      </c>
      <c r="BA418" s="3">
        <f t="shared" si="301"/>
        <v>-0.159</v>
      </c>
      <c r="BB418" s="3">
        <f t="shared" si="319"/>
        <v>0.17050000000000001</v>
      </c>
      <c r="BC418" s="3">
        <f t="shared" si="319"/>
        <v>0.1575</v>
      </c>
      <c r="BD418" s="3">
        <f t="shared" si="303"/>
        <v>1.3000000000000012E-2</v>
      </c>
      <c r="BE418" s="3">
        <f t="shared" si="320"/>
        <v>0.29299999999999998</v>
      </c>
      <c r="BF418" s="3">
        <f t="shared" si="320"/>
        <v>0.58499999999999996</v>
      </c>
      <c r="BG418" s="3">
        <f t="shared" si="305"/>
        <v>-0.29199999999999998</v>
      </c>
      <c r="BH418" s="3">
        <f t="shared" si="321"/>
        <v>-0.17050000000000001</v>
      </c>
      <c r="BI418" s="3">
        <f t="shared" si="321"/>
        <v>-0.1575</v>
      </c>
      <c r="BJ418" s="3">
        <f t="shared" si="316"/>
        <v>-1.3000000000000012E-2</v>
      </c>
      <c r="BK418" s="3">
        <f t="shared" si="313"/>
        <v>4.9607935153583631E-2</v>
      </c>
      <c r="BL418" s="3">
        <f t="shared" si="314"/>
        <v>2.120192307692308E-2</v>
      </c>
      <c r="BM418" s="3">
        <f t="shared" si="307"/>
        <v>2.8406012076660551E-2</v>
      </c>
      <c r="BN418" s="3">
        <v>2.2370000000000001</v>
      </c>
      <c r="BO418" s="3">
        <v>2.431</v>
      </c>
      <c r="BP418" s="3">
        <f t="shared" si="308"/>
        <v>-0.19399999999999995</v>
      </c>
      <c r="BQ418" s="3">
        <v>-602243.07700000005</v>
      </c>
      <c r="BR418" s="3">
        <v>-601163.24300000002</v>
      </c>
      <c r="BS418" s="3">
        <f t="shared" si="309"/>
        <v>-1079.8340000000317</v>
      </c>
      <c r="BT418" s="3">
        <v>-602262.36399999994</v>
      </c>
      <c r="BU418" s="3">
        <v>-601182.38500000001</v>
      </c>
      <c r="BV418" s="3">
        <f t="shared" si="310"/>
        <v>-1079.9789999999339</v>
      </c>
    </row>
    <row r="419" spans="1:74" x14ac:dyDescent="0.25">
      <c r="A419" t="s">
        <v>80</v>
      </c>
      <c r="B419" s="1" t="s">
        <v>646</v>
      </c>
      <c r="C419" s="1" t="s">
        <v>103</v>
      </c>
      <c r="D419" s="3">
        <v>1.8</v>
      </c>
      <c r="E419" s="3">
        <v>0.95</v>
      </c>
      <c r="F419" s="3">
        <v>-641.495</v>
      </c>
      <c r="G419" s="3">
        <v>-644.64499999999998</v>
      </c>
      <c r="H419" s="3">
        <f t="shared" si="335"/>
        <v>-3.1499999999999773</v>
      </c>
      <c r="I419" s="3">
        <v>-0.34300000000000003</v>
      </c>
      <c r="J419" s="6">
        <v>-0.24199999999999999</v>
      </c>
      <c r="K419" s="3">
        <f t="shared" si="322"/>
        <v>0.10100000000000003</v>
      </c>
      <c r="L419" s="3">
        <v>0.14199999999999999</v>
      </c>
      <c r="M419" s="6">
        <v>8.9999999999999993E-3</v>
      </c>
      <c r="N419" s="3">
        <f t="shared" si="323"/>
        <v>-0.13299999999999998</v>
      </c>
      <c r="O419" s="3">
        <f t="shared" si="317"/>
        <v>0.10050000000000002</v>
      </c>
      <c r="P419" s="3">
        <f t="shared" si="317"/>
        <v>0.11649999999999999</v>
      </c>
      <c r="Q419" s="3">
        <f t="shared" si="324"/>
        <v>1.5999999999999973E-2</v>
      </c>
      <c r="R419" s="3">
        <f t="shared" si="325"/>
        <v>0.48499999999999999</v>
      </c>
      <c r="S419" s="3">
        <f t="shared" si="326"/>
        <v>0.251</v>
      </c>
      <c r="T419" s="3">
        <f t="shared" si="327"/>
        <v>-0.23399999999999999</v>
      </c>
      <c r="U419" s="3">
        <f t="shared" si="328"/>
        <v>-0.10050000000000002</v>
      </c>
      <c r="V419" s="3">
        <f t="shared" si="329"/>
        <v>-0.11649999999999999</v>
      </c>
      <c r="W419" s="3">
        <f t="shared" si="315"/>
        <v>-1.5999999999999973E-2</v>
      </c>
      <c r="X419" s="3">
        <f t="shared" si="311"/>
        <v>1.0412628865979386E-2</v>
      </c>
      <c r="Y419" s="3">
        <f t="shared" si="312"/>
        <v>2.7036354581673302E-2</v>
      </c>
      <c r="Z419" s="3">
        <f t="shared" si="330"/>
        <v>1.6623725715693916E-2</v>
      </c>
      <c r="AA419" s="3">
        <v>0.73699999999999999</v>
      </c>
      <c r="AB419" s="3">
        <v>0.78600000000000003</v>
      </c>
      <c r="AC419" s="3">
        <f t="shared" si="331"/>
        <v>4.9000000000000044E-2</v>
      </c>
      <c r="AD419" s="3">
        <f>-641.198806*627.50956</f>
        <v>-402358.38062558533</v>
      </c>
      <c r="AE419" s="3">
        <f>-644.36333*627.50956</f>
        <v>-404344.14968843479</v>
      </c>
      <c r="AF419" s="3">
        <f t="shared" si="332"/>
        <v>-1985.7690628494602</v>
      </c>
      <c r="AG419" s="3">
        <f>-641.25488*627.50956</f>
        <v>-402393.56759665278</v>
      </c>
      <c r="AH419" s="3">
        <f>-644.420818*627.50956</f>
        <v>-404380.2239580201</v>
      </c>
      <c r="AI419" s="3">
        <f t="shared" si="333"/>
        <v>-1986.6563613673206</v>
      </c>
      <c r="AJ419" s="3">
        <v>-0.84899999999999998</v>
      </c>
      <c r="AK419" s="3">
        <v>-0.86799999999999999</v>
      </c>
      <c r="AL419" s="3">
        <f t="shared" si="334"/>
        <v>-1.9000000000000017E-2</v>
      </c>
      <c r="AM419" s="3">
        <v>156.34059999999999</v>
      </c>
      <c r="AN419" s="3">
        <v>249.62110999999999</v>
      </c>
      <c r="AO419" s="3">
        <v>306.58058999999997</v>
      </c>
      <c r="AP419" s="3">
        <f t="shared" si="318"/>
        <v>1.1354660582418776</v>
      </c>
      <c r="AQ419" s="3">
        <v>10.901999999999999</v>
      </c>
      <c r="AR419" s="3">
        <v>2.4218000000000002</v>
      </c>
      <c r="AS419" s="3">
        <v>-959.76900000000001</v>
      </c>
      <c r="AT419" s="3">
        <v>-958.05</v>
      </c>
      <c r="AU419" s="3">
        <f t="shared" si="299"/>
        <v>-1.7190000000000509</v>
      </c>
      <c r="AV419" s="3">
        <v>-0.317</v>
      </c>
      <c r="AW419" s="3">
        <v>-0.45</v>
      </c>
      <c r="AX419" s="3">
        <f t="shared" si="300"/>
        <v>0.13300000000000001</v>
      </c>
      <c r="AY419" s="3">
        <v>-2.4E-2</v>
      </c>
      <c r="AZ419" s="3">
        <v>0.13500000000000001</v>
      </c>
      <c r="BA419" s="3">
        <f t="shared" si="301"/>
        <v>-0.159</v>
      </c>
      <c r="BB419" s="3">
        <f t="shared" si="319"/>
        <v>0.17050000000000001</v>
      </c>
      <c r="BC419" s="3">
        <f t="shared" si="319"/>
        <v>0.1575</v>
      </c>
      <c r="BD419" s="3">
        <f t="shared" si="303"/>
        <v>1.3000000000000012E-2</v>
      </c>
      <c r="BE419" s="3">
        <f t="shared" si="320"/>
        <v>0.29299999999999998</v>
      </c>
      <c r="BF419" s="3">
        <f t="shared" si="320"/>
        <v>0.58499999999999996</v>
      </c>
      <c r="BG419" s="3">
        <f t="shared" si="305"/>
        <v>-0.29199999999999998</v>
      </c>
      <c r="BH419" s="3">
        <f t="shared" si="321"/>
        <v>-0.17050000000000001</v>
      </c>
      <c r="BI419" s="3">
        <f t="shared" si="321"/>
        <v>-0.1575</v>
      </c>
      <c r="BJ419" s="3">
        <f t="shared" si="316"/>
        <v>-1.3000000000000012E-2</v>
      </c>
      <c r="BK419" s="3">
        <f t="shared" si="313"/>
        <v>4.9607935153583631E-2</v>
      </c>
      <c r="BL419" s="3">
        <f t="shared" si="314"/>
        <v>2.120192307692308E-2</v>
      </c>
      <c r="BM419" s="3">
        <f t="shared" si="307"/>
        <v>2.8406012076660551E-2</v>
      </c>
      <c r="BN419" s="3">
        <v>2.2370000000000001</v>
      </c>
      <c r="BO419" s="3">
        <v>2.431</v>
      </c>
      <c r="BP419" s="3">
        <f t="shared" si="308"/>
        <v>-0.19399999999999995</v>
      </c>
      <c r="BQ419" s="3">
        <v>-602243.07700000005</v>
      </c>
      <c r="BR419" s="3">
        <v>-601163.24300000002</v>
      </c>
      <c r="BS419" s="3">
        <f t="shared" si="309"/>
        <v>-1079.8340000000317</v>
      </c>
      <c r="BT419" s="3">
        <v>-602262.36399999994</v>
      </c>
      <c r="BU419" s="3">
        <v>-601182.38500000001</v>
      </c>
      <c r="BV419" s="3">
        <f t="shared" si="310"/>
        <v>-1079.9789999999339</v>
      </c>
    </row>
    <row r="420" spans="1:74" x14ac:dyDescent="0.25">
      <c r="A420" t="s">
        <v>81</v>
      </c>
      <c r="B420" s="1" t="s">
        <v>646</v>
      </c>
      <c r="C420" s="1" t="s">
        <v>99</v>
      </c>
      <c r="D420" s="3">
        <v>1.84</v>
      </c>
      <c r="E420" s="3">
        <v>1.26</v>
      </c>
      <c r="F420" s="3">
        <v>-839.46299999999997</v>
      </c>
      <c r="G420" s="3">
        <v>-844.37099999999998</v>
      </c>
      <c r="H420" s="3">
        <f t="shared" si="335"/>
        <v>-4.9080000000000155</v>
      </c>
      <c r="I420" s="3">
        <v>-0.309</v>
      </c>
      <c r="J420" s="6">
        <v>-0.22600000000000001</v>
      </c>
      <c r="K420" s="3">
        <f t="shared" si="322"/>
        <v>8.299999999999999E-2</v>
      </c>
      <c r="L420" s="3">
        <v>0.13500000000000001</v>
      </c>
      <c r="M420" s="6">
        <v>-1.4E-2</v>
      </c>
      <c r="N420" s="3">
        <f t="shared" si="323"/>
        <v>-0.14900000000000002</v>
      </c>
      <c r="O420" s="3">
        <f t="shared" si="317"/>
        <v>8.6999999999999994E-2</v>
      </c>
      <c r="P420" s="3">
        <f t="shared" si="317"/>
        <v>0.12000000000000001</v>
      </c>
      <c r="Q420" s="3">
        <f t="shared" si="324"/>
        <v>3.3000000000000015E-2</v>
      </c>
      <c r="R420" s="3">
        <f t="shared" si="325"/>
        <v>0.44400000000000001</v>
      </c>
      <c r="S420" s="3">
        <f t="shared" si="326"/>
        <v>0.21199999999999999</v>
      </c>
      <c r="T420" s="3">
        <f t="shared" si="327"/>
        <v>-0.23200000000000001</v>
      </c>
      <c r="U420" s="3">
        <f t="shared" si="328"/>
        <v>-8.6999999999999994E-2</v>
      </c>
      <c r="V420" s="3">
        <f t="shared" si="329"/>
        <v>-0.12000000000000001</v>
      </c>
      <c r="W420" s="3">
        <f t="shared" si="315"/>
        <v>-3.3000000000000015E-2</v>
      </c>
      <c r="X420" s="3">
        <f t="shared" si="311"/>
        <v>8.5236486486486469E-3</v>
      </c>
      <c r="Y420" s="3">
        <f t="shared" si="312"/>
        <v>3.3962264150943403E-2</v>
      </c>
      <c r="Z420" s="3">
        <f t="shared" si="330"/>
        <v>2.5438615502294756E-2</v>
      </c>
      <c r="AA420" s="3">
        <v>11.016999999999999</v>
      </c>
      <c r="AB420" s="3">
        <v>10.022</v>
      </c>
      <c r="AC420" s="3">
        <f t="shared" si="331"/>
        <v>-0.99499999999999922</v>
      </c>
      <c r="AD420" s="3">
        <f>-839.210547*627.50956</f>
        <v>-526612.64109532931</v>
      </c>
      <c r="AE420" s="3">
        <f>-844.131981*627.50956</f>
        <v>-529700.88797923829</v>
      </c>
      <c r="AF420" s="3">
        <f t="shared" si="332"/>
        <v>-3088.2468839089852</v>
      </c>
      <c r="AG420" s="3">
        <f>-839.263303*627.50956</f>
        <v>-526645.74598967656</v>
      </c>
      <c r="AH420" s="3">
        <f>-844.190994*627.50956</f>
        <v>-529737.91920090269</v>
      </c>
      <c r="AI420" s="3">
        <f t="shared" si="333"/>
        <v>-3092.1732112261234</v>
      </c>
      <c r="AJ420" s="3">
        <v>-0.24099999999999999</v>
      </c>
      <c r="AK420" s="3">
        <v>-0.32300000000000001</v>
      </c>
      <c r="AL420" s="3">
        <f t="shared" si="334"/>
        <v>-8.2000000000000017E-2</v>
      </c>
      <c r="AM420" s="3">
        <v>156.34059999999999</v>
      </c>
      <c r="AN420" s="3">
        <v>255.58437000000001</v>
      </c>
      <c r="AO420" s="3">
        <v>310.04208999999997</v>
      </c>
      <c r="AP420" s="3">
        <f t="shared" si="318"/>
        <v>1.1539220474903809</v>
      </c>
      <c r="AQ420" s="3">
        <v>10.88</v>
      </c>
      <c r="AR420" s="3">
        <v>2.4742000000000002</v>
      </c>
      <c r="AS420" s="3">
        <v>-132.80099999999999</v>
      </c>
      <c r="AT420" s="3">
        <v>-131.97</v>
      </c>
      <c r="AU420" s="3">
        <f t="shared" si="299"/>
        <v>-0.83099999999998886</v>
      </c>
      <c r="AV420" s="3">
        <v>-0.34100000000000003</v>
      </c>
      <c r="AW420" s="3">
        <v>-0.47499999999999998</v>
      </c>
      <c r="AX420" s="3">
        <f t="shared" si="300"/>
        <v>0.13399999999999995</v>
      </c>
      <c r="AY420" s="3">
        <v>2.9000000000000001E-2</v>
      </c>
      <c r="AZ420" s="3">
        <v>0.156</v>
      </c>
      <c r="BA420" s="3">
        <f t="shared" si="301"/>
        <v>-0.127</v>
      </c>
      <c r="BB420" s="3">
        <f t="shared" si="319"/>
        <v>0.156</v>
      </c>
      <c r="BC420" s="3">
        <f t="shared" si="319"/>
        <v>0.15949999999999998</v>
      </c>
      <c r="BD420" s="3">
        <f t="shared" si="303"/>
        <v>-3.4999999999999754E-3</v>
      </c>
      <c r="BE420" s="3">
        <f t="shared" si="320"/>
        <v>0.37000000000000005</v>
      </c>
      <c r="BF420" s="3">
        <f t="shared" si="320"/>
        <v>0.63100000000000001</v>
      </c>
      <c r="BG420" s="3">
        <f t="shared" si="305"/>
        <v>-0.26099999999999995</v>
      </c>
      <c r="BH420" s="3">
        <f t="shared" si="321"/>
        <v>-0.156</v>
      </c>
      <c r="BI420" s="3">
        <f t="shared" si="321"/>
        <v>-0.15949999999999998</v>
      </c>
      <c r="BJ420" s="3">
        <f t="shared" si="316"/>
        <v>3.4999999999999754E-3</v>
      </c>
      <c r="BK420" s="3">
        <f t="shared" si="313"/>
        <v>3.2886486486486483E-2</v>
      </c>
      <c r="BL420" s="3">
        <f t="shared" si="314"/>
        <v>2.0158676703645E-2</v>
      </c>
      <c r="BM420" s="3">
        <f t="shared" si="307"/>
        <v>1.2727809782841482E-2</v>
      </c>
      <c r="BN420" s="3">
        <v>4.7279999999999998</v>
      </c>
      <c r="BO420" s="3">
        <v>4.9340000000000002</v>
      </c>
      <c r="BP420" s="3">
        <f t="shared" si="308"/>
        <v>-0.20600000000000041</v>
      </c>
      <c r="BQ420" s="3">
        <v>-83302.89</v>
      </c>
      <c r="BR420" s="3">
        <v>-82779.224000000002</v>
      </c>
      <c r="BS420" s="3">
        <f t="shared" si="309"/>
        <v>-523.66599999999744</v>
      </c>
      <c r="BT420" s="3">
        <v>-83320.774999999994</v>
      </c>
      <c r="BU420" s="3">
        <v>-82796.997000000003</v>
      </c>
      <c r="BV420" s="3">
        <f t="shared" si="310"/>
        <v>-523.77799999999115</v>
      </c>
    </row>
    <row r="421" spans="1:74" x14ac:dyDescent="0.25">
      <c r="A421" t="s">
        <v>82</v>
      </c>
      <c r="B421" s="1" t="s">
        <v>646</v>
      </c>
      <c r="C421" s="1" t="s">
        <v>103</v>
      </c>
      <c r="D421" s="3">
        <v>1.93</v>
      </c>
      <c r="E421" s="3">
        <v>0.95</v>
      </c>
      <c r="F421" s="3">
        <v>-641.49099999999999</v>
      </c>
      <c r="G421" s="3">
        <v>-644.63900000000001</v>
      </c>
      <c r="H421" s="3">
        <f t="shared" si="335"/>
        <v>-3.1480000000000246</v>
      </c>
      <c r="I421" s="3">
        <v>-0.34300000000000003</v>
      </c>
      <c r="J421" s="6">
        <v>-0.24299999999999999</v>
      </c>
      <c r="K421" s="3">
        <f t="shared" si="322"/>
        <v>0.10000000000000003</v>
      </c>
      <c r="L421" s="3">
        <v>0.14399999999999999</v>
      </c>
      <c r="M421" s="6">
        <v>0.01</v>
      </c>
      <c r="N421" s="3">
        <f t="shared" si="323"/>
        <v>-0.13399999999999998</v>
      </c>
      <c r="O421" s="3">
        <f t="shared" si="317"/>
        <v>9.9500000000000019E-2</v>
      </c>
      <c r="P421" s="3">
        <f t="shared" si="317"/>
        <v>0.11649999999999999</v>
      </c>
      <c r="Q421" s="3">
        <f t="shared" si="324"/>
        <v>1.6999999999999973E-2</v>
      </c>
      <c r="R421" s="3">
        <f t="shared" si="325"/>
        <v>0.48699999999999999</v>
      </c>
      <c r="S421" s="3">
        <f t="shared" si="326"/>
        <v>0.253</v>
      </c>
      <c r="T421" s="3">
        <f t="shared" si="327"/>
        <v>-0.23399999999999999</v>
      </c>
      <c r="U421" s="3">
        <f t="shared" si="328"/>
        <v>-9.9500000000000019E-2</v>
      </c>
      <c r="V421" s="3">
        <f t="shared" si="329"/>
        <v>-0.11649999999999999</v>
      </c>
      <c r="W421" s="3">
        <f t="shared" si="315"/>
        <v>-1.6999999999999973E-2</v>
      </c>
      <c r="X421" s="3">
        <f t="shared" si="311"/>
        <v>1.0164527720739225E-2</v>
      </c>
      <c r="Y421" s="3">
        <f t="shared" si="312"/>
        <v>2.6822628458498018E-2</v>
      </c>
      <c r="Z421" s="3">
        <f t="shared" si="330"/>
        <v>1.6658100737758794E-2</v>
      </c>
      <c r="AA421" s="3">
        <v>0.80100000000000005</v>
      </c>
      <c r="AB421" s="3">
        <v>0.875</v>
      </c>
      <c r="AC421" s="3">
        <f t="shared" si="331"/>
        <v>7.3999999999999955E-2</v>
      </c>
      <c r="AD421" s="3">
        <f>-641.192785*627.50956</f>
        <v>-402354.60239052452</v>
      </c>
      <c r="AE421" s="3">
        <f>-644.356011*627.50956</f>
        <v>-404339.5569459651</v>
      </c>
      <c r="AF421" s="3">
        <f t="shared" si="332"/>
        <v>-1984.9545554405777</v>
      </c>
      <c r="AG421" s="3">
        <f>-641.250674*627.50956</f>
        <v>-402390.92829144344</v>
      </c>
      <c r="AH421" s="3">
        <f>-644.415811*627.50956</f>
        <v>-404377.0820176531</v>
      </c>
      <c r="AI421" s="3">
        <f t="shared" si="333"/>
        <v>-1986.1537262096535</v>
      </c>
      <c r="AJ421" s="3">
        <v>-0.84</v>
      </c>
      <c r="AK421" s="3">
        <v>-0.85599999999999998</v>
      </c>
      <c r="AL421" s="3">
        <f t="shared" si="334"/>
        <v>-1.6000000000000014E-2</v>
      </c>
      <c r="AM421" s="3">
        <v>156.34059999999999</v>
      </c>
      <c r="AN421" s="3">
        <v>255.98259999999999</v>
      </c>
      <c r="AO421" s="3">
        <v>311.03548000000001</v>
      </c>
      <c r="AP421" s="3">
        <f t="shared" si="318"/>
        <v>1.1532579086189509</v>
      </c>
      <c r="AQ421" s="3">
        <v>10.896000000000001</v>
      </c>
      <c r="AR421" s="3">
        <v>2.4733939999999999</v>
      </c>
      <c r="AS421" s="3">
        <v>-959.76900000000001</v>
      </c>
      <c r="AT421" s="3">
        <v>-958.05</v>
      </c>
      <c r="AU421" s="3">
        <f t="shared" si="299"/>
        <v>-1.7190000000000509</v>
      </c>
      <c r="AV421" s="3">
        <v>-0.317</v>
      </c>
      <c r="AW421" s="3">
        <v>-0.45</v>
      </c>
      <c r="AX421" s="3">
        <f t="shared" si="300"/>
        <v>0.13300000000000001</v>
      </c>
      <c r="AY421" s="3">
        <v>-2.4E-2</v>
      </c>
      <c r="AZ421" s="3">
        <v>0.13500000000000001</v>
      </c>
      <c r="BA421" s="3">
        <f t="shared" si="301"/>
        <v>-0.159</v>
      </c>
      <c r="BB421" s="3">
        <f t="shared" si="319"/>
        <v>0.17050000000000001</v>
      </c>
      <c r="BC421" s="3">
        <f t="shared" si="319"/>
        <v>0.1575</v>
      </c>
      <c r="BD421" s="3">
        <f t="shared" si="303"/>
        <v>1.3000000000000012E-2</v>
      </c>
      <c r="BE421" s="3">
        <f t="shared" si="320"/>
        <v>0.29299999999999998</v>
      </c>
      <c r="BF421" s="3">
        <f t="shared" si="320"/>
        <v>0.58499999999999996</v>
      </c>
      <c r="BG421" s="3">
        <f t="shared" si="305"/>
        <v>-0.29199999999999998</v>
      </c>
      <c r="BH421" s="3">
        <f t="shared" si="321"/>
        <v>-0.17050000000000001</v>
      </c>
      <c r="BI421" s="3">
        <f t="shared" si="321"/>
        <v>-0.1575</v>
      </c>
      <c r="BJ421" s="3">
        <f t="shared" si="316"/>
        <v>-1.3000000000000012E-2</v>
      </c>
      <c r="BK421" s="3">
        <f t="shared" si="313"/>
        <v>4.9607935153583631E-2</v>
      </c>
      <c r="BL421" s="3">
        <f t="shared" si="314"/>
        <v>2.120192307692308E-2</v>
      </c>
      <c r="BM421" s="3">
        <f t="shared" si="307"/>
        <v>2.8406012076660551E-2</v>
      </c>
      <c r="BN421" s="3">
        <v>2.2370000000000001</v>
      </c>
      <c r="BO421" s="3">
        <v>2.431</v>
      </c>
      <c r="BP421" s="3">
        <f t="shared" si="308"/>
        <v>-0.19399999999999995</v>
      </c>
      <c r="BQ421" s="3">
        <v>-602243.07700000005</v>
      </c>
      <c r="BR421" s="3">
        <v>-601163.24300000002</v>
      </c>
      <c r="BS421" s="3">
        <f t="shared" si="309"/>
        <v>-1079.8340000000317</v>
      </c>
      <c r="BT421" s="3">
        <v>-602262.36399999994</v>
      </c>
      <c r="BU421" s="3">
        <v>-601182.38500000001</v>
      </c>
      <c r="BV421" s="3">
        <f t="shared" si="310"/>
        <v>-1079.9789999999339</v>
      </c>
    </row>
    <row r="422" spans="1:74" x14ac:dyDescent="0.25">
      <c r="A422" t="s">
        <v>83</v>
      </c>
      <c r="B422" s="1" t="s">
        <v>646</v>
      </c>
      <c r="C422" s="1" t="s">
        <v>103</v>
      </c>
      <c r="D422" s="3">
        <v>1.94</v>
      </c>
      <c r="E422" s="3">
        <v>1.1000000000000001</v>
      </c>
      <c r="F422" s="3">
        <v>-563.42399999999998</v>
      </c>
      <c r="G422" s="3">
        <v>-566.01099999999997</v>
      </c>
      <c r="H422" s="3">
        <f t="shared" si="335"/>
        <v>-2.5869999999999891</v>
      </c>
      <c r="I422" s="3">
        <v>-0.33100000000000002</v>
      </c>
      <c r="J422" s="6">
        <v>-0.23200000000000001</v>
      </c>
      <c r="K422" s="3">
        <f t="shared" si="322"/>
        <v>9.9000000000000005E-2</v>
      </c>
      <c r="L422" s="3">
        <v>0.14099999999999999</v>
      </c>
      <c r="M422" s="6">
        <v>1.7999999999999999E-2</v>
      </c>
      <c r="N422" s="3">
        <f t="shared" si="323"/>
        <v>-0.12299999999999998</v>
      </c>
      <c r="O422" s="3">
        <f t="shared" si="317"/>
        <v>9.5000000000000015E-2</v>
      </c>
      <c r="P422" s="3">
        <f t="shared" si="317"/>
        <v>0.10700000000000001</v>
      </c>
      <c r="Q422" s="3">
        <f t="shared" si="324"/>
        <v>1.1999999999999997E-2</v>
      </c>
      <c r="R422" s="3">
        <f t="shared" si="325"/>
        <v>0.47199999999999998</v>
      </c>
      <c r="S422" s="3">
        <f t="shared" si="326"/>
        <v>0.25</v>
      </c>
      <c r="T422" s="3">
        <f t="shared" si="327"/>
        <v>-0.22199999999999998</v>
      </c>
      <c r="U422" s="3">
        <f t="shared" si="328"/>
        <v>-9.5000000000000015E-2</v>
      </c>
      <c r="V422" s="3">
        <f t="shared" si="329"/>
        <v>-0.10700000000000001</v>
      </c>
      <c r="W422" s="3">
        <f t="shared" si="315"/>
        <v>-1.1999999999999997E-2</v>
      </c>
      <c r="X422" s="3">
        <f t="shared" si="311"/>
        <v>9.5603813559322071E-3</v>
      </c>
      <c r="Y422" s="3">
        <f t="shared" si="312"/>
        <v>2.2898000000000005E-2</v>
      </c>
      <c r="Z422" s="3">
        <f t="shared" si="330"/>
        <v>1.3337618644067798E-2</v>
      </c>
      <c r="AA422" s="3">
        <v>0.214</v>
      </c>
      <c r="AB422" s="3">
        <v>0.308</v>
      </c>
      <c r="AC422" s="3">
        <f t="shared" si="331"/>
        <v>9.4E-2</v>
      </c>
      <c r="AD422" s="3">
        <f>-563.190393*627.50956</f>
        <v>-353407.35570765706</v>
      </c>
      <c r="AE422" s="3">
        <f>-565.789326*627.50956</f>
        <v>-355038.2110109565</v>
      </c>
      <c r="AF422" s="3">
        <f t="shared" si="332"/>
        <v>-1630.8553032994387</v>
      </c>
      <c r="AG422" s="3">
        <f>-563.241879*627.50956</f>
        <v>-353439.66366486327</v>
      </c>
      <c r="AH422" s="3">
        <f>-565.841925*627.50956</f>
        <v>-355071.21738630295</v>
      </c>
      <c r="AI422" s="3">
        <f t="shared" si="333"/>
        <v>-1631.5537214396754</v>
      </c>
      <c r="AJ422" s="3">
        <v>-0.82499999999999996</v>
      </c>
      <c r="AK422" s="3">
        <v>-0.84299999999999997</v>
      </c>
      <c r="AL422" s="3">
        <f t="shared" si="334"/>
        <v>-1.8000000000000016E-2</v>
      </c>
      <c r="AM422" s="3">
        <v>128.28739999999999</v>
      </c>
      <c r="AN422" s="3">
        <v>233.49119999999999</v>
      </c>
      <c r="AO422" s="3">
        <v>260.50580000000002</v>
      </c>
      <c r="AP422" s="3">
        <f t="shared" si="318"/>
        <v>1.1838995883081427</v>
      </c>
      <c r="AQ422" s="3">
        <v>10.824</v>
      </c>
      <c r="AR422" s="3">
        <v>2.4251</v>
      </c>
      <c r="AS422" s="3">
        <v>-959.76900000000001</v>
      </c>
      <c r="AT422" s="3">
        <v>-958.05</v>
      </c>
      <c r="AU422" s="3">
        <f t="shared" si="299"/>
        <v>-1.7190000000000509</v>
      </c>
      <c r="AV422" s="3">
        <v>-0.317</v>
      </c>
      <c r="AW422" s="3">
        <v>-0.45</v>
      </c>
      <c r="AX422" s="3">
        <f t="shared" si="300"/>
        <v>0.13300000000000001</v>
      </c>
      <c r="AY422" s="3">
        <v>-2.4E-2</v>
      </c>
      <c r="AZ422" s="3">
        <v>0.13500000000000001</v>
      </c>
      <c r="BA422" s="3">
        <f t="shared" si="301"/>
        <v>-0.159</v>
      </c>
      <c r="BB422" s="3">
        <f t="shared" si="319"/>
        <v>0.17050000000000001</v>
      </c>
      <c r="BC422" s="3">
        <f t="shared" si="319"/>
        <v>0.1575</v>
      </c>
      <c r="BD422" s="3">
        <f t="shared" si="303"/>
        <v>1.3000000000000012E-2</v>
      </c>
      <c r="BE422" s="3">
        <f t="shared" si="320"/>
        <v>0.29299999999999998</v>
      </c>
      <c r="BF422" s="3">
        <f t="shared" si="320"/>
        <v>0.58499999999999996</v>
      </c>
      <c r="BG422" s="3">
        <f t="shared" si="305"/>
        <v>-0.29199999999999998</v>
      </c>
      <c r="BH422" s="3">
        <f t="shared" si="321"/>
        <v>-0.17050000000000001</v>
      </c>
      <c r="BI422" s="3">
        <f t="shared" si="321"/>
        <v>-0.1575</v>
      </c>
      <c r="BJ422" s="3">
        <f t="shared" si="316"/>
        <v>-1.3000000000000012E-2</v>
      </c>
      <c r="BK422" s="3">
        <f t="shared" si="313"/>
        <v>4.9607935153583631E-2</v>
      </c>
      <c r="BL422" s="3">
        <f t="shared" si="314"/>
        <v>2.120192307692308E-2</v>
      </c>
      <c r="BM422" s="3">
        <f t="shared" si="307"/>
        <v>2.8406012076660551E-2</v>
      </c>
      <c r="BN422" s="3">
        <v>2.2370000000000001</v>
      </c>
      <c r="BO422" s="3">
        <v>2.431</v>
      </c>
      <c r="BP422" s="3">
        <f t="shared" si="308"/>
        <v>-0.19399999999999995</v>
      </c>
      <c r="BQ422" s="3">
        <v>-602243.07700000005</v>
      </c>
      <c r="BR422" s="3">
        <v>-601163.24300000002</v>
      </c>
      <c r="BS422" s="3">
        <f t="shared" si="309"/>
        <v>-1079.8340000000317</v>
      </c>
      <c r="BT422" s="3">
        <v>-602262.36399999994</v>
      </c>
      <c r="BU422" s="3">
        <v>-601182.38500000001</v>
      </c>
      <c r="BV422" s="3">
        <f t="shared" si="310"/>
        <v>-1079.9789999999339</v>
      </c>
    </row>
    <row r="423" spans="1:74" x14ac:dyDescent="0.25">
      <c r="A423" t="s">
        <v>84</v>
      </c>
      <c r="B423" s="1" t="s">
        <v>646</v>
      </c>
      <c r="C423" s="1" t="s">
        <v>103</v>
      </c>
      <c r="D423" s="3">
        <v>1.95</v>
      </c>
      <c r="E423" s="3">
        <v>0.98</v>
      </c>
      <c r="F423" s="3">
        <v>-1629.01</v>
      </c>
      <c r="G423" s="3">
        <v>-1634.876</v>
      </c>
      <c r="H423" s="3">
        <f t="shared" si="335"/>
        <v>-5.8659999999999854</v>
      </c>
      <c r="I423" s="3">
        <v>-0.33100000000000002</v>
      </c>
      <c r="J423" s="6">
        <v>-0.23699999999999999</v>
      </c>
      <c r="K423" s="3">
        <f t="shared" si="322"/>
        <v>9.4000000000000028E-2</v>
      </c>
      <c r="L423" s="3">
        <v>0.128</v>
      </c>
      <c r="M423" s="6">
        <v>1E-3</v>
      </c>
      <c r="N423" s="3">
        <f t="shared" si="323"/>
        <v>-0.127</v>
      </c>
      <c r="O423" s="3">
        <f t="shared" si="317"/>
        <v>0.10150000000000001</v>
      </c>
      <c r="P423" s="3">
        <f t="shared" si="317"/>
        <v>0.11799999999999999</v>
      </c>
      <c r="Q423" s="3">
        <f t="shared" si="324"/>
        <v>1.6499999999999987E-2</v>
      </c>
      <c r="R423" s="3">
        <f t="shared" si="325"/>
        <v>0.45900000000000002</v>
      </c>
      <c r="S423" s="3">
        <f t="shared" si="326"/>
        <v>0.23799999999999999</v>
      </c>
      <c r="T423" s="3">
        <f t="shared" si="327"/>
        <v>-0.22100000000000003</v>
      </c>
      <c r="U423" s="3">
        <f t="shared" si="328"/>
        <v>-0.10150000000000001</v>
      </c>
      <c r="V423" s="3">
        <f t="shared" si="329"/>
        <v>-0.11799999999999999</v>
      </c>
      <c r="W423" s="3">
        <f t="shared" si="315"/>
        <v>-1.6499999999999987E-2</v>
      </c>
      <c r="X423" s="3">
        <f t="shared" si="311"/>
        <v>1.1222494553376906E-2</v>
      </c>
      <c r="Y423" s="3">
        <f t="shared" si="312"/>
        <v>2.9252100840336134E-2</v>
      </c>
      <c r="Z423" s="3">
        <f t="shared" si="330"/>
        <v>1.8029606286959227E-2</v>
      </c>
      <c r="AA423" s="3">
        <v>0.747</v>
      </c>
      <c r="AB423" s="3">
        <v>0.81100000000000005</v>
      </c>
      <c r="AC423" s="3">
        <f t="shared" si="331"/>
        <v>6.4000000000000057E-2</v>
      </c>
      <c r="AD423" s="3">
        <f>-1628.552788*627.50956</f>
        <v>-1021932.4434346532</v>
      </c>
      <c r="AE423" s="3">
        <f>-1634.439528*627.50956</f>
        <v>-1025626.4290618877</v>
      </c>
      <c r="AF423" s="3">
        <f t="shared" si="332"/>
        <v>-3693.9856272344477</v>
      </c>
      <c r="AG423" s="3">
        <f>-1628.631932*627.50956</f>
        <v>-1021982.1070512698</v>
      </c>
      <c r="AH423" s="3">
        <f>-1634.530322*627.50956</f>
        <v>-1025683.4031648783</v>
      </c>
      <c r="AI423" s="3">
        <f t="shared" si="333"/>
        <v>-3701.296113608405</v>
      </c>
      <c r="AJ423" s="3">
        <v>-0.79100000000000004</v>
      </c>
      <c r="AK423" s="3">
        <v>-0.81200000000000006</v>
      </c>
      <c r="AL423" s="3">
        <f t="shared" si="334"/>
        <v>-2.1000000000000019E-2</v>
      </c>
      <c r="AM423" s="3">
        <v>288.72399999999999</v>
      </c>
      <c r="AN423" s="3">
        <v>372.65859999999998</v>
      </c>
      <c r="AO423" s="3">
        <v>536.72389999999996</v>
      </c>
      <c r="AP423" s="3">
        <f t="shared" si="318"/>
        <v>1.1669882287585354</v>
      </c>
      <c r="AQ423" s="3">
        <v>11.613</v>
      </c>
      <c r="AR423" s="3">
        <v>3.03</v>
      </c>
      <c r="AS423" s="3">
        <v>-959.76900000000001</v>
      </c>
      <c r="AT423" s="3">
        <v>-958.05</v>
      </c>
      <c r="AU423" s="3">
        <f t="shared" si="299"/>
        <v>-1.7190000000000509</v>
      </c>
      <c r="AV423" s="3">
        <v>-0.317</v>
      </c>
      <c r="AW423" s="3">
        <v>-0.45</v>
      </c>
      <c r="AX423" s="3">
        <f t="shared" si="300"/>
        <v>0.13300000000000001</v>
      </c>
      <c r="AY423" s="3">
        <v>-2.4E-2</v>
      </c>
      <c r="AZ423" s="3">
        <v>0.13500000000000001</v>
      </c>
      <c r="BA423" s="3">
        <f t="shared" si="301"/>
        <v>-0.159</v>
      </c>
      <c r="BB423" s="3">
        <f t="shared" si="319"/>
        <v>0.17050000000000001</v>
      </c>
      <c r="BC423" s="3">
        <f t="shared" si="319"/>
        <v>0.1575</v>
      </c>
      <c r="BD423" s="3">
        <f t="shared" si="303"/>
        <v>1.3000000000000012E-2</v>
      </c>
      <c r="BE423" s="3">
        <f t="shared" si="320"/>
        <v>0.29299999999999998</v>
      </c>
      <c r="BF423" s="3">
        <f t="shared" si="320"/>
        <v>0.58499999999999996</v>
      </c>
      <c r="BG423" s="3">
        <f t="shared" si="305"/>
        <v>-0.29199999999999998</v>
      </c>
      <c r="BH423" s="3">
        <f t="shared" si="321"/>
        <v>-0.17050000000000001</v>
      </c>
      <c r="BI423" s="3">
        <f t="shared" si="321"/>
        <v>-0.1575</v>
      </c>
      <c r="BJ423" s="3">
        <f t="shared" si="316"/>
        <v>-1.3000000000000012E-2</v>
      </c>
      <c r="BK423" s="3">
        <f t="shared" si="313"/>
        <v>4.9607935153583631E-2</v>
      </c>
      <c r="BL423" s="3">
        <f t="shared" si="314"/>
        <v>2.120192307692308E-2</v>
      </c>
      <c r="BM423" s="3">
        <f t="shared" si="307"/>
        <v>2.8406012076660551E-2</v>
      </c>
      <c r="BN423" s="3">
        <v>2.2370000000000001</v>
      </c>
      <c r="BO423" s="3">
        <v>2.431</v>
      </c>
      <c r="BP423" s="3">
        <f t="shared" si="308"/>
        <v>-0.19399999999999995</v>
      </c>
      <c r="BQ423" s="3">
        <v>-602243.07700000005</v>
      </c>
      <c r="BR423" s="3">
        <v>-601163.24300000002</v>
      </c>
      <c r="BS423" s="3">
        <f t="shared" si="309"/>
        <v>-1079.8340000000317</v>
      </c>
      <c r="BT423" s="3">
        <v>-602262.36399999994</v>
      </c>
      <c r="BU423" s="3">
        <v>-601182.38500000001</v>
      </c>
      <c r="BV423" s="3">
        <f t="shared" si="310"/>
        <v>-1079.9789999999339</v>
      </c>
    </row>
    <row r="424" spans="1:74" x14ac:dyDescent="0.25">
      <c r="A424" t="s">
        <v>85</v>
      </c>
      <c r="B424" s="1" t="s">
        <v>646</v>
      </c>
      <c r="C424" s="1" t="s">
        <v>103</v>
      </c>
      <c r="D424" s="3">
        <v>1.98</v>
      </c>
      <c r="E424" s="3">
        <v>1.1000000000000001</v>
      </c>
      <c r="F424" s="3">
        <v>-1186.93</v>
      </c>
      <c r="G424" s="3">
        <v>-1193.962</v>
      </c>
      <c r="H424" s="3">
        <f t="shared" si="335"/>
        <v>-7.0319999999999254</v>
      </c>
      <c r="I424" s="3">
        <v>-0.32</v>
      </c>
      <c r="J424" s="6">
        <v>-0.22500000000000001</v>
      </c>
      <c r="K424" s="3">
        <f t="shared" si="322"/>
        <v>9.5000000000000001E-2</v>
      </c>
      <c r="L424" s="3">
        <v>0.14499999999999999</v>
      </c>
      <c r="M424" s="6">
        <v>1.6E-2</v>
      </c>
      <c r="N424" s="3">
        <f t="shared" si="323"/>
        <v>-0.129</v>
      </c>
      <c r="O424" s="3">
        <f t="shared" si="317"/>
        <v>8.7500000000000008E-2</v>
      </c>
      <c r="P424" s="3">
        <f t="shared" si="317"/>
        <v>0.10450000000000001</v>
      </c>
      <c r="Q424" s="3">
        <f t="shared" si="324"/>
        <v>1.7000000000000001E-2</v>
      </c>
      <c r="R424" s="3">
        <f t="shared" si="325"/>
        <v>0.46499999999999997</v>
      </c>
      <c r="S424" s="3">
        <f t="shared" si="326"/>
        <v>0.24099999999999999</v>
      </c>
      <c r="T424" s="3">
        <f t="shared" si="327"/>
        <v>-0.22399999999999998</v>
      </c>
      <c r="U424" s="3">
        <f t="shared" si="328"/>
        <v>-8.7500000000000008E-2</v>
      </c>
      <c r="V424" s="3">
        <f t="shared" si="329"/>
        <v>-0.10450000000000001</v>
      </c>
      <c r="W424" s="3">
        <f t="shared" si="315"/>
        <v>-1.7000000000000001E-2</v>
      </c>
      <c r="X424" s="3">
        <f t="shared" si="311"/>
        <v>8.2325268817204332E-3</v>
      </c>
      <c r="Y424" s="3">
        <f t="shared" si="312"/>
        <v>2.2656120331950212E-2</v>
      </c>
      <c r="Z424" s="3">
        <f t="shared" si="330"/>
        <v>1.4423593450229779E-2</v>
      </c>
      <c r="AA424" s="3">
        <v>0.374</v>
      </c>
      <c r="AB424" s="3">
        <v>0.42399999999999999</v>
      </c>
      <c r="AC424" s="3">
        <f t="shared" si="331"/>
        <v>4.9999999999999989E-2</v>
      </c>
      <c r="AD424" s="3">
        <f>-1186.219392*627.50956</f>
        <v>-744364.00873738748</v>
      </c>
      <c r="AE424" s="3">
        <f>-1193.285352*627.50956</f>
        <v>-748797.96618796512</v>
      </c>
      <c r="AF424" s="3">
        <f t="shared" si="332"/>
        <v>-4433.95745057764</v>
      </c>
      <c r="AG424" s="3">
        <f>-1186.307928*627.50956</f>
        <v>-744419.56592379161</v>
      </c>
      <c r="AH424" s="3">
        <f>-1193.389319*627.50956</f>
        <v>-748863.20647438953</v>
      </c>
      <c r="AI424" s="3">
        <f t="shared" si="333"/>
        <v>-4443.6405505979201</v>
      </c>
      <c r="AJ424" s="3">
        <v>-0.35299999999999998</v>
      </c>
      <c r="AK424" s="3">
        <v>-0.40600000000000003</v>
      </c>
      <c r="AL424" s="3">
        <f t="shared" si="334"/>
        <v>-5.3000000000000047E-2</v>
      </c>
      <c r="AM424" s="3">
        <v>350.6968</v>
      </c>
      <c r="AN424" s="3">
        <v>535.94650000000001</v>
      </c>
      <c r="AO424" s="3">
        <v>678.38599999999997</v>
      </c>
      <c r="AP424" s="3">
        <f t="shared" si="318"/>
        <v>1.4356860207497211</v>
      </c>
      <c r="AQ424" s="3">
        <v>16.757999999999999</v>
      </c>
      <c r="AR424" s="3">
        <v>4.6029999999999998</v>
      </c>
      <c r="AS424" s="3">
        <v>-959.76900000000001</v>
      </c>
      <c r="AT424" s="3">
        <v>-958.05</v>
      </c>
      <c r="AU424" s="3">
        <f t="shared" si="299"/>
        <v>-1.7190000000000509</v>
      </c>
      <c r="AV424" s="3">
        <v>-0.317</v>
      </c>
      <c r="AW424" s="3">
        <v>-0.45</v>
      </c>
      <c r="AX424" s="3">
        <f t="shared" si="300"/>
        <v>0.13300000000000001</v>
      </c>
      <c r="AY424" s="3">
        <v>-2.4E-2</v>
      </c>
      <c r="AZ424" s="3">
        <v>0.13500000000000001</v>
      </c>
      <c r="BA424" s="3">
        <f t="shared" si="301"/>
        <v>-0.159</v>
      </c>
      <c r="BB424" s="3">
        <f t="shared" si="319"/>
        <v>0.17050000000000001</v>
      </c>
      <c r="BC424" s="3">
        <f t="shared" si="319"/>
        <v>0.1575</v>
      </c>
      <c r="BD424" s="3">
        <f t="shared" si="303"/>
        <v>1.3000000000000012E-2</v>
      </c>
      <c r="BE424" s="3">
        <f t="shared" si="320"/>
        <v>0.29299999999999998</v>
      </c>
      <c r="BF424" s="3">
        <f t="shared" si="320"/>
        <v>0.58499999999999996</v>
      </c>
      <c r="BG424" s="3">
        <f t="shared" si="305"/>
        <v>-0.29199999999999998</v>
      </c>
      <c r="BH424" s="3">
        <f t="shared" si="321"/>
        <v>-0.17050000000000001</v>
      </c>
      <c r="BI424" s="3">
        <f t="shared" si="321"/>
        <v>-0.1575</v>
      </c>
      <c r="BJ424" s="3">
        <f t="shared" si="316"/>
        <v>-1.3000000000000012E-2</v>
      </c>
      <c r="BK424" s="3">
        <f t="shared" si="313"/>
        <v>4.9607935153583631E-2</v>
      </c>
      <c r="BL424" s="3">
        <f t="shared" si="314"/>
        <v>2.120192307692308E-2</v>
      </c>
      <c r="BM424" s="3">
        <f t="shared" si="307"/>
        <v>2.8406012076660551E-2</v>
      </c>
      <c r="BN424" s="3">
        <v>2.2370000000000001</v>
      </c>
      <c r="BO424" s="3">
        <v>2.431</v>
      </c>
      <c r="BP424" s="3">
        <f t="shared" si="308"/>
        <v>-0.19399999999999995</v>
      </c>
      <c r="BQ424" s="3">
        <v>-602243.07700000005</v>
      </c>
      <c r="BR424" s="3">
        <v>-601163.24300000002</v>
      </c>
      <c r="BS424" s="3">
        <f t="shared" si="309"/>
        <v>-1079.8340000000317</v>
      </c>
      <c r="BT424" s="3">
        <v>-602262.36399999994</v>
      </c>
      <c r="BU424" s="3">
        <v>-601182.38500000001</v>
      </c>
      <c r="BV424" s="3">
        <f t="shared" si="310"/>
        <v>-1079.9789999999339</v>
      </c>
    </row>
    <row r="425" spans="1:74" x14ac:dyDescent="0.25">
      <c r="A425" t="s">
        <v>86</v>
      </c>
      <c r="B425" s="1" t="s">
        <v>646</v>
      </c>
      <c r="C425" s="1" t="s">
        <v>103</v>
      </c>
      <c r="D425" s="3">
        <v>2.04</v>
      </c>
      <c r="E425" s="3">
        <v>0.95</v>
      </c>
      <c r="F425" s="3">
        <v>-758.6</v>
      </c>
      <c r="G425" s="3">
        <v>-762.59400000000005</v>
      </c>
      <c r="H425" s="3">
        <f t="shared" si="335"/>
        <v>-3.9940000000000282</v>
      </c>
      <c r="I425" s="3">
        <v>-0.33700000000000002</v>
      </c>
      <c r="J425" s="6">
        <v>-0.24099999999999999</v>
      </c>
      <c r="K425" s="3">
        <f t="shared" si="322"/>
        <v>9.600000000000003E-2</v>
      </c>
      <c r="L425" s="3">
        <v>0.14599999999999999</v>
      </c>
      <c r="M425" s="6">
        <v>0.01</v>
      </c>
      <c r="N425" s="3">
        <f t="shared" si="323"/>
        <v>-0.13599999999999998</v>
      </c>
      <c r="O425" s="3">
        <f t="shared" si="317"/>
        <v>9.5500000000000015E-2</v>
      </c>
      <c r="P425" s="3">
        <f t="shared" si="317"/>
        <v>0.11549999999999999</v>
      </c>
      <c r="Q425" s="3">
        <f t="shared" si="324"/>
        <v>1.9999999999999976E-2</v>
      </c>
      <c r="R425" s="3">
        <f t="shared" si="325"/>
        <v>0.48299999999999998</v>
      </c>
      <c r="S425" s="3">
        <f t="shared" si="326"/>
        <v>0.251</v>
      </c>
      <c r="T425" s="3">
        <f t="shared" si="327"/>
        <v>-0.23199999999999998</v>
      </c>
      <c r="U425" s="3">
        <f t="shared" si="328"/>
        <v>-9.5500000000000015E-2</v>
      </c>
      <c r="V425" s="3">
        <f t="shared" si="329"/>
        <v>-0.11549999999999999</v>
      </c>
      <c r="W425" s="3">
        <f t="shared" si="315"/>
        <v>-1.9999999999999976E-2</v>
      </c>
      <c r="X425" s="3">
        <f t="shared" si="311"/>
        <v>9.441252587991722E-3</v>
      </c>
      <c r="Y425" s="3">
        <f t="shared" si="312"/>
        <v>2.657420318725099E-2</v>
      </c>
      <c r="Z425" s="3">
        <f t="shared" si="330"/>
        <v>1.7132950599259268E-2</v>
      </c>
      <c r="AA425" s="3">
        <v>0.86799999999999999</v>
      </c>
      <c r="AB425" s="3">
        <v>0.90500000000000003</v>
      </c>
      <c r="AC425" s="3">
        <f t="shared" si="331"/>
        <v>3.7000000000000033E-2</v>
      </c>
      <c r="AD425" s="3">
        <f>-758.208897*627.50956</f>
        <v>-475783.33134455531</v>
      </c>
      <c r="AE425" s="3">
        <f>-762.222853*627.50956</f>
        <v>-478302.12710797467</v>
      </c>
      <c r="AF425" s="3">
        <f t="shared" si="332"/>
        <v>-2518.795763419359</v>
      </c>
      <c r="AG425" s="3">
        <f>-758.267496*627.50956</f>
        <v>-475820.10277726175</v>
      </c>
      <c r="AH425" s="3">
        <f>-762.288858*627.50956</f>
        <v>-478343.54587648244</v>
      </c>
      <c r="AI425" s="3">
        <f t="shared" si="333"/>
        <v>-2523.4430992206908</v>
      </c>
      <c r="AJ425" s="3">
        <v>-0.86699999999999999</v>
      </c>
      <c r="AK425" s="3">
        <v>-0.88100000000000001</v>
      </c>
      <c r="AL425" s="3">
        <f t="shared" si="334"/>
        <v>-1.4000000000000012E-2</v>
      </c>
      <c r="AM425" s="3">
        <v>198.42</v>
      </c>
      <c r="AN425" s="3">
        <v>287.72469999999998</v>
      </c>
      <c r="AO425" s="3">
        <v>380.54169999999999</v>
      </c>
      <c r="AP425" s="3">
        <f t="shared" si="318"/>
        <v>1.1331783286637693</v>
      </c>
      <c r="AQ425" s="3">
        <v>10.84</v>
      </c>
      <c r="AR425" s="3">
        <v>2.6229</v>
      </c>
      <c r="AS425" s="3">
        <v>-959.76900000000001</v>
      </c>
      <c r="AT425" s="3">
        <v>-958.05</v>
      </c>
      <c r="AU425" s="3">
        <f t="shared" si="299"/>
        <v>-1.7190000000000509</v>
      </c>
      <c r="AV425" s="3">
        <v>-0.317</v>
      </c>
      <c r="AW425" s="3">
        <v>-0.45</v>
      </c>
      <c r="AX425" s="3">
        <f t="shared" si="300"/>
        <v>0.13300000000000001</v>
      </c>
      <c r="AY425" s="3">
        <v>-2.4E-2</v>
      </c>
      <c r="AZ425" s="3">
        <v>0.13500000000000001</v>
      </c>
      <c r="BA425" s="3">
        <f t="shared" si="301"/>
        <v>-0.159</v>
      </c>
      <c r="BB425" s="3">
        <f t="shared" si="319"/>
        <v>0.17050000000000001</v>
      </c>
      <c r="BC425" s="3">
        <f t="shared" si="319"/>
        <v>0.1575</v>
      </c>
      <c r="BD425" s="3">
        <f t="shared" si="303"/>
        <v>1.3000000000000012E-2</v>
      </c>
      <c r="BE425" s="3">
        <f t="shared" si="320"/>
        <v>0.29299999999999998</v>
      </c>
      <c r="BF425" s="3">
        <f t="shared" si="320"/>
        <v>0.58499999999999996</v>
      </c>
      <c r="BG425" s="3">
        <f t="shared" si="305"/>
        <v>-0.29199999999999998</v>
      </c>
      <c r="BH425" s="3">
        <f t="shared" si="321"/>
        <v>-0.17050000000000001</v>
      </c>
      <c r="BI425" s="3">
        <f t="shared" si="321"/>
        <v>-0.1575</v>
      </c>
      <c r="BJ425" s="3">
        <f t="shared" si="316"/>
        <v>-1.3000000000000012E-2</v>
      </c>
      <c r="BK425" s="3">
        <f t="shared" si="313"/>
        <v>4.9607935153583631E-2</v>
      </c>
      <c r="BL425" s="3">
        <f t="shared" si="314"/>
        <v>2.120192307692308E-2</v>
      </c>
      <c r="BM425" s="3">
        <f t="shared" si="307"/>
        <v>2.8406012076660551E-2</v>
      </c>
      <c r="BN425" s="3">
        <v>2.2370000000000001</v>
      </c>
      <c r="BO425" s="3">
        <v>2.431</v>
      </c>
      <c r="BP425" s="3">
        <f t="shared" si="308"/>
        <v>-0.19399999999999995</v>
      </c>
      <c r="BQ425" s="3">
        <v>-602243.07700000005</v>
      </c>
      <c r="BR425" s="3">
        <v>-601163.24300000002</v>
      </c>
      <c r="BS425" s="3">
        <f t="shared" si="309"/>
        <v>-1079.8340000000317</v>
      </c>
      <c r="BT425" s="3">
        <v>-602262.36399999994</v>
      </c>
      <c r="BU425" s="3">
        <v>-601182.38500000001</v>
      </c>
      <c r="BV425" s="3">
        <f t="shared" si="310"/>
        <v>-1079.9789999999339</v>
      </c>
    </row>
    <row r="426" spans="1:74" x14ac:dyDescent="0.25">
      <c r="A426" t="s">
        <v>87</v>
      </c>
      <c r="B426" s="1" t="s">
        <v>646</v>
      </c>
      <c r="C426" s="1" t="s">
        <v>103</v>
      </c>
      <c r="D426" s="3">
        <v>2.09</v>
      </c>
      <c r="E426" s="3">
        <v>0.95</v>
      </c>
      <c r="F426" s="3">
        <v>-875.75300000000004</v>
      </c>
      <c r="G426" s="3">
        <v>-880.58399999999995</v>
      </c>
      <c r="H426" s="3">
        <f t="shared" si="335"/>
        <v>-4.8309999999999036</v>
      </c>
      <c r="I426" s="3">
        <v>-0.33800000000000002</v>
      </c>
      <c r="J426" s="6">
        <v>-0.24099999999999999</v>
      </c>
      <c r="K426" s="3">
        <f t="shared" si="322"/>
        <v>9.7000000000000031E-2</v>
      </c>
      <c r="L426" s="3">
        <v>0.14699999999999999</v>
      </c>
      <c r="M426" s="6">
        <v>1.0999999999999999E-2</v>
      </c>
      <c r="N426" s="3">
        <f t="shared" si="323"/>
        <v>-0.13599999999999998</v>
      </c>
      <c r="O426" s="3">
        <f t="shared" si="317"/>
        <v>9.5500000000000015E-2</v>
      </c>
      <c r="P426" s="3">
        <f t="shared" si="317"/>
        <v>0.11499999999999999</v>
      </c>
      <c r="Q426" s="3">
        <f t="shared" si="324"/>
        <v>1.9499999999999976E-2</v>
      </c>
      <c r="R426" s="3">
        <f t="shared" si="325"/>
        <v>0.48499999999999999</v>
      </c>
      <c r="S426" s="3">
        <f t="shared" si="326"/>
        <v>0.252</v>
      </c>
      <c r="T426" s="3">
        <f t="shared" si="327"/>
        <v>-0.23299999999999998</v>
      </c>
      <c r="U426" s="3">
        <f t="shared" si="328"/>
        <v>-9.5500000000000015E-2</v>
      </c>
      <c r="V426" s="3">
        <f t="shared" si="329"/>
        <v>-0.11499999999999999</v>
      </c>
      <c r="W426" s="3">
        <f t="shared" si="315"/>
        <v>-1.9499999999999976E-2</v>
      </c>
      <c r="X426" s="3">
        <f t="shared" si="311"/>
        <v>9.4023195876288702E-3</v>
      </c>
      <c r="Y426" s="3">
        <f t="shared" si="312"/>
        <v>2.6240079365079359E-2</v>
      </c>
      <c r="Z426" s="3">
        <f t="shared" si="330"/>
        <v>1.6837759777450487E-2</v>
      </c>
      <c r="AA426" s="3">
        <v>0.81499999999999995</v>
      </c>
      <c r="AB426" s="3">
        <v>0.86099999999999999</v>
      </c>
      <c r="AC426" s="3">
        <f t="shared" si="331"/>
        <v>4.6000000000000041E-2</v>
      </c>
      <c r="AD426" s="3">
        <f>-875.26852*627.50956</f>
        <v>-549239.3638670512</v>
      </c>
      <c r="AE426" s="3">
        <f>-880.123641*627.50956</f>
        <v>-552285.99870950799</v>
      </c>
      <c r="AF426" s="3">
        <f t="shared" si="332"/>
        <v>-3046.6348424567841</v>
      </c>
      <c r="AG426" s="3">
        <f>-875.337989*627.50956</f>
        <v>-549282.9563286748</v>
      </c>
      <c r="AH426" s="3">
        <f>-880.204012*627.50956</f>
        <v>-552336.43228035467</v>
      </c>
      <c r="AI426" s="3">
        <f t="shared" si="333"/>
        <v>-3053.4759516798658</v>
      </c>
      <c r="AJ426" s="3">
        <v>-0.83799999999999997</v>
      </c>
      <c r="AK426" s="3">
        <v>-0.85199999999999998</v>
      </c>
      <c r="AL426" s="3">
        <f t="shared" si="334"/>
        <v>-1.4000000000000012E-2</v>
      </c>
      <c r="AM426" s="3">
        <v>240.5</v>
      </c>
      <c r="AN426" s="3">
        <v>388.34559999999999</v>
      </c>
      <c r="AO426" s="3">
        <v>477.54199999999997</v>
      </c>
      <c r="AP426" s="3">
        <f t="shared" si="318"/>
        <v>1.31461915701349</v>
      </c>
      <c r="AQ426" s="3">
        <v>13.429</v>
      </c>
      <c r="AR426" s="3">
        <v>3.4409999999999998</v>
      </c>
      <c r="AS426" s="3">
        <v>-959.76900000000001</v>
      </c>
      <c r="AT426" s="3">
        <v>-958.05</v>
      </c>
      <c r="AU426" s="3">
        <f t="shared" si="299"/>
        <v>-1.7190000000000509</v>
      </c>
      <c r="AV426" s="3">
        <v>-0.317</v>
      </c>
      <c r="AW426" s="3">
        <v>-0.45</v>
      </c>
      <c r="AX426" s="3">
        <f t="shared" si="300"/>
        <v>0.13300000000000001</v>
      </c>
      <c r="AY426" s="3">
        <v>-2.4E-2</v>
      </c>
      <c r="AZ426" s="3">
        <v>0.13500000000000001</v>
      </c>
      <c r="BA426" s="3">
        <f t="shared" si="301"/>
        <v>-0.159</v>
      </c>
      <c r="BB426" s="3">
        <f t="shared" si="319"/>
        <v>0.17050000000000001</v>
      </c>
      <c r="BC426" s="3">
        <f t="shared" si="319"/>
        <v>0.1575</v>
      </c>
      <c r="BD426" s="3">
        <f t="shared" si="303"/>
        <v>1.3000000000000012E-2</v>
      </c>
      <c r="BE426" s="3">
        <f t="shared" si="320"/>
        <v>0.29299999999999998</v>
      </c>
      <c r="BF426" s="3">
        <f t="shared" si="320"/>
        <v>0.58499999999999996</v>
      </c>
      <c r="BG426" s="3">
        <f t="shared" si="305"/>
        <v>-0.29199999999999998</v>
      </c>
      <c r="BH426" s="3">
        <f t="shared" si="321"/>
        <v>-0.17050000000000001</v>
      </c>
      <c r="BI426" s="3">
        <f t="shared" si="321"/>
        <v>-0.1575</v>
      </c>
      <c r="BJ426" s="3">
        <f t="shared" si="316"/>
        <v>-1.3000000000000012E-2</v>
      </c>
      <c r="BK426" s="3">
        <f t="shared" si="313"/>
        <v>4.9607935153583631E-2</v>
      </c>
      <c r="BL426" s="3">
        <f t="shared" si="314"/>
        <v>2.120192307692308E-2</v>
      </c>
      <c r="BM426" s="3">
        <f t="shared" si="307"/>
        <v>2.8406012076660551E-2</v>
      </c>
      <c r="BN426" s="3">
        <v>2.2370000000000001</v>
      </c>
      <c r="BO426" s="3">
        <v>2.431</v>
      </c>
      <c r="BP426" s="3">
        <f t="shared" si="308"/>
        <v>-0.19399999999999995</v>
      </c>
      <c r="BQ426" s="3">
        <v>-602243.07700000005</v>
      </c>
      <c r="BR426" s="3">
        <v>-601163.24300000002</v>
      </c>
      <c r="BS426" s="3">
        <f t="shared" si="309"/>
        <v>-1079.8340000000317</v>
      </c>
      <c r="BT426" s="3">
        <v>-602262.36399999994</v>
      </c>
      <c r="BU426" s="3">
        <v>-601182.38500000001</v>
      </c>
      <c r="BV426" s="3">
        <f t="shared" si="310"/>
        <v>-1079.9789999999339</v>
      </c>
    </row>
    <row r="427" spans="1:74" x14ac:dyDescent="0.25">
      <c r="A427" t="s">
        <v>88</v>
      </c>
      <c r="B427" s="1" t="s">
        <v>646</v>
      </c>
      <c r="C427" s="1" t="s">
        <v>103</v>
      </c>
      <c r="D427" s="3">
        <v>2.11</v>
      </c>
      <c r="E427" s="3">
        <v>0.95</v>
      </c>
      <c r="F427" s="3">
        <v>-1110.0129999999999</v>
      </c>
      <c r="G427" s="3">
        <v>-1116.527</v>
      </c>
      <c r="H427" s="3">
        <f t="shared" si="335"/>
        <v>-6.5140000000001237</v>
      </c>
      <c r="I427" s="3">
        <v>-0.33800000000000002</v>
      </c>
      <c r="J427" s="6">
        <v>-0.24099999999999999</v>
      </c>
      <c r="K427" s="3">
        <f t="shared" si="322"/>
        <v>9.7000000000000031E-2</v>
      </c>
      <c r="L427" s="3">
        <v>0.14799999999999999</v>
      </c>
      <c r="M427" s="6">
        <v>1.0999999999999999E-2</v>
      </c>
      <c r="N427" s="3">
        <f t="shared" si="323"/>
        <v>-0.13699999999999998</v>
      </c>
      <c r="O427" s="3">
        <f t="shared" si="317"/>
        <v>9.5000000000000015E-2</v>
      </c>
      <c r="P427" s="3">
        <f t="shared" si="317"/>
        <v>0.11499999999999999</v>
      </c>
      <c r="Q427" s="3">
        <f t="shared" si="324"/>
        <v>1.9999999999999976E-2</v>
      </c>
      <c r="R427" s="3">
        <f t="shared" si="325"/>
        <v>0.48599999999999999</v>
      </c>
      <c r="S427" s="3">
        <f t="shared" si="326"/>
        <v>0.252</v>
      </c>
      <c r="T427" s="3">
        <f t="shared" si="327"/>
        <v>-0.23399999999999999</v>
      </c>
      <c r="U427" s="3">
        <f t="shared" si="328"/>
        <v>-9.5000000000000015E-2</v>
      </c>
      <c r="V427" s="3">
        <f t="shared" si="329"/>
        <v>-0.11499999999999999</v>
      </c>
      <c r="W427" s="3">
        <f t="shared" si="315"/>
        <v>-1.9999999999999976E-2</v>
      </c>
      <c r="X427" s="3">
        <f t="shared" si="311"/>
        <v>9.2849794238683159E-3</v>
      </c>
      <c r="Y427" s="3">
        <f t="shared" si="312"/>
        <v>2.6240079365079359E-2</v>
      </c>
      <c r="Z427" s="3">
        <f t="shared" si="330"/>
        <v>1.6955099941211041E-2</v>
      </c>
      <c r="AA427" s="3">
        <v>0.95299999999999996</v>
      </c>
      <c r="AB427" s="3">
        <v>1.014</v>
      </c>
      <c r="AC427" s="3">
        <f t="shared" si="331"/>
        <v>6.1000000000000054E-2</v>
      </c>
      <c r="AD427" s="3">
        <f>-1109.34123*627.50956</f>
        <v>-696122.22712715878</v>
      </c>
      <c r="AE427" s="3">
        <f>-1115.888105*627.50956</f>
        <v>-700230.45377778378</v>
      </c>
      <c r="AF427" s="3">
        <f t="shared" si="332"/>
        <v>-4108.2266506250016</v>
      </c>
      <c r="AG427" s="3">
        <f>-1109.427558*627.50956</f>
        <v>-696176.39877245447</v>
      </c>
      <c r="AH427" s="3">
        <f>-1115.989274*627.50956</f>
        <v>-700293.93829245947</v>
      </c>
      <c r="AI427" s="3">
        <f t="shared" si="333"/>
        <v>-4117.539520004997</v>
      </c>
      <c r="AJ427" s="3">
        <v>-0.83799999999999997</v>
      </c>
      <c r="AK427" s="3">
        <v>-0.85199999999999998</v>
      </c>
      <c r="AL427" s="3">
        <f t="shared" si="334"/>
        <v>-1.4000000000000012E-2</v>
      </c>
      <c r="AM427" s="3">
        <v>324.65949999999998</v>
      </c>
      <c r="AN427" s="3">
        <v>517.92200000000003</v>
      </c>
      <c r="AO427" s="3">
        <v>643.79300000000001</v>
      </c>
      <c r="AP427" s="3">
        <f t="shared" si="318"/>
        <v>1.4366670875458361</v>
      </c>
      <c r="AQ427" s="3">
        <v>16.138999999999999</v>
      </c>
      <c r="AR427" s="3">
        <v>4.4802</v>
      </c>
      <c r="AS427" s="3">
        <v>-959.76900000000001</v>
      </c>
      <c r="AT427" s="3">
        <v>-958.05</v>
      </c>
      <c r="AU427" s="3">
        <f t="shared" si="299"/>
        <v>-1.7190000000000509</v>
      </c>
      <c r="AV427" s="3">
        <v>-0.317</v>
      </c>
      <c r="AW427" s="3">
        <v>-0.45</v>
      </c>
      <c r="AX427" s="3">
        <f t="shared" si="300"/>
        <v>0.13300000000000001</v>
      </c>
      <c r="AY427" s="3">
        <v>-2.4E-2</v>
      </c>
      <c r="AZ427" s="3">
        <v>0.13500000000000001</v>
      </c>
      <c r="BA427" s="3">
        <f t="shared" si="301"/>
        <v>-0.159</v>
      </c>
      <c r="BB427" s="3">
        <f t="shared" si="319"/>
        <v>0.17050000000000001</v>
      </c>
      <c r="BC427" s="3">
        <f t="shared" si="319"/>
        <v>0.1575</v>
      </c>
      <c r="BD427" s="3">
        <f t="shared" si="303"/>
        <v>1.3000000000000012E-2</v>
      </c>
      <c r="BE427" s="3">
        <f t="shared" si="320"/>
        <v>0.29299999999999998</v>
      </c>
      <c r="BF427" s="3">
        <f t="shared" si="320"/>
        <v>0.58499999999999996</v>
      </c>
      <c r="BG427" s="3">
        <f t="shared" si="305"/>
        <v>-0.29199999999999998</v>
      </c>
      <c r="BH427" s="3">
        <f t="shared" si="321"/>
        <v>-0.17050000000000001</v>
      </c>
      <c r="BI427" s="3">
        <f t="shared" si="321"/>
        <v>-0.1575</v>
      </c>
      <c r="BJ427" s="3">
        <f t="shared" si="316"/>
        <v>-1.3000000000000012E-2</v>
      </c>
      <c r="BK427" s="3">
        <f t="shared" si="313"/>
        <v>4.9607935153583631E-2</v>
      </c>
      <c r="BL427" s="3">
        <f t="shared" si="314"/>
        <v>2.120192307692308E-2</v>
      </c>
      <c r="BM427" s="3">
        <f t="shared" si="307"/>
        <v>2.8406012076660551E-2</v>
      </c>
      <c r="BN427" s="3">
        <v>2.2370000000000001</v>
      </c>
      <c r="BO427" s="3">
        <v>2.431</v>
      </c>
      <c r="BP427" s="3">
        <f t="shared" si="308"/>
        <v>-0.19399999999999995</v>
      </c>
      <c r="BQ427" s="3">
        <v>-602243.07700000005</v>
      </c>
      <c r="BR427" s="3">
        <v>-601163.24300000002</v>
      </c>
      <c r="BS427" s="3">
        <f t="shared" si="309"/>
        <v>-1079.8340000000317</v>
      </c>
      <c r="BT427" s="3">
        <v>-602262.36399999994</v>
      </c>
      <c r="BU427" s="3">
        <v>-601182.38500000001</v>
      </c>
      <c r="BV427" s="3">
        <f t="shared" si="310"/>
        <v>-1079.9789999999339</v>
      </c>
    </row>
    <row r="428" spans="1:74" x14ac:dyDescent="0.25">
      <c r="A428" t="s">
        <v>89</v>
      </c>
      <c r="B428" s="1" t="s">
        <v>646</v>
      </c>
      <c r="C428" s="1" t="s">
        <v>103</v>
      </c>
      <c r="D428" s="3">
        <v>2.16</v>
      </c>
      <c r="E428" s="3">
        <v>1.1000000000000001</v>
      </c>
      <c r="F428" s="3">
        <v>-635.96400000000006</v>
      </c>
      <c r="G428" s="3">
        <v>-638.83100000000002</v>
      </c>
      <c r="H428" s="3">
        <f t="shared" si="335"/>
        <v>-2.8669999999999618</v>
      </c>
      <c r="I428" s="3">
        <v>-0.31900000000000001</v>
      </c>
      <c r="J428" s="6">
        <v>-0.23200000000000001</v>
      </c>
      <c r="K428" s="3">
        <f t="shared" si="322"/>
        <v>8.6999999999999994E-2</v>
      </c>
      <c r="L428" s="3">
        <v>0.14299999999999999</v>
      </c>
      <c r="M428" s="6">
        <v>-6.0000000000000001E-3</v>
      </c>
      <c r="N428" s="3">
        <f t="shared" si="323"/>
        <v>-0.14899999999999999</v>
      </c>
      <c r="O428" s="3">
        <f t="shared" si="317"/>
        <v>8.8000000000000009E-2</v>
      </c>
      <c r="P428" s="3">
        <f t="shared" si="317"/>
        <v>0.11900000000000001</v>
      </c>
      <c r="Q428" s="3">
        <f t="shared" si="324"/>
        <v>3.1E-2</v>
      </c>
      <c r="R428" s="3">
        <f t="shared" si="325"/>
        <v>0.46199999999999997</v>
      </c>
      <c r="S428" s="3">
        <f t="shared" si="326"/>
        <v>0.22600000000000001</v>
      </c>
      <c r="T428" s="3">
        <f t="shared" si="327"/>
        <v>-0.23599999999999996</v>
      </c>
      <c r="U428" s="3">
        <f t="shared" si="328"/>
        <v>-8.8000000000000009E-2</v>
      </c>
      <c r="V428" s="3">
        <f t="shared" si="329"/>
        <v>-0.11900000000000001</v>
      </c>
      <c r="W428" s="3">
        <f t="shared" si="315"/>
        <v>-3.1E-2</v>
      </c>
      <c r="X428" s="3">
        <f t="shared" si="311"/>
        <v>8.380952380952383E-3</v>
      </c>
      <c r="Y428" s="3">
        <f t="shared" si="312"/>
        <v>3.1329646017699116E-2</v>
      </c>
      <c r="Z428" s="3">
        <f t="shared" si="330"/>
        <v>2.2948693636746731E-2</v>
      </c>
      <c r="AA428" s="3">
        <v>0.79</v>
      </c>
      <c r="AB428" s="3">
        <v>0.70099999999999996</v>
      </c>
      <c r="AC428" s="3">
        <f t="shared" si="331"/>
        <v>-8.9000000000000079E-2</v>
      </c>
      <c r="AD428" s="3">
        <f>-635.770922*627.50956</f>
        <v>-398952.33152501431</v>
      </c>
      <c r="AE428" s="3">
        <f>-638.647911*627.50956</f>
        <v>-400757.66962652915</v>
      </c>
      <c r="AF428" s="3">
        <f t="shared" si="332"/>
        <v>-1805.3381015148479</v>
      </c>
      <c r="AG428" s="3">
        <f>-635.819547*627.50956</f>
        <v>-398982.84417736932</v>
      </c>
      <c r="AH428" s="3">
        <f>-638.697954*627.50956</f>
        <v>-400789.07208744023</v>
      </c>
      <c r="AI428" s="3">
        <f t="shared" si="333"/>
        <v>-1806.2279100709129</v>
      </c>
      <c r="AJ428" s="3">
        <v>-0.32100000000000001</v>
      </c>
      <c r="AK428" s="3">
        <v>-0.316</v>
      </c>
      <c r="AL428" s="3">
        <f t="shared" si="334"/>
        <v>5.0000000000000044E-3</v>
      </c>
      <c r="AM428" s="3">
        <v>140.25507999999999</v>
      </c>
      <c r="AN428" s="3">
        <v>220.00389999999999</v>
      </c>
      <c r="AO428" s="3">
        <v>240.92585</v>
      </c>
      <c r="AP428" s="3">
        <f t="shared" si="318"/>
        <v>1.1751610720644303</v>
      </c>
      <c r="AQ428" s="3">
        <v>9.5909999999999993</v>
      </c>
      <c r="AR428" s="3">
        <v>2.22627</v>
      </c>
      <c r="AS428" s="3">
        <v>-959.76900000000001</v>
      </c>
      <c r="AT428" s="3">
        <v>-958.05</v>
      </c>
      <c r="AU428" s="3">
        <f t="shared" si="299"/>
        <v>-1.7190000000000509</v>
      </c>
      <c r="AV428" s="3">
        <v>-0.317</v>
      </c>
      <c r="AW428" s="3">
        <v>-0.45</v>
      </c>
      <c r="AX428" s="3">
        <f t="shared" si="300"/>
        <v>0.13300000000000001</v>
      </c>
      <c r="AY428" s="3">
        <v>-2.4E-2</v>
      </c>
      <c r="AZ428" s="3">
        <v>0.13500000000000001</v>
      </c>
      <c r="BA428" s="3">
        <f t="shared" si="301"/>
        <v>-0.159</v>
      </c>
      <c r="BB428" s="3">
        <f t="shared" si="319"/>
        <v>0.17050000000000001</v>
      </c>
      <c r="BC428" s="3">
        <f t="shared" si="319"/>
        <v>0.1575</v>
      </c>
      <c r="BD428" s="3">
        <f t="shared" si="303"/>
        <v>1.3000000000000012E-2</v>
      </c>
      <c r="BE428" s="3">
        <f t="shared" si="320"/>
        <v>0.29299999999999998</v>
      </c>
      <c r="BF428" s="3">
        <f t="shared" si="320"/>
        <v>0.58499999999999996</v>
      </c>
      <c r="BG428" s="3">
        <f t="shared" si="305"/>
        <v>-0.29199999999999998</v>
      </c>
      <c r="BH428" s="3">
        <f t="shared" si="321"/>
        <v>-0.17050000000000001</v>
      </c>
      <c r="BI428" s="3">
        <f t="shared" si="321"/>
        <v>-0.1575</v>
      </c>
      <c r="BJ428" s="3">
        <f t="shared" si="316"/>
        <v>-1.3000000000000012E-2</v>
      </c>
      <c r="BK428" s="3">
        <f t="shared" si="313"/>
        <v>4.9607935153583631E-2</v>
      </c>
      <c r="BL428" s="3">
        <f t="shared" si="314"/>
        <v>2.120192307692308E-2</v>
      </c>
      <c r="BM428" s="3">
        <f t="shared" si="307"/>
        <v>2.8406012076660551E-2</v>
      </c>
      <c r="BN428" s="3">
        <v>2.2370000000000001</v>
      </c>
      <c r="BO428" s="3">
        <v>2.431</v>
      </c>
      <c r="BP428" s="3">
        <f t="shared" si="308"/>
        <v>-0.19399999999999995</v>
      </c>
      <c r="BQ428" s="3">
        <v>-602243.07700000005</v>
      </c>
      <c r="BR428" s="3">
        <v>-601163.24300000002</v>
      </c>
      <c r="BS428" s="3">
        <f t="shared" si="309"/>
        <v>-1079.8340000000317</v>
      </c>
      <c r="BT428" s="3">
        <v>-602262.36399999994</v>
      </c>
      <c r="BU428" s="3">
        <v>-601182.38500000001</v>
      </c>
      <c r="BV428" s="3">
        <f t="shared" si="310"/>
        <v>-1079.9789999999339</v>
      </c>
    </row>
    <row r="429" spans="1:74" x14ac:dyDescent="0.25">
      <c r="A429" t="s">
        <v>90</v>
      </c>
      <c r="B429" s="1" t="s">
        <v>646</v>
      </c>
      <c r="C429" s="1" t="s">
        <v>103</v>
      </c>
      <c r="D429" s="3">
        <v>2.2000000000000002</v>
      </c>
      <c r="E429" s="3">
        <v>1.1000000000000001</v>
      </c>
      <c r="F429" s="3">
        <v>-753.08</v>
      </c>
      <c r="G429" s="3">
        <v>-756.78899999999999</v>
      </c>
      <c r="H429" s="3">
        <f t="shared" si="335"/>
        <v>-3.7089999999999463</v>
      </c>
      <c r="I429" s="3">
        <v>-0.318</v>
      </c>
      <c r="J429" s="6">
        <v>-0.23100000000000001</v>
      </c>
      <c r="K429" s="3">
        <f t="shared" si="322"/>
        <v>8.6999999999999994E-2</v>
      </c>
      <c r="L429" s="3">
        <v>0.14000000000000001</v>
      </c>
      <c r="M429" s="6">
        <v>-6.0000000000000001E-3</v>
      </c>
      <c r="N429" s="3">
        <f t="shared" si="323"/>
        <v>-0.14600000000000002</v>
      </c>
      <c r="O429" s="3">
        <f t="shared" si="317"/>
        <v>8.8999999999999996E-2</v>
      </c>
      <c r="P429" s="3">
        <f t="shared" si="317"/>
        <v>0.11850000000000001</v>
      </c>
      <c r="Q429" s="3">
        <f t="shared" si="324"/>
        <v>2.9500000000000012E-2</v>
      </c>
      <c r="R429" s="3">
        <f t="shared" si="325"/>
        <v>0.45800000000000002</v>
      </c>
      <c r="S429" s="3">
        <f t="shared" si="326"/>
        <v>0.22500000000000001</v>
      </c>
      <c r="T429" s="3">
        <f t="shared" si="327"/>
        <v>-0.23300000000000001</v>
      </c>
      <c r="U429" s="3">
        <f t="shared" si="328"/>
        <v>-8.8999999999999996E-2</v>
      </c>
      <c r="V429" s="3">
        <f t="shared" si="329"/>
        <v>-0.11850000000000001</v>
      </c>
      <c r="W429" s="3">
        <f t="shared" si="315"/>
        <v>-2.9500000000000012E-2</v>
      </c>
      <c r="X429" s="3">
        <f t="shared" si="311"/>
        <v>8.6473799126637538E-3</v>
      </c>
      <c r="Y429" s="3">
        <f t="shared" si="312"/>
        <v>3.1205000000000004E-2</v>
      </c>
      <c r="Z429" s="3">
        <f t="shared" si="330"/>
        <v>2.255762008733625E-2</v>
      </c>
      <c r="AA429" s="3">
        <v>0.77100000000000002</v>
      </c>
      <c r="AB429" s="3">
        <v>0.69199999999999995</v>
      </c>
      <c r="AC429" s="3">
        <f t="shared" si="331"/>
        <v>-7.900000000000007E-2</v>
      </c>
      <c r="AD429" s="3">
        <f>-752.791165*627.50956</f>
        <v>-472383.65272103733</v>
      </c>
      <c r="AE429" s="3">
        <f>-756.515579*627.50956</f>
        <v>-474720.75811143522</v>
      </c>
      <c r="AF429" s="3">
        <f t="shared" si="332"/>
        <v>-2337.10539039789</v>
      </c>
      <c r="AG429" s="3">
        <f>-752.849565*627.50956</f>
        <v>-472420.29927934136</v>
      </c>
      <c r="AH429" s="3">
        <f>-756.575723*627.50956</f>
        <v>-474758.49904641189</v>
      </c>
      <c r="AI429" s="3">
        <f t="shared" si="333"/>
        <v>-2338.1997670705314</v>
      </c>
      <c r="AJ429" s="3">
        <v>-0.32</v>
      </c>
      <c r="AK429" s="3">
        <v>-0.315</v>
      </c>
      <c r="AL429" s="3">
        <f t="shared" si="334"/>
        <v>5.0000000000000044E-3</v>
      </c>
      <c r="AM429" s="3">
        <v>182.33482000000001</v>
      </c>
      <c r="AN429" s="3">
        <v>269.1893</v>
      </c>
      <c r="AO429" s="3">
        <v>321.18279999999999</v>
      </c>
      <c r="AP429" s="3">
        <f t="shared" si="318"/>
        <v>1.1870769994630677</v>
      </c>
      <c r="AQ429" s="3">
        <v>10.736000000000001</v>
      </c>
      <c r="AR429" s="3">
        <v>2.5683150000000001</v>
      </c>
      <c r="AS429" s="3">
        <v>-959.76900000000001</v>
      </c>
      <c r="AT429" s="3">
        <v>-958.05</v>
      </c>
      <c r="AU429" s="3">
        <f t="shared" si="299"/>
        <v>-1.7190000000000509</v>
      </c>
      <c r="AV429" s="3">
        <v>-0.317</v>
      </c>
      <c r="AW429" s="3">
        <v>-0.45</v>
      </c>
      <c r="AX429" s="3">
        <f t="shared" si="300"/>
        <v>0.13300000000000001</v>
      </c>
      <c r="AY429" s="3">
        <v>-2.4E-2</v>
      </c>
      <c r="AZ429" s="3">
        <v>0.13500000000000001</v>
      </c>
      <c r="BA429" s="3">
        <f t="shared" si="301"/>
        <v>-0.159</v>
      </c>
      <c r="BB429" s="3">
        <f t="shared" ref="BB429:BC444" si="336">-(AV429+AY429)/2</f>
        <v>0.17050000000000001</v>
      </c>
      <c r="BC429" s="3">
        <f t="shared" si="336"/>
        <v>0.1575</v>
      </c>
      <c r="BD429" s="3">
        <f t="shared" si="303"/>
        <v>1.3000000000000012E-2</v>
      </c>
      <c r="BE429" s="3">
        <f t="shared" ref="BE429:BF444" si="337">AY429-AV429</f>
        <v>0.29299999999999998</v>
      </c>
      <c r="BF429" s="3">
        <f t="shared" si="337"/>
        <v>0.58499999999999996</v>
      </c>
      <c r="BG429" s="3">
        <f t="shared" si="305"/>
        <v>-0.29199999999999998</v>
      </c>
      <c r="BH429" s="3">
        <f t="shared" ref="BH429:BI444" si="338">(AV429+AY429)/2</f>
        <v>-0.17050000000000001</v>
      </c>
      <c r="BI429" s="3">
        <f t="shared" si="338"/>
        <v>-0.1575</v>
      </c>
      <c r="BJ429" s="3">
        <f t="shared" si="316"/>
        <v>-1.3000000000000012E-2</v>
      </c>
      <c r="BK429" s="3">
        <f t="shared" si="313"/>
        <v>4.9607935153583631E-2</v>
      </c>
      <c r="BL429" s="3">
        <f t="shared" si="314"/>
        <v>2.120192307692308E-2</v>
      </c>
      <c r="BM429" s="3">
        <f t="shared" si="307"/>
        <v>2.8406012076660551E-2</v>
      </c>
      <c r="BN429" s="3">
        <v>2.2370000000000001</v>
      </c>
      <c r="BO429" s="3">
        <v>2.431</v>
      </c>
      <c r="BP429" s="3">
        <f t="shared" si="308"/>
        <v>-0.19399999999999995</v>
      </c>
      <c r="BQ429" s="3">
        <v>-602243.07700000005</v>
      </c>
      <c r="BR429" s="3">
        <v>-601163.24300000002</v>
      </c>
      <c r="BS429" s="3">
        <f t="shared" si="309"/>
        <v>-1079.8340000000317</v>
      </c>
      <c r="BT429" s="3">
        <v>-602262.36399999994</v>
      </c>
      <c r="BU429" s="3">
        <v>-601182.38500000001</v>
      </c>
      <c r="BV429" s="3">
        <f t="shared" si="310"/>
        <v>-1079.9789999999339</v>
      </c>
    </row>
    <row r="430" spans="1:74" x14ac:dyDescent="0.25">
      <c r="A430" t="s">
        <v>91</v>
      </c>
      <c r="B430" s="1" t="s">
        <v>646</v>
      </c>
      <c r="C430" s="1" t="s">
        <v>103</v>
      </c>
      <c r="D430" s="3">
        <v>2.2400000000000002</v>
      </c>
      <c r="E430" s="3">
        <v>0.9</v>
      </c>
      <c r="F430" s="3">
        <v>-311.154</v>
      </c>
      <c r="G430" s="3">
        <v>-313.35300000000001</v>
      </c>
      <c r="H430" s="3">
        <f t="shared" si="335"/>
        <v>-2.1990000000000123</v>
      </c>
      <c r="I430" s="3">
        <v>-0.34499999999999997</v>
      </c>
      <c r="J430" s="6">
        <v>-0.246</v>
      </c>
      <c r="K430" s="3">
        <f t="shared" si="322"/>
        <v>9.8999999999999977E-2</v>
      </c>
      <c r="L430" s="3">
        <v>0.14899999999999999</v>
      </c>
      <c r="M430" s="6">
        <v>8.9999999999999993E-3</v>
      </c>
      <c r="N430" s="3">
        <f t="shared" si="323"/>
        <v>-0.13999999999999999</v>
      </c>
      <c r="O430" s="3">
        <f t="shared" si="317"/>
        <v>9.799999999999999E-2</v>
      </c>
      <c r="P430" s="3">
        <f t="shared" si="317"/>
        <v>0.11849999999999999</v>
      </c>
      <c r="Q430" s="3">
        <f t="shared" si="324"/>
        <v>2.0500000000000004E-2</v>
      </c>
      <c r="R430" s="3">
        <f t="shared" si="325"/>
        <v>0.49399999999999999</v>
      </c>
      <c r="S430" s="3">
        <f t="shared" si="326"/>
        <v>0.255</v>
      </c>
      <c r="T430" s="3">
        <f t="shared" si="327"/>
        <v>-0.23899999999999999</v>
      </c>
      <c r="U430" s="3">
        <f t="shared" si="328"/>
        <v>-9.799999999999999E-2</v>
      </c>
      <c r="V430" s="3">
        <f t="shared" si="329"/>
        <v>-0.11849999999999999</v>
      </c>
      <c r="W430" s="3">
        <f t="shared" si="315"/>
        <v>-2.0500000000000004E-2</v>
      </c>
      <c r="X430" s="3">
        <f t="shared" si="311"/>
        <v>9.7206477732793509E-3</v>
      </c>
      <c r="Y430" s="3">
        <f t="shared" si="312"/>
        <v>2.7533823529411763E-2</v>
      </c>
      <c r="Z430" s="3">
        <f t="shared" si="330"/>
        <v>1.7813175756132414E-2</v>
      </c>
      <c r="AA430" s="3">
        <v>0.82699999999999996</v>
      </c>
      <c r="AB430" s="3">
        <v>0.80300000000000005</v>
      </c>
      <c r="AC430" s="3">
        <f t="shared" si="331"/>
        <v>-2.399999999999991E-2</v>
      </c>
      <c r="AD430" s="3">
        <f>-310.930348*627.50956</f>
        <v>-195111.76586412685</v>
      </c>
      <c r="AE430" s="3">
        <f>-313.142294*627.50956</f>
        <v>-196499.78312533064</v>
      </c>
      <c r="AF430" s="3">
        <f t="shared" si="332"/>
        <v>-1388.0172612037859</v>
      </c>
      <c r="AG430" s="3">
        <f>-310.970444*627.50956</f>
        <v>-195136.92648744461</v>
      </c>
      <c r="AH430" s="3">
        <f>-313.183358*627.50956</f>
        <v>-196525.55117790247</v>
      </c>
      <c r="AI430" s="3">
        <f t="shared" si="333"/>
        <v>-1388.6246904578584</v>
      </c>
      <c r="AJ430" s="3">
        <v>-0.36099999999999999</v>
      </c>
      <c r="AK430" s="3">
        <v>-0.41499999999999998</v>
      </c>
      <c r="AL430" s="3">
        <f t="shared" si="334"/>
        <v>-5.3999999999999992E-2</v>
      </c>
      <c r="AM430" s="3">
        <v>110.19676</v>
      </c>
      <c r="AN430" s="3">
        <v>188.93209999999999</v>
      </c>
      <c r="AO430" s="3">
        <v>213.86170000000001</v>
      </c>
      <c r="AP430" s="3">
        <f t="shared" si="318"/>
        <v>1.0926297612247349</v>
      </c>
      <c r="AQ430" s="3">
        <v>8.3000000000000007</v>
      </c>
      <c r="AR430" s="3">
        <v>1.9380906</v>
      </c>
      <c r="AS430" s="3">
        <v>-959.76900000000001</v>
      </c>
      <c r="AT430" s="3">
        <v>-958.05</v>
      </c>
      <c r="AU430" s="3">
        <f t="shared" si="299"/>
        <v>-1.7190000000000509</v>
      </c>
      <c r="AV430" s="3">
        <v>-0.317</v>
      </c>
      <c r="AW430" s="3">
        <v>-0.45</v>
      </c>
      <c r="AX430" s="3">
        <f t="shared" si="300"/>
        <v>0.13300000000000001</v>
      </c>
      <c r="AY430" s="3">
        <v>-2.4E-2</v>
      </c>
      <c r="AZ430" s="3">
        <v>0.13500000000000001</v>
      </c>
      <c r="BA430" s="3">
        <f t="shared" si="301"/>
        <v>-0.159</v>
      </c>
      <c r="BB430" s="3">
        <f t="shared" si="336"/>
        <v>0.17050000000000001</v>
      </c>
      <c r="BC430" s="3">
        <f t="shared" si="336"/>
        <v>0.1575</v>
      </c>
      <c r="BD430" s="3">
        <f t="shared" si="303"/>
        <v>1.3000000000000012E-2</v>
      </c>
      <c r="BE430" s="3">
        <f t="shared" si="337"/>
        <v>0.29299999999999998</v>
      </c>
      <c r="BF430" s="3">
        <f t="shared" si="337"/>
        <v>0.58499999999999996</v>
      </c>
      <c r="BG430" s="3">
        <f t="shared" si="305"/>
        <v>-0.29199999999999998</v>
      </c>
      <c r="BH430" s="3">
        <f t="shared" si="338"/>
        <v>-0.17050000000000001</v>
      </c>
      <c r="BI430" s="3">
        <f t="shared" si="338"/>
        <v>-0.1575</v>
      </c>
      <c r="BJ430" s="3">
        <f t="shared" si="316"/>
        <v>-1.3000000000000012E-2</v>
      </c>
      <c r="BK430" s="3">
        <f t="shared" si="313"/>
        <v>4.9607935153583631E-2</v>
      </c>
      <c r="BL430" s="3">
        <f t="shared" si="314"/>
        <v>2.120192307692308E-2</v>
      </c>
      <c r="BM430" s="3">
        <f t="shared" si="307"/>
        <v>2.8406012076660551E-2</v>
      </c>
      <c r="BN430" s="3">
        <v>2.2370000000000001</v>
      </c>
      <c r="BO430" s="3">
        <v>2.431</v>
      </c>
      <c r="BP430" s="3">
        <f t="shared" si="308"/>
        <v>-0.19399999999999995</v>
      </c>
      <c r="BQ430" s="3">
        <v>-602243.07700000005</v>
      </c>
      <c r="BR430" s="3">
        <v>-601163.24300000002</v>
      </c>
      <c r="BS430" s="3">
        <f t="shared" si="309"/>
        <v>-1079.8340000000317</v>
      </c>
      <c r="BT430" s="3">
        <v>-602262.36399999994</v>
      </c>
      <c r="BU430" s="3">
        <v>-601182.38500000001</v>
      </c>
      <c r="BV430" s="3">
        <f t="shared" si="310"/>
        <v>-1079.9789999999339</v>
      </c>
    </row>
    <row r="431" spans="1:74" x14ac:dyDescent="0.25">
      <c r="A431" t="s">
        <v>32</v>
      </c>
      <c r="B431" s="1" t="s">
        <v>646</v>
      </c>
      <c r="C431" s="1" t="s">
        <v>103</v>
      </c>
      <c r="D431" s="3">
        <v>2.2999999999999998</v>
      </c>
      <c r="E431" s="3">
        <v>1.06</v>
      </c>
      <c r="F431" s="3">
        <v>-192.839</v>
      </c>
      <c r="G431" s="3">
        <v>-194.15600000000001</v>
      </c>
      <c r="H431" s="3">
        <f t="shared" si="335"/>
        <v>-1.3170000000000073</v>
      </c>
      <c r="I431" s="3">
        <v>-0.315</v>
      </c>
      <c r="J431" s="6">
        <v>-0.22600000000000001</v>
      </c>
      <c r="K431" s="3">
        <f t="shared" si="322"/>
        <v>8.8999999999999996E-2</v>
      </c>
      <c r="L431" s="3">
        <v>0.13</v>
      </c>
      <c r="M431" s="6">
        <v>-2.4E-2</v>
      </c>
      <c r="N431" s="3">
        <f t="shared" si="323"/>
        <v>-0.154</v>
      </c>
      <c r="O431" s="3">
        <f t="shared" si="317"/>
        <v>9.2499999999999999E-2</v>
      </c>
      <c r="P431" s="3">
        <f t="shared" si="317"/>
        <v>0.125</v>
      </c>
      <c r="Q431" s="3">
        <f t="shared" si="324"/>
        <v>3.2500000000000001E-2</v>
      </c>
      <c r="R431" s="3">
        <f t="shared" si="325"/>
        <v>0.44500000000000001</v>
      </c>
      <c r="S431" s="3">
        <f t="shared" si="326"/>
        <v>0.20200000000000001</v>
      </c>
      <c r="T431" s="3">
        <f t="shared" si="327"/>
        <v>-0.24299999999999999</v>
      </c>
      <c r="U431" s="3">
        <f t="shared" si="328"/>
        <v>-9.2499999999999999E-2</v>
      </c>
      <c r="V431" s="3">
        <f t="shared" si="329"/>
        <v>-0.125</v>
      </c>
      <c r="W431" s="3">
        <f t="shared" si="315"/>
        <v>-3.2500000000000001E-2</v>
      </c>
      <c r="X431" s="3">
        <f t="shared" si="311"/>
        <v>9.6137640449438198E-3</v>
      </c>
      <c r="Y431" s="3">
        <f t="shared" si="312"/>
        <v>3.8675742574257425E-2</v>
      </c>
      <c r="Z431" s="3">
        <f t="shared" si="330"/>
        <v>2.9061978529313606E-2</v>
      </c>
      <c r="AA431" s="3">
        <v>0.48899999999999999</v>
      </c>
      <c r="AB431" s="3">
        <v>0.628</v>
      </c>
      <c r="AC431" s="3">
        <f t="shared" si="331"/>
        <v>0.13900000000000001</v>
      </c>
      <c r="AD431" s="3">
        <f>-192.736131*627.50956</f>
        <v>-120943.76475991236</v>
      </c>
      <c r="AE431" s="3">
        <f>-194.058506*627.50956</f>
        <v>-121773.56771431735</v>
      </c>
      <c r="AF431" s="3">
        <f t="shared" si="332"/>
        <v>-829.80295440499322</v>
      </c>
      <c r="AG431" s="3">
        <f>-192.767471*627.50956</f>
        <v>-120963.43090952275</v>
      </c>
      <c r="AH431" s="3">
        <f>-194.090202*627.50956</f>
        <v>-121793.45725733112</v>
      </c>
      <c r="AI431" s="3">
        <f t="shared" si="333"/>
        <v>-830.02634780836524</v>
      </c>
      <c r="AJ431" s="3">
        <v>-0.40400000000000003</v>
      </c>
      <c r="AK431" s="3">
        <v>-0.46200000000000002</v>
      </c>
      <c r="AL431" s="3">
        <f t="shared" si="334"/>
        <v>-5.7999999999999996E-2</v>
      </c>
      <c r="AM431" s="3">
        <v>66.101100000000002</v>
      </c>
      <c r="AN431" s="3">
        <v>129.68180000000001</v>
      </c>
      <c r="AO431" s="3">
        <v>124.29089999999999</v>
      </c>
      <c r="AP431" s="3">
        <f t="shared" si="318"/>
        <v>1.076900119463982</v>
      </c>
      <c r="AQ431" s="3">
        <v>6.82</v>
      </c>
      <c r="AR431" s="3">
        <v>1.3453278</v>
      </c>
      <c r="AS431" s="3">
        <v>-959.76900000000001</v>
      </c>
      <c r="AT431" s="3">
        <v>-958.05</v>
      </c>
      <c r="AU431" s="3">
        <f t="shared" si="299"/>
        <v>-1.7190000000000509</v>
      </c>
      <c r="AV431" s="3">
        <v>-0.317</v>
      </c>
      <c r="AW431" s="3">
        <v>-0.45</v>
      </c>
      <c r="AX431" s="3">
        <f t="shared" si="300"/>
        <v>0.13300000000000001</v>
      </c>
      <c r="AY431" s="3">
        <v>-2.4E-2</v>
      </c>
      <c r="AZ431" s="3">
        <v>0.13500000000000001</v>
      </c>
      <c r="BA431" s="3">
        <f t="shared" si="301"/>
        <v>-0.159</v>
      </c>
      <c r="BB431" s="3">
        <f t="shared" si="336"/>
        <v>0.17050000000000001</v>
      </c>
      <c r="BC431" s="3">
        <f t="shared" si="336"/>
        <v>0.1575</v>
      </c>
      <c r="BD431" s="3">
        <f t="shared" si="303"/>
        <v>1.3000000000000012E-2</v>
      </c>
      <c r="BE431" s="3">
        <f t="shared" si="337"/>
        <v>0.29299999999999998</v>
      </c>
      <c r="BF431" s="3">
        <f t="shared" si="337"/>
        <v>0.58499999999999996</v>
      </c>
      <c r="BG431" s="3">
        <f t="shared" si="305"/>
        <v>-0.29199999999999998</v>
      </c>
      <c r="BH431" s="3">
        <f t="shared" si="338"/>
        <v>-0.17050000000000001</v>
      </c>
      <c r="BI431" s="3">
        <f t="shared" si="338"/>
        <v>-0.1575</v>
      </c>
      <c r="BJ431" s="3">
        <f t="shared" si="316"/>
        <v>-1.3000000000000012E-2</v>
      </c>
      <c r="BK431" s="3">
        <f t="shared" si="313"/>
        <v>4.9607935153583631E-2</v>
      </c>
      <c r="BL431" s="3">
        <f t="shared" si="314"/>
        <v>2.120192307692308E-2</v>
      </c>
      <c r="BM431" s="3">
        <f t="shared" si="307"/>
        <v>2.8406012076660551E-2</v>
      </c>
      <c r="BN431" s="3">
        <v>2.2370000000000001</v>
      </c>
      <c r="BO431" s="3">
        <v>2.431</v>
      </c>
      <c r="BP431" s="3">
        <f t="shared" si="308"/>
        <v>-0.19399999999999995</v>
      </c>
      <c r="BQ431" s="3">
        <v>-602243.07700000005</v>
      </c>
      <c r="BR431" s="3">
        <v>-601163.24300000002</v>
      </c>
      <c r="BS431" s="3">
        <f t="shared" si="309"/>
        <v>-1079.8340000000317</v>
      </c>
      <c r="BT431" s="3">
        <v>-602262.36399999994</v>
      </c>
      <c r="BU431" s="3">
        <v>-601182.38500000001</v>
      </c>
      <c r="BV431" s="3">
        <f t="shared" si="310"/>
        <v>-1079.9789999999339</v>
      </c>
    </row>
    <row r="432" spans="1:74" x14ac:dyDescent="0.25">
      <c r="A432" t="s">
        <v>92</v>
      </c>
      <c r="B432" s="1" t="s">
        <v>646</v>
      </c>
      <c r="C432" s="1" t="s">
        <v>103</v>
      </c>
      <c r="D432" s="3">
        <v>2.33</v>
      </c>
      <c r="E432" s="3">
        <v>0.9</v>
      </c>
      <c r="F432" s="3">
        <v>-467.30900000000003</v>
      </c>
      <c r="G432" s="3">
        <v>-470.63499999999999</v>
      </c>
      <c r="H432" s="3">
        <f t="shared" si="335"/>
        <v>-3.325999999999965</v>
      </c>
      <c r="I432" s="3">
        <v>-0.34499999999999997</v>
      </c>
      <c r="J432" s="6">
        <v>-0.248</v>
      </c>
      <c r="K432" s="3">
        <f t="shared" si="322"/>
        <v>9.6999999999999975E-2</v>
      </c>
      <c r="L432" s="3">
        <v>0.153</v>
      </c>
      <c r="M432" s="6">
        <v>0.01</v>
      </c>
      <c r="N432" s="3">
        <f t="shared" si="323"/>
        <v>-0.14299999999999999</v>
      </c>
      <c r="O432" s="3">
        <f t="shared" si="317"/>
        <v>9.5999999999999988E-2</v>
      </c>
      <c r="P432" s="3">
        <f t="shared" si="317"/>
        <v>0.11899999999999999</v>
      </c>
      <c r="Q432" s="3">
        <f t="shared" si="324"/>
        <v>2.3000000000000007E-2</v>
      </c>
      <c r="R432" s="3">
        <f t="shared" si="325"/>
        <v>0.498</v>
      </c>
      <c r="S432" s="3">
        <f t="shared" si="326"/>
        <v>0.25800000000000001</v>
      </c>
      <c r="T432" s="3">
        <f t="shared" si="327"/>
        <v>-0.24</v>
      </c>
      <c r="U432" s="3">
        <f t="shared" si="328"/>
        <v>-9.5999999999999988E-2</v>
      </c>
      <c r="V432" s="3">
        <f t="shared" si="329"/>
        <v>-0.11899999999999999</v>
      </c>
      <c r="W432" s="3">
        <f t="shared" si="315"/>
        <v>-2.3000000000000007E-2</v>
      </c>
      <c r="X432" s="3">
        <f t="shared" si="311"/>
        <v>9.2530120481927689E-3</v>
      </c>
      <c r="Y432" s="3">
        <f t="shared" si="312"/>
        <v>2.7443798449612398E-2</v>
      </c>
      <c r="Z432" s="3">
        <f t="shared" si="330"/>
        <v>1.8190786401419627E-2</v>
      </c>
      <c r="AA432" s="3">
        <v>0.87</v>
      </c>
      <c r="AB432" s="3">
        <v>0.875</v>
      </c>
      <c r="AC432" s="3">
        <f t="shared" si="331"/>
        <v>5.0000000000000044E-3</v>
      </c>
      <c r="AD432" s="3">
        <f>-466.961004*627.50956</f>
        <v>-293022.49415719823</v>
      </c>
      <c r="AE432" s="3">
        <f>-470.304981*627.50956</f>
        <v>-295120.87169311836</v>
      </c>
      <c r="AF432" s="3">
        <f t="shared" si="332"/>
        <v>-2098.3775359201245</v>
      </c>
      <c r="AG432" s="3">
        <f>-467.008998*627.50956</f>
        <v>-293052.6108510209</v>
      </c>
      <c r="AH432" s="3">
        <f>-470.357024*627.50956</f>
        <v>-295153.52917314944</v>
      </c>
      <c r="AI432" s="3">
        <f t="shared" si="333"/>
        <v>-2100.9183221285348</v>
      </c>
      <c r="AJ432" s="3">
        <v>-0.35899999999999999</v>
      </c>
      <c r="AK432" s="3">
        <v>-0.41099999999999998</v>
      </c>
      <c r="AL432" s="3">
        <f t="shared" si="334"/>
        <v>-5.1999999999999991E-2</v>
      </c>
      <c r="AM432" s="3">
        <v>166.303</v>
      </c>
      <c r="AN432" s="3">
        <v>250.51300000000001</v>
      </c>
      <c r="AO432" s="3">
        <v>314.15280000000001</v>
      </c>
      <c r="AP432" s="3">
        <f t="shared" si="318"/>
        <v>1.1211376268967455</v>
      </c>
      <c r="AQ432" s="3">
        <v>10.178000000000001</v>
      </c>
      <c r="AR432" s="3">
        <v>2.5565000000000002</v>
      </c>
      <c r="AS432" s="3">
        <v>-959.76900000000001</v>
      </c>
      <c r="AT432" s="3">
        <v>-958.05</v>
      </c>
      <c r="AU432" s="3">
        <f t="shared" si="299"/>
        <v>-1.7190000000000509</v>
      </c>
      <c r="AV432" s="3">
        <v>-0.317</v>
      </c>
      <c r="AW432" s="3">
        <v>-0.45</v>
      </c>
      <c r="AX432" s="3">
        <f t="shared" si="300"/>
        <v>0.13300000000000001</v>
      </c>
      <c r="AY432" s="3">
        <v>-2.4E-2</v>
      </c>
      <c r="AZ432" s="3">
        <v>0.13500000000000001</v>
      </c>
      <c r="BA432" s="3">
        <f t="shared" si="301"/>
        <v>-0.159</v>
      </c>
      <c r="BB432" s="3">
        <f t="shared" si="336"/>
        <v>0.17050000000000001</v>
      </c>
      <c r="BC432" s="3">
        <f t="shared" si="336"/>
        <v>0.1575</v>
      </c>
      <c r="BD432" s="3">
        <f t="shared" si="303"/>
        <v>1.3000000000000012E-2</v>
      </c>
      <c r="BE432" s="3">
        <f t="shared" si="337"/>
        <v>0.29299999999999998</v>
      </c>
      <c r="BF432" s="3">
        <f t="shared" si="337"/>
        <v>0.58499999999999996</v>
      </c>
      <c r="BG432" s="3">
        <f t="shared" si="305"/>
        <v>-0.29199999999999998</v>
      </c>
      <c r="BH432" s="3">
        <f t="shared" si="338"/>
        <v>-0.17050000000000001</v>
      </c>
      <c r="BI432" s="3">
        <f t="shared" si="338"/>
        <v>-0.1575</v>
      </c>
      <c r="BJ432" s="3">
        <f t="shared" si="316"/>
        <v>-1.3000000000000012E-2</v>
      </c>
      <c r="BK432" s="3">
        <f t="shared" si="313"/>
        <v>4.9607935153583631E-2</v>
      </c>
      <c r="BL432" s="3">
        <f t="shared" si="314"/>
        <v>2.120192307692308E-2</v>
      </c>
      <c r="BM432" s="3">
        <f t="shared" si="307"/>
        <v>2.8406012076660551E-2</v>
      </c>
      <c r="BN432" s="3">
        <v>2.2370000000000001</v>
      </c>
      <c r="BO432" s="3">
        <v>2.431</v>
      </c>
      <c r="BP432" s="3">
        <f t="shared" si="308"/>
        <v>-0.19399999999999995</v>
      </c>
      <c r="BQ432" s="3">
        <v>-602243.07700000005</v>
      </c>
      <c r="BR432" s="3">
        <v>-601163.24300000002</v>
      </c>
      <c r="BS432" s="3">
        <f t="shared" si="309"/>
        <v>-1079.8340000000317</v>
      </c>
      <c r="BT432" s="3">
        <v>-602262.36399999994</v>
      </c>
      <c r="BU432" s="3">
        <v>-601182.38500000001</v>
      </c>
      <c r="BV432" s="3">
        <f t="shared" si="310"/>
        <v>-1079.9789999999339</v>
      </c>
    </row>
    <row r="433" spans="1:74" x14ac:dyDescent="0.25">
      <c r="A433" t="s">
        <v>93</v>
      </c>
      <c r="B433" s="1" t="s">
        <v>646</v>
      </c>
      <c r="C433" s="1" t="s">
        <v>103</v>
      </c>
      <c r="D433" s="3">
        <v>2.35</v>
      </c>
      <c r="E433" s="3">
        <v>1</v>
      </c>
      <c r="F433" s="3">
        <v>-346.702</v>
      </c>
      <c r="G433" s="3">
        <v>-349.05599999999998</v>
      </c>
      <c r="H433" s="3">
        <f t="shared" si="335"/>
        <v>-2.353999999999985</v>
      </c>
      <c r="I433" s="3">
        <v>-0.317</v>
      </c>
      <c r="J433" s="6">
        <v>-0.23499999999999999</v>
      </c>
      <c r="K433" s="3">
        <f t="shared" si="322"/>
        <v>8.2000000000000017E-2</v>
      </c>
      <c r="L433" s="3">
        <v>0.112</v>
      </c>
      <c r="M433" s="6">
        <v>-3.6999999999999998E-2</v>
      </c>
      <c r="N433" s="3">
        <f t="shared" si="323"/>
        <v>-0.14899999999999999</v>
      </c>
      <c r="O433" s="3">
        <f t="shared" si="317"/>
        <v>0.10250000000000001</v>
      </c>
      <c r="P433" s="3">
        <f t="shared" si="317"/>
        <v>0.13599999999999998</v>
      </c>
      <c r="Q433" s="3">
        <f t="shared" si="324"/>
        <v>3.3499999999999974E-2</v>
      </c>
      <c r="R433" s="3">
        <f t="shared" si="325"/>
        <v>0.42899999999999999</v>
      </c>
      <c r="S433" s="3">
        <f t="shared" si="326"/>
        <v>0.19799999999999998</v>
      </c>
      <c r="T433" s="3">
        <f t="shared" si="327"/>
        <v>-0.23100000000000001</v>
      </c>
      <c r="U433" s="3">
        <f t="shared" si="328"/>
        <v>-0.10250000000000001</v>
      </c>
      <c r="V433" s="3">
        <f t="shared" si="329"/>
        <v>-0.13599999999999998</v>
      </c>
      <c r="W433" s="3">
        <f t="shared" si="315"/>
        <v>-3.3499999999999974E-2</v>
      </c>
      <c r="X433" s="3">
        <f t="shared" si="311"/>
        <v>1.2245046620046622E-2</v>
      </c>
      <c r="Y433" s="3">
        <f t="shared" si="312"/>
        <v>4.6707070707070697E-2</v>
      </c>
      <c r="Z433" s="3">
        <f t="shared" si="330"/>
        <v>3.4462024087024076E-2</v>
      </c>
      <c r="AA433" s="3">
        <v>0.433</v>
      </c>
      <c r="AB433" s="3">
        <v>0.435</v>
      </c>
      <c r="AC433" s="3">
        <f t="shared" si="331"/>
        <v>2.0000000000000018E-3</v>
      </c>
      <c r="AD433" s="3">
        <f>-346.522105*627.50956</f>
        <v>-217445.9336388238</v>
      </c>
      <c r="AE433" s="3">
        <f>-348.886105*627.50956</f>
        <v>-218929.36623866379</v>
      </c>
      <c r="AF433" s="3">
        <f t="shared" si="332"/>
        <v>-1483.4325998399872</v>
      </c>
      <c r="AG433" s="3">
        <f>-346.563375*627.50956</f>
        <v>-217471.830958365</v>
      </c>
      <c r="AH433" s="3">
        <f>-348.928026*627.50956</f>
        <v>-218955.67206692853</v>
      </c>
      <c r="AI433" s="3">
        <f t="shared" si="333"/>
        <v>-1483.8411085635307</v>
      </c>
      <c r="AJ433" s="3">
        <v>-0.51500000000000001</v>
      </c>
      <c r="AK433" s="3">
        <v>-0.59299999999999997</v>
      </c>
      <c r="AL433" s="3">
        <f t="shared" si="334"/>
        <v>-7.7999999999999958E-2</v>
      </c>
      <c r="AM433" s="3">
        <v>118.17570000000001</v>
      </c>
      <c r="AN433" s="3">
        <v>193.56440000000001</v>
      </c>
      <c r="AO433" s="3">
        <v>207.79650000000001</v>
      </c>
      <c r="AP433" s="3">
        <f t="shared" si="318"/>
        <v>1.1410971409193127</v>
      </c>
      <c r="AQ433" s="3">
        <v>9.6820000000000004</v>
      </c>
      <c r="AR433" s="3">
        <v>2.1657199999999999</v>
      </c>
      <c r="AS433" s="3">
        <v>-959.76900000000001</v>
      </c>
      <c r="AT433" s="3">
        <v>-958.05</v>
      </c>
      <c r="AU433" s="3">
        <f t="shared" si="299"/>
        <v>-1.7190000000000509</v>
      </c>
      <c r="AV433" s="3">
        <v>-0.317</v>
      </c>
      <c r="AW433" s="3">
        <v>-0.45</v>
      </c>
      <c r="AX433" s="3">
        <f t="shared" si="300"/>
        <v>0.13300000000000001</v>
      </c>
      <c r="AY433" s="3">
        <v>-2.4E-2</v>
      </c>
      <c r="AZ433" s="3">
        <v>0.13500000000000001</v>
      </c>
      <c r="BA433" s="3">
        <f t="shared" si="301"/>
        <v>-0.159</v>
      </c>
      <c r="BB433" s="3">
        <f t="shared" si="336"/>
        <v>0.17050000000000001</v>
      </c>
      <c r="BC433" s="3">
        <f t="shared" si="336"/>
        <v>0.1575</v>
      </c>
      <c r="BD433" s="3">
        <f t="shared" si="303"/>
        <v>1.3000000000000012E-2</v>
      </c>
      <c r="BE433" s="3">
        <f t="shared" si="337"/>
        <v>0.29299999999999998</v>
      </c>
      <c r="BF433" s="3">
        <f t="shared" si="337"/>
        <v>0.58499999999999996</v>
      </c>
      <c r="BG433" s="3">
        <f t="shared" si="305"/>
        <v>-0.29199999999999998</v>
      </c>
      <c r="BH433" s="3">
        <f t="shared" si="338"/>
        <v>-0.17050000000000001</v>
      </c>
      <c r="BI433" s="3">
        <f t="shared" si="338"/>
        <v>-0.1575</v>
      </c>
      <c r="BJ433" s="3">
        <f t="shared" si="316"/>
        <v>-1.3000000000000012E-2</v>
      </c>
      <c r="BK433" s="3">
        <f t="shared" si="313"/>
        <v>4.9607935153583631E-2</v>
      </c>
      <c r="BL433" s="3">
        <f t="shared" si="314"/>
        <v>2.120192307692308E-2</v>
      </c>
      <c r="BM433" s="3">
        <f t="shared" si="307"/>
        <v>2.8406012076660551E-2</v>
      </c>
      <c r="BN433" s="3">
        <v>2.2370000000000001</v>
      </c>
      <c r="BO433" s="3">
        <v>2.431</v>
      </c>
      <c r="BP433" s="3">
        <f t="shared" si="308"/>
        <v>-0.19399999999999995</v>
      </c>
      <c r="BQ433" s="3">
        <v>-602243.07700000005</v>
      </c>
      <c r="BR433" s="3">
        <v>-601163.24300000002</v>
      </c>
      <c r="BS433" s="3">
        <f t="shared" si="309"/>
        <v>-1079.8340000000317</v>
      </c>
      <c r="BT433" s="3">
        <v>-602262.36399999994</v>
      </c>
      <c r="BU433" s="3">
        <v>-601182.38500000001</v>
      </c>
      <c r="BV433" s="3">
        <f t="shared" si="310"/>
        <v>-1079.9789999999339</v>
      </c>
    </row>
    <row r="434" spans="1:74" x14ac:dyDescent="0.25">
      <c r="A434" t="s">
        <v>94</v>
      </c>
      <c r="B434" s="1" t="s">
        <v>646</v>
      </c>
      <c r="C434" s="1" t="s">
        <v>103</v>
      </c>
      <c r="D434" s="3">
        <v>2.37</v>
      </c>
      <c r="E434" s="3">
        <v>1.1000000000000001</v>
      </c>
      <c r="F434" s="3">
        <v>-987.34100000000001</v>
      </c>
      <c r="G434" s="3">
        <v>-992.73199999999997</v>
      </c>
      <c r="H434" s="3">
        <f t="shared" si="335"/>
        <v>-5.3909999999999627</v>
      </c>
      <c r="I434" s="3">
        <v>-0.317</v>
      </c>
      <c r="J434" s="6">
        <v>-0.23</v>
      </c>
      <c r="K434" s="3">
        <f t="shared" si="322"/>
        <v>8.6999999999999994E-2</v>
      </c>
      <c r="L434" s="3">
        <v>0.14299999999999999</v>
      </c>
      <c r="M434" s="6">
        <v>-6.0000000000000001E-3</v>
      </c>
      <c r="N434" s="3">
        <f t="shared" si="323"/>
        <v>-0.14899999999999999</v>
      </c>
      <c r="O434" s="3">
        <f t="shared" si="317"/>
        <v>8.7000000000000008E-2</v>
      </c>
      <c r="P434" s="3">
        <f t="shared" si="317"/>
        <v>0.11800000000000001</v>
      </c>
      <c r="Q434" s="3">
        <f t="shared" si="324"/>
        <v>3.1E-2</v>
      </c>
      <c r="R434" s="3">
        <f t="shared" si="325"/>
        <v>0.45999999999999996</v>
      </c>
      <c r="S434" s="3">
        <f t="shared" si="326"/>
        <v>0.224</v>
      </c>
      <c r="T434" s="3">
        <f t="shared" si="327"/>
        <v>-0.23599999999999996</v>
      </c>
      <c r="U434" s="3">
        <f t="shared" si="328"/>
        <v>-8.7000000000000008E-2</v>
      </c>
      <c r="V434" s="3">
        <f t="shared" si="329"/>
        <v>-0.11800000000000001</v>
      </c>
      <c r="W434" s="3">
        <f t="shared" si="315"/>
        <v>-3.1E-2</v>
      </c>
      <c r="X434" s="3">
        <f t="shared" si="311"/>
        <v>8.2271739130434802E-3</v>
      </c>
      <c r="Y434" s="3">
        <f t="shared" si="312"/>
        <v>3.1080357142857149E-2</v>
      </c>
      <c r="Z434" s="3">
        <f t="shared" si="330"/>
        <v>2.2853183229813667E-2</v>
      </c>
      <c r="AA434" s="3">
        <v>0.71299999999999997</v>
      </c>
      <c r="AB434" s="3">
        <v>0.68100000000000005</v>
      </c>
      <c r="AC434" s="3">
        <f t="shared" si="331"/>
        <v>-3.1999999999999917E-2</v>
      </c>
      <c r="AD434" s="3">
        <f>-986.863485*627.50956</f>
        <v>-619266.27125241654</v>
      </c>
      <c r="AE434" s="3">
        <f>-992.280932*627.50956</f>
        <v>-622665.77103570988</v>
      </c>
      <c r="AF434" s="3">
        <f t="shared" si="332"/>
        <v>-3399.4997832933441</v>
      </c>
      <c r="AG434" s="3">
        <f>-986.942226*627.50956</f>
        <v>-619315.68198268057</v>
      </c>
      <c r="AH434" s="3">
        <f>-992.362348*627.50956</f>
        <v>-622716.8603540468</v>
      </c>
      <c r="AI434" s="3">
        <f t="shared" si="333"/>
        <v>-3401.1783713662298</v>
      </c>
      <c r="AJ434" s="3">
        <v>-0.27900000000000003</v>
      </c>
      <c r="AK434" s="3">
        <v>-0.314</v>
      </c>
      <c r="AL434" s="3">
        <f t="shared" si="334"/>
        <v>-3.4999999999999976E-2</v>
      </c>
      <c r="AM434" s="3">
        <v>266.49400000000003</v>
      </c>
      <c r="AN434" s="3">
        <v>391.2226</v>
      </c>
      <c r="AO434" s="3">
        <v>484.17790000000002</v>
      </c>
      <c r="AP434" s="3">
        <f t="shared" si="318"/>
        <v>1.3122298432078157</v>
      </c>
      <c r="AQ434" s="3">
        <v>13.247999999999999</v>
      </c>
      <c r="AR434" s="3">
        <v>3.4449999999999998</v>
      </c>
      <c r="AS434" s="3">
        <v>-959.76900000000001</v>
      </c>
      <c r="AT434" s="3">
        <v>-958.05</v>
      </c>
      <c r="AU434" s="3">
        <f t="shared" si="299"/>
        <v>-1.7190000000000509</v>
      </c>
      <c r="AV434" s="3">
        <v>-0.317</v>
      </c>
      <c r="AW434" s="3">
        <v>-0.45</v>
      </c>
      <c r="AX434" s="3">
        <f t="shared" si="300"/>
        <v>0.13300000000000001</v>
      </c>
      <c r="AY434" s="3">
        <v>-2.4E-2</v>
      </c>
      <c r="AZ434" s="3">
        <v>0.13500000000000001</v>
      </c>
      <c r="BA434" s="3">
        <f t="shared" si="301"/>
        <v>-0.159</v>
      </c>
      <c r="BB434" s="3">
        <f t="shared" si="336"/>
        <v>0.17050000000000001</v>
      </c>
      <c r="BC434" s="3">
        <f t="shared" si="336"/>
        <v>0.1575</v>
      </c>
      <c r="BD434" s="3">
        <f t="shared" si="303"/>
        <v>1.3000000000000012E-2</v>
      </c>
      <c r="BE434" s="3">
        <f t="shared" si="337"/>
        <v>0.29299999999999998</v>
      </c>
      <c r="BF434" s="3">
        <f t="shared" si="337"/>
        <v>0.58499999999999996</v>
      </c>
      <c r="BG434" s="3">
        <f t="shared" si="305"/>
        <v>-0.29199999999999998</v>
      </c>
      <c r="BH434" s="3">
        <f t="shared" si="338"/>
        <v>-0.17050000000000001</v>
      </c>
      <c r="BI434" s="3">
        <f t="shared" si="338"/>
        <v>-0.1575</v>
      </c>
      <c r="BJ434" s="3">
        <f t="shared" si="316"/>
        <v>-1.3000000000000012E-2</v>
      </c>
      <c r="BK434" s="3">
        <f t="shared" si="313"/>
        <v>4.9607935153583631E-2</v>
      </c>
      <c r="BL434" s="3">
        <f t="shared" si="314"/>
        <v>2.120192307692308E-2</v>
      </c>
      <c r="BM434" s="3">
        <f t="shared" si="307"/>
        <v>2.8406012076660551E-2</v>
      </c>
      <c r="BN434" s="3">
        <v>2.2370000000000001</v>
      </c>
      <c r="BO434" s="3">
        <v>2.431</v>
      </c>
      <c r="BP434" s="3">
        <f t="shared" si="308"/>
        <v>-0.19399999999999995</v>
      </c>
      <c r="BQ434" s="3">
        <v>-602243.07700000005</v>
      </c>
      <c r="BR434" s="3">
        <v>-601163.24300000002</v>
      </c>
      <c r="BS434" s="3">
        <f t="shared" si="309"/>
        <v>-1079.8340000000317</v>
      </c>
      <c r="BT434" s="3">
        <v>-602262.36399999994</v>
      </c>
      <c r="BU434" s="3">
        <v>-601182.38500000001</v>
      </c>
      <c r="BV434" s="3">
        <f t="shared" si="310"/>
        <v>-1079.9789999999339</v>
      </c>
    </row>
    <row r="435" spans="1:74" x14ac:dyDescent="0.25">
      <c r="A435" t="s">
        <v>33</v>
      </c>
      <c r="B435" s="1" t="s">
        <v>646</v>
      </c>
      <c r="C435" s="1" t="s">
        <v>103</v>
      </c>
      <c r="D435" s="3">
        <v>2.48</v>
      </c>
      <c r="E435" s="3">
        <v>1.0900000000000001</v>
      </c>
      <c r="F435" s="3">
        <v>-458.57499999999999</v>
      </c>
      <c r="G435" s="3">
        <v>-461.42099999999999</v>
      </c>
      <c r="H435" s="3">
        <f t="shared" si="335"/>
        <v>-2.8460000000000036</v>
      </c>
      <c r="I435" s="3">
        <v>-0.33</v>
      </c>
      <c r="J435" s="6">
        <v>-0.22600000000000001</v>
      </c>
      <c r="K435" s="3">
        <f t="shared" si="322"/>
        <v>0.10400000000000001</v>
      </c>
      <c r="L435" s="3">
        <v>0.128</v>
      </c>
      <c r="M435" s="6">
        <v>-1.0999999999999999E-2</v>
      </c>
      <c r="N435" s="3">
        <f t="shared" si="323"/>
        <v>-0.13900000000000001</v>
      </c>
      <c r="O435" s="3">
        <f t="shared" si="317"/>
        <v>0.10100000000000001</v>
      </c>
      <c r="P435" s="3">
        <f t="shared" si="317"/>
        <v>0.11850000000000001</v>
      </c>
      <c r="Q435" s="3">
        <f t="shared" si="324"/>
        <v>1.7500000000000002E-2</v>
      </c>
      <c r="R435" s="3">
        <f t="shared" si="325"/>
        <v>0.45800000000000002</v>
      </c>
      <c r="S435" s="3">
        <f t="shared" si="326"/>
        <v>0.215</v>
      </c>
      <c r="T435" s="3">
        <f t="shared" si="327"/>
        <v>-0.24300000000000002</v>
      </c>
      <c r="U435" s="3">
        <f t="shared" si="328"/>
        <v>-0.10100000000000001</v>
      </c>
      <c r="V435" s="3">
        <f t="shared" si="329"/>
        <v>-0.11850000000000001</v>
      </c>
      <c r="W435" s="3">
        <f t="shared" si="315"/>
        <v>-1.7500000000000002E-2</v>
      </c>
      <c r="X435" s="3">
        <f t="shared" si="311"/>
        <v>1.1136462882096071E-2</v>
      </c>
      <c r="Y435" s="3">
        <f t="shared" si="312"/>
        <v>3.2656395348837214E-2</v>
      </c>
      <c r="Z435" s="3">
        <f t="shared" si="330"/>
        <v>2.1519932466741144E-2</v>
      </c>
      <c r="AA435" s="3">
        <v>0.30299999999999999</v>
      </c>
      <c r="AB435" s="3">
        <v>2.177</v>
      </c>
      <c r="AC435" s="3">
        <f t="shared" si="331"/>
        <v>1.8740000000000001</v>
      </c>
      <c r="AD435" s="3">
        <f>-458.38899*627.50956</f>
        <v>-287643.47342374438</v>
      </c>
      <c r="AE435" s="3">
        <f>-461.245571*627.50956</f>
        <v>-289436.00531015871</v>
      </c>
      <c r="AF435" s="3">
        <f t="shared" si="332"/>
        <v>-1792.5318864143337</v>
      </c>
      <c r="AG435" s="3">
        <f>-458.435784*627.50956</f>
        <v>-287672.83710609504</v>
      </c>
      <c r="AH435" s="3">
        <f>-461.289983*627.50956</f>
        <v>-289463.87426473747</v>
      </c>
      <c r="AI435" s="3">
        <f t="shared" si="333"/>
        <v>-1791.0371586424299</v>
      </c>
      <c r="AJ435" s="3">
        <v>-0.309</v>
      </c>
      <c r="AK435" s="3">
        <v>-0.33100000000000002</v>
      </c>
      <c r="AL435" s="3">
        <f t="shared" si="334"/>
        <v>-2.200000000000002E-2</v>
      </c>
      <c r="AM435" s="3">
        <v>138.16380000000001</v>
      </c>
      <c r="AN435" s="3">
        <v>205.75659999999999</v>
      </c>
      <c r="AO435" s="3">
        <v>217.08511999999999</v>
      </c>
      <c r="AP435" s="3">
        <f t="shared" si="318"/>
        <v>1.1781204319069847</v>
      </c>
      <c r="AQ435" s="3">
        <v>10.36</v>
      </c>
      <c r="AR435" s="3">
        <v>2.3275570000000001</v>
      </c>
      <c r="AS435" s="3">
        <v>-959.76900000000001</v>
      </c>
      <c r="AT435" s="3">
        <v>-958.05</v>
      </c>
      <c r="AU435" s="3">
        <f t="shared" si="299"/>
        <v>-1.7190000000000509</v>
      </c>
      <c r="AV435" s="3">
        <v>-0.317</v>
      </c>
      <c r="AW435" s="3">
        <v>-0.45</v>
      </c>
      <c r="AX435" s="3">
        <f t="shared" si="300"/>
        <v>0.13300000000000001</v>
      </c>
      <c r="AY435" s="3">
        <v>-2.4E-2</v>
      </c>
      <c r="AZ435" s="3">
        <v>0.13500000000000001</v>
      </c>
      <c r="BA435" s="3">
        <f t="shared" si="301"/>
        <v>-0.159</v>
      </c>
      <c r="BB435" s="3">
        <f t="shared" si="336"/>
        <v>0.17050000000000001</v>
      </c>
      <c r="BC435" s="3">
        <f t="shared" si="336"/>
        <v>0.1575</v>
      </c>
      <c r="BD435" s="3">
        <f t="shared" si="303"/>
        <v>1.3000000000000012E-2</v>
      </c>
      <c r="BE435" s="3">
        <f t="shared" si="337"/>
        <v>0.29299999999999998</v>
      </c>
      <c r="BF435" s="3">
        <f t="shared" si="337"/>
        <v>0.58499999999999996</v>
      </c>
      <c r="BG435" s="3">
        <f t="shared" si="305"/>
        <v>-0.29199999999999998</v>
      </c>
      <c r="BH435" s="3">
        <f t="shared" si="338"/>
        <v>-0.17050000000000001</v>
      </c>
      <c r="BI435" s="3">
        <f t="shared" si="338"/>
        <v>-0.1575</v>
      </c>
      <c r="BJ435" s="3">
        <f t="shared" si="316"/>
        <v>-1.3000000000000012E-2</v>
      </c>
      <c r="BK435" s="3">
        <f t="shared" si="313"/>
        <v>4.9607935153583631E-2</v>
      </c>
      <c r="BL435" s="3">
        <f t="shared" si="314"/>
        <v>2.120192307692308E-2</v>
      </c>
      <c r="BM435" s="3">
        <f t="shared" si="307"/>
        <v>2.8406012076660551E-2</v>
      </c>
      <c r="BN435" s="3">
        <v>2.2370000000000001</v>
      </c>
      <c r="BO435" s="3">
        <v>2.431</v>
      </c>
      <c r="BP435" s="3">
        <f t="shared" si="308"/>
        <v>-0.19399999999999995</v>
      </c>
      <c r="BQ435" s="3">
        <v>-602243.07700000005</v>
      </c>
      <c r="BR435" s="3">
        <v>-601163.24300000002</v>
      </c>
      <c r="BS435" s="3">
        <f t="shared" si="309"/>
        <v>-1079.8340000000317</v>
      </c>
      <c r="BT435" s="3">
        <v>-602262.36399999994</v>
      </c>
      <c r="BU435" s="3">
        <v>-601182.38500000001</v>
      </c>
      <c r="BV435" s="3">
        <f t="shared" si="310"/>
        <v>-1079.9789999999339</v>
      </c>
    </row>
    <row r="436" spans="1:74" x14ac:dyDescent="0.25">
      <c r="A436" t="s">
        <v>95</v>
      </c>
      <c r="B436" s="1" t="s">
        <v>646</v>
      </c>
      <c r="C436" s="1" t="s">
        <v>103</v>
      </c>
      <c r="D436" s="3">
        <v>2.57</v>
      </c>
      <c r="E436" s="3">
        <v>0.9</v>
      </c>
      <c r="F436" s="3">
        <v>-389.22500000000002</v>
      </c>
      <c r="G436" s="3">
        <v>-391.988</v>
      </c>
      <c r="H436" s="3">
        <f t="shared" si="335"/>
        <v>-2.7629999999999768</v>
      </c>
      <c r="I436" s="3">
        <v>-0.34300000000000003</v>
      </c>
      <c r="J436" s="6">
        <v>-0.24399999999999999</v>
      </c>
      <c r="K436" s="3">
        <f t="shared" si="322"/>
        <v>9.9000000000000032E-2</v>
      </c>
      <c r="L436" s="3">
        <v>0.14499999999999999</v>
      </c>
      <c r="M436" s="6">
        <v>5.0000000000000001E-3</v>
      </c>
      <c r="N436" s="3">
        <f t="shared" si="323"/>
        <v>-0.13999999999999999</v>
      </c>
      <c r="O436" s="3">
        <f t="shared" si="317"/>
        <v>9.9000000000000019E-2</v>
      </c>
      <c r="P436" s="3">
        <f t="shared" si="317"/>
        <v>0.1195</v>
      </c>
      <c r="Q436" s="3">
        <f t="shared" si="324"/>
        <v>2.0499999999999977E-2</v>
      </c>
      <c r="R436" s="3">
        <f t="shared" si="325"/>
        <v>0.48799999999999999</v>
      </c>
      <c r="S436" s="3">
        <f t="shared" si="326"/>
        <v>0.249</v>
      </c>
      <c r="T436" s="3">
        <f t="shared" si="327"/>
        <v>-0.23899999999999999</v>
      </c>
      <c r="U436" s="3">
        <f t="shared" si="328"/>
        <v>-9.9000000000000019E-2</v>
      </c>
      <c r="V436" s="3">
        <f t="shared" si="329"/>
        <v>-0.1195</v>
      </c>
      <c r="W436" s="3">
        <f t="shared" si="315"/>
        <v>-2.0499999999999977E-2</v>
      </c>
      <c r="X436" s="3">
        <f t="shared" si="311"/>
        <v>1.0042008196721316E-2</v>
      </c>
      <c r="Y436" s="3">
        <f t="shared" si="312"/>
        <v>2.8675200803212852E-2</v>
      </c>
      <c r="Z436" s="3">
        <f t="shared" si="330"/>
        <v>1.8633192606491537E-2</v>
      </c>
      <c r="AA436" s="3">
        <v>0.65200000000000002</v>
      </c>
      <c r="AB436" s="3">
        <v>0.62</v>
      </c>
      <c r="AC436" s="3">
        <f t="shared" si="331"/>
        <v>-3.2000000000000028E-2</v>
      </c>
      <c r="AD436" s="3">
        <f>-388.93822*627.50956</f>
        <v>-244062.45129938319</v>
      </c>
      <c r="AE436" s="3">
        <f>-391.71712*627.50956</f>
        <v>-245806.2376156672</v>
      </c>
      <c r="AF436" s="3">
        <f t="shared" si="332"/>
        <v>-1743.7863162840076</v>
      </c>
      <c r="AG436" s="3">
        <f>-388.983395*627.50956</f>
        <v>-244090.79904375618</v>
      </c>
      <c r="AH436" s="3">
        <f>-391.763556*627.50956</f>
        <v>-245835.37664959533</v>
      </c>
      <c r="AI436" s="3">
        <f t="shared" si="333"/>
        <v>-1744.5776058391493</v>
      </c>
      <c r="AJ436" s="3">
        <v>-0.39400000000000002</v>
      </c>
      <c r="AK436" s="3">
        <v>-0.41299999999999998</v>
      </c>
      <c r="AL436" s="3">
        <f t="shared" si="334"/>
        <v>-1.8999999999999961E-2</v>
      </c>
      <c r="AM436" s="3">
        <v>138.24992</v>
      </c>
      <c r="AN436" s="3">
        <v>216.83940000000001</v>
      </c>
      <c r="AO436" s="3">
        <v>264.1773</v>
      </c>
      <c r="AP436" s="3">
        <f t="shared" si="318"/>
        <v>1.0892573083156747</v>
      </c>
      <c r="AQ436" s="3">
        <v>8.6210000000000004</v>
      </c>
      <c r="AR436" s="3">
        <v>2.1819999999999999</v>
      </c>
      <c r="AS436" s="3">
        <v>-959.76900000000001</v>
      </c>
      <c r="AT436" s="3">
        <v>-958.05</v>
      </c>
      <c r="AU436" s="3">
        <f t="shared" si="299"/>
        <v>-1.7190000000000509</v>
      </c>
      <c r="AV436" s="3">
        <v>-0.317</v>
      </c>
      <c r="AW436" s="3">
        <v>-0.45</v>
      </c>
      <c r="AX436" s="3">
        <f t="shared" si="300"/>
        <v>0.13300000000000001</v>
      </c>
      <c r="AY436" s="3">
        <v>-2.4E-2</v>
      </c>
      <c r="AZ436" s="3">
        <v>0.13500000000000001</v>
      </c>
      <c r="BA436" s="3">
        <f t="shared" si="301"/>
        <v>-0.159</v>
      </c>
      <c r="BB436" s="3">
        <f t="shared" si="336"/>
        <v>0.17050000000000001</v>
      </c>
      <c r="BC436" s="3">
        <f t="shared" si="336"/>
        <v>0.1575</v>
      </c>
      <c r="BD436" s="3">
        <f t="shared" si="303"/>
        <v>1.3000000000000012E-2</v>
      </c>
      <c r="BE436" s="3">
        <f t="shared" si="337"/>
        <v>0.29299999999999998</v>
      </c>
      <c r="BF436" s="3">
        <f t="shared" si="337"/>
        <v>0.58499999999999996</v>
      </c>
      <c r="BG436" s="3">
        <f t="shared" si="305"/>
        <v>-0.29199999999999998</v>
      </c>
      <c r="BH436" s="3">
        <f t="shared" si="338"/>
        <v>-0.17050000000000001</v>
      </c>
      <c r="BI436" s="3">
        <f t="shared" si="338"/>
        <v>-0.1575</v>
      </c>
      <c r="BJ436" s="3">
        <f t="shared" si="316"/>
        <v>-1.3000000000000012E-2</v>
      </c>
      <c r="BK436" s="3">
        <f t="shared" si="313"/>
        <v>4.9607935153583631E-2</v>
      </c>
      <c r="BL436" s="3">
        <f t="shared" si="314"/>
        <v>2.120192307692308E-2</v>
      </c>
      <c r="BM436" s="3">
        <f t="shared" si="307"/>
        <v>2.8406012076660551E-2</v>
      </c>
      <c r="BN436" s="3">
        <v>2.2370000000000001</v>
      </c>
      <c r="BO436" s="3">
        <v>2.431</v>
      </c>
      <c r="BP436" s="3">
        <f t="shared" si="308"/>
        <v>-0.19399999999999995</v>
      </c>
      <c r="BQ436" s="3">
        <v>-602243.07700000005</v>
      </c>
      <c r="BR436" s="3">
        <v>-601163.24300000002</v>
      </c>
      <c r="BS436" s="3">
        <f t="shared" si="309"/>
        <v>-1079.8340000000317</v>
      </c>
      <c r="BT436" s="3">
        <v>-602262.36399999994</v>
      </c>
      <c r="BU436" s="3">
        <v>-601182.38500000001</v>
      </c>
      <c r="BV436" s="3">
        <f t="shared" si="310"/>
        <v>-1079.9789999999339</v>
      </c>
    </row>
    <row r="437" spans="1:74" x14ac:dyDescent="0.25">
      <c r="A437" t="s">
        <v>96</v>
      </c>
      <c r="B437" s="1" t="s">
        <v>646</v>
      </c>
      <c r="C437" s="1" t="s">
        <v>103</v>
      </c>
      <c r="D437" s="3">
        <v>2.6</v>
      </c>
      <c r="E437" s="3">
        <v>1</v>
      </c>
      <c r="F437" s="3">
        <v>-233.05500000000001</v>
      </c>
      <c r="G437" s="3">
        <v>-234.697</v>
      </c>
      <c r="H437" s="3">
        <f t="shared" si="335"/>
        <v>-1.6419999999999959</v>
      </c>
      <c r="I437" s="3">
        <v>-0.31</v>
      </c>
      <c r="J437" s="6">
        <v>-0.223</v>
      </c>
      <c r="K437" s="3">
        <f t="shared" si="322"/>
        <v>8.6999999999999994E-2</v>
      </c>
      <c r="L437" s="3">
        <v>0.126</v>
      </c>
      <c r="M437" s="6">
        <v>-2.7E-2</v>
      </c>
      <c r="N437" s="3">
        <f t="shared" si="323"/>
        <v>-0.153</v>
      </c>
      <c r="O437" s="3">
        <f t="shared" si="317"/>
        <v>9.1999999999999998E-2</v>
      </c>
      <c r="P437" s="3">
        <f t="shared" si="317"/>
        <v>0.125</v>
      </c>
      <c r="Q437" s="3">
        <f t="shared" si="324"/>
        <v>3.3000000000000002E-2</v>
      </c>
      <c r="R437" s="3">
        <f t="shared" si="325"/>
        <v>0.436</v>
      </c>
      <c r="S437" s="3">
        <f t="shared" si="326"/>
        <v>0.19600000000000001</v>
      </c>
      <c r="T437" s="3">
        <f t="shared" si="327"/>
        <v>-0.24</v>
      </c>
      <c r="U437" s="3">
        <f t="shared" si="328"/>
        <v>-9.1999999999999998E-2</v>
      </c>
      <c r="V437" s="3">
        <f t="shared" si="329"/>
        <v>-0.125</v>
      </c>
      <c r="W437" s="3">
        <f t="shared" si="315"/>
        <v>-3.3000000000000002E-2</v>
      </c>
      <c r="X437" s="3">
        <f t="shared" si="311"/>
        <v>9.7064220183486222E-3</v>
      </c>
      <c r="Y437" s="3">
        <f t="shared" si="312"/>
        <v>3.985969387755102E-2</v>
      </c>
      <c r="Z437" s="3">
        <f t="shared" si="330"/>
        <v>3.0153271859202399E-2</v>
      </c>
      <c r="AA437" s="3">
        <v>1.079</v>
      </c>
      <c r="AB437" s="3">
        <v>1.159</v>
      </c>
      <c r="AC437" s="3">
        <f t="shared" si="331"/>
        <v>8.0000000000000071E-2</v>
      </c>
      <c r="AD437" s="3">
        <f>-232.897592*627.50956</f>
        <v>-146145.4654809795</v>
      </c>
      <c r="AE437" s="3">
        <f>-234.548289*627.50956</f>
        <v>-147181.29362914283</v>
      </c>
      <c r="AF437" s="3">
        <f t="shared" si="332"/>
        <v>-1035.8281481633312</v>
      </c>
      <c r="AG437" s="3">
        <f>-232.936656*627.50956</f>
        <v>-146169.97851443136</v>
      </c>
      <c r="AH437" s="3">
        <f>-234.587907*627.50956</f>
        <v>-147206.15430289091</v>
      </c>
      <c r="AI437" s="3">
        <f t="shared" si="333"/>
        <v>-1036.1757884595427</v>
      </c>
      <c r="AJ437" s="3">
        <v>-0.53</v>
      </c>
      <c r="AK437" s="3">
        <v>-0.60499999999999998</v>
      </c>
      <c r="AL437" s="3">
        <f t="shared" si="334"/>
        <v>-7.4999999999999956E-2</v>
      </c>
      <c r="AM437" s="3">
        <v>82.143600000000006</v>
      </c>
      <c r="AN437" s="3">
        <v>168.291</v>
      </c>
      <c r="AO437" s="3">
        <v>170.4999</v>
      </c>
      <c r="AP437" s="3">
        <f t="shared" si="318"/>
        <v>1.1319678415999601</v>
      </c>
      <c r="AQ437" s="3">
        <v>8.9830000000000005</v>
      </c>
      <c r="AR437" s="3">
        <v>1.987768</v>
      </c>
      <c r="AS437" s="3">
        <v>-959.76900000000001</v>
      </c>
      <c r="AT437" s="3">
        <v>-958.05</v>
      </c>
      <c r="AU437" s="3">
        <f t="shared" si="299"/>
        <v>-1.7190000000000509</v>
      </c>
      <c r="AV437" s="3">
        <v>-0.317</v>
      </c>
      <c r="AW437" s="3">
        <v>-0.45</v>
      </c>
      <c r="AX437" s="3">
        <f t="shared" si="300"/>
        <v>0.13300000000000001</v>
      </c>
      <c r="AY437" s="3">
        <v>-2.4E-2</v>
      </c>
      <c r="AZ437" s="3">
        <v>0.13500000000000001</v>
      </c>
      <c r="BA437" s="3">
        <f t="shared" si="301"/>
        <v>-0.159</v>
      </c>
      <c r="BB437" s="3">
        <f t="shared" si="336"/>
        <v>0.17050000000000001</v>
      </c>
      <c r="BC437" s="3">
        <f t="shared" si="336"/>
        <v>0.1575</v>
      </c>
      <c r="BD437" s="3">
        <f t="shared" si="303"/>
        <v>1.3000000000000012E-2</v>
      </c>
      <c r="BE437" s="3">
        <f t="shared" si="337"/>
        <v>0.29299999999999998</v>
      </c>
      <c r="BF437" s="3">
        <f t="shared" si="337"/>
        <v>0.58499999999999996</v>
      </c>
      <c r="BG437" s="3">
        <f t="shared" si="305"/>
        <v>-0.29199999999999998</v>
      </c>
      <c r="BH437" s="3">
        <f t="shared" si="338"/>
        <v>-0.17050000000000001</v>
      </c>
      <c r="BI437" s="3">
        <f t="shared" si="338"/>
        <v>-0.1575</v>
      </c>
      <c r="BJ437" s="3">
        <f t="shared" si="316"/>
        <v>-1.3000000000000012E-2</v>
      </c>
      <c r="BK437" s="3">
        <f t="shared" si="313"/>
        <v>4.9607935153583631E-2</v>
      </c>
      <c r="BL437" s="3">
        <f t="shared" si="314"/>
        <v>2.120192307692308E-2</v>
      </c>
      <c r="BM437" s="3">
        <f t="shared" si="307"/>
        <v>2.8406012076660551E-2</v>
      </c>
      <c r="BN437" s="3">
        <v>2.2370000000000001</v>
      </c>
      <c r="BO437" s="3">
        <v>2.431</v>
      </c>
      <c r="BP437" s="3">
        <f t="shared" si="308"/>
        <v>-0.19399999999999995</v>
      </c>
      <c r="BQ437" s="3">
        <v>-602243.07700000005</v>
      </c>
      <c r="BR437" s="3">
        <v>-601163.24300000002</v>
      </c>
      <c r="BS437" s="3">
        <f t="shared" si="309"/>
        <v>-1079.8340000000317</v>
      </c>
      <c r="BT437" s="3">
        <v>-602262.36399999994</v>
      </c>
      <c r="BU437" s="3">
        <v>-601182.38500000001</v>
      </c>
      <c r="BV437" s="3">
        <f t="shared" si="310"/>
        <v>-1079.9789999999339</v>
      </c>
    </row>
    <row r="438" spans="1:74" x14ac:dyDescent="0.25">
      <c r="A438" t="s">
        <v>34</v>
      </c>
      <c r="B438" s="1" t="s">
        <v>646</v>
      </c>
      <c r="C438" s="1" t="s">
        <v>103</v>
      </c>
      <c r="D438" s="3">
        <v>2.6</v>
      </c>
      <c r="E438" s="3">
        <v>1</v>
      </c>
      <c r="F438" s="3">
        <v>-233.035</v>
      </c>
      <c r="G438" s="3">
        <v>-234.67500000000001</v>
      </c>
      <c r="H438" s="3">
        <f t="shared" si="335"/>
        <v>-1.6400000000000148</v>
      </c>
      <c r="I438" s="3">
        <v>-0.33500000000000002</v>
      </c>
      <c r="J438" s="6">
        <v>-0.23699999999999999</v>
      </c>
      <c r="K438" s="3">
        <f t="shared" si="322"/>
        <v>9.8000000000000032E-2</v>
      </c>
      <c r="L438" s="3">
        <v>0.16200000000000001</v>
      </c>
      <c r="M438" s="6">
        <v>1.2999999999999999E-2</v>
      </c>
      <c r="N438" s="3">
        <f t="shared" si="323"/>
        <v>-0.14899999999999999</v>
      </c>
      <c r="O438" s="3">
        <f t="shared" si="317"/>
        <v>8.6500000000000007E-2</v>
      </c>
      <c r="P438" s="3">
        <f t="shared" si="317"/>
        <v>0.11199999999999999</v>
      </c>
      <c r="Q438" s="3">
        <f t="shared" si="324"/>
        <v>2.5499999999999981E-2</v>
      </c>
      <c r="R438" s="3">
        <f t="shared" si="325"/>
        <v>0.497</v>
      </c>
      <c r="S438" s="3">
        <f t="shared" si="326"/>
        <v>0.25</v>
      </c>
      <c r="T438" s="3">
        <f t="shared" si="327"/>
        <v>-0.247</v>
      </c>
      <c r="U438" s="3">
        <f t="shared" si="328"/>
        <v>-8.6500000000000007E-2</v>
      </c>
      <c r="V438" s="3">
        <f t="shared" si="329"/>
        <v>-0.11199999999999999</v>
      </c>
      <c r="W438" s="3">
        <f t="shared" si="315"/>
        <v>-2.5499999999999981E-2</v>
      </c>
      <c r="X438" s="3">
        <f t="shared" si="311"/>
        <v>7.5274144869215305E-3</v>
      </c>
      <c r="Y438" s="3">
        <f t="shared" si="312"/>
        <v>2.5087999999999996E-2</v>
      </c>
      <c r="Z438" s="3">
        <f t="shared" si="330"/>
        <v>1.7560585513078465E-2</v>
      </c>
      <c r="AA438" s="3">
        <v>0.79300000000000004</v>
      </c>
      <c r="AB438" s="3">
        <v>0.83499999999999996</v>
      </c>
      <c r="AC438" s="3">
        <f t="shared" si="331"/>
        <v>4.1999999999999926E-2</v>
      </c>
      <c r="AD438" s="3">
        <f>-232.876331*627.50956</f>
        <v>-146132.12400022434</v>
      </c>
      <c r="AE438" s="3">
        <f>-234.52594*627.50956</f>
        <v>-147167.26941798639</v>
      </c>
      <c r="AF438" s="3">
        <f t="shared" si="332"/>
        <v>-1035.1454177620471</v>
      </c>
      <c r="AG438" s="3">
        <f>-232.914319*627.50956</f>
        <v>-146155.96183338962</v>
      </c>
      <c r="AH438" s="3">
        <f>-234.564394*627.50956</f>
        <v>-147191.39967060662</v>
      </c>
      <c r="AI438" s="3">
        <f t="shared" si="333"/>
        <v>-1035.4378372170031</v>
      </c>
      <c r="AJ438" s="3">
        <v>-0.52700000000000002</v>
      </c>
      <c r="AK438" s="3">
        <v>-0.60199999999999998</v>
      </c>
      <c r="AL438" s="3">
        <f t="shared" si="334"/>
        <v>-7.4999999999999956E-2</v>
      </c>
      <c r="AM438" s="3">
        <v>82.143600000000006</v>
      </c>
      <c r="AN438" s="3">
        <v>160.55459999999999</v>
      </c>
      <c r="AO438" s="3">
        <v>166.18746999999999</v>
      </c>
      <c r="AP438" s="3">
        <f t="shared" si="318"/>
        <v>1.0985331975503121</v>
      </c>
      <c r="AQ438" s="3">
        <v>7.8410000000000002</v>
      </c>
      <c r="AR438" s="3">
        <v>1.7427840000000001</v>
      </c>
      <c r="AS438" s="3">
        <v>-959.76900000000001</v>
      </c>
      <c r="AT438" s="3">
        <v>-958.05</v>
      </c>
      <c r="AU438" s="3">
        <f t="shared" si="299"/>
        <v>-1.7190000000000509</v>
      </c>
      <c r="AV438" s="3">
        <v>-0.317</v>
      </c>
      <c r="AW438" s="3">
        <v>-0.45</v>
      </c>
      <c r="AX438" s="3">
        <f t="shared" si="300"/>
        <v>0.13300000000000001</v>
      </c>
      <c r="AY438" s="3">
        <v>-2.4E-2</v>
      </c>
      <c r="AZ438" s="3">
        <v>0.13500000000000001</v>
      </c>
      <c r="BA438" s="3">
        <f t="shared" si="301"/>
        <v>-0.159</v>
      </c>
      <c r="BB438" s="3">
        <f t="shared" si="336"/>
        <v>0.17050000000000001</v>
      </c>
      <c r="BC438" s="3">
        <f t="shared" si="336"/>
        <v>0.1575</v>
      </c>
      <c r="BD438" s="3">
        <f t="shared" si="303"/>
        <v>1.3000000000000012E-2</v>
      </c>
      <c r="BE438" s="3">
        <f t="shared" si="337"/>
        <v>0.29299999999999998</v>
      </c>
      <c r="BF438" s="3">
        <f t="shared" si="337"/>
        <v>0.58499999999999996</v>
      </c>
      <c r="BG438" s="3">
        <f t="shared" si="305"/>
        <v>-0.29199999999999998</v>
      </c>
      <c r="BH438" s="3">
        <f t="shared" si="338"/>
        <v>-0.17050000000000001</v>
      </c>
      <c r="BI438" s="3">
        <f t="shared" si="338"/>
        <v>-0.1575</v>
      </c>
      <c r="BJ438" s="3">
        <f t="shared" si="316"/>
        <v>-1.3000000000000012E-2</v>
      </c>
      <c r="BK438" s="3">
        <f t="shared" si="313"/>
        <v>4.9607935153583631E-2</v>
      </c>
      <c r="BL438" s="3">
        <f t="shared" si="314"/>
        <v>2.120192307692308E-2</v>
      </c>
      <c r="BM438" s="3">
        <f t="shared" si="307"/>
        <v>2.8406012076660551E-2</v>
      </c>
      <c r="BN438" s="3">
        <v>2.2370000000000001</v>
      </c>
      <c r="BO438" s="3">
        <v>2.431</v>
      </c>
      <c r="BP438" s="3">
        <f t="shared" si="308"/>
        <v>-0.19399999999999995</v>
      </c>
      <c r="BQ438" s="3">
        <v>-602243.07700000005</v>
      </c>
      <c r="BR438" s="3">
        <v>-601163.24300000002</v>
      </c>
      <c r="BS438" s="3">
        <f t="shared" si="309"/>
        <v>-1079.8340000000317</v>
      </c>
      <c r="BT438" s="3">
        <v>-602262.36399999994</v>
      </c>
      <c r="BU438" s="3">
        <v>-601182.38500000001</v>
      </c>
      <c r="BV438" s="3">
        <f t="shared" si="310"/>
        <v>-1079.9789999999339</v>
      </c>
    </row>
    <row r="439" spans="1:74" x14ac:dyDescent="0.25">
      <c r="A439" t="s">
        <v>35</v>
      </c>
      <c r="B439" s="1" t="s">
        <v>646</v>
      </c>
      <c r="C439" s="1" t="s">
        <v>103</v>
      </c>
      <c r="D439" s="3">
        <v>2.82</v>
      </c>
      <c r="E439" s="3">
        <v>0.9</v>
      </c>
      <c r="F439" s="3">
        <v>-233.06800000000001</v>
      </c>
      <c r="G439" s="3">
        <v>-234.70599999999999</v>
      </c>
      <c r="H439" s="3">
        <f t="shared" si="335"/>
        <v>-1.6379999999999768</v>
      </c>
      <c r="I439" s="3">
        <v>-0.34599999999999997</v>
      </c>
      <c r="J439" s="6">
        <v>-0.245</v>
      </c>
      <c r="K439" s="3">
        <f t="shared" si="322"/>
        <v>0.10099999999999998</v>
      </c>
      <c r="L439" s="3">
        <v>0.154</v>
      </c>
      <c r="M439" s="6">
        <v>6.0000000000000001E-3</v>
      </c>
      <c r="N439" s="3">
        <f t="shared" si="323"/>
        <v>-0.14799999999999999</v>
      </c>
      <c r="O439" s="3">
        <f t="shared" si="317"/>
        <v>9.5999999999999988E-2</v>
      </c>
      <c r="P439" s="3">
        <f t="shared" si="317"/>
        <v>0.1195</v>
      </c>
      <c r="Q439" s="3">
        <f t="shared" si="324"/>
        <v>2.3500000000000007E-2</v>
      </c>
      <c r="R439" s="3">
        <f t="shared" si="325"/>
        <v>0.5</v>
      </c>
      <c r="S439" s="3">
        <f t="shared" si="326"/>
        <v>0.251</v>
      </c>
      <c r="T439" s="3">
        <f t="shared" si="327"/>
        <v>-0.249</v>
      </c>
      <c r="U439" s="3">
        <f t="shared" si="328"/>
        <v>-9.5999999999999988E-2</v>
      </c>
      <c r="V439" s="3">
        <f t="shared" si="329"/>
        <v>-0.1195</v>
      </c>
      <c r="W439" s="3">
        <f t="shared" si="315"/>
        <v>-2.3500000000000007E-2</v>
      </c>
      <c r="X439" s="3">
        <f t="shared" si="311"/>
        <v>9.2159999999999985E-3</v>
      </c>
      <c r="Y439" s="3">
        <f t="shared" si="312"/>
        <v>2.8446713147410357E-2</v>
      </c>
      <c r="Z439" s="3">
        <f t="shared" si="330"/>
        <v>1.9230713147410358E-2</v>
      </c>
      <c r="AA439" s="3">
        <v>0.86799999999999999</v>
      </c>
      <c r="AB439" s="3">
        <v>0.81399999999999995</v>
      </c>
      <c r="AC439" s="3">
        <f t="shared" si="331"/>
        <v>-5.4000000000000048E-2</v>
      </c>
      <c r="AD439" s="3">
        <f>-232.908336*627.50956</f>
        <v>-146152.20744369214</v>
      </c>
      <c r="AE439" s="3">
        <f>-234.554819*627.50956</f>
        <v>-147185.39126656964</v>
      </c>
      <c r="AF439" s="3">
        <f t="shared" si="332"/>
        <v>-1033.1838228775014</v>
      </c>
      <c r="AG439" s="3">
        <f>-232.943502*627.50956</f>
        <v>-146174.27444487912</v>
      </c>
      <c r="AH439" s="3">
        <f>-234.590536*627.50956</f>
        <v>-147207.80402552415</v>
      </c>
      <c r="AI439" s="3">
        <f t="shared" si="333"/>
        <v>-1033.5295806450304</v>
      </c>
      <c r="AJ439" s="3">
        <v>-0.40100000000000002</v>
      </c>
      <c r="AK439" s="3">
        <v>-0.41699999999999998</v>
      </c>
      <c r="AL439" s="3">
        <f t="shared" si="334"/>
        <v>-1.5999999999999959E-2</v>
      </c>
      <c r="AM439" s="3">
        <v>82.143600000000006</v>
      </c>
      <c r="AN439" s="3">
        <v>158.1644</v>
      </c>
      <c r="AO439" s="3">
        <v>163.64635999999999</v>
      </c>
      <c r="AP439" s="3">
        <f t="shared" si="318"/>
        <v>1.0933531372181766</v>
      </c>
      <c r="AQ439" s="3">
        <v>7.89</v>
      </c>
      <c r="AR439" s="3">
        <v>1.6553199999999999</v>
      </c>
      <c r="AS439" s="3">
        <v>-959.76900000000001</v>
      </c>
      <c r="AT439" s="3">
        <v>-958.05</v>
      </c>
      <c r="AU439" s="3">
        <f t="shared" si="299"/>
        <v>-1.7190000000000509</v>
      </c>
      <c r="AV439" s="3">
        <v>-0.317</v>
      </c>
      <c r="AW439" s="3">
        <v>-0.45</v>
      </c>
      <c r="AX439" s="3">
        <f t="shared" si="300"/>
        <v>0.13300000000000001</v>
      </c>
      <c r="AY439" s="3">
        <v>-2.4E-2</v>
      </c>
      <c r="AZ439" s="3">
        <v>0.13500000000000001</v>
      </c>
      <c r="BA439" s="3">
        <f t="shared" si="301"/>
        <v>-0.159</v>
      </c>
      <c r="BB439" s="3">
        <f t="shared" si="336"/>
        <v>0.17050000000000001</v>
      </c>
      <c r="BC439" s="3">
        <f t="shared" si="336"/>
        <v>0.1575</v>
      </c>
      <c r="BD439" s="3">
        <f t="shared" si="303"/>
        <v>1.3000000000000012E-2</v>
      </c>
      <c r="BE439" s="3">
        <f t="shared" si="337"/>
        <v>0.29299999999999998</v>
      </c>
      <c r="BF439" s="3">
        <f t="shared" si="337"/>
        <v>0.58499999999999996</v>
      </c>
      <c r="BG439" s="3">
        <f t="shared" si="305"/>
        <v>-0.29199999999999998</v>
      </c>
      <c r="BH439" s="3">
        <f t="shared" si="338"/>
        <v>-0.17050000000000001</v>
      </c>
      <c r="BI439" s="3">
        <f t="shared" si="338"/>
        <v>-0.1575</v>
      </c>
      <c r="BJ439" s="3">
        <f t="shared" si="316"/>
        <v>-1.3000000000000012E-2</v>
      </c>
      <c r="BK439" s="3">
        <f t="shared" si="313"/>
        <v>4.9607935153583631E-2</v>
      </c>
      <c r="BL439" s="3">
        <f t="shared" si="314"/>
        <v>2.120192307692308E-2</v>
      </c>
      <c r="BM439" s="3">
        <f t="shared" si="307"/>
        <v>2.8406012076660551E-2</v>
      </c>
      <c r="BN439" s="3">
        <v>2.2370000000000001</v>
      </c>
      <c r="BO439" s="3">
        <v>2.431</v>
      </c>
      <c r="BP439" s="3">
        <f t="shared" si="308"/>
        <v>-0.19399999999999995</v>
      </c>
      <c r="BQ439" s="3">
        <v>-602243.07700000005</v>
      </c>
      <c r="BR439" s="3">
        <v>-601163.24300000002</v>
      </c>
      <c r="BS439" s="3">
        <f t="shared" si="309"/>
        <v>-1079.8340000000317</v>
      </c>
      <c r="BT439" s="3">
        <v>-602262.36399999994</v>
      </c>
      <c r="BU439" s="3">
        <v>-601182.38500000001</v>
      </c>
      <c r="BV439" s="3">
        <f t="shared" si="310"/>
        <v>-1079.9789999999339</v>
      </c>
    </row>
    <row r="440" spans="1:74" x14ac:dyDescent="0.25">
      <c r="A440" t="s">
        <v>515</v>
      </c>
      <c r="B440" s="1" t="s">
        <v>646</v>
      </c>
      <c r="C440" s="1" t="s">
        <v>103</v>
      </c>
      <c r="D440" s="3">
        <v>2.82</v>
      </c>
      <c r="E440" s="3">
        <v>0.9</v>
      </c>
      <c r="F440" s="3">
        <v>-428.262</v>
      </c>
      <c r="G440" s="3">
        <v>-431.30599999999998</v>
      </c>
      <c r="H440" s="3">
        <f t="shared" si="335"/>
        <v>-3.0439999999999827</v>
      </c>
      <c r="I440" s="3">
        <v>-0.34399999999999997</v>
      </c>
      <c r="J440" s="6">
        <v>-0.246</v>
      </c>
      <c r="K440" s="3">
        <f t="shared" si="322"/>
        <v>9.7999999999999976E-2</v>
      </c>
      <c r="L440" s="3">
        <v>0.14599999999999999</v>
      </c>
      <c r="M440" s="6">
        <v>4.0000000000000001E-3</v>
      </c>
      <c r="N440" s="3">
        <f t="shared" si="323"/>
        <v>-0.14199999999999999</v>
      </c>
      <c r="O440" s="3">
        <f t="shared" si="317"/>
        <v>9.8999999999999991E-2</v>
      </c>
      <c r="P440" s="3">
        <f t="shared" si="317"/>
        <v>0.121</v>
      </c>
      <c r="Q440" s="3">
        <f t="shared" si="324"/>
        <v>2.2000000000000006E-2</v>
      </c>
      <c r="R440" s="3">
        <f t="shared" si="325"/>
        <v>0.49</v>
      </c>
      <c r="S440" s="3">
        <f t="shared" si="326"/>
        <v>0.25</v>
      </c>
      <c r="T440" s="3">
        <f t="shared" si="327"/>
        <v>-0.24</v>
      </c>
      <c r="U440" s="3">
        <f t="shared" si="328"/>
        <v>-9.8999999999999991E-2</v>
      </c>
      <c r="V440" s="3">
        <f t="shared" si="329"/>
        <v>-0.121</v>
      </c>
      <c r="W440" s="3">
        <f t="shared" si="315"/>
        <v>-2.2000000000000006E-2</v>
      </c>
      <c r="X440" s="3">
        <f t="shared" si="311"/>
        <v>1.0001020408163265E-2</v>
      </c>
      <c r="Y440" s="3">
        <f t="shared" si="312"/>
        <v>2.9281999999999999E-2</v>
      </c>
      <c r="Z440" s="3">
        <f t="shared" si="330"/>
        <v>1.9280979591836736E-2</v>
      </c>
      <c r="AA440" s="3">
        <v>0.76400000000000001</v>
      </c>
      <c r="AB440" s="3">
        <v>0.74099999999999999</v>
      </c>
      <c r="AC440" s="3">
        <f t="shared" si="331"/>
        <v>-2.300000000000002E-2</v>
      </c>
      <c r="AD440" s="3">
        <f>-427.942586*627.50956</f>
        <v>-268538.06384612212</v>
      </c>
      <c r="AE440" s="3">
        <f>-431.005362*627.50956</f>
        <v>-270459.98506626068</v>
      </c>
      <c r="AF440" s="3">
        <f t="shared" si="332"/>
        <v>-1921.9212201385526</v>
      </c>
      <c r="AG440" s="3">
        <f>-427.990505*627.50956</f>
        <v>-268568.13347672776</v>
      </c>
      <c r="AH440" s="3">
        <f>-431.054585*627.50956</f>
        <v>-270490.87296933256</v>
      </c>
      <c r="AI440" s="3">
        <f t="shared" si="333"/>
        <v>-1922.7394926048</v>
      </c>
      <c r="AJ440" s="3">
        <v>-0.39500000000000002</v>
      </c>
      <c r="AK440" s="3">
        <v>-0.42</v>
      </c>
      <c r="AL440" s="3">
        <f t="shared" si="334"/>
        <v>-2.4999999999999967E-2</v>
      </c>
      <c r="AM440" s="3">
        <v>152.2765</v>
      </c>
      <c r="AN440" s="3">
        <v>233.1885</v>
      </c>
      <c r="AO440" s="3">
        <v>287.77609999999999</v>
      </c>
      <c r="AP440" s="3">
        <f t="shared" si="318"/>
        <v>1.1064367630260934</v>
      </c>
      <c r="AQ440" s="3">
        <v>9.7889999999999997</v>
      </c>
      <c r="AR440" s="3">
        <v>2.386361</v>
      </c>
      <c r="AS440" s="3">
        <v>-959.76900000000001</v>
      </c>
      <c r="AT440" s="3">
        <v>-958.05</v>
      </c>
      <c r="AU440" s="3">
        <f t="shared" ref="AU440:AU484" si="339">AS440-AT440</f>
        <v>-1.7190000000000509</v>
      </c>
      <c r="AV440" s="3">
        <v>-0.317</v>
      </c>
      <c r="AW440" s="3">
        <v>-0.45</v>
      </c>
      <c r="AX440" s="3">
        <f t="shared" ref="AX440:AX484" si="340">AV440-AW440</f>
        <v>0.13300000000000001</v>
      </c>
      <c r="AY440" s="3">
        <v>-2.4E-2</v>
      </c>
      <c r="AZ440" s="3">
        <v>0.13500000000000001</v>
      </c>
      <c r="BA440" s="3">
        <f t="shared" ref="BA440:BA484" si="341">AY440-AZ440</f>
        <v>-0.159</v>
      </c>
      <c r="BB440" s="3">
        <f t="shared" si="336"/>
        <v>0.17050000000000001</v>
      </c>
      <c r="BC440" s="3">
        <f t="shared" si="336"/>
        <v>0.1575</v>
      </c>
      <c r="BD440" s="3">
        <f t="shared" ref="BD440:BD484" si="342">BB440-BC440</f>
        <v>1.3000000000000012E-2</v>
      </c>
      <c r="BE440" s="3">
        <f t="shared" si="337"/>
        <v>0.29299999999999998</v>
      </c>
      <c r="BF440" s="3">
        <f t="shared" si="337"/>
        <v>0.58499999999999996</v>
      </c>
      <c r="BG440" s="3">
        <f t="shared" ref="BG440:BG484" si="343">BE440-BF440</f>
        <v>-0.29199999999999998</v>
      </c>
      <c r="BH440" s="3">
        <f t="shared" si="338"/>
        <v>-0.17050000000000001</v>
      </c>
      <c r="BI440" s="3">
        <f t="shared" si="338"/>
        <v>-0.1575</v>
      </c>
      <c r="BJ440" s="3">
        <f t="shared" si="316"/>
        <v>-1.3000000000000012E-2</v>
      </c>
      <c r="BK440" s="3">
        <f t="shared" si="313"/>
        <v>4.9607935153583631E-2</v>
      </c>
      <c r="BL440" s="3">
        <f t="shared" si="314"/>
        <v>2.120192307692308E-2</v>
      </c>
      <c r="BM440" s="3">
        <f t="shared" ref="BM440:BM484" si="344">BK440-BL440</f>
        <v>2.8406012076660551E-2</v>
      </c>
      <c r="BN440" s="3">
        <v>2.2370000000000001</v>
      </c>
      <c r="BO440" s="3">
        <v>2.431</v>
      </c>
      <c r="BP440" s="3">
        <f t="shared" ref="BP440:BP484" si="345">BN440-BO440</f>
        <v>-0.19399999999999995</v>
      </c>
      <c r="BQ440" s="3">
        <v>-602243.07700000005</v>
      </c>
      <c r="BR440" s="3">
        <v>-601163.24300000002</v>
      </c>
      <c r="BS440" s="3">
        <f t="shared" ref="BS440:BS484" si="346">BQ440-BR440</f>
        <v>-1079.8340000000317</v>
      </c>
      <c r="BT440" s="3">
        <v>-602262.36399999994</v>
      </c>
      <c r="BU440" s="3">
        <v>-601182.38500000001</v>
      </c>
      <c r="BV440" s="3">
        <f t="shared" ref="BV440:BV484" si="347">BT440-BU440</f>
        <v>-1079.9789999999339</v>
      </c>
    </row>
    <row r="441" spans="1:74" x14ac:dyDescent="0.25">
      <c r="A441" t="s">
        <v>517</v>
      </c>
      <c r="B441" s="1" t="s">
        <v>646</v>
      </c>
      <c r="C441" s="1" t="s">
        <v>99</v>
      </c>
      <c r="D441" s="3">
        <v>2.83</v>
      </c>
      <c r="E441" s="3">
        <v>1.1000000000000001</v>
      </c>
      <c r="F441" s="3">
        <v>-453.31900000000002</v>
      </c>
      <c r="G441" s="3">
        <v>-456.18900000000002</v>
      </c>
      <c r="H441" s="3">
        <f t="shared" si="335"/>
        <v>-2.8700000000000045</v>
      </c>
      <c r="I441" s="3">
        <v>-0.30499999999999999</v>
      </c>
      <c r="J441" s="6">
        <v>-0.22800000000000001</v>
      </c>
      <c r="K441" s="3">
        <f t="shared" si="322"/>
        <v>7.6999999999999985E-2</v>
      </c>
      <c r="L441" s="3">
        <v>9.6000000000000002E-2</v>
      </c>
      <c r="M441" s="6">
        <v>-4.5999999999999999E-2</v>
      </c>
      <c r="N441" s="3">
        <f t="shared" si="323"/>
        <v>-0.14200000000000002</v>
      </c>
      <c r="O441" s="3">
        <f t="shared" si="317"/>
        <v>0.1045</v>
      </c>
      <c r="P441" s="3">
        <f t="shared" si="317"/>
        <v>0.13700000000000001</v>
      </c>
      <c r="Q441" s="3">
        <f t="shared" si="324"/>
        <v>3.2500000000000015E-2</v>
      </c>
      <c r="R441" s="3">
        <f t="shared" si="325"/>
        <v>0.40100000000000002</v>
      </c>
      <c r="S441" s="3">
        <f t="shared" si="326"/>
        <v>0.182</v>
      </c>
      <c r="T441" s="3">
        <f t="shared" si="327"/>
        <v>-0.21900000000000003</v>
      </c>
      <c r="U441" s="3">
        <f t="shared" si="328"/>
        <v>-0.1045</v>
      </c>
      <c r="V441" s="3">
        <f t="shared" si="329"/>
        <v>-0.13700000000000001</v>
      </c>
      <c r="W441" s="3">
        <f t="shared" si="315"/>
        <v>-3.2500000000000015E-2</v>
      </c>
      <c r="X441" s="3">
        <f t="shared" si="311"/>
        <v>1.3616271820448876E-2</v>
      </c>
      <c r="Y441" s="3">
        <f t="shared" si="312"/>
        <v>5.1563186813186827E-2</v>
      </c>
      <c r="Z441" s="3">
        <f t="shared" si="330"/>
        <v>3.7946914992737953E-2</v>
      </c>
      <c r="AA441" s="3">
        <v>9.2690000000000001</v>
      </c>
      <c r="AB441" s="3">
        <v>9.4949999999999992</v>
      </c>
      <c r="AC441" s="3">
        <f t="shared" si="331"/>
        <v>0.22599999999999909</v>
      </c>
      <c r="AD441" s="3">
        <f>-453.172978*627.50956</f>
        <v>-284370.37602866965</v>
      </c>
      <c r="AE441" s="3">
        <f>-456.052285*627.50956</f>
        <v>-286177.16869734455</v>
      </c>
      <c r="AF441" s="3">
        <f t="shared" si="332"/>
        <v>-1806.7926686748979</v>
      </c>
      <c r="AG441" s="3">
        <f>-453.213891*627.50956</f>
        <v>-284396.04932729795</v>
      </c>
      <c r="AH441" s="3">
        <f>-456.094142*627.50956</f>
        <v>-286203.43436499749</v>
      </c>
      <c r="AI441" s="3">
        <f t="shared" si="333"/>
        <v>-1807.3850376995397</v>
      </c>
      <c r="AJ441" s="3">
        <v>-0.30299999999999999</v>
      </c>
      <c r="AK441" s="3">
        <v>-0.29399999999999998</v>
      </c>
      <c r="AL441" s="3">
        <f t="shared" si="334"/>
        <v>9.000000000000008E-3</v>
      </c>
      <c r="AM441" s="3">
        <v>142.15734</v>
      </c>
      <c r="AN441" s="3">
        <v>194.57060000000001</v>
      </c>
      <c r="AO441" s="3">
        <v>204.04409000000001</v>
      </c>
      <c r="AP441" s="3">
        <f t="shared" si="318"/>
        <v>1.1610488385677544</v>
      </c>
      <c r="AQ441" s="3">
        <v>10.885</v>
      </c>
      <c r="AR441" s="3">
        <v>2.4228830000000001</v>
      </c>
      <c r="AS441" s="3">
        <v>-132.80099999999999</v>
      </c>
      <c r="AT441" s="3">
        <v>-131.97</v>
      </c>
      <c r="AU441" s="3">
        <f t="shared" si="339"/>
        <v>-0.83099999999998886</v>
      </c>
      <c r="AV441" s="3">
        <v>-0.34100000000000003</v>
      </c>
      <c r="AW441" s="3">
        <v>-0.47499999999999998</v>
      </c>
      <c r="AX441" s="3">
        <f t="shared" si="340"/>
        <v>0.13399999999999995</v>
      </c>
      <c r="AY441" s="3">
        <v>2.9000000000000001E-2</v>
      </c>
      <c r="AZ441" s="3">
        <v>0.156</v>
      </c>
      <c r="BA441" s="3">
        <f t="shared" si="341"/>
        <v>-0.127</v>
      </c>
      <c r="BB441" s="3">
        <f t="shared" si="336"/>
        <v>0.156</v>
      </c>
      <c r="BC441" s="3">
        <f t="shared" si="336"/>
        <v>0.15949999999999998</v>
      </c>
      <c r="BD441" s="3">
        <f t="shared" si="342"/>
        <v>-3.4999999999999754E-3</v>
      </c>
      <c r="BE441" s="3">
        <f t="shared" si="337"/>
        <v>0.37000000000000005</v>
      </c>
      <c r="BF441" s="3">
        <f t="shared" si="337"/>
        <v>0.63100000000000001</v>
      </c>
      <c r="BG441" s="3">
        <f t="shared" si="343"/>
        <v>-0.26099999999999995</v>
      </c>
      <c r="BH441" s="3">
        <f t="shared" si="338"/>
        <v>-0.156</v>
      </c>
      <c r="BI441" s="3">
        <f t="shared" si="338"/>
        <v>-0.15949999999999998</v>
      </c>
      <c r="BJ441" s="3">
        <f t="shared" si="316"/>
        <v>3.4999999999999754E-3</v>
      </c>
      <c r="BK441" s="3">
        <f t="shared" si="313"/>
        <v>3.2886486486486483E-2</v>
      </c>
      <c r="BL441" s="3">
        <f t="shared" si="314"/>
        <v>2.0158676703645E-2</v>
      </c>
      <c r="BM441" s="3">
        <f t="shared" si="344"/>
        <v>1.2727809782841482E-2</v>
      </c>
      <c r="BN441" s="3">
        <v>4.7279999999999998</v>
      </c>
      <c r="BO441" s="3">
        <v>4.9340000000000002</v>
      </c>
      <c r="BP441" s="3">
        <f t="shared" si="345"/>
        <v>-0.20600000000000041</v>
      </c>
      <c r="BQ441" s="3">
        <v>-83302.89</v>
      </c>
      <c r="BR441" s="3">
        <v>-82779.224000000002</v>
      </c>
      <c r="BS441" s="3">
        <f t="shared" si="346"/>
        <v>-523.66599999999744</v>
      </c>
      <c r="BT441" s="3">
        <v>-83320.774999999994</v>
      </c>
      <c r="BU441" s="3">
        <v>-82796.997000000003</v>
      </c>
      <c r="BV441" s="3">
        <f t="shared" si="347"/>
        <v>-523.77799999999115</v>
      </c>
    </row>
    <row r="442" spans="1:74" x14ac:dyDescent="0.25">
      <c r="A442" t="s">
        <v>516</v>
      </c>
      <c r="B442" s="1" t="s">
        <v>646</v>
      </c>
      <c r="C442" s="1" t="s">
        <v>99</v>
      </c>
      <c r="D442" s="3">
        <v>2.9</v>
      </c>
      <c r="E442" s="3">
        <v>0.98</v>
      </c>
      <c r="F442" s="3">
        <v>-675.99900000000002</v>
      </c>
      <c r="G442" s="3">
        <v>-680.22799999999995</v>
      </c>
      <c r="H442" s="3">
        <f t="shared" si="335"/>
        <v>-4.2289999999999281</v>
      </c>
      <c r="I442" s="3">
        <v>-0.317</v>
      </c>
      <c r="J442" s="6">
        <v>-0.23</v>
      </c>
      <c r="K442" s="3">
        <f t="shared" si="322"/>
        <v>8.6999999999999994E-2</v>
      </c>
      <c r="L442" s="3">
        <v>0.12</v>
      </c>
      <c r="M442" s="6">
        <v>-2.7E-2</v>
      </c>
      <c r="N442" s="3">
        <f t="shared" si="323"/>
        <v>-0.14699999999999999</v>
      </c>
      <c r="O442" s="3">
        <f t="shared" si="317"/>
        <v>9.8500000000000004E-2</v>
      </c>
      <c r="P442" s="3">
        <f t="shared" si="317"/>
        <v>0.1285</v>
      </c>
      <c r="Q442" s="3">
        <f t="shared" si="324"/>
        <v>0.03</v>
      </c>
      <c r="R442" s="3">
        <f t="shared" si="325"/>
        <v>0.437</v>
      </c>
      <c r="S442" s="3">
        <f t="shared" si="326"/>
        <v>0.20300000000000001</v>
      </c>
      <c r="T442" s="3">
        <f t="shared" si="327"/>
        <v>-0.23399999999999999</v>
      </c>
      <c r="U442" s="3">
        <f t="shared" si="328"/>
        <v>-9.8500000000000004E-2</v>
      </c>
      <c r="V442" s="3">
        <f t="shared" si="329"/>
        <v>-0.1285</v>
      </c>
      <c r="W442" s="3">
        <f t="shared" si="315"/>
        <v>-0.03</v>
      </c>
      <c r="X442" s="3">
        <f t="shared" si="311"/>
        <v>1.1100972540045767E-2</v>
      </c>
      <c r="Y442" s="3">
        <f t="shared" si="312"/>
        <v>4.0670566502463049E-2</v>
      </c>
      <c r="Z442" s="3">
        <f t="shared" si="330"/>
        <v>2.9569593962417283E-2</v>
      </c>
      <c r="AA442" s="3">
        <v>1.44</v>
      </c>
      <c r="AB442" s="3">
        <v>1.375</v>
      </c>
      <c r="AC442" s="3">
        <f t="shared" si="331"/>
        <v>-6.4999999999999947E-2</v>
      </c>
      <c r="AD442" s="3">
        <f>-675.697542*627.50956</f>
        <v>-424006.66727350152</v>
      </c>
      <c r="AE442" s="3">
        <f>-679.943518*627.50956</f>
        <v>-426671.05780503206</v>
      </c>
      <c r="AF442" s="3">
        <f t="shared" si="332"/>
        <v>-2664.3905315305456</v>
      </c>
      <c r="AG442" s="3">
        <f>-675.753928*627.50956</f>
        <v>-424042.05002755165</v>
      </c>
      <c r="AH442" s="3">
        <f>-680.001921*627.50956</f>
        <v>-426707.70624586474</v>
      </c>
      <c r="AI442" s="3">
        <f t="shared" si="333"/>
        <v>-2665.6562183130882</v>
      </c>
      <c r="AJ442" s="3">
        <v>-0.35099999999999998</v>
      </c>
      <c r="AK442" s="3">
        <v>-0.32500000000000001</v>
      </c>
      <c r="AL442" s="3">
        <f t="shared" si="334"/>
        <v>2.5999999999999968E-2</v>
      </c>
      <c r="AM442" s="3">
        <v>208.06180000000001</v>
      </c>
      <c r="AN442" s="3">
        <v>285.8852</v>
      </c>
      <c r="AO442" s="3">
        <v>328.69400000000002</v>
      </c>
      <c r="AP442" s="3">
        <f t="shared" si="318"/>
        <v>1.2414229570034356</v>
      </c>
      <c r="AQ442" s="3">
        <v>12.51</v>
      </c>
      <c r="AR442" s="3">
        <v>2.9771670000000001</v>
      </c>
      <c r="AS442" s="3">
        <v>-132.80099999999999</v>
      </c>
      <c r="AT442" s="3">
        <v>-131.97</v>
      </c>
      <c r="AU442" s="3">
        <f t="shared" si="339"/>
        <v>-0.83099999999998886</v>
      </c>
      <c r="AV442" s="3">
        <v>-0.34100000000000003</v>
      </c>
      <c r="AW442" s="3">
        <v>-0.47499999999999998</v>
      </c>
      <c r="AX442" s="3">
        <f t="shared" si="340"/>
        <v>0.13399999999999995</v>
      </c>
      <c r="AY442" s="3">
        <v>2.9000000000000001E-2</v>
      </c>
      <c r="AZ442" s="3">
        <v>0.156</v>
      </c>
      <c r="BA442" s="3">
        <f t="shared" si="341"/>
        <v>-0.127</v>
      </c>
      <c r="BB442" s="3">
        <f t="shared" si="336"/>
        <v>0.156</v>
      </c>
      <c r="BC442" s="3">
        <f t="shared" si="336"/>
        <v>0.15949999999999998</v>
      </c>
      <c r="BD442" s="3">
        <f t="shared" si="342"/>
        <v>-3.4999999999999754E-3</v>
      </c>
      <c r="BE442" s="3">
        <f t="shared" si="337"/>
        <v>0.37000000000000005</v>
      </c>
      <c r="BF442" s="3">
        <f t="shared" si="337"/>
        <v>0.63100000000000001</v>
      </c>
      <c r="BG442" s="3">
        <f t="shared" si="343"/>
        <v>-0.26099999999999995</v>
      </c>
      <c r="BH442" s="3">
        <f t="shared" si="338"/>
        <v>-0.156</v>
      </c>
      <c r="BI442" s="3">
        <f t="shared" si="338"/>
        <v>-0.15949999999999998</v>
      </c>
      <c r="BJ442" s="3">
        <f t="shared" si="316"/>
        <v>3.4999999999999754E-3</v>
      </c>
      <c r="BK442" s="3">
        <f t="shared" si="313"/>
        <v>3.2886486486486483E-2</v>
      </c>
      <c r="BL442" s="3">
        <f t="shared" si="314"/>
        <v>2.0158676703645E-2</v>
      </c>
      <c r="BM442" s="3">
        <f t="shared" si="344"/>
        <v>1.2727809782841482E-2</v>
      </c>
      <c r="BN442" s="3">
        <v>4.7279999999999998</v>
      </c>
      <c r="BO442" s="3">
        <v>4.9340000000000002</v>
      </c>
      <c r="BP442" s="3">
        <f t="shared" si="345"/>
        <v>-0.20600000000000041</v>
      </c>
      <c r="BQ442" s="3">
        <v>-83302.89</v>
      </c>
      <c r="BR442" s="3">
        <v>-82779.224000000002</v>
      </c>
      <c r="BS442" s="3">
        <f t="shared" si="346"/>
        <v>-523.66599999999744</v>
      </c>
      <c r="BT442" s="3">
        <v>-83320.774999999994</v>
      </c>
      <c r="BU442" s="3">
        <v>-82796.997000000003</v>
      </c>
      <c r="BV442" s="3">
        <f t="shared" si="347"/>
        <v>-523.77799999999115</v>
      </c>
    </row>
    <row r="443" spans="1:74" x14ac:dyDescent="0.25">
      <c r="A443" t="s">
        <v>518</v>
      </c>
      <c r="B443" s="1" t="s">
        <v>646</v>
      </c>
      <c r="C443" s="1" t="s">
        <v>99</v>
      </c>
      <c r="D443" s="3">
        <v>3</v>
      </c>
      <c r="E443" s="3">
        <v>0.83</v>
      </c>
      <c r="F443" s="3">
        <v>-1019.452</v>
      </c>
      <c r="G443" s="3">
        <v>-1024.8630000000001</v>
      </c>
      <c r="H443" s="3">
        <f t="shared" si="335"/>
        <v>-5.4110000000000582</v>
      </c>
      <c r="I443" s="3">
        <v>-0.28999999999999998</v>
      </c>
      <c r="J443" s="6">
        <v>-0.21199999999999999</v>
      </c>
      <c r="K443" s="3">
        <f t="shared" si="322"/>
        <v>7.7999999999999986E-2</v>
      </c>
      <c r="L443" s="3">
        <v>8.8999999999999996E-2</v>
      </c>
      <c r="M443" s="6">
        <v>-5.1999999999999998E-2</v>
      </c>
      <c r="N443" s="3">
        <f t="shared" si="323"/>
        <v>-0.14099999999999999</v>
      </c>
      <c r="O443" s="3">
        <f t="shared" si="317"/>
        <v>0.10049999999999999</v>
      </c>
      <c r="P443" s="3">
        <f t="shared" si="317"/>
        <v>0.13200000000000001</v>
      </c>
      <c r="Q443" s="3">
        <f t="shared" si="324"/>
        <v>3.1500000000000014E-2</v>
      </c>
      <c r="R443" s="3">
        <f t="shared" si="325"/>
        <v>0.379</v>
      </c>
      <c r="S443" s="3">
        <f t="shared" si="326"/>
        <v>0.16</v>
      </c>
      <c r="T443" s="3">
        <f t="shared" si="327"/>
        <v>-0.219</v>
      </c>
      <c r="U443" s="3">
        <f t="shared" si="328"/>
        <v>-0.10049999999999999</v>
      </c>
      <c r="V443" s="3">
        <f t="shared" si="329"/>
        <v>-0.13200000000000001</v>
      </c>
      <c r="W443" s="3">
        <f t="shared" si="315"/>
        <v>-3.1500000000000014E-2</v>
      </c>
      <c r="X443" s="3">
        <f t="shared" si="311"/>
        <v>1.3324868073878626E-2</v>
      </c>
      <c r="Y443" s="3">
        <f t="shared" si="312"/>
        <v>5.4450000000000005E-2</v>
      </c>
      <c r="Z443" s="3">
        <f t="shared" si="330"/>
        <v>4.1125131926121383E-2</v>
      </c>
      <c r="AA443" s="3">
        <v>2.0150000000000001</v>
      </c>
      <c r="AB443" s="3">
        <v>2.2989999999999999</v>
      </c>
      <c r="AC443" s="3">
        <f t="shared" si="331"/>
        <v>0.28399999999999981</v>
      </c>
      <c r="AD443" s="3">
        <f>-1019.092346*627.50956</f>
        <v>-639490.18963782769</v>
      </c>
      <c r="AE443" s="3">
        <f>-1024.522936*627.50956</f>
        <v>-642897.9367792682</v>
      </c>
      <c r="AF443" s="3">
        <f t="shared" si="332"/>
        <v>-3407.7471414405154</v>
      </c>
      <c r="AG443" s="3">
        <f>-1019.16115*627.50956</f>
        <v>-639533.36480559397</v>
      </c>
      <c r="AH443" s="3">
        <f>-1024.594177*627.50956</f>
        <v>-642942.64118783199</v>
      </c>
      <c r="AI443" s="3">
        <f t="shared" si="333"/>
        <v>-3409.2763822380221</v>
      </c>
      <c r="AJ443" s="3">
        <v>-0.27700000000000002</v>
      </c>
      <c r="AK443" s="3">
        <v>-0.26900000000000002</v>
      </c>
      <c r="AL443" s="3">
        <f t="shared" si="334"/>
        <v>8.0000000000000071E-3</v>
      </c>
      <c r="AM443" s="3">
        <v>268.42559999999997</v>
      </c>
      <c r="AN443" s="3">
        <v>353.26299999999998</v>
      </c>
      <c r="AO443" s="3">
        <v>432.524</v>
      </c>
      <c r="AP443" s="3">
        <f t="shared" si="318"/>
        <v>1.2774599578467245</v>
      </c>
      <c r="AQ443" s="3">
        <v>13.973000000000001</v>
      </c>
      <c r="AR443" s="3">
        <v>3.3698999999999999</v>
      </c>
      <c r="AS443" s="3">
        <v>-132.80099999999999</v>
      </c>
      <c r="AT443" s="3">
        <v>-131.97</v>
      </c>
      <c r="AU443" s="3">
        <f t="shared" si="339"/>
        <v>-0.83099999999998886</v>
      </c>
      <c r="AV443" s="3">
        <v>-0.34100000000000003</v>
      </c>
      <c r="AW443" s="3">
        <v>-0.47499999999999998</v>
      </c>
      <c r="AX443" s="3">
        <f t="shared" si="340"/>
        <v>0.13399999999999995</v>
      </c>
      <c r="AY443" s="3">
        <v>2.9000000000000001E-2</v>
      </c>
      <c r="AZ443" s="3">
        <v>0.156</v>
      </c>
      <c r="BA443" s="3">
        <f t="shared" si="341"/>
        <v>-0.127</v>
      </c>
      <c r="BB443" s="3">
        <f t="shared" si="336"/>
        <v>0.156</v>
      </c>
      <c r="BC443" s="3">
        <f t="shared" si="336"/>
        <v>0.15949999999999998</v>
      </c>
      <c r="BD443" s="3">
        <f t="shared" si="342"/>
        <v>-3.4999999999999754E-3</v>
      </c>
      <c r="BE443" s="3">
        <f t="shared" si="337"/>
        <v>0.37000000000000005</v>
      </c>
      <c r="BF443" s="3">
        <f t="shared" si="337"/>
        <v>0.63100000000000001</v>
      </c>
      <c r="BG443" s="3">
        <f t="shared" si="343"/>
        <v>-0.26099999999999995</v>
      </c>
      <c r="BH443" s="3">
        <f t="shared" si="338"/>
        <v>-0.156</v>
      </c>
      <c r="BI443" s="3">
        <f t="shared" si="338"/>
        <v>-0.15949999999999998</v>
      </c>
      <c r="BJ443" s="3">
        <f t="shared" si="316"/>
        <v>3.4999999999999754E-3</v>
      </c>
      <c r="BK443" s="3">
        <f t="shared" si="313"/>
        <v>3.2886486486486483E-2</v>
      </c>
      <c r="BL443" s="3">
        <f t="shared" si="314"/>
        <v>2.0158676703645E-2</v>
      </c>
      <c r="BM443" s="3">
        <f t="shared" si="344"/>
        <v>1.2727809782841482E-2</v>
      </c>
      <c r="BN443" s="3">
        <v>4.7279999999999998</v>
      </c>
      <c r="BO443" s="3">
        <v>4.9340000000000002</v>
      </c>
      <c r="BP443" s="3">
        <f t="shared" si="345"/>
        <v>-0.20600000000000041</v>
      </c>
      <c r="BQ443" s="3">
        <v>-83302.89</v>
      </c>
      <c r="BR443" s="3">
        <v>-82779.224000000002</v>
      </c>
      <c r="BS443" s="3">
        <f t="shared" si="346"/>
        <v>-523.66599999999744</v>
      </c>
      <c r="BT443" s="3">
        <v>-83320.774999999994</v>
      </c>
      <c r="BU443" s="3">
        <v>-82796.997000000003</v>
      </c>
      <c r="BV443" s="3">
        <f t="shared" si="347"/>
        <v>-523.77799999999115</v>
      </c>
    </row>
    <row r="444" spans="1:74" x14ac:dyDescent="0.25">
      <c r="A444" t="s">
        <v>519</v>
      </c>
      <c r="B444" s="1" t="s">
        <v>646</v>
      </c>
      <c r="C444" s="1" t="s">
        <v>99</v>
      </c>
      <c r="D444" s="3">
        <v>3.06</v>
      </c>
      <c r="E444" s="3">
        <v>1.19</v>
      </c>
      <c r="F444" s="3">
        <v>-665.25699999999995</v>
      </c>
      <c r="G444" s="3">
        <v>-667.62199999999996</v>
      </c>
      <c r="H444" s="3">
        <f t="shared" si="335"/>
        <v>-2.3650000000000091</v>
      </c>
      <c r="I444" s="3">
        <v>-0.316</v>
      </c>
      <c r="J444" s="6">
        <v>-0.221</v>
      </c>
      <c r="K444" s="3">
        <f t="shared" si="322"/>
        <v>9.5000000000000001E-2</v>
      </c>
      <c r="L444" s="3">
        <v>0.121</v>
      </c>
      <c r="M444" s="6">
        <v>-0.02</v>
      </c>
      <c r="N444" s="3">
        <f t="shared" si="323"/>
        <v>-0.14099999999999999</v>
      </c>
      <c r="O444" s="3">
        <f t="shared" si="317"/>
        <v>9.7500000000000003E-2</v>
      </c>
      <c r="P444" s="3">
        <f t="shared" si="317"/>
        <v>0.1205</v>
      </c>
      <c r="Q444" s="3">
        <f t="shared" si="324"/>
        <v>2.2999999999999993E-2</v>
      </c>
      <c r="R444" s="3">
        <f t="shared" si="325"/>
        <v>0.437</v>
      </c>
      <c r="S444" s="3">
        <f t="shared" si="326"/>
        <v>0.20100000000000001</v>
      </c>
      <c r="T444" s="3">
        <f t="shared" si="327"/>
        <v>-0.23599999999999999</v>
      </c>
      <c r="U444" s="3">
        <f t="shared" si="328"/>
        <v>-9.7500000000000003E-2</v>
      </c>
      <c r="V444" s="3">
        <f t="shared" si="329"/>
        <v>-0.1205</v>
      </c>
      <c r="W444" s="3">
        <f t="shared" si="315"/>
        <v>-2.2999999999999993E-2</v>
      </c>
      <c r="X444" s="3">
        <f t="shared" si="311"/>
        <v>1.087671624713959E-2</v>
      </c>
      <c r="Y444" s="3">
        <f t="shared" si="312"/>
        <v>3.6120024875621881E-2</v>
      </c>
      <c r="Z444" s="3">
        <f t="shared" si="330"/>
        <v>2.5243308628482293E-2</v>
      </c>
      <c r="AA444" s="3">
        <v>2.98</v>
      </c>
      <c r="AB444" s="3">
        <v>2.5059999999999998</v>
      </c>
      <c r="AC444" s="3">
        <f t="shared" si="331"/>
        <v>-0.4740000000000002</v>
      </c>
      <c r="AD444" s="3">
        <f>-665.144119*627.50956</f>
        <v>-417384.29345027765</v>
      </c>
      <c r="AE444" s="3">
        <f>-667.515679*627.50956</f>
        <v>-418872.47002239118</v>
      </c>
      <c r="AF444" s="3">
        <f t="shared" si="332"/>
        <v>-1488.1765721135307</v>
      </c>
      <c r="AG444" s="3">
        <f>-665.183063*627.50956</f>
        <v>-417408.73118258221</v>
      </c>
      <c r="AH444" s="3">
        <f>-667.554639*627.50956</f>
        <v>-418896.91779484879</v>
      </c>
      <c r="AI444" s="3">
        <f t="shared" si="333"/>
        <v>-1488.1866122665815</v>
      </c>
      <c r="AJ444" s="3">
        <v>-0.45700000000000002</v>
      </c>
      <c r="AK444" s="3">
        <v>-0.45800000000000002</v>
      </c>
      <c r="AL444" s="3">
        <f t="shared" si="334"/>
        <v>-1.0000000000000009E-3</v>
      </c>
      <c r="AM444" s="3">
        <v>114.16549999999999</v>
      </c>
      <c r="AN444" s="3">
        <v>160.53808000000001</v>
      </c>
      <c r="AO444" s="3">
        <v>162.3125</v>
      </c>
      <c r="AP444" s="3">
        <f t="shared" si="318"/>
        <v>1.1158334345095204</v>
      </c>
      <c r="AQ444" s="3">
        <v>8.5299999999999994</v>
      </c>
      <c r="AR444" s="3">
        <v>1.9229050000000001</v>
      </c>
      <c r="AS444" s="3">
        <v>-132.80099999999999</v>
      </c>
      <c r="AT444" s="3">
        <v>-131.97</v>
      </c>
      <c r="AU444" s="3">
        <f t="shared" si="339"/>
        <v>-0.83099999999998886</v>
      </c>
      <c r="AV444" s="3">
        <v>-0.34100000000000003</v>
      </c>
      <c r="AW444" s="3">
        <v>-0.47499999999999998</v>
      </c>
      <c r="AX444" s="3">
        <f t="shared" si="340"/>
        <v>0.13399999999999995</v>
      </c>
      <c r="AY444" s="3">
        <v>2.9000000000000001E-2</v>
      </c>
      <c r="AZ444" s="3">
        <v>0.156</v>
      </c>
      <c r="BA444" s="3">
        <f t="shared" si="341"/>
        <v>-0.127</v>
      </c>
      <c r="BB444" s="3">
        <f t="shared" si="336"/>
        <v>0.156</v>
      </c>
      <c r="BC444" s="3">
        <f t="shared" si="336"/>
        <v>0.15949999999999998</v>
      </c>
      <c r="BD444" s="3">
        <f t="shared" si="342"/>
        <v>-3.4999999999999754E-3</v>
      </c>
      <c r="BE444" s="3">
        <f t="shared" si="337"/>
        <v>0.37000000000000005</v>
      </c>
      <c r="BF444" s="3">
        <f t="shared" si="337"/>
        <v>0.63100000000000001</v>
      </c>
      <c r="BG444" s="3">
        <f t="shared" si="343"/>
        <v>-0.26099999999999995</v>
      </c>
      <c r="BH444" s="3">
        <f t="shared" si="338"/>
        <v>-0.156</v>
      </c>
      <c r="BI444" s="3">
        <f t="shared" si="338"/>
        <v>-0.15949999999999998</v>
      </c>
      <c r="BJ444" s="3">
        <f t="shared" si="316"/>
        <v>3.4999999999999754E-3</v>
      </c>
      <c r="BK444" s="3">
        <f t="shared" si="313"/>
        <v>3.2886486486486483E-2</v>
      </c>
      <c r="BL444" s="3">
        <f t="shared" si="314"/>
        <v>2.0158676703645E-2</v>
      </c>
      <c r="BM444" s="3">
        <f t="shared" si="344"/>
        <v>1.2727809782841482E-2</v>
      </c>
      <c r="BN444" s="3">
        <v>4.7279999999999998</v>
      </c>
      <c r="BO444" s="3">
        <v>4.9340000000000002</v>
      </c>
      <c r="BP444" s="3">
        <f t="shared" si="345"/>
        <v>-0.20600000000000041</v>
      </c>
      <c r="BQ444" s="3">
        <v>-83302.89</v>
      </c>
      <c r="BR444" s="3">
        <v>-82779.224000000002</v>
      </c>
      <c r="BS444" s="3">
        <f t="shared" si="346"/>
        <v>-523.66599999999744</v>
      </c>
      <c r="BT444" s="3">
        <v>-83320.774999999994</v>
      </c>
      <c r="BU444" s="3">
        <v>-82796.997000000003</v>
      </c>
      <c r="BV444" s="3">
        <f t="shared" si="347"/>
        <v>-523.77799999999115</v>
      </c>
    </row>
    <row r="445" spans="1:74" x14ac:dyDescent="0.25">
      <c r="A445" t="s">
        <v>36</v>
      </c>
      <c r="B445" s="1" t="s">
        <v>646</v>
      </c>
      <c r="C445" s="1" t="s">
        <v>103</v>
      </c>
      <c r="D445" s="3">
        <v>3.09</v>
      </c>
      <c r="E445" s="3">
        <v>1</v>
      </c>
      <c r="F445" s="3">
        <v>-233.05699999999999</v>
      </c>
      <c r="G445" s="3">
        <v>-234.69800000000001</v>
      </c>
      <c r="H445" s="3">
        <f t="shared" si="335"/>
        <v>-1.6410000000000196</v>
      </c>
      <c r="I445" s="3">
        <v>-0.316</v>
      </c>
      <c r="J445" s="6">
        <v>-0.22800000000000001</v>
      </c>
      <c r="K445" s="3">
        <f t="shared" si="322"/>
        <v>8.7999999999999995E-2</v>
      </c>
      <c r="L445" s="3">
        <v>0.128</v>
      </c>
      <c r="M445" s="6">
        <v>-2.5999999999999999E-2</v>
      </c>
      <c r="N445" s="3">
        <f t="shared" si="323"/>
        <v>-0.154</v>
      </c>
      <c r="O445" s="3">
        <f t="shared" si="317"/>
        <v>9.4E-2</v>
      </c>
      <c r="P445" s="3">
        <f t="shared" si="317"/>
        <v>0.127</v>
      </c>
      <c r="Q445" s="3">
        <f t="shared" si="324"/>
        <v>3.3000000000000002E-2</v>
      </c>
      <c r="R445" s="3">
        <f t="shared" si="325"/>
        <v>0.44400000000000001</v>
      </c>
      <c r="S445" s="3">
        <f t="shared" si="326"/>
        <v>0.20200000000000001</v>
      </c>
      <c r="T445" s="3">
        <f t="shared" si="327"/>
        <v>-0.24199999999999999</v>
      </c>
      <c r="U445" s="3">
        <f t="shared" si="328"/>
        <v>-9.4E-2</v>
      </c>
      <c r="V445" s="3">
        <f t="shared" si="329"/>
        <v>-0.127</v>
      </c>
      <c r="W445" s="3">
        <f t="shared" si="315"/>
        <v>-3.3000000000000002E-2</v>
      </c>
      <c r="X445" s="3">
        <f t="shared" si="311"/>
        <v>9.9504504504504508E-3</v>
      </c>
      <c r="Y445" s="3">
        <f t="shared" si="312"/>
        <v>3.9923267326732674E-2</v>
      </c>
      <c r="Z445" s="3">
        <f t="shared" si="330"/>
        <v>2.9972816876282223E-2</v>
      </c>
      <c r="AA445" s="3">
        <v>0.85499999999999998</v>
      </c>
      <c r="AB445" s="3">
        <v>0.85199999999999998</v>
      </c>
      <c r="AC445" s="3">
        <f t="shared" si="331"/>
        <v>-3.0000000000000027E-3</v>
      </c>
      <c r="AD445" s="3">
        <f>-232.898871*627.50956</f>
        <v>-146146.26806570677</v>
      </c>
      <c r="AE445" s="3">
        <f>-234.548679*627.50956</f>
        <v>-147181.53835787124</v>
      </c>
      <c r="AF445" s="3">
        <f t="shared" si="332"/>
        <v>-1035.2702921644668</v>
      </c>
      <c r="AG445" s="3">
        <f>-232.937418*627.50956</f>
        <v>-146170.45667671607</v>
      </c>
      <c r="AH445" s="3">
        <f>-234.587772*627.50956</f>
        <v>-147206.06958910031</v>
      </c>
      <c r="AI445" s="3">
        <f t="shared" si="333"/>
        <v>-1035.6129123842402</v>
      </c>
      <c r="AJ445" s="3">
        <v>-0.52300000000000002</v>
      </c>
      <c r="AK445" s="3">
        <v>-0.6</v>
      </c>
      <c r="AL445" s="3">
        <f t="shared" si="334"/>
        <v>-7.6999999999999957E-2</v>
      </c>
      <c r="AM445" s="3">
        <v>82.143600000000006</v>
      </c>
      <c r="AN445" s="3">
        <v>168.7431</v>
      </c>
      <c r="AO445" s="3">
        <v>170.74690000000001</v>
      </c>
      <c r="AP445" s="3">
        <f t="shared" si="318"/>
        <v>1.1339139249607881</v>
      </c>
      <c r="AQ445" s="3">
        <v>8.9870000000000001</v>
      </c>
      <c r="AR445" s="3">
        <v>1.9925390000000001</v>
      </c>
      <c r="AS445" s="3">
        <v>-959.76900000000001</v>
      </c>
      <c r="AT445" s="3">
        <v>-958.05</v>
      </c>
      <c r="AU445" s="3">
        <f t="shared" si="339"/>
        <v>-1.7190000000000509</v>
      </c>
      <c r="AV445" s="3">
        <v>-0.317</v>
      </c>
      <c r="AW445" s="3">
        <v>-0.45</v>
      </c>
      <c r="AX445" s="3">
        <f t="shared" si="340"/>
        <v>0.13300000000000001</v>
      </c>
      <c r="AY445" s="3">
        <v>-2.4E-2</v>
      </c>
      <c r="AZ445" s="3">
        <v>0.13500000000000001</v>
      </c>
      <c r="BA445" s="3">
        <f t="shared" si="341"/>
        <v>-0.159</v>
      </c>
      <c r="BB445" s="3">
        <f t="shared" ref="BB445:BC454" si="348">-(AV445+AY445)/2</f>
        <v>0.17050000000000001</v>
      </c>
      <c r="BC445" s="3">
        <f t="shared" si="348"/>
        <v>0.1575</v>
      </c>
      <c r="BD445" s="3">
        <f t="shared" si="342"/>
        <v>1.3000000000000012E-2</v>
      </c>
      <c r="BE445" s="3">
        <f t="shared" ref="BE445:BF454" si="349">AY445-AV445</f>
        <v>0.29299999999999998</v>
      </c>
      <c r="BF445" s="3">
        <f t="shared" si="349"/>
        <v>0.58499999999999996</v>
      </c>
      <c r="BG445" s="3">
        <f t="shared" si="343"/>
        <v>-0.29199999999999998</v>
      </c>
      <c r="BH445" s="3">
        <f t="shared" ref="BH445:BI454" si="350">(AV445+AY445)/2</f>
        <v>-0.17050000000000001</v>
      </c>
      <c r="BI445" s="3">
        <f t="shared" si="350"/>
        <v>-0.1575</v>
      </c>
      <c r="BJ445" s="3">
        <f t="shared" si="316"/>
        <v>-1.3000000000000012E-2</v>
      </c>
      <c r="BK445" s="3">
        <f t="shared" si="313"/>
        <v>4.9607935153583631E-2</v>
      </c>
      <c r="BL445" s="3">
        <f t="shared" si="314"/>
        <v>2.120192307692308E-2</v>
      </c>
      <c r="BM445" s="3">
        <f t="shared" si="344"/>
        <v>2.8406012076660551E-2</v>
      </c>
      <c r="BN445" s="3">
        <v>2.2370000000000001</v>
      </c>
      <c r="BO445" s="3">
        <v>2.431</v>
      </c>
      <c r="BP445" s="3">
        <f t="shared" si="345"/>
        <v>-0.19399999999999995</v>
      </c>
      <c r="BQ445" s="3">
        <v>-602243.07700000005</v>
      </c>
      <c r="BR445" s="3">
        <v>-601163.24300000002</v>
      </c>
      <c r="BS445" s="3">
        <f t="shared" si="346"/>
        <v>-1079.8340000000317</v>
      </c>
      <c r="BT445" s="3">
        <v>-602262.36399999994</v>
      </c>
      <c r="BU445" s="3">
        <v>-601182.38500000001</v>
      </c>
      <c r="BV445" s="3">
        <f t="shared" si="347"/>
        <v>-1079.9789999999339</v>
      </c>
    </row>
    <row r="446" spans="1:74" x14ac:dyDescent="0.25">
      <c r="A446" t="s">
        <v>521</v>
      </c>
      <c r="B446" s="1" t="s">
        <v>646</v>
      </c>
      <c r="C446" s="1" t="s">
        <v>103</v>
      </c>
      <c r="D446" s="3">
        <v>3.12</v>
      </c>
      <c r="E446" s="3">
        <v>0.85</v>
      </c>
      <c r="F446" s="3">
        <v>-590.24099999999999</v>
      </c>
      <c r="G446" s="3">
        <v>-593.98900000000003</v>
      </c>
      <c r="H446" s="3">
        <f t="shared" si="335"/>
        <v>-3.7480000000000473</v>
      </c>
      <c r="I446" s="3">
        <v>-0.30499999999999999</v>
      </c>
      <c r="J446" s="6">
        <v>-0.22</v>
      </c>
      <c r="K446" s="3">
        <f t="shared" si="322"/>
        <v>8.4999999999999992E-2</v>
      </c>
      <c r="L446" s="3">
        <v>0.10100000000000001</v>
      </c>
      <c r="M446" s="6">
        <v>-4.2999999999999997E-2</v>
      </c>
      <c r="N446" s="3">
        <f t="shared" si="323"/>
        <v>-0.14400000000000002</v>
      </c>
      <c r="O446" s="3">
        <f t="shared" si="317"/>
        <v>0.10199999999999999</v>
      </c>
      <c r="P446" s="3">
        <f t="shared" si="317"/>
        <v>0.13150000000000001</v>
      </c>
      <c r="Q446" s="3">
        <f t="shared" si="324"/>
        <v>2.9500000000000012E-2</v>
      </c>
      <c r="R446" s="3">
        <f t="shared" si="325"/>
        <v>0.40600000000000003</v>
      </c>
      <c r="S446" s="3">
        <f t="shared" si="326"/>
        <v>0.17699999999999999</v>
      </c>
      <c r="T446" s="3">
        <f t="shared" si="327"/>
        <v>-0.22900000000000004</v>
      </c>
      <c r="U446" s="3">
        <f t="shared" si="328"/>
        <v>-0.10199999999999999</v>
      </c>
      <c r="V446" s="3">
        <f t="shared" si="329"/>
        <v>-0.13150000000000001</v>
      </c>
      <c r="W446" s="3">
        <f t="shared" si="315"/>
        <v>-2.9500000000000012E-2</v>
      </c>
      <c r="X446" s="3">
        <f t="shared" si="311"/>
        <v>1.2812807881773396E-2</v>
      </c>
      <c r="Y446" s="3">
        <f t="shared" si="312"/>
        <v>4.8848163841807915E-2</v>
      </c>
      <c r="Z446" s="3">
        <f t="shared" si="330"/>
        <v>3.6035355960034515E-2</v>
      </c>
      <c r="AA446" s="3">
        <v>5.2460000000000004</v>
      </c>
      <c r="AB446" s="3">
        <v>5.0129999999999999</v>
      </c>
      <c r="AC446" s="3">
        <f t="shared" si="331"/>
        <v>-0.23300000000000054</v>
      </c>
      <c r="AD446" s="3">
        <f>-590.013991*627.50956</f>
        <v>-370239.41988625395</v>
      </c>
      <c r="AE446" s="3">
        <f>-593.775121*627.50956</f>
        <v>-372599.56491765677</v>
      </c>
      <c r="AF446" s="3">
        <f t="shared" si="332"/>
        <v>-2360.1450314028189</v>
      </c>
      <c r="AG446" s="3">
        <f>-590.066833*627.50956</f>
        <v>-370272.57874642342</v>
      </c>
      <c r="AH446" s="3">
        <f>-593.828515*627.50956</f>
        <v>-372633.0701631034</v>
      </c>
      <c r="AI446" s="3">
        <f t="shared" si="333"/>
        <v>-2360.4914166799863</v>
      </c>
      <c r="AJ446" s="3">
        <v>-0.43099999999999999</v>
      </c>
      <c r="AK446" s="3">
        <v>-0.47399999999999998</v>
      </c>
      <c r="AL446" s="3">
        <f t="shared" si="334"/>
        <v>-4.2999999999999983E-2</v>
      </c>
      <c r="AM446" s="3">
        <v>185.2218</v>
      </c>
      <c r="AN446" s="3">
        <v>264.14</v>
      </c>
      <c r="AO446" s="3">
        <v>282.99126999999999</v>
      </c>
      <c r="AP446" s="3">
        <f t="shared" si="318"/>
        <v>1.2673836449536695</v>
      </c>
      <c r="AQ446" s="3">
        <v>13.340999999999999</v>
      </c>
      <c r="AR446" s="3">
        <v>3.3540390000000002</v>
      </c>
      <c r="AS446" s="3">
        <v>-959.76900000000001</v>
      </c>
      <c r="AT446" s="3">
        <v>-958.05</v>
      </c>
      <c r="AU446" s="3">
        <f t="shared" si="339"/>
        <v>-1.7190000000000509</v>
      </c>
      <c r="AV446" s="3">
        <v>-0.317</v>
      </c>
      <c r="AW446" s="3">
        <v>-0.45</v>
      </c>
      <c r="AX446" s="3">
        <f t="shared" si="340"/>
        <v>0.13300000000000001</v>
      </c>
      <c r="AY446" s="3">
        <v>-2.4E-2</v>
      </c>
      <c r="AZ446" s="3">
        <v>0.13500000000000001</v>
      </c>
      <c r="BA446" s="3">
        <f t="shared" si="341"/>
        <v>-0.159</v>
      </c>
      <c r="BB446" s="3">
        <f t="shared" si="348"/>
        <v>0.17050000000000001</v>
      </c>
      <c r="BC446" s="3">
        <f t="shared" si="348"/>
        <v>0.1575</v>
      </c>
      <c r="BD446" s="3">
        <f t="shared" si="342"/>
        <v>1.3000000000000012E-2</v>
      </c>
      <c r="BE446" s="3">
        <f t="shared" si="349"/>
        <v>0.29299999999999998</v>
      </c>
      <c r="BF446" s="3">
        <f t="shared" si="349"/>
        <v>0.58499999999999996</v>
      </c>
      <c r="BG446" s="3">
        <f t="shared" si="343"/>
        <v>-0.29199999999999998</v>
      </c>
      <c r="BH446" s="3">
        <f t="shared" si="350"/>
        <v>-0.17050000000000001</v>
      </c>
      <c r="BI446" s="3">
        <f t="shared" si="350"/>
        <v>-0.1575</v>
      </c>
      <c r="BJ446" s="3">
        <f t="shared" si="316"/>
        <v>-1.3000000000000012E-2</v>
      </c>
      <c r="BK446" s="3">
        <f t="shared" si="313"/>
        <v>4.9607935153583631E-2</v>
      </c>
      <c r="BL446" s="3">
        <f t="shared" si="314"/>
        <v>2.120192307692308E-2</v>
      </c>
      <c r="BM446" s="3">
        <f t="shared" si="344"/>
        <v>2.8406012076660551E-2</v>
      </c>
      <c r="BN446" s="3">
        <v>2.2370000000000001</v>
      </c>
      <c r="BO446" s="3">
        <v>2.431</v>
      </c>
      <c r="BP446" s="3">
        <f t="shared" si="345"/>
        <v>-0.19399999999999995</v>
      </c>
      <c r="BQ446" s="3">
        <v>-602243.07700000005</v>
      </c>
      <c r="BR446" s="3">
        <v>-601163.24300000002</v>
      </c>
      <c r="BS446" s="3">
        <f t="shared" si="346"/>
        <v>-1079.8340000000317</v>
      </c>
      <c r="BT446" s="3">
        <v>-602262.36399999994</v>
      </c>
      <c r="BU446" s="3">
        <v>-601182.38500000001</v>
      </c>
      <c r="BV446" s="3">
        <f t="shared" si="347"/>
        <v>-1079.9789999999339</v>
      </c>
    </row>
    <row r="447" spans="1:74" x14ac:dyDescent="0.25">
      <c r="A447" t="s">
        <v>520</v>
      </c>
      <c r="B447" s="1" t="s">
        <v>646</v>
      </c>
      <c r="C447" s="1" t="s">
        <v>103</v>
      </c>
      <c r="D447" s="3">
        <v>3.12</v>
      </c>
      <c r="E447" s="3">
        <v>0.93</v>
      </c>
      <c r="F447" s="3">
        <v>-850.37699999999995</v>
      </c>
      <c r="G447" s="3">
        <v>-854.89599999999996</v>
      </c>
      <c r="H447" s="3">
        <f t="shared" si="335"/>
        <v>-4.5190000000000055</v>
      </c>
      <c r="I447" s="3">
        <v>-0.29599999999999999</v>
      </c>
      <c r="J447" s="6">
        <v>-0.214</v>
      </c>
      <c r="K447" s="3">
        <f t="shared" si="322"/>
        <v>8.199999999999999E-2</v>
      </c>
      <c r="L447" s="3">
        <v>0.14499999999999999</v>
      </c>
      <c r="M447" s="6">
        <v>2.3E-2</v>
      </c>
      <c r="N447" s="3">
        <f t="shared" si="323"/>
        <v>-0.122</v>
      </c>
      <c r="O447" s="3">
        <f t="shared" si="317"/>
        <v>7.5499999999999998E-2</v>
      </c>
      <c r="P447" s="3">
        <f t="shared" si="317"/>
        <v>9.5500000000000002E-2</v>
      </c>
      <c r="Q447" s="3">
        <f t="shared" si="324"/>
        <v>2.0000000000000004E-2</v>
      </c>
      <c r="R447" s="3">
        <f t="shared" si="325"/>
        <v>0.44099999999999995</v>
      </c>
      <c r="S447" s="3">
        <f t="shared" si="326"/>
        <v>0.23699999999999999</v>
      </c>
      <c r="T447" s="3">
        <f t="shared" si="327"/>
        <v>-0.20399999999999996</v>
      </c>
      <c r="U447" s="3">
        <f t="shared" si="328"/>
        <v>-7.5499999999999998E-2</v>
      </c>
      <c r="V447" s="3">
        <f t="shared" si="329"/>
        <v>-9.5500000000000002E-2</v>
      </c>
      <c r="W447" s="3">
        <f t="shared" si="315"/>
        <v>-2.0000000000000004E-2</v>
      </c>
      <c r="X447" s="3">
        <f t="shared" si="311"/>
        <v>6.4628684807256235E-3</v>
      </c>
      <c r="Y447" s="3">
        <f t="shared" si="312"/>
        <v>1.9241033755274261E-2</v>
      </c>
      <c r="Z447" s="3">
        <f t="shared" si="330"/>
        <v>1.2778165274548638E-2</v>
      </c>
      <c r="AA447" s="3">
        <v>2.9569999999999999</v>
      </c>
      <c r="AB447" s="3">
        <v>3.081</v>
      </c>
      <c r="AC447" s="3">
        <f t="shared" si="331"/>
        <v>0.12400000000000011</v>
      </c>
      <c r="AD447" s="3">
        <f>-849.983042*627.50956</f>
        <v>-533372.48469288147</v>
      </c>
      <c r="AE447" s="3">
        <f>-854.521268*627.50956</f>
        <v>-536220.26489332202</v>
      </c>
      <c r="AF447" s="3">
        <f t="shared" si="332"/>
        <v>-2847.780200440553</v>
      </c>
      <c r="AG447" s="3">
        <f>-850.042467*627.50956</f>
        <v>-533409.77444848453</v>
      </c>
      <c r="AH447" s="3">
        <f>-854.588084*627.50956</f>
        <v>-536262.19257208297</v>
      </c>
      <c r="AI447" s="3">
        <f t="shared" si="333"/>
        <v>-2852.4181235984433</v>
      </c>
      <c r="AJ447" s="3">
        <v>-0.30299999999999999</v>
      </c>
      <c r="AK447" s="3">
        <v>-0.30299999999999999</v>
      </c>
      <c r="AL447" s="3">
        <f t="shared" si="334"/>
        <v>0</v>
      </c>
      <c r="AM447" s="3">
        <v>223.4298</v>
      </c>
      <c r="AN447" s="3">
        <v>299.62889999999999</v>
      </c>
      <c r="AO447" s="3">
        <v>394.8229</v>
      </c>
      <c r="AP447" s="3">
        <f t="shared" si="318"/>
        <v>1.1514314677336859</v>
      </c>
      <c r="AQ447" s="3">
        <v>10.923999999999999</v>
      </c>
      <c r="AR447" s="3">
        <v>2.6928999999999998</v>
      </c>
      <c r="AS447" s="3">
        <v>-959.76900000000001</v>
      </c>
      <c r="AT447" s="3">
        <v>-958.05</v>
      </c>
      <c r="AU447" s="3">
        <f t="shared" si="339"/>
        <v>-1.7190000000000509</v>
      </c>
      <c r="AV447" s="3">
        <v>-0.317</v>
      </c>
      <c r="AW447" s="3">
        <v>-0.45</v>
      </c>
      <c r="AX447" s="3">
        <f t="shared" si="340"/>
        <v>0.13300000000000001</v>
      </c>
      <c r="AY447" s="3">
        <v>-2.4E-2</v>
      </c>
      <c r="AZ447" s="3">
        <v>0.13500000000000001</v>
      </c>
      <c r="BA447" s="3">
        <f t="shared" si="341"/>
        <v>-0.159</v>
      </c>
      <c r="BB447" s="3">
        <f t="shared" si="348"/>
        <v>0.17050000000000001</v>
      </c>
      <c r="BC447" s="3">
        <f t="shared" si="348"/>
        <v>0.1575</v>
      </c>
      <c r="BD447" s="3">
        <f t="shared" si="342"/>
        <v>1.3000000000000012E-2</v>
      </c>
      <c r="BE447" s="3">
        <f t="shared" si="349"/>
        <v>0.29299999999999998</v>
      </c>
      <c r="BF447" s="3">
        <f t="shared" si="349"/>
        <v>0.58499999999999996</v>
      </c>
      <c r="BG447" s="3">
        <f t="shared" si="343"/>
        <v>-0.29199999999999998</v>
      </c>
      <c r="BH447" s="3">
        <f t="shared" si="350"/>
        <v>-0.17050000000000001</v>
      </c>
      <c r="BI447" s="3">
        <f t="shared" si="350"/>
        <v>-0.1575</v>
      </c>
      <c r="BJ447" s="3">
        <f t="shared" si="316"/>
        <v>-1.3000000000000012E-2</v>
      </c>
      <c r="BK447" s="3">
        <f t="shared" si="313"/>
        <v>4.9607935153583631E-2</v>
      </c>
      <c r="BL447" s="3">
        <f t="shared" si="314"/>
        <v>2.120192307692308E-2</v>
      </c>
      <c r="BM447" s="3">
        <f t="shared" si="344"/>
        <v>2.8406012076660551E-2</v>
      </c>
      <c r="BN447" s="3">
        <v>2.2370000000000001</v>
      </c>
      <c r="BO447" s="3">
        <v>2.431</v>
      </c>
      <c r="BP447" s="3">
        <f t="shared" si="345"/>
        <v>-0.19399999999999995</v>
      </c>
      <c r="BQ447" s="3">
        <v>-602243.07700000005</v>
      </c>
      <c r="BR447" s="3">
        <v>-601163.24300000002</v>
      </c>
      <c r="BS447" s="3">
        <f t="shared" si="346"/>
        <v>-1079.8340000000317</v>
      </c>
      <c r="BT447" s="3">
        <v>-602262.36399999994</v>
      </c>
      <c r="BU447" s="3">
        <v>-601182.38500000001</v>
      </c>
      <c r="BV447" s="3">
        <f t="shared" si="347"/>
        <v>-1079.9789999999339</v>
      </c>
    </row>
    <row r="448" spans="1:74" x14ac:dyDescent="0.25">
      <c r="A448" t="s">
        <v>522</v>
      </c>
      <c r="B448" s="1" t="s">
        <v>646</v>
      </c>
      <c r="C448" s="1" t="s">
        <v>103</v>
      </c>
      <c r="D448" s="3">
        <v>3.15</v>
      </c>
      <c r="E448" s="3">
        <v>1.1499999999999999</v>
      </c>
      <c r="F448" s="3">
        <v>-758.62</v>
      </c>
      <c r="G448" s="3">
        <v>-762.61400000000003</v>
      </c>
      <c r="H448" s="3">
        <f t="shared" si="335"/>
        <v>-3.9940000000000282</v>
      </c>
      <c r="I448" s="3">
        <v>-0.309</v>
      </c>
      <c r="J448" s="6">
        <v>-0.214</v>
      </c>
      <c r="K448" s="3">
        <f t="shared" si="322"/>
        <v>9.5000000000000001E-2</v>
      </c>
      <c r="L448" s="3">
        <v>0.14299999999999999</v>
      </c>
      <c r="M448" s="6">
        <v>2.1999999999999999E-2</v>
      </c>
      <c r="N448" s="3">
        <f t="shared" si="323"/>
        <v>-0.121</v>
      </c>
      <c r="O448" s="3">
        <f t="shared" si="317"/>
        <v>8.3000000000000004E-2</v>
      </c>
      <c r="P448" s="3">
        <f t="shared" si="317"/>
        <v>9.6000000000000002E-2</v>
      </c>
      <c r="Q448" s="3">
        <f t="shared" si="324"/>
        <v>1.2999999999999998E-2</v>
      </c>
      <c r="R448" s="3">
        <f t="shared" si="325"/>
        <v>0.45199999999999996</v>
      </c>
      <c r="S448" s="3">
        <f t="shared" si="326"/>
        <v>0.23599999999999999</v>
      </c>
      <c r="T448" s="3">
        <f t="shared" si="327"/>
        <v>-0.21599999999999997</v>
      </c>
      <c r="U448" s="3">
        <f t="shared" si="328"/>
        <v>-8.3000000000000004E-2</v>
      </c>
      <c r="V448" s="3">
        <f t="shared" si="329"/>
        <v>-9.6000000000000002E-2</v>
      </c>
      <c r="W448" s="3">
        <f t="shared" si="315"/>
        <v>-1.2999999999999998E-2</v>
      </c>
      <c r="X448" s="3">
        <f t="shared" si="311"/>
        <v>7.6205752212389396E-3</v>
      </c>
      <c r="Y448" s="3">
        <f t="shared" si="312"/>
        <v>1.9525423728813562E-2</v>
      </c>
      <c r="Z448" s="3">
        <f t="shared" si="330"/>
        <v>1.1904848507574622E-2</v>
      </c>
      <c r="AA448" s="3">
        <v>0.24399999999999999</v>
      </c>
      <c r="AB448" s="3">
        <v>0.315</v>
      </c>
      <c r="AC448" s="3">
        <f t="shared" si="331"/>
        <v>7.1000000000000008E-2</v>
      </c>
      <c r="AD448" s="3">
        <f>-758.228177*627.50956</f>
        <v>-475795.42972887208</v>
      </c>
      <c r="AE448" s="3">
        <f>-762.243363*627.50956</f>
        <v>-478314.99732905027</v>
      </c>
      <c r="AF448" s="3">
        <f t="shared" si="332"/>
        <v>-2519.5676001781831</v>
      </c>
      <c r="AG448" s="3">
        <f>-758.295528*627.50956</f>
        <v>-475837.69312524766</v>
      </c>
      <c r="AH448" s="3">
        <f>-762.313206*627.50956</f>
        <v>-478358.82447924936</v>
      </c>
      <c r="AI448" s="3">
        <f t="shared" si="333"/>
        <v>-2521.1313540016999</v>
      </c>
      <c r="AJ448" s="3">
        <v>-0.84199999999999997</v>
      </c>
      <c r="AK448" s="3">
        <v>-0.59499999999999997</v>
      </c>
      <c r="AL448" s="3">
        <f t="shared" si="334"/>
        <v>0.247</v>
      </c>
      <c r="AM448" s="3">
        <v>198.4203</v>
      </c>
      <c r="AN448" s="3">
        <v>301.38889999999998</v>
      </c>
      <c r="AO448" s="3">
        <v>387.11169999999998</v>
      </c>
      <c r="AP448" s="3">
        <f t="shared" si="318"/>
        <v>1.173524980593053</v>
      </c>
      <c r="AQ448" s="3">
        <v>11.254</v>
      </c>
      <c r="AR448" s="3">
        <v>2.7947000000000002</v>
      </c>
      <c r="AS448" s="3">
        <v>-959.76900000000001</v>
      </c>
      <c r="AT448" s="3">
        <v>-958.05</v>
      </c>
      <c r="AU448" s="3">
        <f t="shared" si="339"/>
        <v>-1.7190000000000509</v>
      </c>
      <c r="AV448" s="3">
        <v>-0.317</v>
      </c>
      <c r="AW448" s="3">
        <v>-0.45</v>
      </c>
      <c r="AX448" s="3">
        <f t="shared" si="340"/>
        <v>0.13300000000000001</v>
      </c>
      <c r="AY448" s="3">
        <v>-2.4E-2</v>
      </c>
      <c r="AZ448" s="3">
        <v>0.13500000000000001</v>
      </c>
      <c r="BA448" s="3">
        <f t="shared" si="341"/>
        <v>-0.159</v>
      </c>
      <c r="BB448" s="3">
        <f t="shared" si="348"/>
        <v>0.17050000000000001</v>
      </c>
      <c r="BC448" s="3">
        <f t="shared" si="348"/>
        <v>0.1575</v>
      </c>
      <c r="BD448" s="3">
        <f t="shared" si="342"/>
        <v>1.3000000000000012E-2</v>
      </c>
      <c r="BE448" s="3">
        <f t="shared" si="349"/>
        <v>0.29299999999999998</v>
      </c>
      <c r="BF448" s="3">
        <f t="shared" si="349"/>
        <v>0.58499999999999996</v>
      </c>
      <c r="BG448" s="3">
        <f t="shared" si="343"/>
        <v>-0.29199999999999998</v>
      </c>
      <c r="BH448" s="3">
        <f t="shared" si="350"/>
        <v>-0.17050000000000001</v>
      </c>
      <c r="BI448" s="3">
        <f t="shared" si="350"/>
        <v>-0.1575</v>
      </c>
      <c r="BJ448" s="3">
        <f t="shared" si="316"/>
        <v>-1.3000000000000012E-2</v>
      </c>
      <c r="BK448" s="3">
        <f t="shared" si="313"/>
        <v>4.9607935153583631E-2</v>
      </c>
      <c r="BL448" s="3">
        <f t="shared" si="314"/>
        <v>2.120192307692308E-2</v>
      </c>
      <c r="BM448" s="3">
        <f t="shared" si="344"/>
        <v>2.8406012076660551E-2</v>
      </c>
      <c r="BN448" s="3">
        <v>2.2370000000000001</v>
      </c>
      <c r="BO448" s="3">
        <v>2.431</v>
      </c>
      <c r="BP448" s="3">
        <f t="shared" si="345"/>
        <v>-0.19399999999999995</v>
      </c>
      <c r="BQ448" s="3">
        <v>-602243.07700000005</v>
      </c>
      <c r="BR448" s="3">
        <v>-601163.24300000002</v>
      </c>
      <c r="BS448" s="3">
        <f t="shared" si="346"/>
        <v>-1079.8340000000317</v>
      </c>
      <c r="BT448" s="3">
        <v>-602262.36399999994</v>
      </c>
      <c r="BU448" s="3">
        <v>-601182.38500000001</v>
      </c>
      <c r="BV448" s="3">
        <f t="shared" si="347"/>
        <v>-1079.9789999999339</v>
      </c>
    </row>
    <row r="449" spans="1:74" x14ac:dyDescent="0.25">
      <c r="A449" t="s">
        <v>523</v>
      </c>
      <c r="B449" s="1" t="s">
        <v>646</v>
      </c>
      <c r="C449" s="1" t="s">
        <v>103</v>
      </c>
      <c r="D449" s="3">
        <v>3.44</v>
      </c>
      <c r="E449" s="3">
        <v>0.94</v>
      </c>
      <c r="F449" s="3">
        <v>-794.48400000000004</v>
      </c>
      <c r="G449" s="3">
        <v>-798.55399999999997</v>
      </c>
      <c r="H449" s="3">
        <f t="shared" si="335"/>
        <v>-4.0699999999999363</v>
      </c>
      <c r="I449" s="3">
        <v>-0.34</v>
      </c>
      <c r="J449" s="6">
        <v>-0.23300000000000001</v>
      </c>
      <c r="K449" s="3">
        <f t="shared" si="322"/>
        <v>0.10700000000000001</v>
      </c>
      <c r="L449" s="3">
        <v>0.14399999999999999</v>
      </c>
      <c r="M449" s="6">
        <v>1.9E-2</v>
      </c>
      <c r="N449" s="3">
        <f t="shared" si="323"/>
        <v>-0.12499999999999999</v>
      </c>
      <c r="O449" s="3">
        <f t="shared" si="317"/>
        <v>9.8000000000000018E-2</v>
      </c>
      <c r="P449" s="3">
        <f t="shared" si="317"/>
        <v>0.10700000000000001</v>
      </c>
      <c r="Q449" s="3">
        <f t="shared" si="324"/>
        <v>8.9999999999999941E-3</v>
      </c>
      <c r="R449" s="3">
        <f t="shared" si="325"/>
        <v>0.48399999999999999</v>
      </c>
      <c r="S449" s="3">
        <f t="shared" si="326"/>
        <v>0.252</v>
      </c>
      <c r="T449" s="3">
        <f t="shared" si="327"/>
        <v>-0.23199999999999998</v>
      </c>
      <c r="U449" s="3">
        <f t="shared" si="328"/>
        <v>-9.8000000000000018E-2</v>
      </c>
      <c r="V449" s="3">
        <f t="shared" si="329"/>
        <v>-0.10700000000000001</v>
      </c>
      <c r="W449" s="3">
        <f t="shared" si="315"/>
        <v>-8.9999999999999941E-3</v>
      </c>
      <c r="X449" s="3">
        <f t="shared" si="311"/>
        <v>9.9214876033057887E-3</v>
      </c>
      <c r="Y449" s="3">
        <f t="shared" si="312"/>
        <v>2.2716269841269846E-2</v>
      </c>
      <c r="Z449" s="3">
        <f t="shared" si="330"/>
        <v>1.2794782237964058E-2</v>
      </c>
      <c r="AA449" s="3">
        <v>2.0939999999999999</v>
      </c>
      <c r="AB449" s="3">
        <v>2.2120000000000002</v>
      </c>
      <c r="AC449" s="3">
        <f t="shared" si="331"/>
        <v>0.11800000000000033</v>
      </c>
      <c r="AD449" s="3">
        <f>-794.115749*627.50956</f>
        <v>-498315.22424406046</v>
      </c>
      <c r="AE449" s="3">
        <f>-798.206103*627.50956</f>
        <v>-500881.96048284462</v>
      </c>
      <c r="AF449" s="3">
        <f t="shared" si="332"/>
        <v>-2566.7362387841567</v>
      </c>
      <c r="AG449" s="3">
        <f>-794.180002*627.50956</f>
        <v>-498355.54361581907</v>
      </c>
      <c r="AH449" s="3">
        <f>-798.273009*627.50956</f>
        <v>-500923.94463746599</v>
      </c>
      <c r="AI449" s="3">
        <f t="shared" si="333"/>
        <v>-2568.4010216469178</v>
      </c>
      <c r="AJ449" s="3">
        <v>-0.47799999999999998</v>
      </c>
      <c r="AK449" s="3">
        <v>-0.49</v>
      </c>
      <c r="AL449" s="3">
        <f t="shared" si="334"/>
        <v>-1.2000000000000011E-2</v>
      </c>
      <c r="AM449" s="3">
        <v>200.393</v>
      </c>
      <c r="AN449" s="3">
        <v>288.56950000000001</v>
      </c>
      <c r="AO449" s="3">
        <v>368.32400000000001</v>
      </c>
      <c r="AP449" s="3">
        <f t="shared" si="318"/>
        <v>1.1615012951484296</v>
      </c>
      <c r="AQ449" s="3">
        <v>10.694000000000001</v>
      </c>
      <c r="AR449" s="3">
        <v>2.5855999999999999</v>
      </c>
      <c r="AS449" s="3">
        <v>-959.76900000000001</v>
      </c>
      <c r="AT449" s="3">
        <v>-958.05</v>
      </c>
      <c r="AU449" s="3">
        <f t="shared" si="339"/>
        <v>-1.7190000000000509</v>
      </c>
      <c r="AV449" s="3">
        <v>-0.317</v>
      </c>
      <c r="AW449" s="3">
        <v>-0.45</v>
      </c>
      <c r="AX449" s="3">
        <f t="shared" si="340"/>
        <v>0.13300000000000001</v>
      </c>
      <c r="AY449" s="3">
        <v>-2.4E-2</v>
      </c>
      <c r="AZ449" s="3">
        <v>0.13500000000000001</v>
      </c>
      <c r="BA449" s="3">
        <f t="shared" si="341"/>
        <v>-0.159</v>
      </c>
      <c r="BB449" s="3">
        <f t="shared" si="348"/>
        <v>0.17050000000000001</v>
      </c>
      <c r="BC449" s="3">
        <f t="shared" si="348"/>
        <v>0.1575</v>
      </c>
      <c r="BD449" s="3">
        <f t="shared" si="342"/>
        <v>1.3000000000000012E-2</v>
      </c>
      <c r="BE449" s="3">
        <f t="shared" si="349"/>
        <v>0.29299999999999998</v>
      </c>
      <c r="BF449" s="3">
        <f t="shared" si="349"/>
        <v>0.58499999999999996</v>
      </c>
      <c r="BG449" s="3">
        <f t="shared" si="343"/>
        <v>-0.29199999999999998</v>
      </c>
      <c r="BH449" s="3">
        <f t="shared" si="350"/>
        <v>-0.17050000000000001</v>
      </c>
      <c r="BI449" s="3">
        <f t="shared" si="350"/>
        <v>-0.1575</v>
      </c>
      <c r="BJ449" s="3">
        <f t="shared" si="316"/>
        <v>-1.3000000000000012E-2</v>
      </c>
      <c r="BK449" s="3">
        <f t="shared" si="313"/>
        <v>4.9607935153583631E-2</v>
      </c>
      <c r="BL449" s="3">
        <f t="shared" si="314"/>
        <v>2.120192307692308E-2</v>
      </c>
      <c r="BM449" s="3">
        <f t="shared" si="344"/>
        <v>2.8406012076660551E-2</v>
      </c>
      <c r="BN449" s="3">
        <v>2.2370000000000001</v>
      </c>
      <c r="BO449" s="3">
        <v>2.431</v>
      </c>
      <c r="BP449" s="3">
        <f t="shared" si="345"/>
        <v>-0.19399999999999995</v>
      </c>
      <c r="BQ449" s="3">
        <v>-602243.07700000005</v>
      </c>
      <c r="BR449" s="3">
        <v>-601163.24300000002</v>
      </c>
      <c r="BS449" s="3">
        <f t="shared" si="346"/>
        <v>-1079.8340000000317</v>
      </c>
      <c r="BT449" s="3">
        <v>-602262.36399999994</v>
      </c>
      <c r="BU449" s="3">
        <v>-601182.38500000001</v>
      </c>
      <c r="BV449" s="3">
        <f t="shared" si="347"/>
        <v>-1079.9789999999339</v>
      </c>
    </row>
    <row r="450" spans="1:74" x14ac:dyDescent="0.25">
      <c r="A450" t="s">
        <v>524</v>
      </c>
      <c r="B450" s="1" t="s">
        <v>646</v>
      </c>
      <c r="C450" s="1" t="s">
        <v>103</v>
      </c>
      <c r="D450" s="3">
        <v>3.57</v>
      </c>
      <c r="E450" s="3">
        <v>0.72</v>
      </c>
      <c r="F450" s="3">
        <v>-414.238</v>
      </c>
      <c r="G450" s="3">
        <v>-416.81</v>
      </c>
      <c r="H450" s="3">
        <f t="shared" si="335"/>
        <v>-2.5720000000000027</v>
      </c>
      <c r="I450" s="3">
        <v>-0.36099999999999999</v>
      </c>
      <c r="J450" s="6">
        <v>-0.28000000000000003</v>
      </c>
      <c r="K450" s="3">
        <f t="shared" si="322"/>
        <v>8.0999999999999961E-2</v>
      </c>
      <c r="L450" s="3">
        <v>5.6000000000000001E-2</v>
      </c>
      <c r="M450" s="6">
        <v>-8.5999999999999993E-2</v>
      </c>
      <c r="N450" s="3">
        <f t="shared" si="323"/>
        <v>-0.14199999999999999</v>
      </c>
      <c r="O450" s="3">
        <f t="shared" si="317"/>
        <v>0.1525</v>
      </c>
      <c r="P450" s="3">
        <f t="shared" si="317"/>
        <v>0.183</v>
      </c>
      <c r="Q450" s="3">
        <f t="shared" si="324"/>
        <v>3.0499999999999999E-2</v>
      </c>
      <c r="R450" s="3">
        <f t="shared" si="325"/>
        <v>0.41699999999999998</v>
      </c>
      <c r="S450" s="3">
        <f t="shared" si="326"/>
        <v>0.19400000000000003</v>
      </c>
      <c r="T450" s="3">
        <f t="shared" si="327"/>
        <v>-0.22299999999999995</v>
      </c>
      <c r="U450" s="3">
        <f t="shared" si="328"/>
        <v>-0.1525</v>
      </c>
      <c r="V450" s="3">
        <f t="shared" si="329"/>
        <v>-0.183</v>
      </c>
      <c r="W450" s="3">
        <f t="shared" si="315"/>
        <v>-3.0499999999999999E-2</v>
      </c>
      <c r="X450" s="3">
        <f t="shared" ref="X450:X513" si="351">(U450*U450)/(2*R450)</f>
        <v>2.7885191846522783E-2</v>
      </c>
      <c r="Y450" s="3">
        <f t="shared" ref="Y450:Y513" si="352">(V450*V450)/(2*S450)</f>
        <v>8.6311855670103077E-2</v>
      </c>
      <c r="Z450" s="3">
        <f t="shared" si="330"/>
        <v>5.8426663823580291E-2</v>
      </c>
      <c r="AA450" s="3">
        <v>1.421</v>
      </c>
      <c r="AB450" s="3">
        <v>0.84799999999999998</v>
      </c>
      <c r="AC450" s="3">
        <f t="shared" si="331"/>
        <v>-0.57300000000000006</v>
      </c>
      <c r="AD450" s="3">
        <f>-414.125922*627.50956</f>
        <v>-259867.97509881432</v>
      </c>
      <c r="AE450" s="3">
        <f>-416.703716*627.50956</f>
        <v>-261485.56547752494</v>
      </c>
      <c r="AF450" s="3">
        <f t="shared" si="332"/>
        <v>-1617.5903787106217</v>
      </c>
      <c r="AG450" s="3">
        <f>-414.166951*627.50956</f>
        <v>-259893.72118855154</v>
      </c>
      <c r="AH450" s="3">
        <f>-416.745677*627.50956</f>
        <v>-261511.89640617211</v>
      </c>
      <c r="AI450" s="3">
        <f t="shared" si="333"/>
        <v>-1618.1752176205628</v>
      </c>
      <c r="AJ450" s="3">
        <v>-0.17499999999999999</v>
      </c>
      <c r="AK450" s="3">
        <v>-0.17399999999999999</v>
      </c>
      <c r="AL450" s="3">
        <f t="shared" si="334"/>
        <v>1.0000000000000009E-3</v>
      </c>
      <c r="AM450" s="3">
        <v>128.13076000000001</v>
      </c>
      <c r="AN450" s="3">
        <v>182.36529999999999</v>
      </c>
      <c r="AO450" s="3">
        <v>184.0916</v>
      </c>
      <c r="AP450" s="3">
        <f t="shared" si="318"/>
        <v>1.165490776440989</v>
      </c>
      <c r="AQ450" s="3">
        <v>11.164</v>
      </c>
      <c r="AR450" s="3">
        <v>2.4603000000000002</v>
      </c>
      <c r="AS450" s="3">
        <v>-959.76900000000001</v>
      </c>
      <c r="AT450" s="3">
        <v>-958.05</v>
      </c>
      <c r="AU450" s="3">
        <f t="shared" si="339"/>
        <v>-1.7190000000000509</v>
      </c>
      <c r="AV450" s="3">
        <v>-0.317</v>
      </c>
      <c r="AW450" s="3">
        <v>-0.45</v>
      </c>
      <c r="AX450" s="3">
        <f t="shared" si="340"/>
        <v>0.13300000000000001</v>
      </c>
      <c r="AY450" s="3">
        <v>-2.4E-2</v>
      </c>
      <c r="AZ450" s="3">
        <v>0.13500000000000001</v>
      </c>
      <c r="BA450" s="3">
        <f t="shared" si="341"/>
        <v>-0.159</v>
      </c>
      <c r="BB450" s="3">
        <f t="shared" si="348"/>
        <v>0.17050000000000001</v>
      </c>
      <c r="BC450" s="3">
        <f t="shared" si="348"/>
        <v>0.1575</v>
      </c>
      <c r="BD450" s="3">
        <f t="shared" si="342"/>
        <v>1.3000000000000012E-2</v>
      </c>
      <c r="BE450" s="3">
        <f t="shared" si="349"/>
        <v>0.29299999999999998</v>
      </c>
      <c r="BF450" s="3">
        <f t="shared" si="349"/>
        <v>0.58499999999999996</v>
      </c>
      <c r="BG450" s="3">
        <f t="shared" si="343"/>
        <v>-0.29199999999999998</v>
      </c>
      <c r="BH450" s="3">
        <f t="shared" si="350"/>
        <v>-0.17050000000000001</v>
      </c>
      <c r="BI450" s="3">
        <f t="shared" si="350"/>
        <v>-0.1575</v>
      </c>
      <c r="BJ450" s="3">
        <f t="shared" si="316"/>
        <v>-1.3000000000000012E-2</v>
      </c>
      <c r="BK450" s="3">
        <f t="shared" ref="BK450:BK513" si="353">(BH450*BH450)/(2*BE450)</f>
        <v>4.9607935153583631E-2</v>
      </c>
      <c r="BL450" s="3">
        <f t="shared" ref="BL450:BL513" si="354">(BI450*BI450)/(2*BF450)</f>
        <v>2.120192307692308E-2</v>
      </c>
      <c r="BM450" s="3">
        <f t="shared" si="344"/>
        <v>2.8406012076660551E-2</v>
      </c>
      <c r="BN450" s="3">
        <v>2.2370000000000001</v>
      </c>
      <c r="BO450" s="3">
        <v>2.431</v>
      </c>
      <c r="BP450" s="3">
        <f t="shared" si="345"/>
        <v>-0.19399999999999995</v>
      </c>
      <c r="BQ450" s="3">
        <v>-602243.07700000005</v>
      </c>
      <c r="BR450" s="3">
        <v>-601163.24300000002</v>
      </c>
      <c r="BS450" s="3">
        <f t="shared" si="346"/>
        <v>-1079.8340000000317</v>
      </c>
      <c r="BT450" s="3">
        <v>-602262.36399999994</v>
      </c>
      <c r="BU450" s="3">
        <v>-601182.38500000001</v>
      </c>
      <c r="BV450" s="3">
        <f t="shared" si="347"/>
        <v>-1079.9789999999339</v>
      </c>
    </row>
    <row r="451" spans="1:74" x14ac:dyDescent="0.25">
      <c r="A451" t="s">
        <v>525</v>
      </c>
      <c r="B451" s="1" t="s">
        <v>646</v>
      </c>
      <c r="C451" s="1" t="s">
        <v>103</v>
      </c>
      <c r="D451" s="3">
        <v>3.61</v>
      </c>
      <c r="E451" s="3">
        <v>1.1100000000000001</v>
      </c>
      <c r="F451" s="3">
        <v>-267.73700000000002</v>
      </c>
      <c r="G451" s="3">
        <v>-269.41899999999998</v>
      </c>
      <c r="H451" s="3">
        <f t="shared" si="335"/>
        <v>-1.6819999999999595</v>
      </c>
      <c r="I451" s="3">
        <v>-0.315</v>
      </c>
      <c r="J451" s="6">
        <v>-0.22600000000000001</v>
      </c>
      <c r="K451" s="3">
        <f t="shared" si="322"/>
        <v>8.8999999999999996E-2</v>
      </c>
      <c r="L451" s="3">
        <v>0.16400000000000001</v>
      </c>
      <c r="M451" s="6">
        <v>7.0000000000000001E-3</v>
      </c>
      <c r="N451" s="3">
        <f t="shared" si="323"/>
        <v>-0.157</v>
      </c>
      <c r="O451" s="3">
        <f t="shared" si="317"/>
        <v>7.5499999999999998E-2</v>
      </c>
      <c r="P451" s="3">
        <f t="shared" si="317"/>
        <v>0.1095</v>
      </c>
      <c r="Q451" s="3">
        <f t="shared" si="324"/>
        <v>3.4000000000000002E-2</v>
      </c>
      <c r="R451" s="3">
        <f t="shared" si="325"/>
        <v>0.47899999999999998</v>
      </c>
      <c r="S451" s="3">
        <f t="shared" si="326"/>
        <v>0.23300000000000001</v>
      </c>
      <c r="T451" s="3">
        <f t="shared" si="327"/>
        <v>-0.24599999999999997</v>
      </c>
      <c r="U451" s="3">
        <f t="shared" si="328"/>
        <v>-7.5499999999999998E-2</v>
      </c>
      <c r="V451" s="3">
        <f t="shared" si="329"/>
        <v>-0.1095</v>
      </c>
      <c r="W451" s="3">
        <f t="shared" ref="W451:W514" si="355">(V451-U451)</f>
        <v>-3.4000000000000002E-2</v>
      </c>
      <c r="X451" s="3">
        <f t="shared" si="351"/>
        <v>5.9501565762004171E-3</v>
      </c>
      <c r="Y451" s="3">
        <f t="shared" si="352"/>
        <v>2.5730150214592271E-2</v>
      </c>
      <c r="Z451" s="3">
        <f t="shared" si="330"/>
        <v>1.9779993638391856E-2</v>
      </c>
      <c r="AA451" s="3">
        <v>0.748</v>
      </c>
      <c r="AB451" s="3">
        <v>0.72499999999999998</v>
      </c>
      <c r="AC451" s="3">
        <f t="shared" si="331"/>
        <v>-2.300000000000002E-2</v>
      </c>
      <c r="AD451" s="3">
        <f>-267.626531*627.50956</f>
        <v>-167938.20671213634</v>
      </c>
      <c r="AE451" s="3">
        <f>-269.315423*627.50956</f>
        <v>-168998.00258794389</v>
      </c>
      <c r="AF451" s="3">
        <f t="shared" si="332"/>
        <v>-1059.7958758075547</v>
      </c>
      <c r="AG451" s="3">
        <f>-267.660773*627.50956</f>
        <v>-167959.69389448987</v>
      </c>
      <c r="AH451" s="3">
        <f>-269.350335*627.50956</f>
        <v>-169019.91020170259</v>
      </c>
      <c r="AI451" s="3">
        <f t="shared" si="333"/>
        <v>-1060.216307212715</v>
      </c>
      <c r="AJ451" s="3">
        <v>-0.54100000000000004</v>
      </c>
      <c r="AK451" s="3">
        <v>-0.61799999999999999</v>
      </c>
      <c r="AL451" s="3">
        <f t="shared" si="334"/>
        <v>-7.6999999999999957E-2</v>
      </c>
      <c r="AM451" s="3">
        <v>82.100539999999995</v>
      </c>
      <c r="AN451" s="3">
        <v>141.67689999999999</v>
      </c>
      <c r="AO451" s="3">
        <v>136.13319999999999</v>
      </c>
      <c r="AP451" s="3">
        <f t="shared" si="318"/>
        <v>1.1072498422556318</v>
      </c>
      <c r="AQ451" s="3">
        <v>7.7190000000000003</v>
      </c>
      <c r="AR451" s="3">
        <v>1.5563982999999999</v>
      </c>
      <c r="AS451" s="3">
        <v>-959.76900000000001</v>
      </c>
      <c r="AT451" s="3">
        <v>-958.05</v>
      </c>
      <c r="AU451" s="3">
        <f t="shared" si="339"/>
        <v>-1.7190000000000509</v>
      </c>
      <c r="AV451" s="3">
        <v>-0.317</v>
      </c>
      <c r="AW451" s="3">
        <v>-0.45</v>
      </c>
      <c r="AX451" s="3">
        <f t="shared" si="340"/>
        <v>0.13300000000000001</v>
      </c>
      <c r="AY451" s="3">
        <v>-2.4E-2</v>
      </c>
      <c r="AZ451" s="3">
        <v>0.13500000000000001</v>
      </c>
      <c r="BA451" s="3">
        <f t="shared" si="341"/>
        <v>-0.159</v>
      </c>
      <c r="BB451" s="3">
        <f t="shared" si="348"/>
        <v>0.17050000000000001</v>
      </c>
      <c r="BC451" s="3">
        <f t="shared" si="348"/>
        <v>0.1575</v>
      </c>
      <c r="BD451" s="3">
        <f t="shared" si="342"/>
        <v>1.3000000000000012E-2</v>
      </c>
      <c r="BE451" s="3">
        <f t="shared" si="349"/>
        <v>0.29299999999999998</v>
      </c>
      <c r="BF451" s="3">
        <f t="shared" si="349"/>
        <v>0.58499999999999996</v>
      </c>
      <c r="BG451" s="3">
        <f t="shared" si="343"/>
        <v>-0.29199999999999998</v>
      </c>
      <c r="BH451" s="3">
        <f t="shared" si="350"/>
        <v>-0.17050000000000001</v>
      </c>
      <c r="BI451" s="3">
        <f t="shared" si="350"/>
        <v>-0.1575</v>
      </c>
      <c r="BJ451" s="3">
        <f t="shared" ref="BJ451:BJ514" si="356">(BH451-BI451)</f>
        <v>-1.3000000000000012E-2</v>
      </c>
      <c r="BK451" s="3">
        <f t="shared" si="353"/>
        <v>4.9607935153583631E-2</v>
      </c>
      <c r="BL451" s="3">
        <f t="shared" si="354"/>
        <v>2.120192307692308E-2</v>
      </c>
      <c r="BM451" s="3">
        <f t="shared" si="344"/>
        <v>2.8406012076660551E-2</v>
      </c>
      <c r="BN451" s="3">
        <v>2.2370000000000001</v>
      </c>
      <c r="BO451" s="3">
        <v>2.431</v>
      </c>
      <c r="BP451" s="3">
        <f t="shared" si="345"/>
        <v>-0.19399999999999995</v>
      </c>
      <c r="BQ451" s="3">
        <v>-602243.07700000005</v>
      </c>
      <c r="BR451" s="3">
        <v>-601163.24300000002</v>
      </c>
      <c r="BS451" s="3">
        <f t="shared" si="346"/>
        <v>-1079.8340000000317</v>
      </c>
      <c r="BT451" s="3">
        <v>-602262.36399999994</v>
      </c>
      <c r="BU451" s="3">
        <v>-601182.38500000001</v>
      </c>
      <c r="BV451" s="3">
        <f t="shared" si="347"/>
        <v>-1079.9789999999339</v>
      </c>
    </row>
    <row r="452" spans="1:74" x14ac:dyDescent="0.25">
      <c r="A452" t="s">
        <v>526</v>
      </c>
      <c r="B452" s="1" t="s">
        <v>646</v>
      </c>
      <c r="C452" s="1" t="s">
        <v>103</v>
      </c>
      <c r="D452" s="3">
        <v>3.76</v>
      </c>
      <c r="E452" s="3">
        <v>0.91</v>
      </c>
      <c r="F452" s="3">
        <v>-309.10500000000002</v>
      </c>
      <c r="G452" s="3">
        <v>-311.14999999999998</v>
      </c>
      <c r="H452" s="3">
        <f t="shared" si="335"/>
        <v>-2.0449999999999591</v>
      </c>
      <c r="I452" s="3">
        <v>-0.34200000000000003</v>
      </c>
      <c r="J452" s="6">
        <v>-0.23100000000000001</v>
      </c>
      <c r="K452" s="3">
        <f t="shared" si="322"/>
        <v>0.11100000000000002</v>
      </c>
      <c r="L452" s="3">
        <v>0.16</v>
      </c>
      <c r="M452" s="6">
        <v>0.02</v>
      </c>
      <c r="N452" s="3">
        <f t="shared" si="323"/>
        <v>-0.14000000000000001</v>
      </c>
      <c r="O452" s="3">
        <f t="shared" si="317"/>
        <v>9.1000000000000011E-2</v>
      </c>
      <c r="P452" s="3">
        <f t="shared" si="317"/>
        <v>0.10550000000000001</v>
      </c>
      <c r="Q452" s="3">
        <f t="shared" si="324"/>
        <v>1.4499999999999999E-2</v>
      </c>
      <c r="R452" s="3">
        <f t="shared" si="325"/>
        <v>0.502</v>
      </c>
      <c r="S452" s="3">
        <f t="shared" si="326"/>
        <v>0.251</v>
      </c>
      <c r="T452" s="3">
        <f t="shared" si="327"/>
        <v>-0.251</v>
      </c>
      <c r="U452" s="3">
        <f t="shared" si="328"/>
        <v>-9.1000000000000011E-2</v>
      </c>
      <c r="V452" s="3">
        <f t="shared" si="329"/>
        <v>-0.10550000000000001</v>
      </c>
      <c r="W452" s="3">
        <f t="shared" si="355"/>
        <v>-1.4499999999999999E-2</v>
      </c>
      <c r="X452" s="3">
        <f t="shared" si="351"/>
        <v>8.2480079681274913E-3</v>
      </c>
      <c r="Y452" s="3">
        <f t="shared" si="352"/>
        <v>2.217181274900399E-2</v>
      </c>
      <c r="Z452" s="3">
        <f t="shared" si="330"/>
        <v>1.3923804780876499E-2</v>
      </c>
      <c r="AA452" s="3">
        <v>2.3690000000000002</v>
      </c>
      <c r="AB452" s="3">
        <v>2.351</v>
      </c>
      <c r="AC452" s="3">
        <f t="shared" si="331"/>
        <v>-1.8000000000000238E-2</v>
      </c>
      <c r="AD452" s="3">
        <f>-308.916065*627.50956</f>
        <v>-193847.7840250814</v>
      </c>
      <c r="AE452" s="3">
        <f>-310.971368*627.50956</f>
        <v>-195137.50630627805</v>
      </c>
      <c r="AF452" s="3">
        <f t="shared" si="332"/>
        <v>-1289.7222811966494</v>
      </c>
      <c r="AG452" s="3">
        <f>-308.958986*627.50956</f>
        <v>-193874.71736290614</v>
      </c>
      <c r="AH452" s="3">
        <f>-311.017153*627.50956</f>
        <v>-195166.23683148267</v>
      </c>
      <c r="AI452" s="3">
        <f t="shared" si="333"/>
        <v>-1291.5194685765309</v>
      </c>
      <c r="AJ452" s="3">
        <v>-0.48199999999999998</v>
      </c>
      <c r="AK452" s="3">
        <v>-0.498</v>
      </c>
      <c r="AL452" s="3">
        <f t="shared" si="334"/>
        <v>-1.6000000000000014E-2</v>
      </c>
      <c r="AM452" s="3">
        <v>100.15888</v>
      </c>
      <c r="AN452" s="3">
        <v>192.7226</v>
      </c>
      <c r="AO452" s="3">
        <v>196.09520000000001</v>
      </c>
      <c r="AP452" s="3">
        <f t="shared" si="318"/>
        <v>1.1808931978113038</v>
      </c>
      <c r="AQ452" s="3">
        <v>11.55</v>
      </c>
      <c r="AR452" s="3">
        <v>2.5347765999999998</v>
      </c>
      <c r="AS452" s="3">
        <v>-959.76900000000001</v>
      </c>
      <c r="AT452" s="3">
        <v>-958.05</v>
      </c>
      <c r="AU452" s="3">
        <f t="shared" si="339"/>
        <v>-1.7190000000000509</v>
      </c>
      <c r="AV452" s="3">
        <v>-0.317</v>
      </c>
      <c r="AW452" s="3">
        <v>-0.45</v>
      </c>
      <c r="AX452" s="3">
        <f t="shared" si="340"/>
        <v>0.13300000000000001</v>
      </c>
      <c r="AY452" s="3">
        <v>-2.4E-2</v>
      </c>
      <c r="AZ452" s="3">
        <v>0.13500000000000001</v>
      </c>
      <c r="BA452" s="3">
        <f t="shared" si="341"/>
        <v>-0.159</v>
      </c>
      <c r="BB452" s="3">
        <f t="shared" si="348"/>
        <v>0.17050000000000001</v>
      </c>
      <c r="BC452" s="3">
        <f t="shared" si="348"/>
        <v>0.1575</v>
      </c>
      <c r="BD452" s="3">
        <f t="shared" si="342"/>
        <v>1.3000000000000012E-2</v>
      </c>
      <c r="BE452" s="3">
        <f t="shared" si="349"/>
        <v>0.29299999999999998</v>
      </c>
      <c r="BF452" s="3">
        <f t="shared" si="349"/>
        <v>0.58499999999999996</v>
      </c>
      <c r="BG452" s="3">
        <f t="shared" si="343"/>
        <v>-0.29199999999999998</v>
      </c>
      <c r="BH452" s="3">
        <f t="shared" si="350"/>
        <v>-0.17050000000000001</v>
      </c>
      <c r="BI452" s="3">
        <f t="shared" si="350"/>
        <v>-0.1575</v>
      </c>
      <c r="BJ452" s="3">
        <f t="shared" si="356"/>
        <v>-1.3000000000000012E-2</v>
      </c>
      <c r="BK452" s="3">
        <f t="shared" si="353"/>
        <v>4.9607935153583631E-2</v>
      </c>
      <c r="BL452" s="3">
        <f t="shared" si="354"/>
        <v>2.120192307692308E-2</v>
      </c>
      <c r="BM452" s="3">
        <f t="shared" si="344"/>
        <v>2.8406012076660551E-2</v>
      </c>
      <c r="BN452" s="3">
        <v>2.2370000000000001</v>
      </c>
      <c r="BO452" s="3">
        <v>2.431</v>
      </c>
      <c r="BP452" s="3">
        <f t="shared" si="345"/>
        <v>-0.19399999999999995</v>
      </c>
      <c r="BQ452" s="3">
        <v>-602243.07700000005</v>
      </c>
      <c r="BR452" s="3">
        <v>-601163.24300000002</v>
      </c>
      <c r="BS452" s="3">
        <f t="shared" si="346"/>
        <v>-1079.8340000000317</v>
      </c>
      <c r="BT452" s="3">
        <v>-602262.36399999994</v>
      </c>
      <c r="BU452" s="3">
        <v>-601182.38500000001</v>
      </c>
      <c r="BV452" s="3">
        <f t="shared" si="347"/>
        <v>-1079.9789999999339</v>
      </c>
    </row>
    <row r="453" spans="1:74" x14ac:dyDescent="0.25">
      <c r="A453" t="s">
        <v>527</v>
      </c>
      <c r="B453" s="1" t="s">
        <v>646</v>
      </c>
      <c r="C453" s="1" t="s">
        <v>103</v>
      </c>
      <c r="D453" s="3">
        <v>3.78</v>
      </c>
      <c r="E453" s="3">
        <v>0.79</v>
      </c>
      <c r="F453" s="3">
        <v>-716.43299999999999</v>
      </c>
      <c r="G453" s="3">
        <v>-719.93899999999996</v>
      </c>
      <c r="H453" s="3">
        <f t="shared" si="335"/>
        <v>-3.5059999999999718</v>
      </c>
      <c r="I453" s="3">
        <v>-0.33700000000000002</v>
      </c>
      <c r="J453" s="6">
        <v>-0.23200000000000001</v>
      </c>
      <c r="K453" s="3">
        <f t="shared" si="322"/>
        <v>0.10500000000000001</v>
      </c>
      <c r="L453" s="3">
        <v>0.13600000000000001</v>
      </c>
      <c r="M453" s="6">
        <v>2.1999999999999999E-2</v>
      </c>
      <c r="N453" s="3">
        <f t="shared" si="323"/>
        <v>-0.11400000000000002</v>
      </c>
      <c r="O453" s="3">
        <f t="shared" si="317"/>
        <v>0.10050000000000001</v>
      </c>
      <c r="P453" s="3">
        <f t="shared" si="317"/>
        <v>0.10500000000000001</v>
      </c>
      <c r="Q453" s="3">
        <f t="shared" si="324"/>
        <v>4.500000000000004E-3</v>
      </c>
      <c r="R453" s="3">
        <f t="shared" si="325"/>
        <v>0.47300000000000003</v>
      </c>
      <c r="S453" s="3">
        <f t="shared" si="326"/>
        <v>0.254</v>
      </c>
      <c r="T453" s="3">
        <f t="shared" si="327"/>
        <v>-0.21900000000000003</v>
      </c>
      <c r="U453" s="3">
        <f t="shared" si="328"/>
        <v>-0.10050000000000001</v>
      </c>
      <c r="V453" s="3">
        <f t="shared" si="329"/>
        <v>-0.10500000000000001</v>
      </c>
      <c r="W453" s="3">
        <f t="shared" si="355"/>
        <v>-4.500000000000004E-3</v>
      </c>
      <c r="X453" s="3">
        <f t="shared" si="351"/>
        <v>1.0676797040169134E-2</v>
      </c>
      <c r="Y453" s="3">
        <f t="shared" si="352"/>
        <v>2.1702755905511815E-2</v>
      </c>
      <c r="Z453" s="3">
        <f t="shared" si="330"/>
        <v>1.1025958865342682E-2</v>
      </c>
      <c r="AA453" s="3">
        <v>0.755</v>
      </c>
      <c r="AB453" s="3">
        <v>1.095</v>
      </c>
      <c r="AC453" s="3">
        <f t="shared" si="331"/>
        <v>0.33999999999999997</v>
      </c>
      <c r="AD453" s="3">
        <f>-716.130779*627.50956</f>
        <v>-449378.9100327472</v>
      </c>
      <c r="AE453" s="3">
        <f>-719.653167*627.50956</f>
        <v>-451589.24217677652</v>
      </c>
      <c r="AF453" s="3">
        <f t="shared" si="332"/>
        <v>-2210.3321440293221</v>
      </c>
      <c r="AG453" s="3">
        <f>-716.189808*627.50956</f>
        <v>-449415.95129456441</v>
      </c>
      <c r="AH453" s="3">
        <f>-719.714324*627.50956</f>
        <v>-451627.61877893744</v>
      </c>
      <c r="AI453" s="3">
        <f t="shared" si="333"/>
        <v>-2211.6674843730289</v>
      </c>
      <c r="AJ453" s="3">
        <v>-0.51900000000000002</v>
      </c>
      <c r="AK453" s="3">
        <v>-0.52100000000000002</v>
      </c>
      <c r="AL453" s="3">
        <f t="shared" si="334"/>
        <v>-2.0000000000000018E-3</v>
      </c>
      <c r="AM453" s="3">
        <v>172.34</v>
      </c>
      <c r="AN453" s="3">
        <v>272.15600000000001</v>
      </c>
      <c r="AO453" s="3">
        <v>321.16732000000002</v>
      </c>
      <c r="AP453" s="3">
        <f t="shared" si="318"/>
        <v>1.2001981836759197</v>
      </c>
      <c r="AQ453" s="3">
        <v>10.61</v>
      </c>
      <c r="AR453" s="3">
        <v>2.5582159999999998</v>
      </c>
      <c r="AS453" s="3">
        <v>-959.76900000000001</v>
      </c>
      <c r="AT453" s="3">
        <v>-958.05</v>
      </c>
      <c r="AU453" s="3">
        <f t="shared" si="339"/>
        <v>-1.7190000000000509</v>
      </c>
      <c r="AV453" s="3">
        <v>-0.317</v>
      </c>
      <c r="AW453" s="3">
        <v>-0.45</v>
      </c>
      <c r="AX453" s="3">
        <f t="shared" si="340"/>
        <v>0.13300000000000001</v>
      </c>
      <c r="AY453" s="3">
        <v>-2.4E-2</v>
      </c>
      <c r="AZ453" s="3">
        <v>0.13500000000000001</v>
      </c>
      <c r="BA453" s="3">
        <f t="shared" si="341"/>
        <v>-0.159</v>
      </c>
      <c r="BB453" s="3">
        <f t="shared" si="348"/>
        <v>0.17050000000000001</v>
      </c>
      <c r="BC453" s="3">
        <f t="shared" si="348"/>
        <v>0.1575</v>
      </c>
      <c r="BD453" s="3">
        <f t="shared" si="342"/>
        <v>1.3000000000000012E-2</v>
      </c>
      <c r="BE453" s="3">
        <f t="shared" si="349"/>
        <v>0.29299999999999998</v>
      </c>
      <c r="BF453" s="3">
        <f t="shared" si="349"/>
        <v>0.58499999999999996</v>
      </c>
      <c r="BG453" s="3">
        <f t="shared" si="343"/>
        <v>-0.29199999999999998</v>
      </c>
      <c r="BH453" s="3">
        <f t="shared" si="350"/>
        <v>-0.17050000000000001</v>
      </c>
      <c r="BI453" s="3">
        <f t="shared" si="350"/>
        <v>-0.1575</v>
      </c>
      <c r="BJ453" s="3">
        <f t="shared" si="356"/>
        <v>-1.3000000000000012E-2</v>
      </c>
      <c r="BK453" s="3">
        <f t="shared" si="353"/>
        <v>4.9607935153583631E-2</v>
      </c>
      <c r="BL453" s="3">
        <f t="shared" si="354"/>
        <v>2.120192307692308E-2</v>
      </c>
      <c r="BM453" s="3">
        <f t="shared" si="344"/>
        <v>2.8406012076660551E-2</v>
      </c>
      <c r="BN453" s="3">
        <v>2.2370000000000001</v>
      </c>
      <c r="BO453" s="3">
        <v>2.431</v>
      </c>
      <c r="BP453" s="3">
        <f t="shared" si="345"/>
        <v>-0.19399999999999995</v>
      </c>
      <c r="BQ453" s="3">
        <v>-602243.07700000005</v>
      </c>
      <c r="BR453" s="3">
        <v>-601163.24300000002</v>
      </c>
      <c r="BS453" s="3">
        <f t="shared" si="346"/>
        <v>-1079.8340000000317</v>
      </c>
      <c r="BT453" s="3">
        <v>-602262.36399999994</v>
      </c>
      <c r="BU453" s="3">
        <v>-601182.38500000001</v>
      </c>
      <c r="BV453" s="3">
        <f t="shared" si="347"/>
        <v>-1079.9789999999339</v>
      </c>
    </row>
    <row r="454" spans="1:74" x14ac:dyDescent="0.25">
      <c r="A454" t="s">
        <v>528</v>
      </c>
      <c r="B454" s="1" t="s">
        <v>646</v>
      </c>
      <c r="C454" s="1" t="s">
        <v>99</v>
      </c>
      <c r="D454" s="3">
        <v>3.87</v>
      </c>
      <c r="E454" s="3">
        <v>1.1000000000000001</v>
      </c>
      <c r="F454" s="3">
        <v>-377.56</v>
      </c>
      <c r="G454" s="3">
        <v>-379.96300000000002</v>
      </c>
      <c r="H454" s="3">
        <f t="shared" si="335"/>
        <v>-2.40300000000002</v>
      </c>
      <c r="I454" s="3">
        <v>-0.30399999999999999</v>
      </c>
      <c r="J454" s="6">
        <v>-0.22700000000000001</v>
      </c>
      <c r="K454" s="3">
        <f t="shared" si="322"/>
        <v>7.6999999999999985E-2</v>
      </c>
      <c r="L454" s="3">
        <v>0.10299999999999999</v>
      </c>
      <c r="M454" s="6">
        <v>-0.04</v>
      </c>
      <c r="N454" s="3">
        <f t="shared" si="323"/>
        <v>-0.14299999999999999</v>
      </c>
      <c r="O454" s="3">
        <f t="shared" si="317"/>
        <v>0.10050000000000001</v>
      </c>
      <c r="P454" s="3">
        <f t="shared" si="317"/>
        <v>0.13350000000000001</v>
      </c>
      <c r="Q454" s="3">
        <f t="shared" si="324"/>
        <v>3.3000000000000002E-2</v>
      </c>
      <c r="R454" s="3">
        <f t="shared" si="325"/>
        <v>0.40699999999999997</v>
      </c>
      <c r="S454" s="3">
        <f t="shared" si="326"/>
        <v>0.187</v>
      </c>
      <c r="T454" s="3">
        <f t="shared" si="327"/>
        <v>-0.21999999999999997</v>
      </c>
      <c r="U454" s="3">
        <f t="shared" si="328"/>
        <v>-0.10050000000000001</v>
      </c>
      <c r="V454" s="3">
        <f t="shared" si="329"/>
        <v>-0.13350000000000001</v>
      </c>
      <c r="W454" s="3">
        <f t="shared" si="355"/>
        <v>-3.3000000000000002E-2</v>
      </c>
      <c r="X454" s="3">
        <f t="shared" si="351"/>
        <v>1.2408169533169536E-2</v>
      </c>
      <c r="Y454" s="3">
        <f t="shared" si="352"/>
        <v>4.7653074866310166E-2</v>
      </c>
      <c r="Z454" s="3">
        <f t="shared" si="330"/>
        <v>3.5244905333140633E-2</v>
      </c>
      <c r="AA454" s="3">
        <v>2.052</v>
      </c>
      <c r="AB454" s="3">
        <v>2.1970000000000001</v>
      </c>
      <c r="AC454" s="3">
        <f t="shared" si="331"/>
        <v>0.14500000000000002</v>
      </c>
      <c r="AD454" s="3">
        <f>-377.427728*627.50956</f>
        <v>-236839.50752907968</v>
      </c>
      <c r="AE454" s="3">
        <f>-379.838157*627.50956</f>
        <v>-238352.07477028092</v>
      </c>
      <c r="AF454" s="3">
        <f t="shared" si="332"/>
        <v>-1512.5672412012354</v>
      </c>
      <c r="AG454" s="3">
        <f>-377.464235*627.50956</f>
        <v>-236862.41602058656</v>
      </c>
      <c r="AH454" s="3">
        <f>-379.875297*627.50956</f>
        <v>-238375.38047533931</v>
      </c>
      <c r="AI454" s="3">
        <f t="shared" si="333"/>
        <v>-1512.9644547527423</v>
      </c>
      <c r="AJ454" s="3">
        <v>-0.308</v>
      </c>
      <c r="AK454" s="3">
        <v>-0.30399999999999999</v>
      </c>
      <c r="AL454" s="3">
        <f t="shared" si="334"/>
        <v>4.0000000000000036E-3</v>
      </c>
      <c r="AM454" s="3">
        <v>118.13594000000001</v>
      </c>
      <c r="AN454" s="3">
        <v>168.2474</v>
      </c>
      <c r="AO454" s="3">
        <v>172.67570000000001</v>
      </c>
      <c r="AP454" s="3">
        <f t="shared" si="318"/>
        <v>1.1221480570335471</v>
      </c>
      <c r="AQ454" s="3">
        <v>9.0660000000000007</v>
      </c>
      <c r="AR454" s="3">
        <v>1.8990340000000001</v>
      </c>
      <c r="AS454" s="3">
        <v>-132.80099999999999</v>
      </c>
      <c r="AT454" s="3">
        <v>-131.97</v>
      </c>
      <c r="AU454" s="3">
        <f t="shared" si="339"/>
        <v>-0.83099999999998886</v>
      </c>
      <c r="AV454" s="3">
        <v>-0.34100000000000003</v>
      </c>
      <c r="AW454" s="3">
        <v>-0.47499999999999998</v>
      </c>
      <c r="AX454" s="3">
        <f t="shared" si="340"/>
        <v>0.13399999999999995</v>
      </c>
      <c r="AY454" s="3">
        <v>2.9000000000000001E-2</v>
      </c>
      <c r="AZ454" s="3">
        <v>0.156</v>
      </c>
      <c r="BA454" s="3">
        <f t="shared" si="341"/>
        <v>-0.127</v>
      </c>
      <c r="BB454" s="3">
        <f t="shared" si="348"/>
        <v>0.156</v>
      </c>
      <c r="BC454" s="3">
        <f t="shared" si="348"/>
        <v>0.15949999999999998</v>
      </c>
      <c r="BD454" s="3">
        <f t="shared" si="342"/>
        <v>-3.4999999999999754E-3</v>
      </c>
      <c r="BE454" s="3">
        <f t="shared" si="349"/>
        <v>0.37000000000000005</v>
      </c>
      <c r="BF454" s="3">
        <f t="shared" si="349"/>
        <v>0.63100000000000001</v>
      </c>
      <c r="BG454" s="3">
        <f t="shared" si="343"/>
        <v>-0.26099999999999995</v>
      </c>
      <c r="BH454" s="3">
        <f t="shared" si="350"/>
        <v>-0.156</v>
      </c>
      <c r="BI454" s="3">
        <f t="shared" si="350"/>
        <v>-0.15949999999999998</v>
      </c>
      <c r="BJ454" s="3">
        <f t="shared" si="356"/>
        <v>3.4999999999999754E-3</v>
      </c>
      <c r="BK454" s="3">
        <f t="shared" si="353"/>
        <v>3.2886486486486483E-2</v>
      </c>
      <c r="BL454" s="3">
        <f t="shared" si="354"/>
        <v>2.0158676703645E-2</v>
      </c>
      <c r="BM454" s="3">
        <f t="shared" si="344"/>
        <v>1.2727809782841482E-2</v>
      </c>
      <c r="BN454" s="3">
        <v>4.7279999999999998</v>
      </c>
      <c r="BO454" s="3">
        <v>4.9340000000000002</v>
      </c>
      <c r="BP454" s="3">
        <f t="shared" si="345"/>
        <v>-0.20600000000000041</v>
      </c>
      <c r="BQ454" s="3">
        <v>-83302.89</v>
      </c>
      <c r="BR454" s="3">
        <v>-82779.224000000002</v>
      </c>
      <c r="BS454" s="3">
        <f t="shared" si="346"/>
        <v>-523.66599999999744</v>
      </c>
      <c r="BT454" s="3">
        <v>-83320.774999999994</v>
      </c>
      <c r="BU454" s="3">
        <v>-82796.997000000003</v>
      </c>
      <c r="BV454" s="3">
        <f t="shared" si="347"/>
        <v>-523.77799999999115</v>
      </c>
    </row>
    <row r="455" spans="1:74" x14ac:dyDescent="0.25">
      <c r="A455" t="s">
        <v>529</v>
      </c>
      <c r="B455" s="1" t="s">
        <v>646</v>
      </c>
      <c r="C455" s="1" t="s">
        <v>99</v>
      </c>
      <c r="D455" s="3">
        <v>3.93</v>
      </c>
      <c r="E455" s="3">
        <v>0.88</v>
      </c>
      <c r="F455" s="3">
        <v>-308.79700000000003</v>
      </c>
      <c r="G455" s="3">
        <v>-310.91500000000002</v>
      </c>
      <c r="H455" s="3">
        <f t="shared" si="335"/>
        <v>-2.117999999999995</v>
      </c>
      <c r="I455" s="3">
        <v>-0.31</v>
      </c>
      <c r="J455" s="6">
        <v>-0.22</v>
      </c>
      <c r="K455" s="3">
        <f t="shared" si="322"/>
        <v>0.09</v>
      </c>
      <c r="L455" s="3">
        <v>7.9000000000000001E-2</v>
      </c>
      <c r="M455" s="6">
        <v>-6.6000000000000003E-2</v>
      </c>
      <c r="N455" s="3">
        <f t="shared" si="323"/>
        <v>-0.14500000000000002</v>
      </c>
      <c r="O455" s="3">
        <f t="shared" si="317"/>
        <v>0.11549999999999999</v>
      </c>
      <c r="P455" s="3">
        <f t="shared" si="317"/>
        <v>0.14300000000000002</v>
      </c>
      <c r="Q455" s="3">
        <f t="shared" si="324"/>
        <v>2.7500000000000024E-2</v>
      </c>
      <c r="R455" s="3">
        <f t="shared" si="325"/>
        <v>0.38900000000000001</v>
      </c>
      <c r="S455" s="3">
        <f t="shared" si="326"/>
        <v>0.154</v>
      </c>
      <c r="T455" s="3">
        <f t="shared" si="327"/>
        <v>-0.23500000000000001</v>
      </c>
      <c r="U455" s="3">
        <f t="shared" si="328"/>
        <v>-0.11549999999999999</v>
      </c>
      <c r="V455" s="3">
        <f t="shared" si="329"/>
        <v>-0.14300000000000002</v>
      </c>
      <c r="W455" s="3">
        <f t="shared" si="355"/>
        <v>-2.7500000000000024E-2</v>
      </c>
      <c r="X455" s="3">
        <f t="shared" si="351"/>
        <v>1.7146850899742928E-2</v>
      </c>
      <c r="Y455" s="3">
        <f t="shared" si="352"/>
        <v>6.6392857142857156E-2</v>
      </c>
      <c r="Z455" s="3">
        <f t="shared" si="330"/>
        <v>4.9246006243114232E-2</v>
      </c>
      <c r="AA455" s="3">
        <v>2.4159999999999999</v>
      </c>
      <c r="AB455" s="3">
        <v>2.7250000000000001</v>
      </c>
      <c r="AC455" s="3">
        <f t="shared" si="331"/>
        <v>0.30900000000000016</v>
      </c>
      <c r="AD455" s="3">
        <f>-308.624622*627.50956</f>
        <v>-193664.90075638631</v>
      </c>
      <c r="AE455" s="3">
        <f>-310.753209*627.50956</f>
        <v>-195000.60944817806</v>
      </c>
      <c r="AF455" s="3">
        <f t="shared" si="332"/>
        <v>-1335.7086917917477</v>
      </c>
      <c r="AG455" s="3">
        <f>-308.66545*627.50956</f>
        <v>-193690.52071670201</v>
      </c>
      <c r="AH455" s="3">
        <f>-310.795036*627.50956</f>
        <v>-195026.85629054415</v>
      </c>
      <c r="AI455" s="3">
        <f t="shared" si="333"/>
        <v>-1336.3355738421378</v>
      </c>
      <c r="AJ455" s="3">
        <v>-0.53200000000000003</v>
      </c>
      <c r="AK455" s="3">
        <v>-0.60699999999999998</v>
      </c>
      <c r="AL455" s="3">
        <f t="shared" si="334"/>
        <v>-7.4999999999999956E-2</v>
      </c>
      <c r="AM455" s="3">
        <v>106.16500000000001</v>
      </c>
      <c r="AN455" s="3">
        <v>183.19139999999999</v>
      </c>
      <c r="AO455" s="3">
        <v>193.965</v>
      </c>
      <c r="AP455" s="3">
        <f t="shared" si="318"/>
        <v>1.1306949475291652</v>
      </c>
      <c r="AQ455" s="3">
        <v>8.9160000000000004</v>
      </c>
      <c r="AR455" s="3">
        <v>2.0405202</v>
      </c>
      <c r="AS455" s="3">
        <v>-132.80099999999999</v>
      </c>
      <c r="AT455" s="3">
        <v>-131.97</v>
      </c>
      <c r="AU455" s="3">
        <f t="shared" si="339"/>
        <v>-0.83099999999998886</v>
      </c>
      <c r="AV455" s="3">
        <v>-0.34100000000000003</v>
      </c>
      <c r="AW455" s="3">
        <v>-0.47499999999999998</v>
      </c>
      <c r="AX455" s="3">
        <f t="shared" si="340"/>
        <v>0.13399999999999995</v>
      </c>
      <c r="AY455" s="3">
        <v>2.9000000000000001E-2</v>
      </c>
      <c r="AZ455" s="3">
        <v>0.156</v>
      </c>
      <c r="BA455" s="3">
        <f t="shared" si="341"/>
        <v>-0.127</v>
      </c>
      <c r="BB455" s="3">
        <f t="shared" ref="BB455:BC466" si="357">-(AV455+AY455)/2</f>
        <v>0.156</v>
      </c>
      <c r="BC455" s="3">
        <f t="shared" si="357"/>
        <v>0.15949999999999998</v>
      </c>
      <c r="BD455" s="3">
        <f t="shared" si="342"/>
        <v>-3.4999999999999754E-3</v>
      </c>
      <c r="BE455" s="3">
        <f t="shared" ref="BE455:BF466" si="358">AY455-AV455</f>
        <v>0.37000000000000005</v>
      </c>
      <c r="BF455" s="3">
        <f t="shared" si="358"/>
        <v>0.63100000000000001</v>
      </c>
      <c r="BG455" s="3">
        <f t="shared" si="343"/>
        <v>-0.26099999999999995</v>
      </c>
      <c r="BH455" s="3">
        <f t="shared" ref="BH455:BI466" si="359">(AV455+AY455)/2</f>
        <v>-0.156</v>
      </c>
      <c r="BI455" s="3">
        <f t="shared" si="359"/>
        <v>-0.15949999999999998</v>
      </c>
      <c r="BJ455" s="3">
        <f t="shared" si="356"/>
        <v>3.4999999999999754E-3</v>
      </c>
      <c r="BK455" s="3">
        <f t="shared" si="353"/>
        <v>3.2886486486486483E-2</v>
      </c>
      <c r="BL455" s="3">
        <f t="shared" si="354"/>
        <v>2.0158676703645E-2</v>
      </c>
      <c r="BM455" s="3">
        <f t="shared" si="344"/>
        <v>1.2727809782841482E-2</v>
      </c>
      <c r="BN455" s="3">
        <v>4.7279999999999998</v>
      </c>
      <c r="BO455" s="3">
        <v>4.9340000000000002</v>
      </c>
      <c r="BP455" s="3">
        <f t="shared" si="345"/>
        <v>-0.20600000000000041</v>
      </c>
      <c r="BQ455" s="3">
        <v>-83302.89</v>
      </c>
      <c r="BR455" s="3">
        <v>-82779.224000000002</v>
      </c>
      <c r="BS455" s="3">
        <f t="shared" si="346"/>
        <v>-523.66599999999744</v>
      </c>
      <c r="BT455" s="3">
        <v>-83320.774999999994</v>
      </c>
      <c r="BU455" s="3">
        <v>-82796.997000000003</v>
      </c>
      <c r="BV455" s="3">
        <f t="shared" si="347"/>
        <v>-523.77799999999115</v>
      </c>
    </row>
    <row r="456" spans="1:74" x14ac:dyDescent="0.25">
      <c r="A456" t="s">
        <v>530</v>
      </c>
      <c r="B456" s="1" t="s">
        <v>646</v>
      </c>
      <c r="C456" s="1" t="s">
        <v>103</v>
      </c>
      <c r="D456" s="3">
        <v>3.94</v>
      </c>
      <c r="E456" s="3">
        <v>1</v>
      </c>
      <c r="F456" s="3">
        <v>-638.34699999999998</v>
      </c>
      <c r="G456" s="3">
        <v>-641.29499999999996</v>
      </c>
      <c r="H456" s="3">
        <f t="shared" si="335"/>
        <v>-2.9479999999999791</v>
      </c>
      <c r="I456" s="3">
        <v>-0.31900000000000001</v>
      </c>
      <c r="J456" s="6">
        <v>-0.214</v>
      </c>
      <c r="K456" s="3">
        <f t="shared" si="322"/>
        <v>0.10500000000000001</v>
      </c>
      <c r="L456" s="3">
        <v>0.14000000000000001</v>
      </c>
      <c r="M456" s="6">
        <v>3.1E-2</v>
      </c>
      <c r="N456" s="3">
        <f t="shared" si="323"/>
        <v>-0.10900000000000001</v>
      </c>
      <c r="O456" s="3">
        <f t="shared" si="317"/>
        <v>8.9499999999999996E-2</v>
      </c>
      <c r="P456" s="3">
        <f t="shared" si="317"/>
        <v>9.1499999999999998E-2</v>
      </c>
      <c r="Q456" s="3">
        <f t="shared" si="324"/>
        <v>2.0000000000000018E-3</v>
      </c>
      <c r="R456" s="3">
        <f t="shared" si="325"/>
        <v>0.45900000000000002</v>
      </c>
      <c r="S456" s="3">
        <f t="shared" si="326"/>
        <v>0.245</v>
      </c>
      <c r="T456" s="3">
        <f t="shared" si="327"/>
        <v>-0.21400000000000002</v>
      </c>
      <c r="U456" s="3">
        <f t="shared" si="328"/>
        <v>-8.9499999999999996E-2</v>
      </c>
      <c r="V456" s="3">
        <f t="shared" si="329"/>
        <v>-9.1499999999999998E-2</v>
      </c>
      <c r="W456" s="3">
        <f t="shared" si="355"/>
        <v>-2.0000000000000018E-3</v>
      </c>
      <c r="X456" s="3">
        <f t="shared" si="351"/>
        <v>8.7257625272331146E-3</v>
      </c>
      <c r="Y456" s="3">
        <f t="shared" si="352"/>
        <v>1.7086224489795916E-2</v>
      </c>
      <c r="Z456" s="3">
        <f t="shared" si="330"/>
        <v>8.3604619625628016E-3</v>
      </c>
      <c r="AA456" s="3">
        <v>1.498</v>
      </c>
      <c r="AB456" s="3">
        <v>1.6559999999999999</v>
      </c>
      <c r="AC456" s="3">
        <f t="shared" si="331"/>
        <v>0.15799999999999992</v>
      </c>
      <c r="AD456" s="3">
        <f>-638.107125*627.50956</f>
        <v>-400418.32124161499</v>
      </c>
      <c r="AE456" s="3">
        <f>-641.066737*627.50956</f>
        <v>-402275.50606550567</v>
      </c>
      <c r="AF456" s="3">
        <f t="shared" si="332"/>
        <v>-1857.1848238906823</v>
      </c>
      <c r="AG456" s="3">
        <f>-638.162036*627.50956</f>
        <v>-400452.77841906413</v>
      </c>
      <c r="AH456" s="3">
        <f>-641.123227*627.50956</f>
        <v>-402310.95408055012</v>
      </c>
      <c r="AI456" s="3">
        <f t="shared" si="333"/>
        <v>-1858.1756614859914</v>
      </c>
      <c r="AJ456" s="3">
        <v>-0.52400000000000002</v>
      </c>
      <c r="AK456" s="3">
        <v>-0.60099999999999998</v>
      </c>
      <c r="AL456" s="3">
        <f t="shared" si="334"/>
        <v>-7.6999999999999957E-2</v>
      </c>
      <c r="AM456" s="3">
        <v>144.28684000000001</v>
      </c>
      <c r="AN456" s="3">
        <v>247.8886</v>
      </c>
      <c r="AO456" s="3">
        <v>271.72609999999997</v>
      </c>
      <c r="AP456" s="3">
        <f t="shared" si="318"/>
        <v>1.2220573893878326</v>
      </c>
      <c r="AQ456" s="3">
        <v>10.539</v>
      </c>
      <c r="AR456" s="3">
        <v>2.5141</v>
      </c>
      <c r="AS456" s="3">
        <v>-959.76900000000001</v>
      </c>
      <c r="AT456" s="3">
        <v>-958.05</v>
      </c>
      <c r="AU456" s="3">
        <f t="shared" si="339"/>
        <v>-1.7190000000000509</v>
      </c>
      <c r="AV456" s="3">
        <v>-0.317</v>
      </c>
      <c r="AW456" s="3">
        <v>-0.45</v>
      </c>
      <c r="AX456" s="3">
        <f t="shared" si="340"/>
        <v>0.13300000000000001</v>
      </c>
      <c r="AY456" s="3">
        <v>-2.4E-2</v>
      </c>
      <c r="AZ456" s="3">
        <v>0.13500000000000001</v>
      </c>
      <c r="BA456" s="3">
        <f t="shared" si="341"/>
        <v>-0.159</v>
      </c>
      <c r="BB456" s="3">
        <f t="shared" si="357"/>
        <v>0.17050000000000001</v>
      </c>
      <c r="BC456" s="3">
        <f t="shared" si="357"/>
        <v>0.1575</v>
      </c>
      <c r="BD456" s="3">
        <f t="shared" si="342"/>
        <v>1.3000000000000012E-2</v>
      </c>
      <c r="BE456" s="3">
        <f t="shared" si="358"/>
        <v>0.29299999999999998</v>
      </c>
      <c r="BF456" s="3">
        <f t="shared" si="358"/>
        <v>0.58499999999999996</v>
      </c>
      <c r="BG456" s="3">
        <f t="shared" si="343"/>
        <v>-0.29199999999999998</v>
      </c>
      <c r="BH456" s="3">
        <f t="shared" si="359"/>
        <v>-0.17050000000000001</v>
      </c>
      <c r="BI456" s="3">
        <f t="shared" si="359"/>
        <v>-0.1575</v>
      </c>
      <c r="BJ456" s="3">
        <f t="shared" si="356"/>
        <v>-1.3000000000000012E-2</v>
      </c>
      <c r="BK456" s="3">
        <f t="shared" si="353"/>
        <v>4.9607935153583631E-2</v>
      </c>
      <c r="BL456" s="3">
        <f t="shared" si="354"/>
        <v>2.120192307692308E-2</v>
      </c>
      <c r="BM456" s="3">
        <f t="shared" si="344"/>
        <v>2.8406012076660551E-2</v>
      </c>
      <c r="BN456" s="3">
        <v>2.2370000000000001</v>
      </c>
      <c r="BO456" s="3">
        <v>2.431</v>
      </c>
      <c r="BP456" s="3">
        <f t="shared" si="345"/>
        <v>-0.19399999999999995</v>
      </c>
      <c r="BQ456" s="3">
        <v>-602243.07700000005</v>
      </c>
      <c r="BR456" s="3">
        <v>-601163.24300000002</v>
      </c>
      <c r="BS456" s="3">
        <f t="shared" si="346"/>
        <v>-1079.8340000000317</v>
      </c>
      <c r="BT456" s="3">
        <v>-602262.36399999994</v>
      </c>
      <c r="BU456" s="3">
        <v>-601182.38500000001</v>
      </c>
      <c r="BV456" s="3">
        <f t="shared" si="347"/>
        <v>-1079.9789999999339</v>
      </c>
    </row>
    <row r="457" spans="1:74" x14ac:dyDescent="0.25">
      <c r="A457" t="s">
        <v>531</v>
      </c>
      <c r="B457" s="1" t="s">
        <v>646</v>
      </c>
      <c r="C457" s="1" t="s">
        <v>103</v>
      </c>
      <c r="D457" s="3">
        <v>3.96</v>
      </c>
      <c r="E457" s="3">
        <v>0.91</v>
      </c>
      <c r="F457" s="3">
        <v>-299.71100000000001</v>
      </c>
      <c r="G457" s="3">
        <v>-301.48599999999999</v>
      </c>
      <c r="H457" s="3">
        <f t="shared" si="335"/>
        <v>-1.7749999999999773</v>
      </c>
      <c r="I457" s="3">
        <v>-0.34200000000000003</v>
      </c>
      <c r="J457" s="6">
        <v>-0.249</v>
      </c>
      <c r="K457" s="3">
        <f t="shared" si="322"/>
        <v>9.3000000000000027E-2</v>
      </c>
      <c r="L457" s="3">
        <v>0.113</v>
      </c>
      <c r="M457" s="6">
        <v>-7.0000000000000007E-2</v>
      </c>
      <c r="N457" s="3">
        <f t="shared" si="323"/>
        <v>-0.183</v>
      </c>
      <c r="O457" s="3">
        <f t="shared" si="317"/>
        <v>0.11450000000000002</v>
      </c>
      <c r="P457" s="3">
        <f t="shared" si="317"/>
        <v>0.1595</v>
      </c>
      <c r="Q457" s="3">
        <f t="shared" si="324"/>
        <v>4.4999999999999984E-2</v>
      </c>
      <c r="R457" s="3">
        <f t="shared" si="325"/>
        <v>0.45500000000000002</v>
      </c>
      <c r="S457" s="3">
        <f t="shared" si="326"/>
        <v>0.17899999999999999</v>
      </c>
      <c r="T457" s="3">
        <f t="shared" si="327"/>
        <v>-0.27600000000000002</v>
      </c>
      <c r="U457" s="3">
        <f t="shared" si="328"/>
        <v>-0.11450000000000002</v>
      </c>
      <c r="V457" s="3">
        <f t="shared" si="329"/>
        <v>-0.1595</v>
      </c>
      <c r="W457" s="3">
        <f t="shared" si="355"/>
        <v>-4.4999999999999984E-2</v>
      </c>
      <c r="X457" s="3">
        <f t="shared" si="351"/>
        <v>1.4406868131868136E-2</v>
      </c>
      <c r="Y457" s="3">
        <f t="shared" si="352"/>
        <v>7.1062150837988836E-2</v>
      </c>
      <c r="Z457" s="3">
        <f t="shared" si="330"/>
        <v>5.6655282706120698E-2</v>
      </c>
      <c r="AA457" s="3">
        <v>4.4219999999999997</v>
      </c>
      <c r="AB457" s="3">
        <v>4.4139999999999997</v>
      </c>
      <c r="AC457" s="3">
        <f t="shared" si="331"/>
        <v>-8.0000000000000071E-3</v>
      </c>
      <c r="AD457" s="3">
        <f>-299.628798*627.50956</f>
        <v>-188019.93519630888</v>
      </c>
      <c r="AE457" s="3">
        <f>-301.408514*627.50956</f>
        <v>-189136.72400039385</v>
      </c>
      <c r="AF457" s="3">
        <f t="shared" si="332"/>
        <v>-1116.7888040849648</v>
      </c>
      <c r="AG457" s="3">
        <f>-299.666392*627.50956</f>
        <v>-188043.5257907075</v>
      </c>
      <c r="AH457" s="3">
        <f>-301.447097*627.50956</f>
        <v>-189160.93520174731</v>
      </c>
      <c r="AI457" s="3">
        <f t="shared" si="333"/>
        <v>-1117.4094110398146</v>
      </c>
      <c r="AJ457" s="3">
        <v>-0.59</v>
      </c>
      <c r="AK457" s="3">
        <v>-0.65700000000000003</v>
      </c>
      <c r="AL457" s="3">
        <f t="shared" si="334"/>
        <v>-6.700000000000006E-2</v>
      </c>
      <c r="AM457" s="3">
        <v>84.076660000000004</v>
      </c>
      <c r="AN457" s="3">
        <v>133.53970000000001</v>
      </c>
      <c r="AO457" s="3">
        <v>123.03863</v>
      </c>
      <c r="AP457" s="3">
        <f t="shared" si="318"/>
        <v>1.1164484852262389</v>
      </c>
      <c r="AQ457" s="3">
        <v>8.2249999999999996</v>
      </c>
      <c r="AR457" s="3">
        <v>1.7729926</v>
      </c>
      <c r="AS457" s="3">
        <v>-959.76900000000001</v>
      </c>
      <c r="AT457" s="3">
        <v>-958.05</v>
      </c>
      <c r="AU457" s="3">
        <f t="shared" si="339"/>
        <v>-1.7190000000000509</v>
      </c>
      <c r="AV457" s="3">
        <v>-0.317</v>
      </c>
      <c r="AW457" s="3">
        <v>-0.45</v>
      </c>
      <c r="AX457" s="3">
        <f t="shared" si="340"/>
        <v>0.13300000000000001</v>
      </c>
      <c r="AY457" s="3">
        <v>-2.4E-2</v>
      </c>
      <c r="AZ457" s="3">
        <v>0.13500000000000001</v>
      </c>
      <c r="BA457" s="3">
        <f t="shared" si="341"/>
        <v>-0.159</v>
      </c>
      <c r="BB457" s="3">
        <f t="shared" si="357"/>
        <v>0.17050000000000001</v>
      </c>
      <c r="BC457" s="3">
        <f t="shared" si="357"/>
        <v>0.1575</v>
      </c>
      <c r="BD457" s="3">
        <f t="shared" si="342"/>
        <v>1.3000000000000012E-2</v>
      </c>
      <c r="BE457" s="3">
        <f t="shared" si="358"/>
        <v>0.29299999999999998</v>
      </c>
      <c r="BF457" s="3">
        <f t="shared" si="358"/>
        <v>0.58499999999999996</v>
      </c>
      <c r="BG457" s="3">
        <f t="shared" si="343"/>
        <v>-0.29199999999999998</v>
      </c>
      <c r="BH457" s="3">
        <f t="shared" si="359"/>
        <v>-0.17050000000000001</v>
      </c>
      <c r="BI457" s="3">
        <f t="shared" si="359"/>
        <v>-0.1575</v>
      </c>
      <c r="BJ457" s="3">
        <f t="shared" si="356"/>
        <v>-1.3000000000000012E-2</v>
      </c>
      <c r="BK457" s="3">
        <f t="shared" si="353"/>
        <v>4.9607935153583631E-2</v>
      </c>
      <c r="BL457" s="3">
        <f t="shared" si="354"/>
        <v>2.120192307692308E-2</v>
      </c>
      <c r="BM457" s="3">
        <f t="shared" si="344"/>
        <v>2.8406012076660551E-2</v>
      </c>
      <c r="BN457" s="3">
        <v>2.2370000000000001</v>
      </c>
      <c r="BO457" s="3">
        <v>2.431</v>
      </c>
      <c r="BP457" s="3">
        <f t="shared" si="345"/>
        <v>-0.19399999999999995</v>
      </c>
      <c r="BQ457" s="3">
        <v>-602243.07700000005</v>
      </c>
      <c r="BR457" s="3">
        <v>-601163.24300000002</v>
      </c>
      <c r="BS457" s="3">
        <f t="shared" si="346"/>
        <v>-1079.8340000000317</v>
      </c>
      <c r="BT457" s="3">
        <v>-602262.36399999994</v>
      </c>
      <c r="BU457" s="3">
        <v>-601182.38500000001</v>
      </c>
      <c r="BV457" s="3">
        <f t="shared" si="347"/>
        <v>-1079.9789999999339</v>
      </c>
    </row>
    <row r="458" spans="1:74" x14ac:dyDescent="0.25">
      <c r="A458" t="s">
        <v>532</v>
      </c>
      <c r="B458" s="1" t="s">
        <v>646</v>
      </c>
      <c r="C458" s="1" t="s">
        <v>99</v>
      </c>
      <c r="D458" s="3">
        <v>3.97</v>
      </c>
      <c r="E458" s="3">
        <v>1.1000000000000001</v>
      </c>
      <c r="F458" s="3">
        <v>-549.23</v>
      </c>
      <c r="G458" s="3">
        <v>-552.54700000000003</v>
      </c>
      <c r="H458" s="3">
        <f t="shared" si="335"/>
        <v>-3.3170000000000073</v>
      </c>
      <c r="I458" s="3">
        <v>-0.30299999999999999</v>
      </c>
      <c r="J458" s="6">
        <v>-0.22600000000000001</v>
      </c>
      <c r="K458" s="3">
        <f t="shared" si="322"/>
        <v>7.6999999999999985E-2</v>
      </c>
      <c r="L458" s="3">
        <v>9.8000000000000004E-2</v>
      </c>
      <c r="M458" s="6">
        <v>-4.8000000000000001E-2</v>
      </c>
      <c r="N458" s="3">
        <f t="shared" si="323"/>
        <v>-0.14600000000000002</v>
      </c>
      <c r="O458" s="3">
        <f t="shared" si="317"/>
        <v>0.10249999999999999</v>
      </c>
      <c r="P458" s="3">
        <f t="shared" si="317"/>
        <v>0.13700000000000001</v>
      </c>
      <c r="Q458" s="3">
        <f t="shared" si="324"/>
        <v>3.4500000000000017E-2</v>
      </c>
      <c r="R458" s="3">
        <f t="shared" si="325"/>
        <v>0.40100000000000002</v>
      </c>
      <c r="S458" s="3">
        <f t="shared" si="326"/>
        <v>0.17799999999999999</v>
      </c>
      <c r="T458" s="3">
        <f t="shared" si="327"/>
        <v>-0.22300000000000003</v>
      </c>
      <c r="U458" s="3">
        <f t="shared" si="328"/>
        <v>-0.10249999999999999</v>
      </c>
      <c r="V458" s="3">
        <f t="shared" si="329"/>
        <v>-0.13700000000000001</v>
      </c>
      <c r="W458" s="3">
        <f t="shared" si="355"/>
        <v>-3.4500000000000017E-2</v>
      </c>
      <c r="X458" s="3">
        <f t="shared" si="351"/>
        <v>1.3100062344139648E-2</v>
      </c>
      <c r="Y458" s="3">
        <f t="shared" si="352"/>
        <v>5.2721910112359563E-2</v>
      </c>
      <c r="Z458" s="3">
        <f t="shared" si="330"/>
        <v>3.9621847768219913E-2</v>
      </c>
      <c r="AA458" s="3">
        <v>9.5150000000000006</v>
      </c>
      <c r="AB458" s="3">
        <v>9.577</v>
      </c>
      <c r="AC458" s="3">
        <f t="shared" si="331"/>
        <v>6.1999999999999389E-2</v>
      </c>
      <c r="AD458" s="3">
        <f>-549.066207*627.50956</f>
        <v>-344544.2939654389</v>
      </c>
      <c r="AE458" s="3">
        <f>-552.393195*627.50956</f>
        <v>-346632.01074144419</v>
      </c>
      <c r="AF458" s="3">
        <f t="shared" si="332"/>
        <v>-2087.7167760052835</v>
      </c>
      <c r="AG458" s="3">
        <f>-549.110149*627.50956</f>
        <v>-344571.86799052439</v>
      </c>
      <c r="AH458" s="3">
        <f>-552.438045*627.50956</f>
        <v>-346660.15454521019</v>
      </c>
      <c r="AI458" s="3">
        <f t="shared" si="333"/>
        <v>-2088.2865546857938</v>
      </c>
      <c r="AJ458" s="3">
        <v>-0.30399999999999999</v>
      </c>
      <c r="AK458" s="3">
        <v>-0.29499999999999998</v>
      </c>
      <c r="AL458" s="3">
        <f t="shared" si="334"/>
        <v>9.000000000000008E-3</v>
      </c>
      <c r="AM458" s="3">
        <v>161.15737999999999</v>
      </c>
      <c r="AN458" s="3">
        <v>201.90209999999999</v>
      </c>
      <c r="AO458" s="3">
        <v>216.374</v>
      </c>
      <c r="AP458" s="3">
        <f t="shared" si="318"/>
        <v>1.1585818943839072</v>
      </c>
      <c r="AQ458" s="3">
        <v>10.8</v>
      </c>
      <c r="AR458" s="3">
        <v>2.563104</v>
      </c>
      <c r="AS458" s="3">
        <v>-132.80099999999999</v>
      </c>
      <c r="AT458" s="3">
        <v>-131.97</v>
      </c>
      <c r="AU458" s="3">
        <f t="shared" si="339"/>
        <v>-0.83099999999998886</v>
      </c>
      <c r="AV458" s="3">
        <v>-0.34100000000000003</v>
      </c>
      <c r="AW458" s="3">
        <v>-0.47499999999999998</v>
      </c>
      <c r="AX458" s="3">
        <f t="shared" si="340"/>
        <v>0.13399999999999995</v>
      </c>
      <c r="AY458" s="3">
        <v>2.9000000000000001E-2</v>
      </c>
      <c r="AZ458" s="3">
        <v>0.156</v>
      </c>
      <c r="BA458" s="3">
        <f t="shared" si="341"/>
        <v>-0.127</v>
      </c>
      <c r="BB458" s="3">
        <f t="shared" si="357"/>
        <v>0.156</v>
      </c>
      <c r="BC458" s="3">
        <f t="shared" si="357"/>
        <v>0.15949999999999998</v>
      </c>
      <c r="BD458" s="3">
        <f t="shared" si="342"/>
        <v>-3.4999999999999754E-3</v>
      </c>
      <c r="BE458" s="3">
        <f t="shared" si="358"/>
        <v>0.37000000000000005</v>
      </c>
      <c r="BF458" s="3">
        <f t="shared" si="358"/>
        <v>0.63100000000000001</v>
      </c>
      <c r="BG458" s="3">
        <f t="shared" si="343"/>
        <v>-0.26099999999999995</v>
      </c>
      <c r="BH458" s="3">
        <f t="shared" si="359"/>
        <v>-0.156</v>
      </c>
      <c r="BI458" s="3">
        <f t="shared" si="359"/>
        <v>-0.15949999999999998</v>
      </c>
      <c r="BJ458" s="3">
        <f t="shared" si="356"/>
        <v>3.4999999999999754E-3</v>
      </c>
      <c r="BK458" s="3">
        <f t="shared" si="353"/>
        <v>3.2886486486486483E-2</v>
      </c>
      <c r="BL458" s="3">
        <f t="shared" si="354"/>
        <v>2.0158676703645E-2</v>
      </c>
      <c r="BM458" s="3">
        <f t="shared" si="344"/>
        <v>1.2727809782841482E-2</v>
      </c>
      <c r="BN458" s="3">
        <v>4.7279999999999998</v>
      </c>
      <c r="BO458" s="3">
        <v>4.9340000000000002</v>
      </c>
      <c r="BP458" s="3">
        <f t="shared" si="345"/>
        <v>-0.20600000000000041</v>
      </c>
      <c r="BQ458" s="3">
        <v>-83302.89</v>
      </c>
      <c r="BR458" s="3">
        <v>-82779.224000000002</v>
      </c>
      <c r="BS458" s="3">
        <f t="shared" si="346"/>
        <v>-523.66599999999744</v>
      </c>
      <c r="BT458" s="3">
        <v>-83320.774999999994</v>
      </c>
      <c r="BU458" s="3">
        <v>-82796.997000000003</v>
      </c>
      <c r="BV458" s="3">
        <f t="shared" si="347"/>
        <v>-523.77799999999115</v>
      </c>
    </row>
    <row r="459" spans="1:74" x14ac:dyDescent="0.25">
      <c r="A459" t="s">
        <v>533</v>
      </c>
      <c r="B459" s="1" t="s">
        <v>646</v>
      </c>
      <c r="C459" s="1" t="s">
        <v>103</v>
      </c>
      <c r="D459" s="3">
        <v>4.17</v>
      </c>
      <c r="E459" s="3">
        <v>0.79</v>
      </c>
      <c r="F459" s="3">
        <v>-1135.059</v>
      </c>
      <c r="G459" s="3">
        <v>-1141.338</v>
      </c>
      <c r="H459" s="3">
        <f t="shared" si="335"/>
        <v>-6.2789999999999964</v>
      </c>
      <c r="I459" s="3">
        <v>-0.32700000000000001</v>
      </c>
      <c r="J459" s="6">
        <v>-0.23599999999999999</v>
      </c>
      <c r="K459" s="3">
        <f t="shared" si="322"/>
        <v>9.1000000000000025E-2</v>
      </c>
      <c r="L459" s="3">
        <v>0.105</v>
      </c>
      <c r="M459" s="6">
        <v>-3.1E-2</v>
      </c>
      <c r="N459" s="3">
        <f t="shared" si="323"/>
        <v>-0.13600000000000001</v>
      </c>
      <c r="O459" s="3">
        <f t="shared" si="317"/>
        <v>0.11100000000000002</v>
      </c>
      <c r="P459" s="3">
        <f t="shared" si="317"/>
        <v>0.13350000000000001</v>
      </c>
      <c r="Q459" s="3">
        <f t="shared" si="324"/>
        <v>2.2499999999999992E-2</v>
      </c>
      <c r="R459" s="3">
        <f t="shared" si="325"/>
        <v>0.432</v>
      </c>
      <c r="S459" s="3">
        <f t="shared" si="326"/>
        <v>0.20499999999999999</v>
      </c>
      <c r="T459" s="3">
        <f t="shared" si="327"/>
        <v>-0.22700000000000001</v>
      </c>
      <c r="U459" s="3">
        <f t="shared" si="328"/>
        <v>-0.11100000000000002</v>
      </c>
      <c r="V459" s="3">
        <f t="shared" si="329"/>
        <v>-0.13350000000000001</v>
      </c>
      <c r="W459" s="3">
        <f t="shared" si="355"/>
        <v>-2.2499999999999992E-2</v>
      </c>
      <c r="X459" s="3">
        <f t="shared" si="351"/>
        <v>1.4260416666666671E-2</v>
      </c>
      <c r="Y459" s="3">
        <f t="shared" si="352"/>
        <v>4.3468902439024397E-2</v>
      </c>
      <c r="Z459" s="3">
        <f t="shared" si="330"/>
        <v>2.9208485772357726E-2</v>
      </c>
      <c r="AA459" s="3">
        <v>0.96</v>
      </c>
      <c r="AB459" s="3">
        <v>0.96299999999999997</v>
      </c>
      <c r="AC459" s="3">
        <f t="shared" si="331"/>
        <v>3.0000000000000027E-3</v>
      </c>
      <c r="AD459" s="3">
        <f>-1134.642392*627.50956</f>
        <v>-711998.94816126744</v>
      </c>
      <c r="AE459" s="3">
        <f>-1140.944028*627.50956</f>
        <v>-715953.28499490756</v>
      </c>
      <c r="AF459" s="3">
        <f t="shared" si="332"/>
        <v>-3954.3368336401181</v>
      </c>
      <c r="AG459" s="3">
        <f>-1134.71673*627.50956</f>
        <v>-712045.59596693877</v>
      </c>
      <c r="AH459" s="3">
        <f>-1141.020528*627.50956</f>
        <v>-716001.28947624762</v>
      </c>
      <c r="AI459" s="3">
        <f t="shared" si="333"/>
        <v>-3955.6935093088541</v>
      </c>
      <c r="AJ459" s="3">
        <v>-0.52300000000000002</v>
      </c>
      <c r="AK459" s="3">
        <v>-0.59799999999999998</v>
      </c>
      <c r="AL459" s="3">
        <f t="shared" si="334"/>
        <v>-7.4999999999999956E-2</v>
      </c>
      <c r="AM459" s="3">
        <v>314.49558000000002</v>
      </c>
      <c r="AN459" s="3">
        <v>395.27300000000002</v>
      </c>
      <c r="AO459" s="3">
        <v>500.31150000000002</v>
      </c>
      <c r="AP459" s="3">
        <f t="shared" si="318"/>
        <v>1.2971576958148499</v>
      </c>
      <c r="AQ459" s="3">
        <v>12.427</v>
      </c>
      <c r="AR459" s="3">
        <v>3.4069500000000001</v>
      </c>
      <c r="AS459" s="3">
        <v>-959.76900000000001</v>
      </c>
      <c r="AT459" s="3">
        <v>-958.05</v>
      </c>
      <c r="AU459" s="3">
        <f t="shared" si="339"/>
        <v>-1.7190000000000509</v>
      </c>
      <c r="AV459" s="3">
        <v>-0.317</v>
      </c>
      <c r="AW459" s="3">
        <v>-0.45</v>
      </c>
      <c r="AX459" s="3">
        <f t="shared" si="340"/>
        <v>0.13300000000000001</v>
      </c>
      <c r="AY459" s="3">
        <v>-2.4E-2</v>
      </c>
      <c r="AZ459" s="3">
        <v>0.13500000000000001</v>
      </c>
      <c r="BA459" s="3">
        <f t="shared" si="341"/>
        <v>-0.159</v>
      </c>
      <c r="BB459" s="3">
        <f t="shared" si="357"/>
        <v>0.17050000000000001</v>
      </c>
      <c r="BC459" s="3">
        <f t="shared" si="357"/>
        <v>0.1575</v>
      </c>
      <c r="BD459" s="3">
        <f t="shared" si="342"/>
        <v>1.3000000000000012E-2</v>
      </c>
      <c r="BE459" s="3">
        <f t="shared" si="358"/>
        <v>0.29299999999999998</v>
      </c>
      <c r="BF459" s="3">
        <f t="shared" si="358"/>
        <v>0.58499999999999996</v>
      </c>
      <c r="BG459" s="3">
        <f t="shared" si="343"/>
        <v>-0.29199999999999998</v>
      </c>
      <c r="BH459" s="3">
        <f t="shared" si="359"/>
        <v>-0.17050000000000001</v>
      </c>
      <c r="BI459" s="3">
        <f t="shared" si="359"/>
        <v>-0.1575</v>
      </c>
      <c r="BJ459" s="3">
        <f t="shared" si="356"/>
        <v>-1.3000000000000012E-2</v>
      </c>
      <c r="BK459" s="3">
        <f t="shared" si="353"/>
        <v>4.9607935153583631E-2</v>
      </c>
      <c r="BL459" s="3">
        <f t="shared" si="354"/>
        <v>2.120192307692308E-2</v>
      </c>
      <c r="BM459" s="3">
        <f t="shared" si="344"/>
        <v>2.8406012076660551E-2</v>
      </c>
      <c r="BN459" s="3">
        <v>2.2370000000000001</v>
      </c>
      <c r="BO459" s="3">
        <v>2.431</v>
      </c>
      <c r="BP459" s="3">
        <f t="shared" si="345"/>
        <v>-0.19399999999999995</v>
      </c>
      <c r="BQ459" s="3">
        <v>-602243.07700000005</v>
      </c>
      <c r="BR459" s="3">
        <v>-601163.24300000002</v>
      </c>
      <c r="BS459" s="3">
        <f t="shared" si="346"/>
        <v>-1079.8340000000317</v>
      </c>
      <c r="BT459" s="3">
        <v>-602262.36399999994</v>
      </c>
      <c r="BU459" s="3">
        <v>-601182.38500000001</v>
      </c>
      <c r="BV459" s="3">
        <f t="shared" si="347"/>
        <v>-1079.9789999999339</v>
      </c>
    </row>
    <row r="460" spans="1:74" x14ac:dyDescent="0.25">
      <c r="A460" t="s">
        <v>534</v>
      </c>
      <c r="B460" s="1" t="s">
        <v>646</v>
      </c>
      <c r="C460" s="1" t="s">
        <v>103</v>
      </c>
      <c r="D460" s="3">
        <v>4.2300000000000004</v>
      </c>
      <c r="E460" s="3">
        <v>1</v>
      </c>
      <c r="F460" s="3">
        <v>-309.11200000000002</v>
      </c>
      <c r="G460" s="3">
        <v>-311.15800000000002</v>
      </c>
      <c r="H460" s="3">
        <f t="shared" si="335"/>
        <v>-2.0459999999999923</v>
      </c>
      <c r="I460" s="3">
        <v>-0.32300000000000001</v>
      </c>
      <c r="J460" s="6">
        <v>-0.21299999999999999</v>
      </c>
      <c r="K460" s="3">
        <f t="shared" si="322"/>
        <v>0.11000000000000001</v>
      </c>
      <c r="L460" s="3">
        <v>0.157</v>
      </c>
      <c r="M460" s="6">
        <v>2.9000000000000001E-2</v>
      </c>
      <c r="N460" s="3">
        <f t="shared" si="323"/>
        <v>-0.128</v>
      </c>
      <c r="O460" s="3">
        <f t="shared" si="317"/>
        <v>8.3000000000000004E-2</v>
      </c>
      <c r="P460" s="3">
        <f t="shared" si="317"/>
        <v>9.1999999999999998E-2</v>
      </c>
      <c r="Q460" s="3">
        <f t="shared" si="324"/>
        <v>8.9999999999999941E-3</v>
      </c>
      <c r="R460" s="3">
        <f t="shared" si="325"/>
        <v>0.48</v>
      </c>
      <c r="S460" s="3">
        <f t="shared" si="326"/>
        <v>0.24199999999999999</v>
      </c>
      <c r="T460" s="3">
        <f t="shared" si="327"/>
        <v>-0.23799999999999999</v>
      </c>
      <c r="U460" s="3">
        <f t="shared" si="328"/>
        <v>-8.3000000000000004E-2</v>
      </c>
      <c r="V460" s="3">
        <f t="shared" si="329"/>
        <v>-9.1999999999999998E-2</v>
      </c>
      <c r="W460" s="3">
        <f t="shared" si="355"/>
        <v>-8.9999999999999941E-3</v>
      </c>
      <c r="X460" s="3">
        <f t="shared" si="351"/>
        <v>7.1760416666666682E-3</v>
      </c>
      <c r="Y460" s="3">
        <f t="shared" si="352"/>
        <v>1.7487603305785124E-2</v>
      </c>
      <c r="Z460" s="3">
        <f t="shared" si="330"/>
        <v>1.0311561639118456E-2</v>
      </c>
      <c r="AA460" s="3">
        <v>1.579</v>
      </c>
      <c r="AB460" s="3">
        <v>1.5629999999999999</v>
      </c>
      <c r="AC460" s="3">
        <f t="shared" si="331"/>
        <v>-1.6000000000000014E-2</v>
      </c>
      <c r="AD460" s="3">
        <f>-308.923089*627.50956</f>
        <v>-193852.19165223083</v>
      </c>
      <c r="AE460" s="3">
        <f>-310.979578*627.50956</f>
        <v>-195142.65815976568</v>
      </c>
      <c r="AF460" s="3">
        <f t="shared" si="332"/>
        <v>-1290.4665075348457</v>
      </c>
      <c r="AG460" s="3">
        <f>-308.966918*627.50956</f>
        <v>-193879.69476873608</v>
      </c>
      <c r="AH460" s="3">
        <f>-311.02415*627.50956</f>
        <v>-195170.62751587399</v>
      </c>
      <c r="AI460" s="3">
        <f t="shared" si="333"/>
        <v>-1290.9327471379074</v>
      </c>
      <c r="AJ460" s="3">
        <v>-0.52300000000000002</v>
      </c>
      <c r="AK460" s="3">
        <v>-0.6</v>
      </c>
      <c r="AL460" s="3">
        <f t="shared" si="334"/>
        <v>-7.6999999999999957E-2</v>
      </c>
      <c r="AM460" s="3">
        <v>100.1588</v>
      </c>
      <c r="AN460" s="3">
        <v>192.7432</v>
      </c>
      <c r="AO460" s="3">
        <v>196.07640000000001</v>
      </c>
      <c r="AP460" s="3">
        <f t="shared" si="318"/>
        <v>1.1810949130950856</v>
      </c>
      <c r="AQ460" s="3">
        <v>10.047000000000001</v>
      </c>
      <c r="AR460" s="3">
        <v>2.2453820000000002</v>
      </c>
      <c r="AS460" s="3">
        <v>-959.76900000000001</v>
      </c>
      <c r="AT460" s="3">
        <v>-958.05</v>
      </c>
      <c r="AU460" s="3">
        <f t="shared" si="339"/>
        <v>-1.7190000000000509</v>
      </c>
      <c r="AV460" s="3">
        <v>-0.317</v>
      </c>
      <c r="AW460" s="3">
        <v>-0.45</v>
      </c>
      <c r="AX460" s="3">
        <f t="shared" si="340"/>
        <v>0.13300000000000001</v>
      </c>
      <c r="AY460" s="3">
        <v>-2.4E-2</v>
      </c>
      <c r="AZ460" s="3">
        <v>0.13500000000000001</v>
      </c>
      <c r="BA460" s="3">
        <f t="shared" si="341"/>
        <v>-0.159</v>
      </c>
      <c r="BB460" s="3">
        <f t="shared" si="357"/>
        <v>0.17050000000000001</v>
      </c>
      <c r="BC460" s="3">
        <f t="shared" si="357"/>
        <v>0.1575</v>
      </c>
      <c r="BD460" s="3">
        <f t="shared" si="342"/>
        <v>1.3000000000000012E-2</v>
      </c>
      <c r="BE460" s="3">
        <f t="shared" si="358"/>
        <v>0.29299999999999998</v>
      </c>
      <c r="BF460" s="3">
        <f t="shared" si="358"/>
        <v>0.58499999999999996</v>
      </c>
      <c r="BG460" s="3">
        <f t="shared" si="343"/>
        <v>-0.29199999999999998</v>
      </c>
      <c r="BH460" s="3">
        <f t="shared" si="359"/>
        <v>-0.17050000000000001</v>
      </c>
      <c r="BI460" s="3">
        <f t="shared" si="359"/>
        <v>-0.1575</v>
      </c>
      <c r="BJ460" s="3">
        <f t="shared" si="356"/>
        <v>-1.3000000000000012E-2</v>
      </c>
      <c r="BK460" s="3">
        <f t="shared" si="353"/>
        <v>4.9607935153583631E-2</v>
      </c>
      <c r="BL460" s="3">
        <f t="shared" si="354"/>
        <v>2.120192307692308E-2</v>
      </c>
      <c r="BM460" s="3">
        <f t="shared" si="344"/>
        <v>2.8406012076660551E-2</v>
      </c>
      <c r="BN460" s="3">
        <v>2.2370000000000001</v>
      </c>
      <c r="BO460" s="3">
        <v>2.431</v>
      </c>
      <c r="BP460" s="3">
        <f t="shared" si="345"/>
        <v>-0.19399999999999995</v>
      </c>
      <c r="BQ460" s="3">
        <v>-602243.07700000005</v>
      </c>
      <c r="BR460" s="3">
        <v>-601163.24300000002</v>
      </c>
      <c r="BS460" s="3">
        <f t="shared" si="346"/>
        <v>-1079.8340000000317</v>
      </c>
      <c r="BT460" s="3">
        <v>-602262.36399999994</v>
      </c>
      <c r="BU460" s="3">
        <v>-601182.38500000001</v>
      </c>
      <c r="BV460" s="3">
        <f t="shared" si="347"/>
        <v>-1079.9789999999339</v>
      </c>
    </row>
    <row r="461" spans="1:74" x14ac:dyDescent="0.25">
      <c r="A461" t="s">
        <v>535</v>
      </c>
      <c r="B461" s="1" t="s">
        <v>646</v>
      </c>
      <c r="C461" s="1" t="s">
        <v>103</v>
      </c>
      <c r="D461" s="3">
        <v>4.37</v>
      </c>
      <c r="E461" s="3">
        <v>0.9</v>
      </c>
      <c r="F461" s="3">
        <v>-229.85</v>
      </c>
      <c r="G461" s="3">
        <v>-231.28800000000001</v>
      </c>
      <c r="H461" s="3">
        <f t="shared" si="335"/>
        <v>-1.4380000000000166</v>
      </c>
      <c r="I461" s="3">
        <v>-0.32700000000000001</v>
      </c>
      <c r="J461" s="6">
        <v>-0.217</v>
      </c>
      <c r="K461" s="3">
        <f t="shared" si="322"/>
        <v>0.11000000000000001</v>
      </c>
      <c r="L461" s="3">
        <v>0.16200000000000001</v>
      </c>
      <c r="M461" s="6">
        <v>2.7E-2</v>
      </c>
      <c r="N461" s="3">
        <f t="shared" si="323"/>
        <v>-0.13500000000000001</v>
      </c>
      <c r="O461" s="3">
        <f t="shared" ref="O461:P524" si="360">-(I461+L461)/2</f>
        <v>8.2500000000000004E-2</v>
      </c>
      <c r="P461" s="3">
        <f t="shared" si="360"/>
        <v>9.5000000000000001E-2</v>
      </c>
      <c r="Q461" s="3">
        <f t="shared" si="324"/>
        <v>1.2499999999999997E-2</v>
      </c>
      <c r="R461" s="3">
        <f t="shared" si="325"/>
        <v>0.48899999999999999</v>
      </c>
      <c r="S461" s="3">
        <f t="shared" si="326"/>
        <v>0.24399999999999999</v>
      </c>
      <c r="T461" s="3">
        <f t="shared" si="327"/>
        <v>-0.245</v>
      </c>
      <c r="U461" s="3">
        <f t="shared" si="328"/>
        <v>-8.2500000000000004E-2</v>
      </c>
      <c r="V461" s="3">
        <f t="shared" si="329"/>
        <v>-9.5000000000000001E-2</v>
      </c>
      <c r="W461" s="3">
        <f t="shared" si="355"/>
        <v>-1.2499999999999997E-2</v>
      </c>
      <c r="X461" s="3">
        <f t="shared" si="351"/>
        <v>6.9593558282208595E-3</v>
      </c>
      <c r="Y461" s="3">
        <f t="shared" si="352"/>
        <v>1.8493852459016392E-2</v>
      </c>
      <c r="Z461" s="3">
        <f t="shared" si="330"/>
        <v>1.1534496630795532E-2</v>
      </c>
      <c r="AA461" s="3">
        <v>1.57</v>
      </c>
      <c r="AB461" s="3">
        <v>1.4950000000000001</v>
      </c>
      <c r="AC461" s="3">
        <f t="shared" si="331"/>
        <v>-7.4999999999999956E-2</v>
      </c>
      <c r="AD461" s="3">
        <f>-229.745384*627.50956</f>
        <v>-144167.42482587104</v>
      </c>
      <c r="AE461" s="3">
        <f>-231.190619*627.50956</f>
        <v>-145074.32360481762</v>
      </c>
      <c r="AF461" s="3">
        <f t="shared" si="332"/>
        <v>-906.89877894657548</v>
      </c>
      <c r="AG461" s="3">
        <f>-229.777996*627.50956</f>
        <v>-144187.88916764176</v>
      </c>
      <c r="AH461" s="3">
        <f>-231.22365*627.50956</f>
        <v>-145095.05087309398</v>
      </c>
      <c r="AI461" s="3">
        <f t="shared" si="333"/>
        <v>-907.16170545222121</v>
      </c>
      <c r="AJ461" s="3">
        <v>-0.372</v>
      </c>
      <c r="AK461" s="3">
        <v>-0.42799999999999999</v>
      </c>
      <c r="AL461" s="3">
        <f t="shared" si="334"/>
        <v>-5.5999999999999994E-2</v>
      </c>
      <c r="AM461" s="3">
        <v>70.089839999999995</v>
      </c>
      <c r="AN461" s="3">
        <v>125.8826</v>
      </c>
      <c r="AO461" s="3">
        <v>119.9191</v>
      </c>
      <c r="AP461" s="3">
        <f t="shared" si="318"/>
        <v>1.0706053626096972</v>
      </c>
      <c r="AQ461" s="3">
        <v>6.6429999999999998</v>
      </c>
      <c r="AR461" s="3">
        <v>1.3318719999999999</v>
      </c>
      <c r="AS461" s="3">
        <v>-959.76900000000001</v>
      </c>
      <c r="AT461" s="3">
        <v>-958.05</v>
      </c>
      <c r="AU461" s="3">
        <f t="shared" si="339"/>
        <v>-1.7190000000000509</v>
      </c>
      <c r="AV461" s="3">
        <v>-0.317</v>
      </c>
      <c r="AW461" s="3">
        <v>-0.45</v>
      </c>
      <c r="AX461" s="3">
        <f t="shared" si="340"/>
        <v>0.13300000000000001</v>
      </c>
      <c r="AY461" s="3">
        <v>-2.4E-2</v>
      </c>
      <c r="AZ461" s="3">
        <v>0.13500000000000001</v>
      </c>
      <c r="BA461" s="3">
        <f t="shared" si="341"/>
        <v>-0.159</v>
      </c>
      <c r="BB461" s="3">
        <f t="shared" si="357"/>
        <v>0.17050000000000001</v>
      </c>
      <c r="BC461" s="3">
        <f t="shared" si="357"/>
        <v>0.1575</v>
      </c>
      <c r="BD461" s="3">
        <f t="shared" si="342"/>
        <v>1.3000000000000012E-2</v>
      </c>
      <c r="BE461" s="3">
        <f t="shared" si="358"/>
        <v>0.29299999999999998</v>
      </c>
      <c r="BF461" s="3">
        <f t="shared" si="358"/>
        <v>0.58499999999999996</v>
      </c>
      <c r="BG461" s="3">
        <f t="shared" si="343"/>
        <v>-0.29199999999999998</v>
      </c>
      <c r="BH461" s="3">
        <f t="shared" si="359"/>
        <v>-0.17050000000000001</v>
      </c>
      <c r="BI461" s="3">
        <f t="shared" si="359"/>
        <v>-0.1575</v>
      </c>
      <c r="BJ461" s="3">
        <f t="shared" si="356"/>
        <v>-1.3000000000000012E-2</v>
      </c>
      <c r="BK461" s="3">
        <f t="shared" si="353"/>
        <v>4.9607935153583631E-2</v>
      </c>
      <c r="BL461" s="3">
        <f t="shared" si="354"/>
        <v>2.120192307692308E-2</v>
      </c>
      <c r="BM461" s="3">
        <f t="shared" si="344"/>
        <v>2.8406012076660551E-2</v>
      </c>
      <c r="BN461" s="3">
        <v>2.2370000000000001</v>
      </c>
      <c r="BO461" s="3">
        <v>2.431</v>
      </c>
      <c r="BP461" s="3">
        <f t="shared" si="345"/>
        <v>-0.19399999999999995</v>
      </c>
      <c r="BQ461" s="3">
        <v>-602243.07700000005</v>
      </c>
      <c r="BR461" s="3">
        <v>-601163.24300000002</v>
      </c>
      <c r="BS461" s="3">
        <f t="shared" si="346"/>
        <v>-1079.8340000000317</v>
      </c>
      <c r="BT461" s="3">
        <v>-602262.36399999994</v>
      </c>
      <c r="BU461" s="3">
        <v>-601182.38500000001</v>
      </c>
      <c r="BV461" s="3">
        <f t="shared" si="347"/>
        <v>-1079.9789999999339</v>
      </c>
    </row>
    <row r="462" spans="1:74" x14ac:dyDescent="0.25">
      <c r="A462" t="s">
        <v>536</v>
      </c>
      <c r="B462" s="1" t="s">
        <v>646</v>
      </c>
      <c r="C462" s="1" t="s">
        <v>99</v>
      </c>
      <c r="D462" s="3">
        <v>4.38</v>
      </c>
      <c r="E462" s="3">
        <v>1.1000000000000001</v>
      </c>
      <c r="F462" s="3">
        <v>-2933.3409999999999</v>
      </c>
      <c r="G462" s="3">
        <v>-2937.46</v>
      </c>
      <c r="H462" s="3">
        <f t="shared" si="335"/>
        <v>-4.1190000000001419</v>
      </c>
      <c r="I462" s="3">
        <v>-0.3</v>
      </c>
      <c r="J462" s="6">
        <v>-0.222</v>
      </c>
      <c r="K462" s="3">
        <f t="shared" si="322"/>
        <v>7.7999999999999986E-2</v>
      </c>
      <c r="L462" s="3">
        <v>0.108</v>
      </c>
      <c r="M462" s="6">
        <v>-3.1E-2</v>
      </c>
      <c r="N462" s="3">
        <f t="shared" si="323"/>
        <v>-0.13900000000000001</v>
      </c>
      <c r="O462" s="3">
        <f t="shared" si="360"/>
        <v>9.6000000000000002E-2</v>
      </c>
      <c r="P462" s="3">
        <f t="shared" si="360"/>
        <v>0.1265</v>
      </c>
      <c r="Q462" s="3">
        <f t="shared" si="324"/>
        <v>3.0499999999999999E-2</v>
      </c>
      <c r="R462" s="3">
        <f t="shared" si="325"/>
        <v>0.40799999999999997</v>
      </c>
      <c r="S462" s="3">
        <f t="shared" si="326"/>
        <v>0.191</v>
      </c>
      <c r="T462" s="3">
        <f t="shared" si="327"/>
        <v>-0.21699999999999997</v>
      </c>
      <c r="U462" s="3">
        <f t="shared" si="328"/>
        <v>-9.6000000000000002E-2</v>
      </c>
      <c r="V462" s="3">
        <f t="shared" si="329"/>
        <v>-0.1265</v>
      </c>
      <c r="W462" s="3">
        <f t="shared" si="355"/>
        <v>-3.0499999999999999E-2</v>
      </c>
      <c r="X462" s="3">
        <f t="shared" si="351"/>
        <v>1.1294117647058824E-2</v>
      </c>
      <c r="Y462" s="3">
        <f t="shared" si="352"/>
        <v>4.1890706806282721E-2</v>
      </c>
      <c r="Z462" s="3">
        <f t="shared" si="330"/>
        <v>3.0596589159223898E-2</v>
      </c>
      <c r="AA462" s="3">
        <v>5.806</v>
      </c>
      <c r="AB462" s="3">
        <v>5.7939999999999996</v>
      </c>
      <c r="AC462" s="3">
        <f t="shared" si="331"/>
        <v>-1.2000000000000455E-2</v>
      </c>
      <c r="AD462" s="3">
        <f>-2933.205571*627.50956</f>
        <v>-1840614.5372477586</v>
      </c>
      <c r="AE462" s="3">
        <f>-2937.331996*627.50956</f>
        <v>-1843203.9083838817</v>
      </c>
      <c r="AF462" s="3">
        <f t="shared" si="332"/>
        <v>-2589.3711361230817</v>
      </c>
      <c r="AG462" s="3">
        <f>-2933.246968*627.50956</f>
        <v>-1840640.5142610138</v>
      </c>
      <c r="AH462" s="3">
        <f>-2937.374297*627.50956</f>
        <v>-1843230.452665779</v>
      </c>
      <c r="AI462" s="3">
        <f t="shared" si="333"/>
        <v>-2589.9384047652129</v>
      </c>
      <c r="AJ462" s="3">
        <v>-0.316</v>
      </c>
      <c r="AK462" s="3">
        <v>-0.30499999999999999</v>
      </c>
      <c r="AL462" s="3">
        <f t="shared" si="334"/>
        <v>1.100000000000001E-2</v>
      </c>
      <c r="AM462" s="3">
        <v>196.04393999999999</v>
      </c>
      <c r="AN462" s="3">
        <v>195.6825</v>
      </c>
      <c r="AO462" s="3">
        <v>207.66489999999999</v>
      </c>
      <c r="AP462" s="3">
        <f t="shared" si="318"/>
        <v>1.1540710328478458</v>
      </c>
      <c r="AQ462" s="3">
        <v>10.539</v>
      </c>
      <c r="AR462" s="3">
        <v>2.5356000000000001</v>
      </c>
      <c r="AS462" s="3">
        <v>-132.80099999999999</v>
      </c>
      <c r="AT462" s="3">
        <v>-131.97</v>
      </c>
      <c r="AU462" s="3">
        <f t="shared" si="339"/>
        <v>-0.83099999999998886</v>
      </c>
      <c r="AV462" s="3">
        <v>-0.34100000000000003</v>
      </c>
      <c r="AW462" s="3">
        <v>-0.47499999999999998</v>
      </c>
      <c r="AX462" s="3">
        <f t="shared" si="340"/>
        <v>0.13399999999999995</v>
      </c>
      <c r="AY462" s="3">
        <v>2.9000000000000001E-2</v>
      </c>
      <c r="AZ462" s="3">
        <v>0.156</v>
      </c>
      <c r="BA462" s="3">
        <f t="shared" si="341"/>
        <v>-0.127</v>
      </c>
      <c r="BB462" s="3">
        <f t="shared" si="357"/>
        <v>0.156</v>
      </c>
      <c r="BC462" s="3">
        <f t="shared" si="357"/>
        <v>0.15949999999999998</v>
      </c>
      <c r="BD462" s="3">
        <f t="shared" si="342"/>
        <v>-3.4999999999999754E-3</v>
      </c>
      <c r="BE462" s="3">
        <f t="shared" si="358"/>
        <v>0.37000000000000005</v>
      </c>
      <c r="BF462" s="3">
        <f t="shared" si="358"/>
        <v>0.63100000000000001</v>
      </c>
      <c r="BG462" s="3">
        <f t="shared" si="343"/>
        <v>-0.26099999999999995</v>
      </c>
      <c r="BH462" s="3">
        <f t="shared" si="359"/>
        <v>-0.156</v>
      </c>
      <c r="BI462" s="3">
        <f t="shared" si="359"/>
        <v>-0.15949999999999998</v>
      </c>
      <c r="BJ462" s="3">
        <f t="shared" si="356"/>
        <v>3.4999999999999754E-3</v>
      </c>
      <c r="BK462" s="3">
        <f t="shared" si="353"/>
        <v>3.2886486486486483E-2</v>
      </c>
      <c r="BL462" s="3">
        <f t="shared" si="354"/>
        <v>2.0158676703645E-2</v>
      </c>
      <c r="BM462" s="3">
        <f t="shared" si="344"/>
        <v>1.2727809782841482E-2</v>
      </c>
      <c r="BN462" s="3">
        <v>4.7279999999999998</v>
      </c>
      <c r="BO462" s="3">
        <v>4.9340000000000002</v>
      </c>
      <c r="BP462" s="3">
        <f t="shared" si="345"/>
        <v>-0.20600000000000041</v>
      </c>
      <c r="BQ462" s="3">
        <v>-83302.89</v>
      </c>
      <c r="BR462" s="3">
        <v>-82779.224000000002</v>
      </c>
      <c r="BS462" s="3">
        <f t="shared" si="346"/>
        <v>-523.66599999999744</v>
      </c>
      <c r="BT462" s="3">
        <v>-83320.774999999994</v>
      </c>
      <c r="BU462" s="3">
        <v>-82796.997000000003</v>
      </c>
      <c r="BV462" s="3">
        <f t="shared" si="347"/>
        <v>-523.77799999999115</v>
      </c>
    </row>
    <row r="463" spans="1:74" x14ac:dyDescent="0.25">
      <c r="A463" t="s">
        <v>537</v>
      </c>
      <c r="B463" s="1" t="s">
        <v>646</v>
      </c>
      <c r="C463" s="1" t="s">
        <v>103</v>
      </c>
      <c r="D463" s="3">
        <v>4.41</v>
      </c>
      <c r="E463" s="3">
        <v>0.96</v>
      </c>
      <c r="F463" s="3">
        <v>-563.423</v>
      </c>
      <c r="G463" s="3">
        <v>-566.01</v>
      </c>
      <c r="H463" s="3">
        <f t="shared" si="335"/>
        <v>-2.5869999999999891</v>
      </c>
      <c r="I463" s="3">
        <v>-0.33400000000000002</v>
      </c>
      <c r="J463" s="6">
        <v>-0.23599999999999999</v>
      </c>
      <c r="K463" s="3">
        <f t="shared" si="322"/>
        <v>9.8000000000000032E-2</v>
      </c>
      <c r="L463" s="3">
        <v>0.13900000000000001</v>
      </c>
      <c r="M463" s="6">
        <v>1.4E-2</v>
      </c>
      <c r="N463" s="3">
        <f t="shared" si="323"/>
        <v>-0.125</v>
      </c>
      <c r="O463" s="3">
        <f t="shared" si="360"/>
        <v>9.7500000000000003E-2</v>
      </c>
      <c r="P463" s="3">
        <f t="shared" si="360"/>
        <v>0.11099999999999999</v>
      </c>
      <c r="Q463" s="3">
        <f t="shared" si="324"/>
        <v>1.3499999999999984E-2</v>
      </c>
      <c r="R463" s="3">
        <f t="shared" si="325"/>
        <v>0.47300000000000003</v>
      </c>
      <c r="S463" s="3">
        <f t="shared" si="326"/>
        <v>0.25</v>
      </c>
      <c r="T463" s="3">
        <f t="shared" si="327"/>
        <v>-0.22300000000000003</v>
      </c>
      <c r="U463" s="3">
        <f t="shared" si="328"/>
        <v>-9.7500000000000003E-2</v>
      </c>
      <c r="V463" s="3">
        <f t="shared" si="329"/>
        <v>-0.11099999999999999</v>
      </c>
      <c r="W463" s="3">
        <f t="shared" si="355"/>
        <v>-1.3499999999999984E-2</v>
      </c>
      <c r="X463" s="3">
        <f t="shared" si="351"/>
        <v>1.0048890063424947E-2</v>
      </c>
      <c r="Y463" s="3">
        <f t="shared" si="352"/>
        <v>2.4641999999999994E-2</v>
      </c>
      <c r="Z463" s="3">
        <f t="shared" si="330"/>
        <v>1.4593109936575047E-2</v>
      </c>
      <c r="AA463" s="3">
        <v>0.90300000000000002</v>
      </c>
      <c r="AB463" s="3">
        <v>0.95899999999999996</v>
      </c>
      <c r="AC463" s="3">
        <f t="shared" si="331"/>
        <v>5.5999999999999939E-2</v>
      </c>
      <c r="AD463" s="3">
        <f>-563.189528*627.50956</f>
        <v>-353406.81291188765</v>
      </c>
      <c r="AE463" s="3">
        <f>-565.788436*627.50956</f>
        <v>-355037.6525274482</v>
      </c>
      <c r="AF463" s="3">
        <f t="shared" si="332"/>
        <v>-1630.8396155605442</v>
      </c>
      <c r="AG463" s="3">
        <f>-563.240065*627.50956</f>
        <v>-353438.52536252135</v>
      </c>
      <c r="AH463" s="3">
        <f>-565.840254*627.50956</f>
        <v>-355070.16881782818</v>
      </c>
      <c r="AI463" s="3">
        <f t="shared" si="333"/>
        <v>-1631.6434553068248</v>
      </c>
      <c r="AJ463" s="3">
        <v>-0.83799999999999997</v>
      </c>
      <c r="AK463" s="3">
        <v>-0.59599999999999997</v>
      </c>
      <c r="AL463" s="3">
        <f t="shared" si="334"/>
        <v>0.24199999999999999</v>
      </c>
      <c r="AM463" s="3">
        <v>128.28739999999999</v>
      </c>
      <c r="AN463" s="3">
        <v>223.19255000000001</v>
      </c>
      <c r="AO463" s="3">
        <v>257.41759999999999</v>
      </c>
      <c r="AP463" s="3">
        <f t="shared" si="318"/>
        <v>1.1407141265636223</v>
      </c>
      <c r="AQ463" s="3">
        <v>9.4949999999999992</v>
      </c>
      <c r="AR463" s="3">
        <v>2.2025630999999999</v>
      </c>
      <c r="AS463" s="3">
        <v>-959.76900000000001</v>
      </c>
      <c r="AT463" s="3">
        <v>-958.05</v>
      </c>
      <c r="AU463" s="3">
        <f t="shared" si="339"/>
        <v>-1.7190000000000509</v>
      </c>
      <c r="AV463" s="3">
        <v>-0.317</v>
      </c>
      <c r="AW463" s="3">
        <v>-0.45</v>
      </c>
      <c r="AX463" s="3">
        <f t="shared" si="340"/>
        <v>0.13300000000000001</v>
      </c>
      <c r="AY463" s="3">
        <v>-2.4E-2</v>
      </c>
      <c r="AZ463" s="3">
        <v>0.13500000000000001</v>
      </c>
      <c r="BA463" s="3">
        <f t="shared" si="341"/>
        <v>-0.159</v>
      </c>
      <c r="BB463" s="3">
        <f t="shared" si="357"/>
        <v>0.17050000000000001</v>
      </c>
      <c r="BC463" s="3">
        <f t="shared" si="357"/>
        <v>0.1575</v>
      </c>
      <c r="BD463" s="3">
        <f t="shared" si="342"/>
        <v>1.3000000000000012E-2</v>
      </c>
      <c r="BE463" s="3">
        <f t="shared" si="358"/>
        <v>0.29299999999999998</v>
      </c>
      <c r="BF463" s="3">
        <f t="shared" si="358"/>
        <v>0.58499999999999996</v>
      </c>
      <c r="BG463" s="3">
        <f t="shared" si="343"/>
        <v>-0.29199999999999998</v>
      </c>
      <c r="BH463" s="3">
        <f t="shared" si="359"/>
        <v>-0.17050000000000001</v>
      </c>
      <c r="BI463" s="3">
        <f t="shared" si="359"/>
        <v>-0.1575</v>
      </c>
      <c r="BJ463" s="3">
        <f t="shared" si="356"/>
        <v>-1.3000000000000012E-2</v>
      </c>
      <c r="BK463" s="3">
        <f t="shared" si="353"/>
        <v>4.9607935153583631E-2</v>
      </c>
      <c r="BL463" s="3">
        <f t="shared" si="354"/>
        <v>2.120192307692308E-2</v>
      </c>
      <c r="BM463" s="3">
        <f t="shared" si="344"/>
        <v>2.8406012076660551E-2</v>
      </c>
      <c r="BN463" s="3">
        <v>2.2370000000000001</v>
      </c>
      <c r="BO463" s="3">
        <v>2.431</v>
      </c>
      <c r="BP463" s="3">
        <f t="shared" si="345"/>
        <v>-0.19399999999999995</v>
      </c>
      <c r="BQ463" s="3">
        <v>-602243.07700000005</v>
      </c>
      <c r="BR463" s="3">
        <v>-601163.24300000002</v>
      </c>
      <c r="BS463" s="3">
        <f t="shared" si="346"/>
        <v>-1079.8340000000317</v>
      </c>
      <c r="BT463" s="3">
        <v>-602262.36399999994</v>
      </c>
      <c r="BU463" s="3">
        <v>-601182.38500000001</v>
      </c>
      <c r="BV463" s="3">
        <f t="shared" si="347"/>
        <v>-1079.9789999999339</v>
      </c>
    </row>
    <row r="464" spans="1:74" x14ac:dyDescent="0.25">
      <c r="A464" t="s">
        <v>538</v>
      </c>
      <c r="B464" s="1" t="s">
        <v>646</v>
      </c>
      <c r="C464" s="1" t="s">
        <v>99</v>
      </c>
      <c r="D464" s="3">
        <v>4.42</v>
      </c>
      <c r="E464" s="3">
        <v>1.1000000000000001</v>
      </c>
      <c r="F464" s="3">
        <v>-820.47900000000004</v>
      </c>
      <c r="G464" s="3">
        <v>-823.53899999999999</v>
      </c>
      <c r="H464" s="3">
        <f t="shared" si="335"/>
        <v>-3.0599999999999454</v>
      </c>
      <c r="I464" s="3">
        <v>-0.3</v>
      </c>
      <c r="J464" s="6">
        <v>-0.222</v>
      </c>
      <c r="K464" s="3">
        <f t="shared" si="322"/>
        <v>7.7999999999999986E-2</v>
      </c>
      <c r="L464" s="3">
        <v>0.108</v>
      </c>
      <c r="M464" s="6">
        <v>-3.1E-2</v>
      </c>
      <c r="N464" s="3">
        <f t="shared" si="323"/>
        <v>-0.13900000000000001</v>
      </c>
      <c r="O464" s="3">
        <f t="shared" si="360"/>
        <v>9.6000000000000002E-2</v>
      </c>
      <c r="P464" s="3">
        <f t="shared" si="360"/>
        <v>0.1265</v>
      </c>
      <c r="Q464" s="3">
        <f t="shared" si="324"/>
        <v>3.0499999999999999E-2</v>
      </c>
      <c r="R464" s="3">
        <f t="shared" si="325"/>
        <v>0.40799999999999997</v>
      </c>
      <c r="S464" s="3">
        <f t="shared" si="326"/>
        <v>0.191</v>
      </c>
      <c r="T464" s="3">
        <f t="shared" si="327"/>
        <v>-0.21699999999999997</v>
      </c>
      <c r="U464" s="3">
        <f t="shared" si="328"/>
        <v>-9.6000000000000002E-2</v>
      </c>
      <c r="V464" s="3">
        <f t="shared" si="329"/>
        <v>-0.1265</v>
      </c>
      <c r="W464" s="3">
        <f t="shared" si="355"/>
        <v>-3.0499999999999999E-2</v>
      </c>
      <c r="X464" s="3">
        <f t="shared" si="351"/>
        <v>1.1294117647058824E-2</v>
      </c>
      <c r="Y464" s="3">
        <f t="shared" si="352"/>
        <v>4.1890706806282721E-2</v>
      </c>
      <c r="Z464" s="3">
        <f t="shared" si="330"/>
        <v>3.0596589159223898E-2</v>
      </c>
      <c r="AA464" s="3">
        <v>5.8310000000000004</v>
      </c>
      <c r="AB464" s="3">
        <v>5.899</v>
      </c>
      <c r="AC464" s="3">
        <f t="shared" si="331"/>
        <v>6.7999999999999616E-2</v>
      </c>
      <c r="AD464" s="3">
        <f>-820.343459*627.50956</f>
        <v>-514773.36300596804</v>
      </c>
      <c r="AE464" s="3">
        <f>-823.411046*627.50956</f>
        <v>-516698.30317459977</v>
      </c>
      <c r="AF464" s="3">
        <f t="shared" si="332"/>
        <v>-1924.9401686317287</v>
      </c>
      <c r="AG464" s="3">
        <f>-820.383538*627.50956</f>
        <v>-514798.51296162326</v>
      </c>
      <c r="AH464" s="3">
        <f>-823.451997*627.50956</f>
        <v>-516724.00031859131</v>
      </c>
      <c r="AI464" s="3">
        <f t="shared" si="333"/>
        <v>-1925.4873569680494</v>
      </c>
      <c r="AJ464" s="3">
        <v>-0.318</v>
      </c>
      <c r="AK464" s="3">
        <v>-0.30499999999999999</v>
      </c>
      <c r="AL464" s="3">
        <f t="shared" si="334"/>
        <v>1.3000000000000012E-2</v>
      </c>
      <c r="AM464" s="3">
        <v>151.59294</v>
      </c>
      <c r="AN464" s="3">
        <v>190.09360000000001</v>
      </c>
      <c r="AO464" s="3">
        <v>200.33709999999999</v>
      </c>
      <c r="AP464" s="3">
        <f t="shared" si="318"/>
        <v>1.1482836751784471</v>
      </c>
      <c r="AQ464" s="3">
        <v>10.288</v>
      </c>
      <c r="AR464" s="3">
        <v>2.3958029999999999</v>
      </c>
      <c r="AS464" s="3">
        <v>-132.80099999999999</v>
      </c>
      <c r="AT464" s="3">
        <v>-131.97</v>
      </c>
      <c r="AU464" s="3">
        <f t="shared" si="339"/>
        <v>-0.83099999999998886</v>
      </c>
      <c r="AV464" s="3">
        <v>-0.34100000000000003</v>
      </c>
      <c r="AW464" s="3">
        <v>-0.47499999999999998</v>
      </c>
      <c r="AX464" s="3">
        <f t="shared" si="340"/>
        <v>0.13399999999999995</v>
      </c>
      <c r="AY464" s="3">
        <v>2.9000000000000001E-2</v>
      </c>
      <c r="AZ464" s="3">
        <v>0.156</v>
      </c>
      <c r="BA464" s="3">
        <f t="shared" si="341"/>
        <v>-0.127</v>
      </c>
      <c r="BB464" s="3">
        <f t="shared" si="357"/>
        <v>0.156</v>
      </c>
      <c r="BC464" s="3">
        <f t="shared" si="357"/>
        <v>0.15949999999999998</v>
      </c>
      <c r="BD464" s="3">
        <f t="shared" si="342"/>
        <v>-3.4999999999999754E-3</v>
      </c>
      <c r="BE464" s="3">
        <f t="shared" si="358"/>
        <v>0.37000000000000005</v>
      </c>
      <c r="BF464" s="3">
        <f t="shared" si="358"/>
        <v>0.63100000000000001</v>
      </c>
      <c r="BG464" s="3">
        <f t="shared" si="343"/>
        <v>-0.26099999999999995</v>
      </c>
      <c r="BH464" s="3">
        <f t="shared" si="359"/>
        <v>-0.156</v>
      </c>
      <c r="BI464" s="3">
        <f t="shared" si="359"/>
        <v>-0.15949999999999998</v>
      </c>
      <c r="BJ464" s="3">
        <f t="shared" si="356"/>
        <v>3.4999999999999754E-3</v>
      </c>
      <c r="BK464" s="3">
        <f t="shared" si="353"/>
        <v>3.2886486486486483E-2</v>
      </c>
      <c r="BL464" s="3">
        <f t="shared" si="354"/>
        <v>2.0158676703645E-2</v>
      </c>
      <c r="BM464" s="3">
        <f t="shared" si="344"/>
        <v>1.2727809782841482E-2</v>
      </c>
      <c r="BN464" s="3">
        <v>4.7279999999999998</v>
      </c>
      <c r="BO464" s="3">
        <v>4.9340000000000002</v>
      </c>
      <c r="BP464" s="3">
        <f t="shared" si="345"/>
        <v>-0.20600000000000041</v>
      </c>
      <c r="BQ464" s="3">
        <v>-83302.89</v>
      </c>
      <c r="BR464" s="3">
        <v>-82779.224000000002</v>
      </c>
      <c r="BS464" s="3">
        <f t="shared" si="346"/>
        <v>-523.66599999999744</v>
      </c>
      <c r="BT464" s="3">
        <v>-83320.774999999994</v>
      </c>
      <c r="BU464" s="3">
        <v>-82796.997000000003</v>
      </c>
      <c r="BV464" s="3">
        <f t="shared" si="347"/>
        <v>-523.77799999999115</v>
      </c>
    </row>
    <row r="465" spans="1:74" x14ac:dyDescent="0.25">
      <c r="A465" t="s">
        <v>539</v>
      </c>
      <c r="B465" s="1" t="s">
        <v>646</v>
      </c>
      <c r="C465" s="1" t="s">
        <v>103</v>
      </c>
      <c r="D465" s="3">
        <v>4.46</v>
      </c>
      <c r="E465" s="3">
        <v>1.1499999999999999</v>
      </c>
      <c r="F465" s="3">
        <v>-1197.4649999999999</v>
      </c>
      <c r="G465" s="3">
        <v>-1202.75</v>
      </c>
      <c r="H465" s="3">
        <f t="shared" si="335"/>
        <v>-5.2850000000000819</v>
      </c>
      <c r="I465" s="3">
        <v>-0.31</v>
      </c>
      <c r="J465" s="6">
        <v>-0.20599999999999999</v>
      </c>
      <c r="K465" s="3">
        <f t="shared" si="322"/>
        <v>0.10400000000000001</v>
      </c>
      <c r="L465" s="3">
        <v>0.13</v>
      </c>
      <c r="M465" s="6">
        <v>1.9E-2</v>
      </c>
      <c r="N465" s="3">
        <f t="shared" si="323"/>
        <v>-0.111</v>
      </c>
      <c r="O465" s="3">
        <f t="shared" si="360"/>
        <v>0.09</v>
      </c>
      <c r="P465" s="3">
        <f t="shared" si="360"/>
        <v>9.35E-2</v>
      </c>
      <c r="Q465" s="3">
        <f t="shared" si="324"/>
        <v>3.5000000000000031E-3</v>
      </c>
      <c r="R465" s="3">
        <f t="shared" si="325"/>
        <v>0.44</v>
      </c>
      <c r="S465" s="3">
        <f t="shared" si="326"/>
        <v>0.22499999999999998</v>
      </c>
      <c r="T465" s="3">
        <f t="shared" si="327"/>
        <v>-0.21500000000000002</v>
      </c>
      <c r="U465" s="3">
        <f t="shared" si="328"/>
        <v>-0.09</v>
      </c>
      <c r="V465" s="3">
        <f t="shared" si="329"/>
        <v>-9.35E-2</v>
      </c>
      <c r="W465" s="3">
        <f t="shared" si="355"/>
        <v>-3.5000000000000031E-3</v>
      </c>
      <c r="X465" s="3">
        <f t="shared" si="351"/>
        <v>9.2045454545454548E-3</v>
      </c>
      <c r="Y465" s="3">
        <f t="shared" si="352"/>
        <v>1.9427222222222224E-2</v>
      </c>
      <c r="Z465" s="3">
        <f t="shared" si="330"/>
        <v>1.0222676767676769E-2</v>
      </c>
      <c r="AA465" s="3">
        <v>0.84499999999999997</v>
      </c>
      <c r="AB465" s="3">
        <v>0.64500000000000002</v>
      </c>
      <c r="AC465" s="3">
        <f t="shared" si="331"/>
        <v>-0.19999999999999996</v>
      </c>
      <c r="AD465" s="3">
        <f>-1197.064577*627.50956</f>
        <v>-751169.46600485616</v>
      </c>
      <c r="AE465" s="3">
        <f>-1202.370035*627.50956</f>
        <v>-754498.69162003451</v>
      </c>
      <c r="AF465" s="3">
        <f t="shared" si="332"/>
        <v>-3329.2256151783513</v>
      </c>
      <c r="AG465" s="3">
        <f>-1197.13923*627.50956</f>
        <v>-751216.31147603877</v>
      </c>
      <c r="AH465" s="3">
        <f>-1202.447126*627.50956</f>
        <v>-754547.06695952453</v>
      </c>
      <c r="AI465" s="3">
        <f t="shared" si="333"/>
        <v>-3330.7554834857583</v>
      </c>
      <c r="AJ465" s="3">
        <v>-0.36199999999999999</v>
      </c>
      <c r="AK465" s="3">
        <v>-0.41899999999999998</v>
      </c>
      <c r="AL465" s="3">
        <f t="shared" si="334"/>
        <v>-5.6999999999999995E-2</v>
      </c>
      <c r="AM465" s="3">
        <v>258.50463999999999</v>
      </c>
      <c r="AN465" s="3">
        <v>352.21230000000003</v>
      </c>
      <c r="AO465" s="3">
        <v>448.45650000000001</v>
      </c>
      <c r="AP465" s="3">
        <f t="shared" ref="AP465:AP511" si="361">(AN465/(4*3.14*POWER(((3*AO465)/(4*3.14)),2/3)))</f>
        <v>1.2433123665078478</v>
      </c>
      <c r="AQ465" s="3">
        <v>12.224</v>
      </c>
      <c r="AR465" s="3">
        <v>3.0227599999999999</v>
      </c>
      <c r="AS465" s="3">
        <v>-959.76900000000001</v>
      </c>
      <c r="AT465" s="3">
        <v>-958.05</v>
      </c>
      <c r="AU465" s="3">
        <f t="shared" si="339"/>
        <v>-1.7190000000000509</v>
      </c>
      <c r="AV465" s="3">
        <v>-0.317</v>
      </c>
      <c r="AW465" s="3">
        <v>-0.45</v>
      </c>
      <c r="AX465" s="3">
        <f t="shared" si="340"/>
        <v>0.13300000000000001</v>
      </c>
      <c r="AY465" s="3">
        <v>-2.4E-2</v>
      </c>
      <c r="AZ465" s="3">
        <v>0.13500000000000001</v>
      </c>
      <c r="BA465" s="3">
        <f t="shared" si="341"/>
        <v>-0.159</v>
      </c>
      <c r="BB465" s="3">
        <f t="shared" si="357"/>
        <v>0.17050000000000001</v>
      </c>
      <c r="BC465" s="3">
        <f t="shared" si="357"/>
        <v>0.1575</v>
      </c>
      <c r="BD465" s="3">
        <f t="shared" si="342"/>
        <v>1.3000000000000012E-2</v>
      </c>
      <c r="BE465" s="3">
        <f t="shared" si="358"/>
        <v>0.29299999999999998</v>
      </c>
      <c r="BF465" s="3">
        <f t="shared" si="358"/>
        <v>0.58499999999999996</v>
      </c>
      <c r="BG465" s="3">
        <f t="shared" si="343"/>
        <v>-0.29199999999999998</v>
      </c>
      <c r="BH465" s="3">
        <f t="shared" si="359"/>
        <v>-0.17050000000000001</v>
      </c>
      <c r="BI465" s="3">
        <f t="shared" si="359"/>
        <v>-0.1575</v>
      </c>
      <c r="BJ465" s="3">
        <f t="shared" si="356"/>
        <v>-1.3000000000000012E-2</v>
      </c>
      <c r="BK465" s="3">
        <f t="shared" si="353"/>
        <v>4.9607935153583631E-2</v>
      </c>
      <c r="BL465" s="3">
        <f t="shared" si="354"/>
        <v>2.120192307692308E-2</v>
      </c>
      <c r="BM465" s="3">
        <f t="shared" si="344"/>
        <v>2.8406012076660551E-2</v>
      </c>
      <c r="BN465" s="3">
        <v>2.2370000000000001</v>
      </c>
      <c r="BO465" s="3">
        <v>2.431</v>
      </c>
      <c r="BP465" s="3">
        <f t="shared" si="345"/>
        <v>-0.19399999999999995</v>
      </c>
      <c r="BQ465" s="3">
        <v>-602243.07700000005</v>
      </c>
      <c r="BR465" s="3">
        <v>-601163.24300000002</v>
      </c>
      <c r="BS465" s="3">
        <f t="shared" si="346"/>
        <v>-1079.8340000000317</v>
      </c>
      <c r="BT465" s="3">
        <v>-602262.36399999994</v>
      </c>
      <c r="BU465" s="3">
        <v>-601182.38500000001</v>
      </c>
      <c r="BV465" s="3">
        <f t="shared" si="347"/>
        <v>-1079.9789999999339</v>
      </c>
    </row>
    <row r="466" spans="1:74" x14ac:dyDescent="0.25">
      <c r="A466" t="s">
        <v>540</v>
      </c>
      <c r="B466" s="1" t="s">
        <v>646</v>
      </c>
      <c r="C466" s="1" t="s">
        <v>103</v>
      </c>
      <c r="D466" s="3">
        <v>4.59</v>
      </c>
      <c r="E466" s="3">
        <v>0.87</v>
      </c>
      <c r="F466" s="3">
        <v>-400.577</v>
      </c>
      <c r="G466" s="3">
        <v>-403.20100000000002</v>
      </c>
      <c r="H466" s="3">
        <f t="shared" si="335"/>
        <v>-2.6240000000000236</v>
      </c>
      <c r="I466" s="3">
        <v>-0.33700000000000002</v>
      </c>
      <c r="J466" s="6">
        <v>-0.25800000000000001</v>
      </c>
      <c r="K466" s="3">
        <f t="shared" si="322"/>
        <v>7.9000000000000015E-2</v>
      </c>
      <c r="L466" s="3">
        <v>9.7000000000000003E-2</v>
      </c>
      <c r="M466" s="6">
        <v>-4.9000000000000002E-2</v>
      </c>
      <c r="N466" s="3">
        <f t="shared" si="323"/>
        <v>-0.14600000000000002</v>
      </c>
      <c r="O466" s="3">
        <f t="shared" si="360"/>
        <v>0.12000000000000001</v>
      </c>
      <c r="P466" s="3">
        <f t="shared" si="360"/>
        <v>0.1535</v>
      </c>
      <c r="Q466" s="3">
        <f t="shared" si="324"/>
        <v>3.3499999999999988E-2</v>
      </c>
      <c r="R466" s="3">
        <f t="shared" si="325"/>
        <v>0.43400000000000005</v>
      </c>
      <c r="S466" s="3">
        <f t="shared" si="326"/>
        <v>0.20900000000000002</v>
      </c>
      <c r="T466" s="3">
        <f t="shared" si="327"/>
        <v>-0.22500000000000003</v>
      </c>
      <c r="U466" s="3">
        <f t="shared" si="328"/>
        <v>-0.12000000000000001</v>
      </c>
      <c r="V466" s="3">
        <f t="shared" si="329"/>
        <v>-0.1535</v>
      </c>
      <c r="W466" s="3">
        <f t="shared" si="355"/>
        <v>-3.3499999999999988E-2</v>
      </c>
      <c r="X466" s="3">
        <f t="shared" si="351"/>
        <v>1.6589861751152075E-2</v>
      </c>
      <c r="Y466" s="3">
        <f t="shared" si="352"/>
        <v>5.6369019138755978E-2</v>
      </c>
      <c r="Z466" s="3">
        <f t="shared" si="330"/>
        <v>3.9779157387603903E-2</v>
      </c>
      <c r="AA466" s="3">
        <v>3.996</v>
      </c>
      <c r="AB466" s="3">
        <v>4.3040000000000003</v>
      </c>
      <c r="AC466" s="3">
        <f t="shared" si="331"/>
        <v>0.30800000000000027</v>
      </c>
      <c r="AD466" s="3">
        <f>-400.404094*627.50956</f>
        <v>-251257.39684813863</v>
      </c>
      <c r="AE466" s="3">
        <f>-403.037862*627.50956</f>
        <v>-252910.11144696071</v>
      </c>
      <c r="AF466" s="3">
        <f t="shared" si="332"/>
        <v>-1652.7145988220873</v>
      </c>
      <c r="AG466" s="3">
        <f>-400.447837*627.50956</f>
        <v>-251284.84599882169</v>
      </c>
      <c r="AH466" s="3">
        <f>-403.08294*627.50956</f>
        <v>-252938.3983229064</v>
      </c>
      <c r="AI466" s="3">
        <f t="shared" si="333"/>
        <v>-1653.5523240847106</v>
      </c>
      <c r="AJ466" s="3">
        <v>-0.51400000000000001</v>
      </c>
      <c r="AK466" s="3">
        <v>-0.59299999999999997</v>
      </c>
      <c r="AL466" s="3">
        <f t="shared" si="334"/>
        <v>-7.8999999999999959E-2</v>
      </c>
      <c r="AM466" s="3">
        <v>131.17446000000001</v>
      </c>
      <c r="AN466" s="3">
        <v>200.8091</v>
      </c>
      <c r="AO466" s="3">
        <v>216.29415</v>
      </c>
      <c r="AP466" s="3">
        <f t="shared" si="361"/>
        <v>1.152593478017085</v>
      </c>
      <c r="AQ466" s="3">
        <v>9.1660000000000004</v>
      </c>
      <c r="AR466" s="3">
        <v>2.1554139999999999</v>
      </c>
      <c r="AS466" s="3">
        <v>-959.76900000000001</v>
      </c>
      <c r="AT466" s="3">
        <v>-958.05</v>
      </c>
      <c r="AU466" s="3">
        <f t="shared" si="339"/>
        <v>-1.7190000000000509</v>
      </c>
      <c r="AV466" s="3">
        <v>-0.317</v>
      </c>
      <c r="AW466" s="3">
        <v>-0.45</v>
      </c>
      <c r="AX466" s="3">
        <f t="shared" si="340"/>
        <v>0.13300000000000001</v>
      </c>
      <c r="AY466" s="3">
        <v>-2.4E-2</v>
      </c>
      <c r="AZ466" s="3">
        <v>0.13500000000000001</v>
      </c>
      <c r="BA466" s="3">
        <f t="shared" si="341"/>
        <v>-0.159</v>
      </c>
      <c r="BB466" s="3">
        <f t="shared" si="357"/>
        <v>0.17050000000000001</v>
      </c>
      <c r="BC466" s="3">
        <f t="shared" si="357"/>
        <v>0.1575</v>
      </c>
      <c r="BD466" s="3">
        <f t="shared" si="342"/>
        <v>1.3000000000000012E-2</v>
      </c>
      <c r="BE466" s="3">
        <f t="shared" si="358"/>
        <v>0.29299999999999998</v>
      </c>
      <c r="BF466" s="3">
        <f t="shared" si="358"/>
        <v>0.58499999999999996</v>
      </c>
      <c r="BG466" s="3">
        <f t="shared" si="343"/>
        <v>-0.29199999999999998</v>
      </c>
      <c r="BH466" s="3">
        <f t="shared" si="359"/>
        <v>-0.17050000000000001</v>
      </c>
      <c r="BI466" s="3">
        <f t="shared" si="359"/>
        <v>-0.1575</v>
      </c>
      <c r="BJ466" s="3">
        <f t="shared" si="356"/>
        <v>-1.3000000000000012E-2</v>
      </c>
      <c r="BK466" s="3">
        <f t="shared" si="353"/>
        <v>4.9607935153583631E-2</v>
      </c>
      <c r="BL466" s="3">
        <f t="shared" si="354"/>
        <v>2.120192307692308E-2</v>
      </c>
      <c r="BM466" s="3">
        <f t="shared" si="344"/>
        <v>2.8406012076660551E-2</v>
      </c>
      <c r="BN466" s="3">
        <v>2.2370000000000001</v>
      </c>
      <c r="BO466" s="3">
        <v>2.431</v>
      </c>
      <c r="BP466" s="3">
        <f t="shared" si="345"/>
        <v>-0.19399999999999995</v>
      </c>
      <c r="BQ466" s="3">
        <v>-602243.07700000005</v>
      </c>
      <c r="BR466" s="3">
        <v>-601163.24300000002</v>
      </c>
      <c r="BS466" s="3">
        <f t="shared" si="346"/>
        <v>-1079.8340000000317</v>
      </c>
      <c r="BT466" s="3">
        <v>-602262.36399999994</v>
      </c>
      <c r="BU466" s="3">
        <v>-601182.38500000001</v>
      </c>
      <c r="BV466" s="3">
        <f t="shared" si="347"/>
        <v>-1079.9789999999339</v>
      </c>
    </row>
    <row r="467" spans="1:74" x14ac:dyDescent="0.25">
      <c r="A467" t="s">
        <v>541</v>
      </c>
      <c r="B467" s="1" t="s">
        <v>646</v>
      </c>
      <c r="C467" s="1" t="s">
        <v>103</v>
      </c>
      <c r="D467" s="3">
        <v>4.5999999999999996</v>
      </c>
      <c r="E467" s="3">
        <v>0.9</v>
      </c>
      <c r="F467" s="3">
        <v>-637.16</v>
      </c>
      <c r="G467" s="3">
        <v>-640.06399999999996</v>
      </c>
      <c r="H467" s="3">
        <f t="shared" si="335"/>
        <v>-2.9039999999999964</v>
      </c>
      <c r="I467" s="3">
        <v>-0.30399999999999999</v>
      </c>
      <c r="J467" s="6">
        <v>-0.21199999999999999</v>
      </c>
      <c r="K467" s="3">
        <f t="shared" si="322"/>
        <v>9.1999999999999998E-2</v>
      </c>
      <c r="L467" s="3">
        <v>0.13500000000000001</v>
      </c>
      <c r="M467" s="6">
        <v>-0.02</v>
      </c>
      <c r="N467" s="3">
        <f t="shared" si="323"/>
        <v>-0.155</v>
      </c>
      <c r="O467" s="3">
        <f t="shared" si="360"/>
        <v>8.4499999999999992E-2</v>
      </c>
      <c r="P467" s="3">
        <f t="shared" si="360"/>
        <v>0.11599999999999999</v>
      </c>
      <c r="Q467" s="3">
        <f t="shared" si="324"/>
        <v>3.15E-2</v>
      </c>
      <c r="R467" s="3">
        <f t="shared" si="325"/>
        <v>0.439</v>
      </c>
      <c r="S467" s="3">
        <f t="shared" si="326"/>
        <v>0.192</v>
      </c>
      <c r="T467" s="3">
        <f t="shared" si="327"/>
        <v>-0.247</v>
      </c>
      <c r="U467" s="3">
        <f t="shared" si="328"/>
        <v>-8.4499999999999992E-2</v>
      </c>
      <c r="V467" s="3">
        <f t="shared" si="329"/>
        <v>-0.11599999999999999</v>
      </c>
      <c r="W467" s="3">
        <f t="shared" si="355"/>
        <v>-3.15E-2</v>
      </c>
      <c r="X467" s="3">
        <f t="shared" si="351"/>
        <v>8.1324031890660578E-3</v>
      </c>
      <c r="Y467" s="3">
        <f t="shared" si="352"/>
        <v>3.5041666666666658E-2</v>
      </c>
      <c r="Z467" s="3">
        <f t="shared" si="330"/>
        <v>2.6909263477600601E-2</v>
      </c>
      <c r="AA467" s="3">
        <v>2.83</v>
      </c>
      <c r="AB467" s="3">
        <v>3.2789999999999999</v>
      </c>
      <c r="AC467" s="3">
        <f t="shared" si="331"/>
        <v>0.44899999999999984</v>
      </c>
      <c r="AD467" s="3">
        <f>-636.94388*627.50956</f>
        <v>-399688.37388349278</v>
      </c>
      <c r="AE467" s="3">
        <f>-639.859268*627.50956</f>
        <v>-401517.80772460211</v>
      </c>
      <c r="AF467" s="3">
        <f t="shared" si="332"/>
        <v>-1829.433841109334</v>
      </c>
      <c r="AG467" s="3">
        <f>-636.997366*627.50956</f>
        <v>-399721.93685981899</v>
      </c>
      <c r="AH467" s="3">
        <f>-639.914152*627.50956</f>
        <v>-401552.24795929308</v>
      </c>
      <c r="AI467" s="3">
        <f t="shared" si="333"/>
        <v>-1830.3110994740855</v>
      </c>
      <c r="AJ467" s="3">
        <v>-0.375</v>
      </c>
      <c r="AK467" s="3">
        <v>-0.39700000000000002</v>
      </c>
      <c r="AL467" s="3">
        <f t="shared" si="334"/>
        <v>-2.200000000000002E-2</v>
      </c>
      <c r="AM467" s="3">
        <v>142.27096</v>
      </c>
      <c r="AN467" s="3">
        <v>242.31559999999999</v>
      </c>
      <c r="AO467" s="3">
        <v>260.46319999999997</v>
      </c>
      <c r="AP467" s="3">
        <f t="shared" si="361"/>
        <v>1.2287770088711927</v>
      </c>
      <c r="AQ467" s="3">
        <v>11.974</v>
      </c>
      <c r="AR467" s="3">
        <v>2.7267649999999999</v>
      </c>
      <c r="AS467" s="3">
        <v>-959.76900000000001</v>
      </c>
      <c r="AT467" s="3">
        <v>-958.05</v>
      </c>
      <c r="AU467" s="3">
        <f t="shared" si="339"/>
        <v>-1.7190000000000509</v>
      </c>
      <c r="AV467" s="3">
        <v>-0.317</v>
      </c>
      <c r="AW467" s="3">
        <v>-0.45</v>
      </c>
      <c r="AX467" s="3">
        <f t="shared" si="340"/>
        <v>0.13300000000000001</v>
      </c>
      <c r="AY467" s="3">
        <v>-2.4E-2</v>
      </c>
      <c r="AZ467" s="3">
        <v>0.13500000000000001</v>
      </c>
      <c r="BA467" s="3">
        <f t="shared" si="341"/>
        <v>-0.159</v>
      </c>
      <c r="BB467" s="3">
        <f t="shared" ref="BB467:BC477" si="362">-(AV467+AY467)/2</f>
        <v>0.17050000000000001</v>
      </c>
      <c r="BC467" s="3">
        <f t="shared" si="362"/>
        <v>0.1575</v>
      </c>
      <c r="BD467" s="3">
        <f t="shared" si="342"/>
        <v>1.3000000000000012E-2</v>
      </c>
      <c r="BE467" s="3">
        <f t="shared" ref="BE467:BF477" si="363">AY467-AV467</f>
        <v>0.29299999999999998</v>
      </c>
      <c r="BF467" s="3">
        <f t="shared" si="363"/>
        <v>0.58499999999999996</v>
      </c>
      <c r="BG467" s="3">
        <f t="shared" si="343"/>
        <v>-0.29199999999999998</v>
      </c>
      <c r="BH467" s="3">
        <f t="shared" ref="BH467:BI477" si="364">(AV467+AY467)/2</f>
        <v>-0.17050000000000001</v>
      </c>
      <c r="BI467" s="3">
        <f t="shared" si="364"/>
        <v>-0.1575</v>
      </c>
      <c r="BJ467" s="3">
        <f t="shared" si="356"/>
        <v>-1.3000000000000012E-2</v>
      </c>
      <c r="BK467" s="3">
        <f t="shared" si="353"/>
        <v>4.9607935153583631E-2</v>
      </c>
      <c r="BL467" s="3">
        <f t="shared" si="354"/>
        <v>2.120192307692308E-2</v>
      </c>
      <c r="BM467" s="3">
        <f t="shared" si="344"/>
        <v>2.8406012076660551E-2</v>
      </c>
      <c r="BN467" s="3">
        <v>2.2370000000000001</v>
      </c>
      <c r="BO467" s="3">
        <v>2.431</v>
      </c>
      <c r="BP467" s="3">
        <f t="shared" si="345"/>
        <v>-0.19399999999999995</v>
      </c>
      <c r="BQ467" s="3">
        <v>-602243.07700000005</v>
      </c>
      <c r="BR467" s="3">
        <v>-601163.24300000002</v>
      </c>
      <c r="BS467" s="3">
        <f t="shared" si="346"/>
        <v>-1079.8340000000317</v>
      </c>
      <c r="BT467" s="3">
        <v>-602262.36399999994</v>
      </c>
      <c r="BU467" s="3">
        <v>-601182.38500000001</v>
      </c>
      <c r="BV467" s="3">
        <f t="shared" si="347"/>
        <v>-1079.9789999999339</v>
      </c>
    </row>
    <row r="468" spans="1:74" x14ac:dyDescent="0.25">
      <c r="A468" t="s">
        <v>542</v>
      </c>
      <c r="B468" s="1" t="s">
        <v>646</v>
      </c>
      <c r="C468" s="1" t="s">
        <v>99</v>
      </c>
      <c r="D468" s="3">
        <v>4.6100000000000003</v>
      </c>
      <c r="E468" s="3">
        <v>0.98</v>
      </c>
      <c r="F468" s="3">
        <v>-441.108</v>
      </c>
      <c r="G468" s="3">
        <v>-443.99400000000003</v>
      </c>
      <c r="H468" s="3">
        <f t="shared" si="335"/>
        <v>-2.8860000000000241</v>
      </c>
      <c r="I468" s="3">
        <v>-0.35299999999999998</v>
      </c>
      <c r="J468" s="6">
        <v>-0.23899999999999999</v>
      </c>
      <c r="K468" s="3">
        <f t="shared" si="322"/>
        <v>0.11399999999999999</v>
      </c>
      <c r="L468" s="3">
        <v>0.14799999999999999</v>
      </c>
      <c r="M468" s="6">
        <v>-1.2E-2</v>
      </c>
      <c r="N468" s="3">
        <f t="shared" si="323"/>
        <v>-0.16</v>
      </c>
      <c r="O468" s="3">
        <f t="shared" si="360"/>
        <v>0.10249999999999999</v>
      </c>
      <c r="P468" s="3">
        <f t="shared" si="360"/>
        <v>0.1255</v>
      </c>
      <c r="Q468" s="3">
        <f t="shared" si="324"/>
        <v>2.3000000000000007E-2</v>
      </c>
      <c r="R468" s="3">
        <f t="shared" si="325"/>
        <v>0.501</v>
      </c>
      <c r="S468" s="3">
        <f t="shared" si="326"/>
        <v>0.22699999999999998</v>
      </c>
      <c r="T468" s="3">
        <f t="shared" si="327"/>
        <v>-0.27400000000000002</v>
      </c>
      <c r="U468" s="3">
        <f t="shared" si="328"/>
        <v>-0.10249999999999999</v>
      </c>
      <c r="V468" s="3">
        <f t="shared" si="329"/>
        <v>-0.1255</v>
      </c>
      <c r="W468" s="3">
        <f t="shared" si="355"/>
        <v>-2.3000000000000007E-2</v>
      </c>
      <c r="X468" s="3">
        <f t="shared" si="351"/>
        <v>1.0485279441117762E-2</v>
      </c>
      <c r="Y468" s="3">
        <f t="shared" si="352"/>
        <v>3.4692180616740093E-2</v>
      </c>
      <c r="Z468" s="3">
        <f t="shared" si="330"/>
        <v>2.4206901175622332E-2</v>
      </c>
      <c r="AA468" s="3">
        <v>5.0609999999999999</v>
      </c>
      <c r="AB468" s="3">
        <v>4.5330000000000004</v>
      </c>
      <c r="AC468" s="3">
        <f t="shared" si="331"/>
        <v>-0.52799999999999958</v>
      </c>
      <c r="AD468" s="3">
        <f>-440.862252*627.50956</f>
        <v>-276645.27777312911</v>
      </c>
      <c r="AE468" s="3">
        <f>-443.761897*627.50956</f>
        <v>-278464.83273123531</v>
      </c>
      <c r="AF468" s="3">
        <f t="shared" si="332"/>
        <v>-1819.5549581061932</v>
      </c>
      <c r="AG468" s="3">
        <f>-440.911712*627.50956</f>
        <v>-276676.31439596671</v>
      </c>
      <c r="AH468" s="3">
        <f>-443.812279*627.50956</f>
        <v>-278496.44791788724</v>
      </c>
      <c r="AI468" s="3">
        <f t="shared" si="333"/>
        <v>-1820.1335219205357</v>
      </c>
      <c r="AJ468" s="3">
        <v>-0.60399999999999998</v>
      </c>
      <c r="AK468" s="3">
        <v>-0.67300000000000004</v>
      </c>
      <c r="AL468" s="3">
        <f t="shared" si="334"/>
        <v>-6.9000000000000061E-2</v>
      </c>
      <c r="AM468" s="3">
        <v>141.21080000000001</v>
      </c>
      <c r="AN468" s="3">
        <v>217.61940000000001</v>
      </c>
      <c r="AO468" s="3">
        <v>248.6917</v>
      </c>
      <c r="AP468" s="3">
        <f t="shared" si="361"/>
        <v>1.1380972262811249</v>
      </c>
      <c r="AQ468" s="3">
        <v>9.5310000000000006</v>
      </c>
      <c r="AR468" s="3">
        <v>2.3436699999999999</v>
      </c>
      <c r="AS468" s="3">
        <v>-132.80099999999999</v>
      </c>
      <c r="AT468" s="3">
        <v>-131.97</v>
      </c>
      <c r="AU468" s="3">
        <f t="shared" si="339"/>
        <v>-0.83099999999998886</v>
      </c>
      <c r="AV468" s="3">
        <v>-0.34100000000000003</v>
      </c>
      <c r="AW468" s="3">
        <v>-0.47499999999999998</v>
      </c>
      <c r="AX468" s="3">
        <f t="shared" si="340"/>
        <v>0.13399999999999995</v>
      </c>
      <c r="AY468" s="3">
        <v>2.9000000000000001E-2</v>
      </c>
      <c r="AZ468" s="3">
        <v>0.156</v>
      </c>
      <c r="BA468" s="3">
        <f t="shared" si="341"/>
        <v>-0.127</v>
      </c>
      <c r="BB468" s="3">
        <f t="shared" si="362"/>
        <v>0.156</v>
      </c>
      <c r="BC468" s="3">
        <f t="shared" si="362"/>
        <v>0.15949999999999998</v>
      </c>
      <c r="BD468" s="3">
        <f t="shared" si="342"/>
        <v>-3.4999999999999754E-3</v>
      </c>
      <c r="BE468" s="3">
        <f t="shared" si="363"/>
        <v>0.37000000000000005</v>
      </c>
      <c r="BF468" s="3">
        <f t="shared" si="363"/>
        <v>0.63100000000000001</v>
      </c>
      <c r="BG468" s="3">
        <f t="shared" si="343"/>
        <v>-0.26099999999999995</v>
      </c>
      <c r="BH468" s="3">
        <f t="shared" si="364"/>
        <v>-0.156</v>
      </c>
      <c r="BI468" s="3">
        <f t="shared" si="364"/>
        <v>-0.15949999999999998</v>
      </c>
      <c r="BJ468" s="3">
        <f t="shared" si="356"/>
        <v>3.4999999999999754E-3</v>
      </c>
      <c r="BK468" s="3">
        <f t="shared" si="353"/>
        <v>3.2886486486486483E-2</v>
      </c>
      <c r="BL468" s="3">
        <f t="shared" si="354"/>
        <v>2.0158676703645E-2</v>
      </c>
      <c r="BM468" s="3">
        <f t="shared" si="344"/>
        <v>1.2727809782841482E-2</v>
      </c>
      <c r="BN468" s="3">
        <v>4.7279999999999998</v>
      </c>
      <c r="BO468" s="3">
        <v>4.9340000000000002</v>
      </c>
      <c r="BP468" s="3">
        <f t="shared" si="345"/>
        <v>-0.20600000000000041</v>
      </c>
      <c r="BQ468" s="3">
        <v>-83302.89</v>
      </c>
      <c r="BR468" s="3">
        <v>-82779.224000000002</v>
      </c>
      <c r="BS468" s="3">
        <f t="shared" si="346"/>
        <v>-523.66599999999744</v>
      </c>
      <c r="BT468" s="3">
        <v>-83320.774999999994</v>
      </c>
      <c r="BU468" s="3">
        <v>-82796.997000000003</v>
      </c>
      <c r="BV468" s="3">
        <f t="shared" si="347"/>
        <v>-523.77799999999115</v>
      </c>
    </row>
    <row r="469" spans="1:74" x14ac:dyDescent="0.25">
      <c r="A469" t="s">
        <v>543</v>
      </c>
      <c r="B469" s="1" t="s">
        <v>646</v>
      </c>
      <c r="C469" s="1" t="s">
        <v>103</v>
      </c>
      <c r="D469" s="3">
        <v>4.63</v>
      </c>
      <c r="E469" s="3">
        <v>1</v>
      </c>
      <c r="F469" s="3">
        <v>-208.86600000000001</v>
      </c>
      <c r="G469" s="3">
        <v>-210.23099999999999</v>
      </c>
      <c r="H469" s="3">
        <f t="shared" si="335"/>
        <v>-1.3649999999999807</v>
      </c>
      <c r="I469" s="3">
        <v>-0.30399999999999999</v>
      </c>
      <c r="J469" s="6">
        <v>-0.218</v>
      </c>
      <c r="K469" s="3">
        <f t="shared" si="322"/>
        <v>8.5999999999999993E-2</v>
      </c>
      <c r="L469" s="3">
        <v>0.161</v>
      </c>
      <c r="M469" s="6">
        <v>3.2000000000000001E-2</v>
      </c>
      <c r="N469" s="3">
        <f t="shared" si="323"/>
        <v>-0.129</v>
      </c>
      <c r="O469" s="3">
        <f>-(I469+L469)/2</f>
        <v>7.1499999999999994E-2</v>
      </c>
      <c r="P469" s="3">
        <f t="shared" si="360"/>
        <v>9.2999999999999999E-2</v>
      </c>
      <c r="Q469" s="3">
        <f t="shared" si="324"/>
        <v>2.1500000000000005E-2</v>
      </c>
      <c r="R469" s="3">
        <f t="shared" si="325"/>
        <v>0.46499999999999997</v>
      </c>
      <c r="S469" s="3">
        <f t="shared" si="326"/>
        <v>0.25</v>
      </c>
      <c r="T469" s="3">
        <f t="shared" si="327"/>
        <v>-0.21499999999999997</v>
      </c>
      <c r="U469" s="3">
        <f t="shared" si="328"/>
        <v>-7.1499999999999994E-2</v>
      </c>
      <c r="V469" s="3">
        <f t="shared" si="329"/>
        <v>-9.2999999999999999E-2</v>
      </c>
      <c r="W469" s="3">
        <f t="shared" si="355"/>
        <v>-2.1500000000000005E-2</v>
      </c>
      <c r="X469" s="3">
        <f t="shared" si="351"/>
        <v>5.497043010752687E-3</v>
      </c>
      <c r="Y469" s="3">
        <f t="shared" si="352"/>
        <v>1.7298000000000001E-2</v>
      </c>
      <c r="Z469" s="3">
        <f t="shared" si="330"/>
        <v>1.1800956989247314E-2</v>
      </c>
      <c r="AA469" s="3">
        <v>2.4359999999999999</v>
      </c>
      <c r="AB469" s="3">
        <v>2.4350000000000001</v>
      </c>
      <c r="AC469" s="3">
        <f t="shared" si="331"/>
        <v>-9.9999999999988987E-4</v>
      </c>
      <c r="AD469" s="3">
        <f>-208.773761*627.50956</f>
        <v>-131007.53090465516</v>
      </c>
      <c r="AE469" s="3">
        <f>-210.144323*627.50956</f>
        <v>-131867.57166222789</v>
      </c>
      <c r="AF469" s="3">
        <f t="shared" si="332"/>
        <v>-860.04075757272949</v>
      </c>
      <c r="AG469" s="3">
        <f>-208.804672*627.50956</f>
        <v>-131026.92785266432</v>
      </c>
      <c r="AH469" s="3">
        <f>-210.175577*627.50956</f>
        <v>-131887.18384601612</v>
      </c>
      <c r="AI469" s="3">
        <f t="shared" si="333"/>
        <v>-860.25599335180596</v>
      </c>
      <c r="AJ469" s="3">
        <v>-0.31</v>
      </c>
      <c r="AK469" s="3">
        <v>-0.311</v>
      </c>
      <c r="AL469" s="3">
        <f t="shared" si="334"/>
        <v>-1.0000000000000009E-3</v>
      </c>
      <c r="AM469" s="3">
        <v>67.089200000000005</v>
      </c>
      <c r="AN469" s="3">
        <v>122.9299</v>
      </c>
      <c r="AO469" s="3">
        <v>114.8878</v>
      </c>
      <c r="AP469" s="3">
        <f t="shared" si="361"/>
        <v>1.0757983403338942</v>
      </c>
      <c r="AQ469" s="3">
        <v>6.7450000000000001</v>
      </c>
      <c r="AR469" s="3">
        <v>1.288252</v>
      </c>
      <c r="AS469" s="3">
        <v>-959.76900000000001</v>
      </c>
      <c r="AT469" s="3">
        <v>-958.05</v>
      </c>
      <c r="AU469" s="3">
        <f t="shared" si="339"/>
        <v>-1.7190000000000509</v>
      </c>
      <c r="AV469" s="3">
        <v>-0.317</v>
      </c>
      <c r="AW469" s="3">
        <v>-0.45</v>
      </c>
      <c r="AX469" s="3">
        <f t="shared" si="340"/>
        <v>0.13300000000000001</v>
      </c>
      <c r="AY469" s="3">
        <v>-2.4E-2</v>
      </c>
      <c r="AZ469" s="3">
        <v>0.13500000000000001</v>
      </c>
      <c r="BA469" s="3">
        <f t="shared" si="341"/>
        <v>-0.159</v>
      </c>
      <c r="BB469" s="3">
        <f t="shared" si="362"/>
        <v>0.17050000000000001</v>
      </c>
      <c r="BC469" s="3">
        <f t="shared" si="362"/>
        <v>0.1575</v>
      </c>
      <c r="BD469" s="3">
        <f t="shared" si="342"/>
        <v>1.3000000000000012E-2</v>
      </c>
      <c r="BE469" s="3">
        <f t="shared" si="363"/>
        <v>0.29299999999999998</v>
      </c>
      <c r="BF469" s="3">
        <f t="shared" si="363"/>
        <v>0.58499999999999996</v>
      </c>
      <c r="BG469" s="3">
        <f t="shared" si="343"/>
        <v>-0.29199999999999998</v>
      </c>
      <c r="BH469" s="3">
        <f t="shared" si="364"/>
        <v>-0.17050000000000001</v>
      </c>
      <c r="BI469" s="3">
        <f t="shared" si="364"/>
        <v>-0.1575</v>
      </c>
      <c r="BJ469" s="3">
        <f t="shared" si="356"/>
        <v>-1.3000000000000012E-2</v>
      </c>
      <c r="BK469" s="3">
        <f t="shared" si="353"/>
        <v>4.9607935153583631E-2</v>
      </c>
      <c r="BL469" s="3">
        <f t="shared" si="354"/>
        <v>2.120192307692308E-2</v>
      </c>
      <c r="BM469" s="3">
        <f t="shared" si="344"/>
        <v>2.8406012076660551E-2</v>
      </c>
      <c r="BN469" s="3">
        <v>2.2370000000000001</v>
      </c>
      <c r="BO469" s="3">
        <v>2.431</v>
      </c>
      <c r="BP469" s="3">
        <f t="shared" si="345"/>
        <v>-0.19399999999999995</v>
      </c>
      <c r="BQ469" s="3">
        <v>-602243.07700000005</v>
      </c>
      <c r="BR469" s="3">
        <v>-601163.24300000002</v>
      </c>
      <c r="BS469" s="3">
        <f t="shared" si="346"/>
        <v>-1079.8340000000317</v>
      </c>
      <c r="BT469" s="3">
        <v>-602262.36399999994</v>
      </c>
      <c r="BU469" s="3">
        <v>-601182.38500000001</v>
      </c>
      <c r="BV469" s="3">
        <f t="shared" si="347"/>
        <v>-1079.9789999999339</v>
      </c>
    </row>
    <row r="470" spans="1:74" x14ac:dyDescent="0.25">
      <c r="A470" t="s">
        <v>544</v>
      </c>
      <c r="B470" s="1" t="s">
        <v>646</v>
      </c>
      <c r="C470" s="1" t="s">
        <v>103</v>
      </c>
      <c r="D470" s="3">
        <v>4.83</v>
      </c>
      <c r="E470" s="3">
        <v>0.9</v>
      </c>
      <c r="F470" s="3">
        <v>-637.16</v>
      </c>
      <c r="G470" s="3">
        <v>-640.06200000000001</v>
      </c>
      <c r="H470" s="3">
        <f t="shared" si="335"/>
        <v>-2.9020000000000437</v>
      </c>
      <c r="I470" s="3">
        <v>-0.32200000000000001</v>
      </c>
      <c r="J470" s="6">
        <v>-0.22900000000000001</v>
      </c>
      <c r="K470" s="3">
        <f t="shared" si="322"/>
        <v>9.2999999999999999E-2</v>
      </c>
      <c r="L470" s="3">
        <v>0.12</v>
      </c>
      <c r="M470" s="6">
        <v>-3.2000000000000001E-2</v>
      </c>
      <c r="N470" s="3">
        <f t="shared" si="323"/>
        <v>-0.152</v>
      </c>
      <c r="O470" s="3">
        <f t="shared" si="360"/>
        <v>0.10100000000000001</v>
      </c>
      <c r="P470" s="3">
        <f t="shared" si="360"/>
        <v>0.1305</v>
      </c>
      <c r="Q470" s="3">
        <f t="shared" si="324"/>
        <v>2.9499999999999998E-2</v>
      </c>
      <c r="R470" s="3">
        <f t="shared" si="325"/>
        <v>0.442</v>
      </c>
      <c r="S470" s="3">
        <f t="shared" si="326"/>
        <v>0.19700000000000001</v>
      </c>
      <c r="T470" s="3">
        <f t="shared" si="327"/>
        <v>-0.245</v>
      </c>
      <c r="U470" s="3">
        <f t="shared" si="328"/>
        <v>-0.10100000000000001</v>
      </c>
      <c r="V470" s="3">
        <f t="shared" si="329"/>
        <v>-0.1305</v>
      </c>
      <c r="W470" s="3">
        <f t="shared" si="355"/>
        <v>-2.9499999999999998E-2</v>
      </c>
      <c r="X470" s="3">
        <f t="shared" si="351"/>
        <v>1.1539592760180998E-2</v>
      </c>
      <c r="Y470" s="3">
        <f t="shared" si="352"/>
        <v>4.3223984771573604E-2</v>
      </c>
      <c r="Z470" s="3">
        <f t="shared" si="330"/>
        <v>3.1684392011392608E-2</v>
      </c>
      <c r="AA470" s="3">
        <v>1.087</v>
      </c>
      <c r="AB470" s="3">
        <v>1.4890000000000001</v>
      </c>
      <c r="AC470" s="3">
        <f t="shared" si="331"/>
        <v>0.40200000000000014</v>
      </c>
      <c r="AD470" s="3">
        <f>-636.944201*627.50956</f>
        <v>-399688.57531406154</v>
      </c>
      <c r="AE470" s="3">
        <f>-639.857771*627.50956</f>
        <v>-401516.86834279069</v>
      </c>
      <c r="AF470" s="3">
        <f t="shared" si="332"/>
        <v>-1828.2930287291529</v>
      </c>
      <c r="AG470" s="3">
        <f>-636.99696*627.50956</f>
        <v>-399721.68209093757</v>
      </c>
      <c r="AH470" s="3">
        <f>-639.911369*627.50956</f>
        <v>-401550.50160018762</v>
      </c>
      <c r="AI470" s="3">
        <f t="shared" si="333"/>
        <v>-1828.8195092500537</v>
      </c>
      <c r="AJ470" s="3">
        <v>-0.47899999999999998</v>
      </c>
      <c r="AK470" s="3">
        <v>-0.34799999999999998</v>
      </c>
      <c r="AL470" s="3">
        <f t="shared" si="334"/>
        <v>0.13100000000000001</v>
      </c>
      <c r="AM470" s="3">
        <v>142.27096</v>
      </c>
      <c r="AN470" s="3">
        <v>233.00649999999999</v>
      </c>
      <c r="AO470" s="3">
        <v>257.89890000000003</v>
      </c>
      <c r="AP470" s="3">
        <f t="shared" si="361"/>
        <v>1.1893901208653168</v>
      </c>
      <c r="AQ470" s="3">
        <v>9.952</v>
      </c>
      <c r="AR470" s="3">
        <v>2.2993100000000002</v>
      </c>
      <c r="AS470" s="3">
        <v>-959.76900000000001</v>
      </c>
      <c r="AT470" s="3">
        <v>-958.05</v>
      </c>
      <c r="AU470" s="3">
        <f t="shared" si="339"/>
        <v>-1.7190000000000509</v>
      </c>
      <c r="AV470" s="3">
        <v>-0.317</v>
      </c>
      <c r="AW470" s="3">
        <v>-0.45</v>
      </c>
      <c r="AX470" s="3">
        <f t="shared" si="340"/>
        <v>0.13300000000000001</v>
      </c>
      <c r="AY470" s="3">
        <v>-2.4E-2</v>
      </c>
      <c r="AZ470" s="3">
        <v>0.13500000000000001</v>
      </c>
      <c r="BA470" s="3">
        <f t="shared" si="341"/>
        <v>-0.159</v>
      </c>
      <c r="BB470" s="3">
        <f t="shared" si="362"/>
        <v>0.17050000000000001</v>
      </c>
      <c r="BC470" s="3">
        <f t="shared" si="362"/>
        <v>0.1575</v>
      </c>
      <c r="BD470" s="3">
        <f t="shared" si="342"/>
        <v>1.3000000000000012E-2</v>
      </c>
      <c r="BE470" s="3">
        <f t="shared" si="363"/>
        <v>0.29299999999999998</v>
      </c>
      <c r="BF470" s="3">
        <f t="shared" si="363"/>
        <v>0.58499999999999996</v>
      </c>
      <c r="BG470" s="3">
        <f t="shared" si="343"/>
        <v>-0.29199999999999998</v>
      </c>
      <c r="BH470" s="3">
        <f t="shared" si="364"/>
        <v>-0.17050000000000001</v>
      </c>
      <c r="BI470" s="3">
        <f t="shared" si="364"/>
        <v>-0.1575</v>
      </c>
      <c r="BJ470" s="3">
        <f t="shared" si="356"/>
        <v>-1.3000000000000012E-2</v>
      </c>
      <c r="BK470" s="3">
        <f t="shared" si="353"/>
        <v>4.9607935153583631E-2</v>
      </c>
      <c r="BL470" s="3">
        <f t="shared" si="354"/>
        <v>2.120192307692308E-2</v>
      </c>
      <c r="BM470" s="3">
        <f t="shared" si="344"/>
        <v>2.8406012076660551E-2</v>
      </c>
      <c r="BN470" s="3">
        <v>2.2370000000000001</v>
      </c>
      <c r="BO470" s="3">
        <v>2.431</v>
      </c>
      <c r="BP470" s="3">
        <f t="shared" si="345"/>
        <v>-0.19399999999999995</v>
      </c>
      <c r="BQ470" s="3">
        <v>-602243.07700000005</v>
      </c>
      <c r="BR470" s="3">
        <v>-601163.24300000002</v>
      </c>
      <c r="BS470" s="3">
        <f t="shared" si="346"/>
        <v>-1079.8340000000317</v>
      </c>
      <c r="BT470" s="3">
        <v>-602262.36399999994</v>
      </c>
      <c r="BU470" s="3">
        <v>-601182.38500000001</v>
      </c>
      <c r="BV470" s="3">
        <f t="shared" si="347"/>
        <v>-1079.9789999999339</v>
      </c>
    </row>
    <row r="471" spans="1:74" x14ac:dyDescent="0.25">
      <c r="A471" t="s">
        <v>546</v>
      </c>
      <c r="B471" s="1" t="s">
        <v>646</v>
      </c>
      <c r="C471" s="1" t="s">
        <v>99</v>
      </c>
      <c r="D471" s="3">
        <v>4.91</v>
      </c>
      <c r="E471" s="3">
        <v>0.87</v>
      </c>
      <c r="F471" s="3">
        <v>-413.65</v>
      </c>
      <c r="G471" s="3">
        <v>-416.06400000000002</v>
      </c>
      <c r="H471" s="3">
        <f t="shared" si="335"/>
        <v>-2.4140000000000441</v>
      </c>
      <c r="I471" s="3">
        <v>-0.34599999999999997</v>
      </c>
      <c r="J471" s="6">
        <v>-0.251</v>
      </c>
      <c r="K471" s="3">
        <f t="shared" si="322"/>
        <v>9.4999999999999973E-2</v>
      </c>
      <c r="L471" s="3">
        <v>0.121</v>
      </c>
      <c r="M471" s="6">
        <v>-7.1999999999999995E-2</v>
      </c>
      <c r="N471" s="3">
        <f t="shared" si="323"/>
        <v>-0.193</v>
      </c>
      <c r="O471" s="3">
        <f t="shared" si="360"/>
        <v>0.11249999999999999</v>
      </c>
      <c r="P471" s="3">
        <f t="shared" si="360"/>
        <v>0.1615</v>
      </c>
      <c r="Q471" s="3">
        <f t="shared" si="324"/>
        <v>4.9000000000000016E-2</v>
      </c>
      <c r="R471" s="3">
        <f t="shared" si="325"/>
        <v>0.46699999999999997</v>
      </c>
      <c r="S471" s="3">
        <f t="shared" si="326"/>
        <v>0.17899999999999999</v>
      </c>
      <c r="T471" s="3">
        <f t="shared" si="327"/>
        <v>-0.28799999999999998</v>
      </c>
      <c r="U471" s="3">
        <f t="shared" si="328"/>
        <v>-0.11249999999999999</v>
      </c>
      <c r="V471" s="3">
        <f t="shared" si="329"/>
        <v>-0.1615</v>
      </c>
      <c r="W471" s="3">
        <f t="shared" si="355"/>
        <v>-4.9000000000000016E-2</v>
      </c>
      <c r="X471" s="3">
        <f t="shared" si="351"/>
        <v>1.3550588865096358E-2</v>
      </c>
      <c r="Y471" s="3">
        <f t="shared" si="352"/>
        <v>7.2855446927374307E-2</v>
      </c>
      <c r="Z471" s="3">
        <f t="shared" si="330"/>
        <v>5.9304858062277949E-2</v>
      </c>
      <c r="AA471" s="3">
        <v>2.8559999999999999</v>
      </c>
      <c r="AB471" s="3">
        <v>3.1669999999999998</v>
      </c>
      <c r="AC471" s="3">
        <f t="shared" si="331"/>
        <v>0.31099999999999994</v>
      </c>
      <c r="AD471" s="3">
        <f>-413.529525*627.50956</f>
        <v>-259493.73027975898</v>
      </c>
      <c r="AE471" s="3">
        <f>-415.950562*627.50956</f>
        <v>-261012.95414237271</v>
      </c>
      <c r="AF471" s="3">
        <f t="shared" si="332"/>
        <v>-1519.2238626137259</v>
      </c>
      <c r="AG471" s="3">
        <f>-413.572025*627.50956</f>
        <v>-259520.39943605897</v>
      </c>
      <c r="AH471" s="3">
        <f>-415.99405*627.50956</f>
        <v>-261040.243278118</v>
      </c>
      <c r="AI471" s="3">
        <f t="shared" si="333"/>
        <v>-1519.8438420590246</v>
      </c>
      <c r="AJ471" s="3">
        <v>-0.40200000000000002</v>
      </c>
      <c r="AK471" s="3">
        <v>-0.312</v>
      </c>
      <c r="AL471" s="3">
        <f t="shared" si="334"/>
        <v>9.0000000000000024E-2</v>
      </c>
      <c r="AM471" s="3">
        <v>114.10263999999999</v>
      </c>
      <c r="AN471" s="3">
        <v>170.26150000000001</v>
      </c>
      <c r="AO471" s="3">
        <v>163.42868000000001</v>
      </c>
      <c r="AP471" s="3">
        <f t="shared" si="361"/>
        <v>1.1780224226237987</v>
      </c>
      <c r="AQ471" s="3">
        <v>10.599</v>
      </c>
      <c r="AR471" s="3">
        <v>2.3087</v>
      </c>
      <c r="AS471" s="3">
        <v>-132.80099999999999</v>
      </c>
      <c r="AT471" s="3">
        <v>-131.97</v>
      </c>
      <c r="AU471" s="3">
        <f t="shared" si="339"/>
        <v>-0.83099999999998886</v>
      </c>
      <c r="AV471" s="3">
        <v>-0.34100000000000003</v>
      </c>
      <c r="AW471" s="3">
        <v>-0.47499999999999998</v>
      </c>
      <c r="AX471" s="3">
        <f t="shared" si="340"/>
        <v>0.13399999999999995</v>
      </c>
      <c r="AY471" s="3">
        <v>2.9000000000000001E-2</v>
      </c>
      <c r="AZ471" s="3">
        <v>0.156</v>
      </c>
      <c r="BA471" s="3">
        <f t="shared" si="341"/>
        <v>-0.127</v>
      </c>
      <c r="BB471" s="3">
        <f t="shared" si="362"/>
        <v>0.156</v>
      </c>
      <c r="BC471" s="3">
        <f t="shared" si="362"/>
        <v>0.15949999999999998</v>
      </c>
      <c r="BD471" s="3">
        <f t="shared" si="342"/>
        <v>-3.4999999999999754E-3</v>
      </c>
      <c r="BE471" s="3">
        <f t="shared" si="363"/>
        <v>0.37000000000000005</v>
      </c>
      <c r="BF471" s="3">
        <f t="shared" si="363"/>
        <v>0.63100000000000001</v>
      </c>
      <c r="BG471" s="3">
        <f t="shared" si="343"/>
        <v>-0.26099999999999995</v>
      </c>
      <c r="BH471" s="3">
        <f t="shared" si="364"/>
        <v>-0.156</v>
      </c>
      <c r="BI471" s="3">
        <f t="shared" si="364"/>
        <v>-0.15949999999999998</v>
      </c>
      <c r="BJ471" s="3">
        <f t="shared" si="356"/>
        <v>3.4999999999999754E-3</v>
      </c>
      <c r="BK471" s="3">
        <f t="shared" si="353"/>
        <v>3.2886486486486483E-2</v>
      </c>
      <c r="BL471" s="3">
        <f t="shared" si="354"/>
        <v>2.0158676703645E-2</v>
      </c>
      <c r="BM471" s="3">
        <f t="shared" si="344"/>
        <v>1.2727809782841482E-2</v>
      </c>
      <c r="BN471" s="3">
        <v>4.7279999999999998</v>
      </c>
      <c r="BO471" s="3">
        <v>4.9340000000000002</v>
      </c>
      <c r="BP471" s="3">
        <f t="shared" si="345"/>
        <v>-0.20600000000000041</v>
      </c>
      <c r="BQ471" s="3">
        <v>-83302.89</v>
      </c>
      <c r="BR471" s="3">
        <v>-82779.224000000002</v>
      </c>
      <c r="BS471" s="3">
        <f t="shared" si="346"/>
        <v>-523.66599999999744</v>
      </c>
      <c r="BT471" s="3">
        <v>-83320.774999999994</v>
      </c>
      <c r="BU471" s="3">
        <v>-82796.997000000003</v>
      </c>
      <c r="BV471" s="3">
        <f t="shared" si="347"/>
        <v>-523.77799999999115</v>
      </c>
    </row>
    <row r="472" spans="1:74" x14ac:dyDescent="0.25">
      <c r="A472" t="s">
        <v>545</v>
      </c>
      <c r="B472" s="1" t="s">
        <v>646</v>
      </c>
      <c r="C472" s="1" t="s">
        <v>103</v>
      </c>
      <c r="D472" s="3">
        <v>4.91</v>
      </c>
      <c r="E472" s="3">
        <v>0.95</v>
      </c>
      <c r="F472" s="3">
        <v>-591.46400000000006</v>
      </c>
      <c r="G472" s="3">
        <v>-595.25699999999995</v>
      </c>
      <c r="H472" s="3">
        <f t="shared" si="335"/>
        <v>-3.7929999999998927</v>
      </c>
      <c r="I472" s="3">
        <v>-0.30499999999999999</v>
      </c>
      <c r="J472" s="6">
        <v>-0.224</v>
      </c>
      <c r="K472" s="3">
        <f t="shared" si="322"/>
        <v>8.0999999999999989E-2</v>
      </c>
      <c r="L472" s="3">
        <v>9.8000000000000004E-2</v>
      </c>
      <c r="M472" s="6">
        <v>-4.4999999999999998E-2</v>
      </c>
      <c r="N472" s="3">
        <f t="shared" si="323"/>
        <v>-0.14300000000000002</v>
      </c>
      <c r="O472" s="3">
        <f t="shared" si="360"/>
        <v>0.10349999999999999</v>
      </c>
      <c r="P472" s="3">
        <f t="shared" si="360"/>
        <v>0.13450000000000001</v>
      </c>
      <c r="Q472" s="3">
        <f t="shared" si="324"/>
        <v>3.1000000000000014E-2</v>
      </c>
      <c r="R472" s="3">
        <f t="shared" si="325"/>
        <v>0.40300000000000002</v>
      </c>
      <c r="S472" s="3">
        <f t="shared" si="326"/>
        <v>0.17899999999999999</v>
      </c>
      <c r="T472" s="3">
        <f t="shared" si="327"/>
        <v>-0.22400000000000003</v>
      </c>
      <c r="U472" s="3">
        <f t="shared" si="328"/>
        <v>-0.10349999999999999</v>
      </c>
      <c r="V472" s="3">
        <f t="shared" si="329"/>
        <v>-0.13450000000000001</v>
      </c>
      <c r="W472" s="3">
        <f t="shared" si="355"/>
        <v>-3.1000000000000014E-2</v>
      </c>
      <c r="X472" s="3">
        <f t="shared" si="351"/>
        <v>1.3290632754342431E-2</v>
      </c>
      <c r="Y472" s="3">
        <f t="shared" si="352"/>
        <v>5.0531424581005596E-2</v>
      </c>
      <c r="Z472" s="3">
        <f t="shared" si="330"/>
        <v>3.7240791826663164E-2</v>
      </c>
      <c r="AA472" s="3">
        <v>5.681</v>
      </c>
      <c r="AB472" s="3">
        <v>5.218</v>
      </c>
      <c r="AC472" s="3">
        <f t="shared" si="331"/>
        <v>-0.46300000000000008</v>
      </c>
      <c r="AD472" s="3">
        <f>-591.212572*627.50956</f>
        <v>-370991.54092218832</v>
      </c>
      <c r="AE472" s="3">
        <f>-595.019777*627.50956</f>
        <v>-373380.59845656808</v>
      </c>
      <c r="AF472" s="3">
        <f t="shared" si="332"/>
        <v>-2389.0575343797682</v>
      </c>
      <c r="AG472" s="3">
        <f>-591.263531*627.50956</f>
        <v>-371023.51818185631</v>
      </c>
      <c r="AH472" s="3">
        <f>-595.071804*627.50956</f>
        <v>-373413.24589644623</v>
      </c>
      <c r="AI472" s="3">
        <f t="shared" si="333"/>
        <v>-2389.7277145899134</v>
      </c>
      <c r="AJ472" s="3">
        <v>-0.60499999999999998</v>
      </c>
      <c r="AK472" s="3">
        <v>-0.67300000000000004</v>
      </c>
      <c r="AL472" s="3">
        <f t="shared" si="334"/>
        <v>-6.800000000000006E-2</v>
      </c>
      <c r="AM472" s="3">
        <v>187.23769999999999</v>
      </c>
      <c r="AN472" s="3">
        <v>251.58340000000001</v>
      </c>
      <c r="AO472" s="3">
        <v>287.60491999999999</v>
      </c>
      <c r="AP472" s="3">
        <f t="shared" si="361"/>
        <v>1.1941908108118844</v>
      </c>
      <c r="AQ472" s="3">
        <v>10.842000000000001</v>
      </c>
      <c r="AR472" s="3">
        <v>2.746442</v>
      </c>
      <c r="AS472" s="3">
        <v>-959.76900000000001</v>
      </c>
      <c r="AT472" s="3">
        <v>-958.05</v>
      </c>
      <c r="AU472" s="3">
        <f t="shared" si="339"/>
        <v>-1.7190000000000509</v>
      </c>
      <c r="AV472" s="3">
        <v>-0.317</v>
      </c>
      <c r="AW472" s="3">
        <v>-0.45</v>
      </c>
      <c r="AX472" s="3">
        <f t="shared" si="340"/>
        <v>0.13300000000000001</v>
      </c>
      <c r="AY472" s="3">
        <v>-2.4E-2</v>
      </c>
      <c r="AZ472" s="3">
        <v>0.13500000000000001</v>
      </c>
      <c r="BA472" s="3">
        <f t="shared" si="341"/>
        <v>-0.159</v>
      </c>
      <c r="BB472" s="3">
        <f t="shared" si="362"/>
        <v>0.17050000000000001</v>
      </c>
      <c r="BC472" s="3">
        <f t="shared" si="362"/>
        <v>0.1575</v>
      </c>
      <c r="BD472" s="3">
        <f t="shared" si="342"/>
        <v>1.3000000000000012E-2</v>
      </c>
      <c r="BE472" s="3">
        <f t="shared" si="363"/>
        <v>0.29299999999999998</v>
      </c>
      <c r="BF472" s="3">
        <f t="shared" si="363"/>
        <v>0.58499999999999996</v>
      </c>
      <c r="BG472" s="3">
        <f t="shared" si="343"/>
        <v>-0.29199999999999998</v>
      </c>
      <c r="BH472" s="3">
        <f t="shared" si="364"/>
        <v>-0.17050000000000001</v>
      </c>
      <c r="BI472" s="3">
        <f t="shared" si="364"/>
        <v>-0.1575</v>
      </c>
      <c r="BJ472" s="3">
        <f t="shared" si="356"/>
        <v>-1.3000000000000012E-2</v>
      </c>
      <c r="BK472" s="3">
        <f t="shared" si="353"/>
        <v>4.9607935153583631E-2</v>
      </c>
      <c r="BL472" s="3">
        <f t="shared" si="354"/>
        <v>2.120192307692308E-2</v>
      </c>
      <c r="BM472" s="3">
        <f t="shared" si="344"/>
        <v>2.8406012076660551E-2</v>
      </c>
      <c r="BN472" s="3">
        <v>2.2370000000000001</v>
      </c>
      <c r="BO472" s="3">
        <v>2.431</v>
      </c>
      <c r="BP472" s="3">
        <f t="shared" si="345"/>
        <v>-0.19399999999999995</v>
      </c>
      <c r="BQ472" s="3">
        <v>-602243.07700000005</v>
      </c>
      <c r="BR472" s="3">
        <v>-601163.24300000002</v>
      </c>
      <c r="BS472" s="3">
        <f t="shared" si="346"/>
        <v>-1079.8340000000317</v>
      </c>
      <c r="BT472" s="3">
        <v>-602262.36399999994</v>
      </c>
      <c r="BU472" s="3">
        <v>-601182.38500000001</v>
      </c>
      <c r="BV472" s="3">
        <f t="shared" si="347"/>
        <v>-1079.9789999999339</v>
      </c>
    </row>
    <row r="473" spans="1:74" x14ac:dyDescent="0.25">
      <c r="A473" t="s">
        <v>547</v>
      </c>
      <c r="B473" s="1" t="s">
        <v>646</v>
      </c>
      <c r="C473" s="1" t="s">
        <v>103</v>
      </c>
      <c r="D473" s="3">
        <v>5.0199999999999996</v>
      </c>
      <c r="E473" s="3">
        <v>0.94</v>
      </c>
      <c r="F473" s="3">
        <v>-591.13499999999999</v>
      </c>
      <c r="G473" s="3">
        <v>-595.01</v>
      </c>
      <c r="H473" s="3">
        <f t="shared" si="335"/>
        <v>-3.875</v>
      </c>
      <c r="I473" s="3">
        <v>-0.28499999999999998</v>
      </c>
      <c r="J473" s="6">
        <v>-0.21199999999999999</v>
      </c>
      <c r="K473" s="3">
        <f t="shared" si="322"/>
        <v>7.2999999999999982E-2</v>
      </c>
      <c r="L473" s="3">
        <v>8.8999999999999996E-2</v>
      </c>
      <c r="M473" s="6">
        <v>-4.3999999999999997E-2</v>
      </c>
      <c r="N473" s="3">
        <f t="shared" si="323"/>
        <v>-0.13300000000000001</v>
      </c>
      <c r="O473" s="3">
        <f t="shared" si="360"/>
        <v>9.799999999999999E-2</v>
      </c>
      <c r="P473" s="3">
        <f t="shared" si="360"/>
        <v>0.128</v>
      </c>
      <c r="Q473" s="3">
        <f t="shared" si="324"/>
        <v>3.0000000000000013E-2</v>
      </c>
      <c r="R473" s="3">
        <f t="shared" si="325"/>
        <v>0.374</v>
      </c>
      <c r="S473" s="3">
        <f t="shared" si="326"/>
        <v>0.16799999999999998</v>
      </c>
      <c r="T473" s="3">
        <f t="shared" si="327"/>
        <v>-0.20600000000000002</v>
      </c>
      <c r="U473" s="3">
        <f t="shared" si="328"/>
        <v>-9.799999999999999E-2</v>
      </c>
      <c r="V473" s="3">
        <f t="shared" si="329"/>
        <v>-0.128</v>
      </c>
      <c r="W473" s="3">
        <f t="shared" si="355"/>
        <v>-3.0000000000000013E-2</v>
      </c>
      <c r="X473" s="3">
        <f t="shared" si="351"/>
        <v>1.2839572192513367E-2</v>
      </c>
      <c r="Y473" s="3">
        <f t="shared" si="352"/>
        <v>4.8761904761904763E-2</v>
      </c>
      <c r="Z473" s="3">
        <f t="shared" si="330"/>
        <v>3.5922332569391396E-2</v>
      </c>
      <c r="AA473" s="3">
        <v>1.121</v>
      </c>
      <c r="AB473" s="3">
        <v>1.0069999999999999</v>
      </c>
      <c r="AC473" s="3">
        <f t="shared" si="331"/>
        <v>-0.1140000000000001</v>
      </c>
      <c r="AD473" s="3">
        <f>-590.900843*627.50956</f>
        <v>-370795.92799455905</v>
      </c>
      <c r="AE473" s="3">
        <f>-594.788769*627.50956</f>
        <v>-373235.6387281316</v>
      </c>
      <c r="AF473" s="3">
        <f t="shared" si="332"/>
        <v>-2439.710733572545</v>
      </c>
      <c r="AG473" s="3">
        <f>-590.94868*627.50956</f>
        <v>-370825.94616938074</v>
      </c>
      <c r="AH473" s="3">
        <f>-594.837701*627.50956</f>
        <v>-373266.34402592154</v>
      </c>
      <c r="AI473" s="3">
        <f t="shared" si="333"/>
        <v>-2440.3978565408033</v>
      </c>
      <c r="AJ473" s="3">
        <v>-0.38700000000000001</v>
      </c>
      <c r="AK473" s="3">
        <v>-0.42099999999999999</v>
      </c>
      <c r="AL473" s="3">
        <f t="shared" si="334"/>
        <v>-3.3999999999999975E-2</v>
      </c>
      <c r="AM473" s="3">
        <v>193.24384000000001</v>
      </c>
      <c r="AN473" s="3">
        <v>252.99369999999999</v>
      </c>
      <c r="AO473" s="3">
        <v>289.47039999999998</v>
      </c>
      <c r="AP473" s="3">
        <f t="shared" si="361"/>
        <v>1.1957201542586151</v>
      </c>
      <c r="AQ473" s="3">
        <v>11.356999999999999</v>
      </c>
      <c r="AR473" s="3">
        <v>2.6837868</v>
      </c>
      <c r="AS473" s="3">
        <v>-959.76900000000001</v>
      </c>
      <c r="AT473" s="3">
        <v>-958.05</v>
      </c>
      <c r="AU473" s="3">
        <f t="shared" si="339"/>
        <v>-1.7190000000000509</v>
      </c>
      <c r="AV473" s="3">
        <v>-0.317</v>
      </c>
      <c r="AW473" s="3">
        <v>-0.45</v>
      </c>
      <c r="AX473" s="3">
        <f t="shared" si="340"/>
        <v>0.13300000000000001</v>
      </c>
      <c r="AY473" s="3">
        <v>-2.4E-2</v>
      </c>
      <c r="AZ473" s="3">
        <v>0.13500000000000001</v>
      </c>
      <c r="BA473" s="3">
        <f t="shared" si="341"/>
        <v>-0.159</v>
      </c>
      <c r="BB473" s="3">
        <f t="shared" si="362"/>
        <v>0.17050000000000001</v>
      </c>
      <c r="BC473" s="3">
        <f t="shared" si="362"/>
        <v>0.1575</v>
      </c>
      <c r="BD473" s="3">
        <f t="shared" si="342"/>
        <v>1.3000000000000012E-2</v>
      </c>
      <c r="BE473" s="3">
        <f t="shared" si="363"/>
        <v>0.29299999999999998</v>
      </c>
      <c r="BF473" s="3">
        <f t="shared" si="363"/>
        <v>0.58499999999999996</v>
      </c>
      <c r="BG473" s="3">
        <f t="shared" si="343"/>
        <v>-0.29199999999999998</v>
      </c>
      <c r="BH473" s="3">
        <f t="shared" si="364"/>
        <v>-0.17050000000000001</v>
      </c>
      <c r="BI473" s="3">
        <f t="shared" si="364"/>
        <v>-0.1575</v>
      </c>
      <c r="BJ473" s="3">
        <f t="shared" si="356"/>
        <v>-1.3000000000000012E-2</v>
      </c>
      <c r="BK473" s="3">
        <f t="shared" si="353"/>
        <v>4.9607935153583631E-2</v>
      </c>
      <c r="BL473" s="3">
        <f t="shared" si="354"/>
        <v>2.120192307692308E-2</v>
      </c>
      <c r="BM473" s="3">
        <f t="shared" si="344"/>
        <v>2.8406012076660551E-2</v>
      </c>
      <c r="BN473" s="3">
        <v>2.2370000000000001</v>
      </c>
      <c r="BO473" s="3">
        <v>2.431</v>
      </c>
      <c r="BP473" s="3">
        <f t="shared" si="345"/>
        <v>-0.19399999999999995</v>
      </c>
      <c r="BQ473" s="3">
        <v>-602243.07700000005</v>
      </c>
      <c r="BR473" s="3">
        <v>-601163.24300000002</v>
      </c>
      <c r="BS473" s="3">
        <f t="shared" si="346"/>
        <v>-1079.8340000000317</v>
      </c>
      <c r="BT473" s="3">
        <v>-602262.36399999994</v>
      </c>
      <c r="BU473" s="3">
        <v>-601182.38500000001</v>
      </c>
      <c r="BV473" s="3">
        <f t="shared" si="347"/>
        <v>-1079.9789999999339</v>
      </c>
    </row>
    <row r="474" spans="1:74" x14ac:dyDescent="0.25">
      <c r="A474" t="s">
        <v>548</v>
      </c>
      <c r="B474" s="1" t="s">
        <v>646</v>
      </c>
      <c r="C474" s="1" t="s">
        <v>99</v>
      </c>
      <c r="D474" s="3">
        <v>5.0599999999999996</v>
      </c>
      <c r="E474" s="3">
        <v>0.91</v>
      </c>
      <c r="F474" s="3">
        <v>-866.78499999999997</v>
      </c>
      <c r="G474" s="3">
        <v>-871.2</v>
      </c>
      <c r="H474" s="3">
        <f t="shared" si="335"/>
        <v>-4.4150000000000773</v>
      </c>
      <c r="I474" s="3">
        <v>-0.29599999999999999</v>
      </c>
      <c r="J474" s="6">
        <v>-0.21299999999999999</v>
      </c>
      <c r="K474" s="3">
        <f t="shared" si="322"/>
        <v>8.299999999999999E-2</v>
      </c>
      <c r="L474" s="3">
        <v>0.105</v>
      </c>
      <c r="M474" s="6">
        <v>-3.5000000000000003E-2</v>
      </c>
      <c r="N474" s="3">
        <f t="shared" si="323"/>
        <v>-0.14000000000000001</v>
      </c>
      <c r="O474" s="3">
        <f t="shared" si="360"/>
        <v>9.5500000000000002E-2</v>
      </c>
      <c r="P474" s="3">
        <f t="shared" si="360"/>
        <v>0.124</v>
      </c>
      <c r="Q474" s="3">
        <f t="shared" si="324"/>
        <v>2.8499999999999998E-2</v>
      </c>
      <c r="R474" s="3">
        <f t="shared" si="325"/>
        <v>0.40099999999999997</v>
      </c>
      <c r="S474" s="3">
        <f t="shared" si="326"/>
        <v>0.17799999999999999</v>
      </c>
      <c r="T474" s="3">
        <f t="shared" si="327"/>
        <v>-0.22299999999999998</v>
      </c>
      <c r="U474" s="3">
        <f t="shared" si="328"/>
        <v>-9.5500000000000002E-2</v>
      </c>
      <c r="V474" s="3">
        <f t="shared" si="329"/>
        <v>-0.124</v>
      </c>
      <c r="W474" s="3">
        <f t="shared" si="355"/>
        <v>-2.8499999999999998E-2</v>
      </c>
      <c r="X474" s="3">
        <f t="shared" si="351"/>
        <v>1.1371882793017457E-2</v>
      </c>
      <c r="Y474" s="3">
        <f t="shared" si="352"/>
        <v>4.3191011235955055E-2</v>
      </c>
      <c r="Z474" s="3">
        <f t="shared" si="330"/>
        <v>3.1819128442937598E-2</v>
      </c>
      <c r="AA474" s="3">
        <v>1.55</v>
      </c>
      <c r="AB474" s="3">
        <v>1.9370000000000001</v>
      </c>
      <c r="AC474" s="3">
        <f t="shared" si="331"/>
        <v>0.38700000000000001</v>
      </c>
      <c r="AD474" s="3">
        <f>-866.477307*627.50956</f>
        <v>-543722.79366555484</v>
      </c>
      <c r="AE474" s="3">
        <f>-870.908553*627.50956</f>
        <v>-546503.44289326668</v>
      </c>
      <c r="AF474" s="3">
        <f t="shared" si="332"/>
        <v>-2780.6492277118377</v>
      </c>
      <c r="AG474" s="3">
        <f>-866.53832*627.50956</f>
        <v>-543761.07990633918</v>
      </c>
      <c r="AH474" s="3">
        <f>-870.970262*627.50956</f>
        <v>-546542.16588070476</v>
      </c>
      <c r="AI474" s="3">
        <f t="shared" si="333"/>
        <v>-2781.0859743655892</v>
      </c>
      <c r="AJ474" s="3">
        <v>-0.33</v>
      </c>
      <c r="AK474" s="3">
        <v>-0.38900000000000001</v>
      </c>
      <c r="AL474" s="3">
        <f t="shared" si="334"/>
        <v>-5.8999999999999997E-2</v>
      </c>
      <c r="AM474" s="3">
        <v>218.36689999999999</v>
      </c>
      <c r="AN474" s="3">
        <v>304.42680000000001</v>
      </c>
      <c r="AO474" s="3">
        <v>358.35665999999998</v>
      </c>
      <c r="AP474" s="3">
        <f t="shared" si="361"/>
        <v>1.2479442361835311</v>
      </c>
      <c r="AQ474" s="3">
        <v>12.103</v>
      </c>
      <c r="AR474" s="3">
        <v>3.0019680000000002</v>
      </c>
      <c r="AS474" s="3">
        <v>-132.80099999999999</v>
      </c>
      <c r="AT474" s="3">
        <v>-131.97</v>
      </c>
      <c r="AU474" s="3">
        <f t="shared" si="339"/>
        <v>-0.83099999999998886</v>
      </c>
      <c r="AV474" s="3">
        <v>-0.34100000000000003</v>
      </c>
      <c r="AW474" s="3">
        <v>-0.47499999999999998</v>
      </c>
      <c r="AX474" s="3">
        <f t="shared" si="340"/>
        <v>0.13399999999999995</v>
      </c>
      <c r="AY474" s="3">
        <v>2.9000000000000001E-2</v>
      </c>
      <c r="AZ474" s="3">
        <v>0.156</v>
      </c>
      <c r="BA474" s="3">
        <f t="shared" si="341"/>
        <v>-0.127</v>
      </c>
      <c r="BB474" s="3">
        <f t="shared" si="362"/>
        <v>0.156</v>
      </c>
      <c r="BC474" s="3">
        <f t="shared" si="362"/>
        <v>0.15949999999999998</v>
      </c>
      <c r="BD474" s="3">
        <f t="shared" si="342"/>
        <v>-3.4999999999999754E-3</v>
      </c>
      <c r="BE474" s="3">
        <f t="shared" si="363"/>
        <v>0.37000000000000005</v>
      </c>
      <c r="BF474" s="3">
        <f t="shared" si="363"/>
        <v>0.63100000000000001</v>
      </c>
      <c r="BG474" s="3">
        <f t="shared" si="343"/>
        <v>-0.26099999999999995</v>
      </c>
      <c r="BH474" s="3">
        <f t="shared" si="364"/>
        <v>-0.156</v>
      </c>
      <c r="BI474" s="3">
        <f t="shared" si="364"/>
        <v>-0.15949999999999998</v>
      </c>
      <c r="BJ474" s="3">
        <f t="shared" si="356"/>
        <v>3.4999999999999754E-3</v>
      </c>
      <c r="BK474" s="3">
        <f t="shared" si="353"/>
        <v>3.2886486486486483E-2</v>
      </c>
      <c r="BL474" s="3">
        <f t="shared" si="354"/>
        <v>2.0158676703645E-2</v>
      </c>
      <c r="BM474" s="3">
        <f t="shared" si="344"/>
        <v>1.2727809782841482E-2</v>
      </c>
      <c r="BN474" s="3">
        <v>4.7279999999999998</v>
      </c>
      <c r="BO474" s="3">
        <v>4.9340000000000002</v>
      </c>
      <c r="BP474" s="3">
        <f t="shared" si="345"/>
        <v>-0.20600000000000041</v>
      </c>
      <c r="BQ474" s="3">
        <v>-83302.89</v>
      </c>
      <c r="BR474" s="3">
        <v>-82779.224000000002</v>
      </c>
      <c r="BS474" s="3">
        <f t="shared" si="346"/>
        <v>-523.66599999999744</v>
      </c>
      <c r="BT474" s="3">
        <v>-83320.774999999994</v>
      </c>
      <c r="BU474" s="3">
        <v>-82796.997000000003</v>
      </c>
      <c r="BV474" s="3">
        <f t="shared" si="347"/>
        <v>-523.77799999999115</v>
      </c>
    </row>
    <row r="475" spans="1:74" x14ac:dyDescent="0.25">
      <c r="A475" t="s">
        <v>549</v>
      </c>
      <c r="B475" s="1" t="s">
        <v>646</v>
      </c>
      <c r="C475" s="1" t="s">
        <v>103</v>
      </c>
      <c r="D475" s="3">
        <v>5.07</v>
      </c>
      <c r="E475" s="3">
        <v>0.91</v>
      </c>
      <c r="F475" s="3">
        <v>-1819.8979999999999</v>
      </c>
      <c r="G475" s="3">
        <v>-1826.9169999999999</v>
      </c>
      <c r="H475" s="3">
        <f t="shared" si="335"/>
        <v>-7.0190000000000055</v>
      </c>
      <c r="I475" s="3">
        <v>-0.311</v>
      </c>
      <c r="J475" s="6">
        <v>-0.219</v>
      </c>
      <c r="K475" s="3">
        <f t="shared" si="322"/>
        <v>9.1999999999999998E-2</v>
      </c>
      <c r="L475" s="3">
        <v>0.11600000000000001</v>
      </c>
      <c r="M475" s="6">
        <v>-1.2999999999999999E-2</v>
      </c>
      <c r="N475" s="3">
        <f t="shared" si="323"/>
        <v>-0.129</v>
      </c>
      <c r="O475" s="3">
        <f t="shared" si="360"/>
        <v>9.7500000000000003E-2</v>
      </c>
      <c r="P475" s="3">
        <f t="shared" si="360"/>
        <v>0.11600000000000001</v>
      </c>
      <c r="Q475" s="3">
        <f t="shared" si="324"/>
        <v>1.8500000000000003E-2</v>
      </c>
      <c r="R475" s="3">
        <f t="shared" si="325"/>
        <v>0.42699999999999999</v>
      </c>
      <c r="S475" s="3">
        <f t="shared" si="326"/>
        <v>0.20599999999999999</v>
      </c>
      <c r="T475" s="3">
        <f t="shared" si="327"/>
        <v>-0.221</v>
      </c>
      <c r="U475" s="3">
        <f t="shared" si="328"/>
        <v>-9.7500000000000003E-2</v>
      </c>
      <c r="V475" s="3">
        <f t="shared" si="329"/>
        <v>-0.11600000000000001</v>
      </c>
      <c r="W475" s="3">
        <f t="shared" si="355"/>
        <v>-1.8500000000000003E-2</v>
      </c>
      <c r="X475" s="3">
        <f t="shared" si="351"/>
        <v>1.1131440281030447E-2</v>
      </c>
      <c r="Y475" s="3">
        <f t="shared" si="352"/>
        <v>3.2660194174757289E-2</v>
      </c>
      <c r="Z475" s="3">
        <f t="shared" si="330"/>
        <v>2.152875389372684E-2</v>
      </c>
      <c r="AA475" s="3">
        <v>0.755</v>
      </c>
      <c r="AB475" s="3">
        <v>1.5129999999999999</v>
      </c>
      <c r="AC475" s="3">
        <f t="shared" si="331"/>
        <v>0.7579999999999999</v>
      </c>
      <c r="AD475" s="3">
        <f>-1819.361983*627.50956</f>
        <v>-1141667.0374330573</v>
      </c>
      <c r="AE475" s="3">
        <f>-1826.407976*627.50956</f>
        <v>-1146088.4654002504</v>
      </c>
      <c r="AF475" s="3">
        <f t="shared" si="332"/>
        <v>-4421.4279671930708</v>
      </c>
      <c r="AG475" s="3">
        <f>-1819.456383*627.50956</f>
        <v>-1141726.2743355215</v>
      </c>
      <c r="AH475" s="3">
        <f>-1826.507366*627.50956</f>
        <v>-1146150.8335754189</v>
      </c>
      <c r="AI475" s="3">
        <f t="shared" si="333"/>
        <v>-4424.5592398974113</v>
      </c>
      <c r="AJ475" s="3">
        <v>-0.36899999999999999</v>
      </c>
      <c r="AK475" s="3">
        <v>-0.434</v>
      </c>
      <c r="AL475" s="3">
        <f t="shared" si="334"/>
        <v>-6.5000000000000002E-2</v>
      </c>
      <c r="AM475" s="3">
        <v>344.78773999999999</v>
      </c>
      <c r="AN475" s="3">
        <v>419.245</v>
      </c>
      <c r="AO475" s="3">
        <v>610.92110000000002</v>
      </c>
      <c r="AP475" s="3">
        <f t="shared" si="361"/>
        <v>1.2042974280052146</v>
      </c>
      <c r="AQ475" s="3">
        <v>13.162000000000001</v>
      </c>
      <c r="AR475" s="3">
        <v>3.3415936999999998</v>
      </c>
      <c r="AS475" s="3">
        <v>-959.76900000000001</v>
      </c>
      <c r="AT475" s="3">
        <v>-958.05</v>
      </c>
      <c r="AU475" s="3">
        <f t="shared" si="339"/>
        <v>-1.7190000000000509</v>
      </c>
      <c r="AV475" s="3">
        <v>-0.317</v>
      </c>
      <c r="AW475" s="3">
        <v>-0.45</v>
      </c>
      <c r="AX475" s="3">
        <f t="shared" si="340"/>
        <v>0.13300000000000001</v>
      </c>
      <c r="AY475" s="3">
        <v>-2.4E-2</v>
      </c>
      <c r="AZ475" s="3">
        <v>0.13500000000000001</v>
      </c>
      <c r="BA475" s="3">
        <f t="shared" si="341"/>
        <v>-0.159</v>
      </c>
      <c r="BB475" s="3">
        <f t="shared" si="362"/>
        <v>0.17050000000000001</v>
      </c>
      <c r="BC475" s="3">
        <f t="shared" si="362"/>
        <v>0.1575</v>
      </c>
      <c r="BD475" s="3">
        <f t="shared" si="342"/>
        <v>1.3000000000000012E-2</v>
      </c>
      <c r="BE475" s="3">
        <f t="shared" si="363"/>
        <v>0.29299999999999998</v>
      </c>
      <c r="BF475" s="3">
        <f t="shared" si="363"/>
        <v>0.58499999999999996</v>
      </c>
      <c r="BG475" s="3">
        <f t="shared" si="343"/>
        <v>-0.29199999999999998</v>
      </c>
      <c r="BH475" s="3">
        <f t="shared" si="364"/>
        <v>-0.17050000000000001</v>
      </c>
      <c r="BI475" s="3">
        <f t="shared" si="364"/>
        <v>-0.1575</v>
      </c>
      <c r="BJ475" s="3">
        <f t="shared" si="356"/>
        <v>-1.3000000000000012E-2</v>
      </c>
      <c r="BK475" s="3">
        <f t="shared" si="353"/>
        <v>4.9607935153583631E-2</v>
      </c>
      <c r="BL475" s="3">
        <f t="shared" si="354"/>
        <v>2.120192307692308E-2</v>
      </c>
      <c r="BM475" s="3">
        <f t="shared" si="344"/>
        <v>2.8406012076660551E-2</v>
      </c>
      <c r="BN475" s="3">
        <v>2.2370000000000001</v>
      </c>
      <c r="BO475" s="3">
        <v>2.431</v>
      </c>
      <c r="BP475" s="3">
        <f t="shared" si="345"/>
        <v>-0.19399999999999995</v>
      </c>
      <c r="BQ475" s="3">
        <v>-602243.07700000005</v>
      </c>
      <c r="BR475" s="3">
        <v>-601163.24300000002</v>
      </c>
      <c r="BS475" s="3">
        <f t="shared" si="346"/>
        <v>-1079.8340000000317</v>
      </c>
      <c r="BT475" s="3">
        <v>-602262.36399999994</v>
      </c>
      <c r="BU475" s="3">
        <v>-601182.38500000001</v>
      </c>
      <c r="BV475" s="3">
        <f t="shared" si="347"/>
        <v>-1079.9789999999339</v>
      </c>
    </row>
    <row r="476" spans="1:74" x14ac:dyDescent="0.25">
      <c r="A476" t="s">
        <v>550</v>
      </c>
      <c r="B476" s="1" t="s">
        <v>646</v>
      </c>
      <c r="C476" s="1" t="s">
        <v>99</v>
      </c>
      <c r="D476" s="3">
        <v>5.18</v>
      </c>
      <c r="E476" s="3">
        <v>0.94</v>
      </c>
      <c r="F476" s="3">
        <v>-828.899</v>
      </c>
      <c r="G476" s="3">
        <v>-833.077</v>
      </c>
      <c r="H476" s="3">
        <f t="shared" si="335"/>
        <v>-4.1779999999999973</v>
      </c>
      <c r="I476" s="3">
        <v>-0.307</v>
      </c>
      <c r="J476" s="6">
        <v>-0.221</v>
      </c>
      <c r="K476" s="3">
        <f t="shared" si="322"/>
        <v>8.5999999999999993E-2</v>
      </c>
      <c r="L476" s="3">
        <v>0.111</v>
      </c>
      <c r="M476" s="6">
        <v>-3.2000000000000001E-2</v>
      </c>
      <c r="N476" s="3">
        <f t="shared" si="323"/>
        <v>-0.14300000000000002</v>
      </c>
      <c r="O476" s="3">
        <f t="shared" si="360"/>
        <v>9.8000000000000004E-2</v>
      </c>
      <c r="P476" s="3">
        <f t="shared" si="360"/>
        <v>0.1265</v>
      </c>
      <c r="Q476" s="3">
        <f t="shared" si="324"/>
        <v>2.8499999999999998E-2</v>
      </c>
      <c r="R476" s="3">
        <f t="shared" si="325"/>
        <v>0.41799999999999998</v>
      </c>
      <c r="S476" s="3">
        <f t="shared" si="326"/>
        <v>0.189</v>
      </c>
      <c r="T476" s="3">
        <f t="shared" si="327"/>
        <v>-0.22899999999999998</v>
      </c>
      <c r="U476" s="3">
        <f t="shared" si="328"/>
        <v>-9.8000000000000004E-2</v>
      </c>
      <c r="V476" s="3">
        <f t="shared" si="329"/>
        <v>-0.1265</v>
      </c>
      <c r="W476" s="3">
        <f t="shared" si="355"/>
        <v>-2.8499999999999998E-2</v>
      </c>
      <c r="X476" s="3">
        <f t="shared" si="351"/>
        <v>1.1488038277511964E-2</v>
      </c>
      <c r="Y476" s="3">
        <f t="shared" si="352"/>
        <v>4.2333994708994703E-2</v>
      </c>
      <c r="Z476" s="3">
        <f t="shared" si="330"/>
        <v>3.0845956431482739E-2</v>
      </c>
      <c r="AA476" s="3">
        <v>1.492</v>
      </c>
      <c r="AB476" s="3">
        <v>1.6120000000000001</v>
      </c>
      <c r="AC476" s="3">
        <f t="shared" si="331"/>
        <v>0.12000000000000011</v>
      </c>
      <c r="AD476" s="3">
        <f>-828.599504*627.50956</f>
        <v>-519954.11017125822</v>
      </c>
      <c r="AE476" s="3">
        <f>-832.793591*627.50956</f>
        <v>-522585.93985922995</v>
      </c>
      <c r="AF476" s="3">
        <f t="shared" si="332"/>
        <v>-2631.8296879717382</v>
      </c>
      <c r="AG476" s="3">
        <f>-828.661224*627.50956</f>
        <v>-519992.84006130137</v>
      </c>
      <c r="AH476" s="3">
        <f>-832.857665*627.50956</f>
        <v>-522626.14690677734</v>
      </c>
      <c r="AI476" s="3">
        <f t="shared" si="333"/>
        <v>-2633.3068454759778</v>
      </c>
      <c r="AJ476" s="3">
        <v>-0.52</v>
      </c>
      <c r="AK476" s="3">
        <v>-0.60099999999999998</v>
      </c>
      <c r="AL476" s="3">
        <f t="shared" si="334"/>
        <v>-8.0999999999999961E-2</v>
      </c>
      <c r="AM476" s="3">
        <v>206.3562</v>
      </c>
      <c r="AN476" s="3">
        <v>294.98027999999999</v>
      </c>
      <c r="AO476" s="3">
        <v>351.8578</v>
      </c>
      <c r="AP476" s="3">
        <f t="shared" si="361"/>
        <v>1.2240640559982114</v>
      </c>
      <c r="AQ476" s="3">
        <v>11.411</v>
      </c>
      <c r="AR476" s="3">
        <v>2.8226499999999999</v>
      </c>
      <c r="AS476" s="3">
        <v>-132.80099999999999</v>
      </c>
      <c r="AT476" s="3">
        <v>-131.97</v>
      </c>
      <c r="AU476" s="3">
        <f t="shared" si="339"/>
        <v>-0.83099999999998886</v>
      </c>
      <c r="AV476" s="3">
        <v>-0.34100000000000003</v>
      </c>
      <c r="AW476" s="3">
        <v>-0.47499999999999998</v>
      </c>
      <c r="AX476" s="3">
        <f t="shared" si="340"/>
        <v>0.13399999999999995</v>
      </c>
      <c r="AY476" s="3">
        <v>2.9000000000000001E-2</v>
      </c>
      <c r="AZ476" s="3">
        <v>0.156</v>
      </c>
      <c r="BA476" s="3">
        <f t="shared" si="341"/>
        <v>-0.127</v>
      </c>
      <c r="BB476" s="3">
        <f t="shared" si="362"/>
        <v>0.156</v>
      </c>
      <c r="BC476" s="3">
        <f t="shared" si="362"/>
        <v>0.15949999999999998</v>
      </c>
      <c r="BD476" s="3">
        <f t="shared" si="342"/>
        <v>-3.4999999999999754E-3</v>
      </c>
      <c r="BE476" s="3">
        <f t="shared" si="363"/>
        <v>0.37000000000000005</v>
      </c>
      <c r="BF476" s="3">
        <f t="shared" si="363"/>
        <v>0.63100000000000001</v>
      </c>
      <c r="BG476" s="3">
        <f t="shared" si="343"/>
        <v>-0.26099999999999995</v>
      </c>
      <c r="BH476" s="3">
        <f t="shared" si="364"/>
        <v>-0.156</v>
      </c>
      <c r="BI476" s="3">
        <f t="shared" si="364"/>
        <v>-0.15949999999999998</v>
      </c>
      <c r="BJ476" s="3">
        <f t="shared" si="356"/>
        <v>3.4999999999999754E-3</v>
      </c>
      <c r="BK476" s="3">
        <f t="shared" si="353"/>
        <v>3.2886486486486483E-2</v>
      </c>
      <c r="BL476" s="3">
        <f t="shared" si="354"/>
        <v>2.0158676703645E-2</v>
      </c>
      <c r="BM476" s="3">
        <f t="shared" si="344"/>
        <v>1.2727809782841482E-2</v>
      </c>
      <c r="BN476" s="3">
        <v>4.7279999999999998</v>
      </c>
      <c r="BO476" s="3">
        <v>4.9340000000000002</v>
      </c>
      <c r="BP476" s="3">
        <f t="shared" si="345"/>
        <v>-0.20600000000000041</v>
      </c>
      <c r="BQ476" s="3">
        <v>-83302.89</v>
      </c>
      <c r="BR476" s="3">
        <v>-82779.224000000002</v>
      </c>
      <c r="BS476" s="3">
        <f t="shared" si="346"/>
        <v>-523.66599999999744</v>
      </c>
      <c r="BT476" s="3">
        <v>-83320.774999999994</v>
      </c>
      <c r="BU476" s="3">
        <v>-82796.997000000003</v>
      </c>
      <c r="BV476" s="3">
        <f t="shared" si="347"/>
        <v>-523.77799999999115</v>
      </c>
    </row>
    <row r="477" spans="1:74" x14ac:dyDescent="0.25">
      <c r="A477" t="s">
        <v>551</v>
      </c>
      <c r="B477" s="1" t="s">
        <v>646</v>
      </c>
      <c r="C477" s="1" t="s">
        <v>103</v>
      </c>
      <c r="D477" s="3">
        <v>5.21</v>
      </c>
      <c r="E477" s="3">
        <v>1</v>
      </c>
      <c r="F477" s="3">
        <v>-712.95299999999997</v>
      </c>
      <c r="G477" s="3">
        <v>-716.33100000000002</v>
      </c>
      <c r="H477" s="3">
        <f t="shared" si="335"/>
        <v>-3.3780000000000427</v>
      </c>
      <c r="I477" s="3">
        <v>-0.32200000000000001</v>
      </c>
      <c r="J477" s="6">
        <v>-0.23899999999999999</v>
      </c>
      <c r="K477" s="3">
        <f t="shared" si="322"/>
        <v>8.3000000000000018E-2</v>
      </c>
      <c r="L477" s="3">
        <v>0.127</v>
      </c>
      <c r="M477" s="6">
        <v>-1.4999999999999999E-2</v>
      </c>
      <c r="N477" s="3">
        <f t="shared" si="323"/>
        <v>-0.14200000000000002</v>
      </c>
      <c r="O477" s="3">
        <f t="shared" si="360"/>
        <v>9.7500000000000003E-2</v>
      </c>
      <c r="P477" s="3">
        <f t="shared" si="360"/>
        <v>0.127</v>
      </c>
      <c r="Q477" s="3">
        <f t="shared" si="324"/>
        <v>2.9499999999999998E-2</v>
      </c>
      <c r="R477" s="3">
        <f t="shared" si="325"/>
        <v>0.44900000000000001</v>
      </c>
      <c r="S477" s="3">
        <f t="shared" si="326"/>
        <v>0.22399999999999998</v>
      </c>
      <c r="T477" s="3">
        <f t="shared" si="327"/>
        <v>-0.22500000000000003</v>
      </c>
      <c r="U477" s="3">
        <f t="shared" si="328"/>
        <v>-9.7500000000000003E-2</v>
      </c>
      <c r="V477" s="3">
        <f t="shared" si="329"/>
        <v>-0.127</v>
      </c>
      <c r="W477" s="3">
        <f t="shared" si="355"/>
        <v>-2.9499999999999998E-2</v>
      </c>
      <c r="X477" s="3">
        <f t="shared" si="351"/>
        <v>1.0586024498886414E-2</v>
      </c>
      <c r="Y477" s="3">
        <f t="shared" si="352"/>
        <v>3.6002232142857152E-2</v>
      </c>
      <c r="Z477" s="3">
        <f t="shared" si="330"/>
        <v>2.5416207643970738E-2</v>
      </c>
      <c r="AA477" s="3">
        <v>1.5920000000000001</v>
      </c>
      <c r="AB477" s="3">
        <v>1.722</v>
      </c>
      <c r="AC477" s="3">
        <f t="shared" si="331"/>
        <v>0.12999999999999989</v>
      </c>
      <c r="AD477" s="3">
        <f>-712.722093*627.50956</f>
        <v>-447239.92698070902</v>
      </c>
      <c r="AE477" s="3">
        <f>-716.111902*627.50956</f>
        <v>-449367.06453478307</v>
      </c>
      <c r="AF477" s="3">
        <f t="shared" si="332"/>
        <v>-2127.1375540740555</v>
      </c>
      <c r="AG477" s="3">
        <f>-712.775464*627.50956</f>
        <v>-447273.41779343586</v>
      </c>
      <c r="AH477" s="3">
        <f>-716.167515*627.50956</f>
        <v>-449401.96222394338</v>
      </c>
      <c r="AI477" s="3">
        <f t="shared" si="333"/>
        <v>-2128.5444305075216</v>
      </c>
      <c r="AJ477" s="3">
        <v>-0.26500000000000001</v>
      </c>
      <c r="AK477" s="3">
        <v>-0.26</v>
      </c>
      <c r="AL477" s="3">
        <f t="shared" si="334"/>
        <v>5.0000000000000044E-3</v>
      </c>
      <c r="AM477" s="3">
        <v>166.29230000000001</v>
      </c>
      <c r="AN477" s="3">
        <v>248.71879999999999</v>
      </c>
      <c r="AO477" s="3">
        <v>282.28654</v>
      </c>
      <c r="AP477" s="3">
        <f t="shared" si="361"/>
        <v>1.1953757749902718</v>
      </c>
      <c r="AQ477" s="3">
        <v>11.311</v>
      </c>
      <c r="AR477" s="3">
        <v>2.5701339999999999</v>
      </c>
      <c r="AS477" s="3">
        <v>-959.76900000000001</v>
      </c>
      <c r="AT477" s="3">
        <v>-958.05</v>
      </c>
      <c r="AU477" s="3">
        <f t="shared" si="339"/>
        <v>-1.7190000000000509</v>
      </c>
      <c r="AV477" s="3">
        <v>-0.317</v>
      </c>
      <c r="AW477" s="3">
        <v>-0.45</v>
      </c>
      <c r="AX477" s="3">
        <f t="shared" si="340"/>
        <v>0.13300000000000001</v>
      </c>
      <c r="AY477" s="3">
        <v>-2.4E-2</v>
      </c>
      <c r="AZ477" s="3">
        <v>0.13500000000000001</v>
      </c>
      <c r="BA477" s="3">
        <f t="shared" si="341"/>
        <v>-0.159</v>
      </c>
      <c r="BB477" s="3">
        <f t="shared" si="362"/>
        <v>0.17050000000000001</v>
      </c>
      <c r="BC477" s="3">
        <f t="shared" si="362"/>
        <v>0.1575</v>
      </c>
      <c r="BD477" s="3">
        <f t="shared" si="342"/>
        <v>1.3000000000000012E-2</v>
      </c>
      <c r="BE477" s="3">
        <f t="shared" si="363"/>
        <v>0.29299999999999998</v>
      </c>
      <c r="BF477" s="3">
        <f t="shared" si="363"/>
        <v>0.58499999999999996</v>
      </c>
      <c r="BG477" s="3">
        <f t="shared" si="343"/>
        <v>-0.29199999999999998</v>
      </c>
      <c r="BH477" s="3">
        <f t="shared" si="364"/>
        <v>-0.17050000000000001</v>
      </c>
      <c r="BI477" s="3">
        <f t="shared" si="364"/>
        <v>-0.1575</v>
      </c>
      <c r="BJ477" s="3">
        <f t="shared" si="356"/>
        <v>-1.3000000000000012E-2</v>
      </c>
      <c r="BK477" s="3">
        <f t="shared" si="353"/>
        <v>4.9607935153583631E-2</v>
      </c>
      <c r="BL477" s="3">
        <f t="shared" si="354"/>
        <v>2.120192307692308E-2</v>
      </c>
      <c r="BM477" s="3">
        <f t="shared" si="344"/>
        <v>2.8406012076660551E-2</v>
      </c>
      <c r="BN477" s="3">
        <v>2.2370000000000001</v>
      </c>
      <c r="BO477" s="3">
        <v>2.431</v>
      </c>
      <c r="BP477" s="3">
        <f t="shared" si="345"/>
        <v>-0.19399999999999995</v>
      </c>
      <c r="BQ477" s="3">
        <v>-602243.07700000005</v>
      </c>
      <c r="BR477" s="3">
        <v>-601163.24300000002</v>
      </c>
      <c r="BS477" s="3">
        <f t="shared" si="346"/>
        <v>-1079.8340000000317</v>
      </c>
      <c r="BT477" s="3">
        <v>-602262.36399999994</v>
      </c>
      <c r="BU477" s="3">
        <v>-601182.38500000001</v>
      </c>
      <c r="BV477" s="3">
        <f t="shared" si="347"/>
        <v>-1079.9789999999339</v>
      </c>
    </row>
    <row r="478" spans="1:74" x14ac:dyDescent="0.25">
      <c r="A478" t="s">
        <v>552</v>
      </c>
      <c r="B478" s="1" t="s">
        <v>646</v>
      </c>
      <c r="C478" s="1" t="s">
        <v>99</v>
      </c>
      <c r="D478" s="3">
        <v>5.29</v>
      </c>
      <c r="E478" s="3">
        <v>0.92</v>
      </c>
      <c r="F478" s="3">
        <v>-607.07899999999995</v>
      </c>
      <c r="G478" s="3">
        <v>-611.00800000000004</v>
      </c>
      <c r="H478" s="3">
        <f t="shared" si="335"/>
        <v>-3.9290000000000873</v>
      </c>
      <c r="I478" s="3">
        <v>-0.27200000000000002</v>
      </c>
      <c r="J478" s="6">
        <v>-0.20100000000000001</v>
      </c>
      <c r="K478" s="3">
        <f t="shared" ref="K478:K541" si="365">J478-I478</f>
        <v>7.1000000000000008E-2</v>
      </c>
      <c r="L478" s="3">
        <v>0.10299999999999999</v>
      </c>
      <c r="M478" s="6">
        <v>-6.3E-2</v>
      </c>
      <c r="N478" s="3">
        <f t="shared" ref="N478:N541" si="366">M478-L478</f>
        <v>-0.16599999999999998</v>
      </c>
      <c r="O478" s="3">
        <f t="shared" si="360"/>
        <v>8.450000000000002E-2</v>
      </c>
      <c r="P478" s="3">
        <f t="shared" si="360"/>
        <v>0.13200000000000001</v>
      </c>
      <c r="Q478" s="3">
        <f t="shared" ref="Q478:Q541" si="367">P478-O478</f>
        <v>4.7499999999999987E-2</v>
      </c>
      <c r="R478" s="3">
        <f t="shared" ref="R478:R541" si="368">L478-I478</f>
        <v>0.375</v>
      </c>
      <c r="S478" s="3">
        <f t="shared" ref="S478:S541" si="369">M478-J478</f>
        <v>0.13800000000000001</v>
      </c>
      <c r="T478" s="3">
        <f t="shared" ref="T478:T541" si="370">S478-R478</f>
        <v>-0.23699999999999999</v>
      </c>
      <c r="U478" s="3">
        <f t="shared" ref="U478:U541" si="371">(I478+L478)/2</f>
        <v>-8.450000000000002E-2</v>
      </c>
      <c r="V478" s="3">
        <f t="shared" ref="V478:V541" si="372">(J478+M478)/2</f>
        <v>-0.13200000000000001</v>
      </c>
      <c r="W478" s="3">
        <f t="shared" si="355"/>
        <v>-4.7499999999999987E-2</v>
      </c>
      <c r="X478" s="3">
        <f t="shared" si="351"/>
        <v>9.5203333333333372E-3</v>
      </c>
      <c r="Y478" s="3">
        <f t="shared" si="352"/>
        <v>6.3130434782608699E-2</v>
      </c>
      <c r="Z478" s="3">
        <f t="shared" ref="Z478:Z541" si="373">Y478-X478</f>
        <v>5.361010144927536E-2</v>
      </c>
      <c r="AA478" s="3">
        <v>1.623</v>
      </c>
      <c r="AB478" s="3">
        <v>1.6990000000000001</v>
      </c>
      <c r="AC478" s="3">
        <f t="shared" ref="AC478:AC541" si="374">AB478-AA478</f>
        <v>7.6000000000000068E-2</v>
      </c>
      <c r="AD478" s="3">
        <f>-606.859106*627.50956</f>
        <v>-380809.89058805333</v>
      </c>
      <c r="AE478" s="3">
        <f>-610.800182*627.50956</f>
        <v>-383282.95345473988</v>
      </c>
      <c r="AF478" s="3">
        <f t="shared" ref="AF478:AF541" si="375">AE478-AD478</f>
        <v>-2473.0628666865523</v>
      </c>
      <c r="AG478" s="3">
        <f>-606.910376*627.50956</f>
        <v>-380842.06300319458</v>
      </c>
      <c r="AH478" s="3">
        <f>-610.852445*627.50956</f>
        <v>-383315.74898687418</v>
      </c>
      <c r="AI478" s="3">
        <f t="shared" ref="AI478:AI541" si="376">AH478-AG478</f>
        <v>-2473.6859836796066</v>
      </c>
      <c r="AJ478" s="3">
        <v>0.19900000000000001</v>
      </c>
      <c r="AK478" s="3">
        <v>-0.21199999999999999</v>
      </c>
      <c r="AL478" s="3">
        <f t="shared" ref="AL478:AL541" si="377">AK478-AJ478</f>
        <v>-0.41100000000000003</v>
      </c>
      <c r="AM478" s="3">
        <v>194.2319</v>
      </c>
      <c r="AN478" s="3">
        <v>257.61928</v>
      </c>
      <c r="AO478" s="3">
        <v>287.96319999999997</v>
      </c>
      <c r="AP478" s="3">
        <f t="shared" si="361"/>
        <v>1.2218268139110258</v>
      </c>
      <c r="AQ478" s="3">
        <v>12.06</v>
      </c>
      <c r="AR478" s="3">
        <v>2.9201800000000002</v>
      </c>
      <c r="AS478" s="3">
        <v>-132.80099999999999</v>
      </c>
      <c r="AT478" s="3">
        <v>-131.97</v>
      </c>
      <c r="AU478" s="3">
        <f t="shared" si="339"/>
        <v>-0.83099999999998886</v>
      </c>
      <c r="AV478" s="3">
        <v>-0.34100000000000003</v>
      </c>
      <c r="AW478" s="3">
        <v>-0.47499999999999998</v>
      </c>
      <c r="AX478" s="3">
        <f t="shared" si="340"/>
        <v>0.13399999999999995</v>
      </c>
      <c r="AY478" s="3">
        <v>2.9000000000000001E-2</v>
      </c>
      <c r="AZ478" s="3">
        <v>0.156</v>
      </c>
      <c r="BA478" s="3">
        <f t="shared" si="341"/>
        <v>-0.127</v>
      </c>
      <c r="BB478" s="3">
        <f t="shared" ref="BB478:BC489" si="378">-(AV478+AY478)/2</f>
        <v>0.156</v>
      </c>
      <c r="BC478" s="3">
        <f t="shared" si="378"/>
        <v>0.15949999999999998</v>
      </c>
      <c r="BD478" s="3">
        <f t="shared" si="342"/>
        <v>-3.4999999999999754E-3</v>
      </c>
      <c r="BE478" s="3">
        <f t="shared" ref="BE478:BF489" si="379">AY478-AV478</f>
        <v>0.37000000000000005</v>
      </c>
      <c r="BF478" s="3">
        <f t="shared" si="379"/>
        <v>0.63100000000000001</v>
      </c>
      <c r="BG478" s="3">
        <f t="shared" si="343"/>
        <v>-0.26099999999999995</v>
      </c>
      <c r="BH478" s="3">
        <f t="shared" ref="BH478:BI489" si="380">(AV478+AY478)/2</f>
        <v>-0.156</v>
      </c>
      <c r="BI478" s="3">
        <f t="shared" si="380"/>
        <v>-0.15949999999999998</v>
      </c>
      <c r="BJ478" s="3">
        <f t="shared" si="356"/>
        <v>3.4999999999999754E-3</v>
      </c>
      <c r="BK478" s="3">
        <f t="shared" si="353"/>
        <v>3.2886486486486483E-2</v>
      </c>
      <c r="BL478" s="3">
        <f t="shared" si="354"/>
        <v>2.0158676703645E-2</v>
      </c>
      <c r="BM478" s="3">
        <f t="shared" si="344"/>
        <v>1.2727809782841482E-2</v>
      </c>
      <c r="BN478" s="3">
        <v>4.7279999999999998</v>
      </c>
      <c r="BO478" s="3">
        <v>4.9340000000000002</v>
      </c>
      <c r="BP478" s="3">
        <f t="shared" si="345"/>
        <v>-0.20600000000000041</v>
      </c>
      <c r="BQ478" s="3">
        <v>-83302.89</v>
      </c>
      <c r="BR478" s="3">
        <v>-82779.224000000002</v>
      </c>
      <c r="BS478" s="3">
        <f t="shared" si="346"/>
        <v>-523.66599999999744</v>
      </c>
      <c r="BT478" s="3">
        <v>-83320.774999999994</v>
      </c>
      <c r="BU478" s="3">
        <v>-82796.997000000003</v>
      </c>
      <c r="BV478" s="3">
        <f t="shared" si="347"/>
        <v>-523.77799999999115</v>
      </c>
    </row>
    <row r="479" spans="1:74" x14ac:dyDescent="0.25">
      <c r="A479" t="s">
        <v>553</v>
      </c>
      <c r="B479" s="1" t="s">
        <v>646</v>
      </c>
      <c r="C479" s="1" t="s">
        <v>103</v>
      </c>
      <c r="D479" s="3">
        <v>5.38</v>
      </c>
      <c r="E479" s="3">
        <v>0.85</v>
      </c>
      <c r="F479" s="3">
        <v>-833.53499999999997</v>
      </c>
      <c r="G479" s="3">
        <v>-837.88599999999997</v>
      </c>
      <c r="H479" s="3">
        <f t="shared" ref="H479:H542" si="381">G479-F479</f>
        <v>-4.3509999999999991</v>
      </c>
      <c r="I479" s="3">
        <v>-0.33500000000000002</v>
      </c>
      <c r="J479" s="6">
        <v>-0.23</v>
      </c>
      <c r="K479" s="3">
        <f t="shared" si="365"/>
        <v>0.10500000000000001</v>
      </c>
      <c r="L479" s="3">
        <v>0.14199999999999999</v>
      </c>
      <c r="M479" s="6">
        <v>0.02</v>
      </c>
      <c r="N479" s="3">
        <f t="shared" si="366"/>
        <v>-0.12199999999999998</v>
      </c>
      <c r="O479" s="3">
        <f t="shared" si="360"/>
        <v>9.6500000000000016E-2</v>
      </c>
      <c r="P479" s="3">
        <f t="shared" si="360"/>
        <v>0.10500000000000001</v>
      </c>
      <c r="Q479" s="3">
        <f t="shared" si="367"/>
        <v>8.4999999999999937E-3</v>
      </c>
      <c r="R479" s="3">
        <f t="shared" si="368"/>
        <v>0.47699999999999998</v>
      </c>
      <c r="S479" s="3">
        <f t="shared" si="369"/>
        <v>0.25</v>
      </c>
      <c r="T479" s="3">
        <f t="shared" si="370"/>
        <v>-0.22699999999999998</v>
      </c>
      <c r="U479" s="3">
        <f t="shared" si="371"/>
        <v>-9.6500000000000016E-2</v>
      </c>
      <c r="V479" s="3">
        <f t="shared" si="372"/>
        <v>-0.10500000000000001</v>
      </c>
      <c r="W479" s="3">
        <f t="shared" si="355"/>
        <v>-8.4999999999999937E-3</v>
      </c>
      <c r="X479" s="3">
        <f t="shared" si="351"/>
        <v>9.7612683438155178E-3</v>
      </c>
      <c r="Y479" s="3">
        <f t="shared" si="352"/>
        <v>2.2050000000000004E-2</v>
      </c>
      <c r="Z479" s="3">
        <f t="shared" si="373"/>
        <v>1.2288731656184486E-2</v>
      </c>
      <c r="AA479" s="3">
        <v>0.70099999999999996</v>
      </c>
      <c r="AB479" s="3">
        <v>0.88500000000000001</v>
      </c>
      <c r="AC479" s="3">
        <f t="shared" si="374"/>
        <v>0.18400000000000005</v>
      </c>
      <c r="AD479" s="3">
        <f>-833.136273*627.50956</f>
        <v>-522800.9760902698</v>
      </c>
      <c r="AE479" s="3">
        <f>-837.508943*627.50956</f>
        <v>-525544.8683179951</v>
      </c>
      <c r="AF479" s="3">
        <f t="shared" si="375"/>
        <v>-2743.8922277253005</v>
      </c>
      <c r="AG479" s="3">
        <f>-833.203436*627.50956</f>
        <v>-522843.12151484814</v>
      </c>
      <c r="AH479" s="3">
        <f>-837.578595*627.50956</f>
        <v>-525588.57561386819</v>
      </c>
      <c r="AI479" s="3">
        <f t="shared" si="376"/>
        <v>-2745.4540990200476</v>
      </c>
      <c r="AJ479" s="3">
        <v>-0.53600000000000003</v>
      </c>
      <c r="AK479" s="3">
        <v>-0.60899999999999999</v>
      </c>
      <c r="AL479" s="3">
        <f t="shared" si="377"/>
        <v>-7.2999999999999954E-2</v>
      </c>
      <c r="AM479" s="3">
        <v>214.41973999999999</v>
      </c>
      <c r="AN479" s="3">
        <v>304.41030000000001</v>
      </c>
      <c r="AO479" s="3">
        <v>394.59699999999998</v>
      </c>
      <c r="AP479" s="3">
        <f t="shared" si="361"/>
        <v>1.1702521312597802</v>
      </c>
      <c r="AQ479" s="3">
        <v>10.148</v>
      </c>
      <c r="AR479" s="3">
        <v>2.6380699999999999</v>
      </c>
      <c r="AS479" s="3">
        <v>-959.76900000000001</v>
      </c>
      <c r="AT479" s="3">
        <v>-958.05</v>
      </c>
      <c r="AU479" s="3">
        <f t="shared" si="339"/>
        <v>-1.7190000000000509</v>
      </c>
      <c r="AV479" s="3">
        <v>-0.317</v>
      </c>
      <c r="AW479" s="3">
        <v>-0.45</v>
      </c>
      <c r="AX479" s="3">
        <f t="shared" si="340"/>
        <v>0.13300000000000001</v>
      </c>
      <c r="AY479" s="3">
        <v>-2.4E-2</v>
      </c>
      <c r="AZ479" s="3">
        <v>0.13500000000000001</v>
      </c>
      <c r="BA479" s="3">
        <f t="shared" si="341"/>
        <v>-0.159</v>
      </c>
      <c r="BB479" s="3">
        <f t="shared" si="378"/>
        <v>0.17050000000000001</v>
      </c>
      <c r="BC479" s="3">
        <f t="shared" si="378"/>
        <v>0.1575</v>
      </c>
      <c r="BD479" s="3">
        <f t="shared" si="342"/>
        <v>1.3000000000000012E-2</v>
      </c>
      <c r="BE479" s="3">
        <f t="shared" si="379"/>
        <v>0.29299999999999998</v>
      </c>
      <c r="BF479" s="3">
        <f t="shared" si="379"/>
        <v>0.58499999999999996</v>
      </c>
      <c r="BG479" s="3">
        <f t="shared" si="343"/>
        <v>-0.29199999999999998</v>
      </c>
      <c r="BH479" s="3">
        <f t="shared" si="380"/>
        <v>-0.17050000000000001</v>
      </c>
      <c r="BI479" s="3">
        <f t="shared" si="380"/>
        <v>-0.1575</v>
      </c>
      <c r="BJ479" s="3">
        <f t="shared" si="356"/>
        <v>-1.3000000000000012E-2</v>
      </c>
      <c r="BK479" s="3">
        <f t="shared" si="353"/>
        <v>4.9607935153583631E-2</v>
      </c>
      <c r="BL479" s="3">
        <f t="shared" si="354"/>
        <v>2.120192307692308E-2</v>
      </c>
      <c r="BM479" s="3">
        <f t="shared" si="344"/>
        <v>2.8406012076660551E-2</v>
      </c>
      <c r="BN479" s="3">
        <v>2.2370000000000001</v>
      </c>
      <c r="BO479" s="3">
        <v>2.431</v>
      </c>
      <c r="BP479" s="3">
        <f t="shared" si="345"/>
        <v>-0.19399999999999995</v>
      </c>
      <c r="BQ479" s="3">
        <v>-602243.07700000005</v>
      </c>
      <c r="BR479" s="3">
        <v>-601163.24300000002</v>
      </c>
      <c r="BS479" s="3">
        <f t="shared" si="346"/>
        <v>-1079.8340000000317</v>
      </c>
      <c r="BT479" s="3">
        <v>-602262.36399999994</v>
      </c>
      <c r="BU479" s="3">
        <v>-601182.38500000001</v>
      </c>
      <c r="BV479" s="3">
        <f t="shared" si="347"/>
        <v>-1079.9789999999339</v>
      </c>
    </row>
    <row r="480" spans="1:74" x14ac:dyDescent="0.25">
      <c r="A480" t="s">
        <v>554</v>
      </c>
      <c r="B480" s="1" t="s">
        <v>646</v>
      </c>
      <c r="C480" s="1" t="s">
        <v>103</v>
      </c>
      <c r="D480" s="3">
        <v>5.38</v>
      </c>
      <c r="E480" s="3">
        <v>0.89</v>
      </c>
      <c r="F480" s="3">
        <v>-753.97199999999998</v>
      </c>
      <c r="G480" s="3">
        <v>-757.79</v>
      </c>
      <c r="H480" s="3">
        <f t="shared" si="381"/>
        <v>-3.8179999999999836</v>
      </c>
      <c r="I480" s="3">
        <v>-0.314</v>
      </c>
      <c r="J480" s="6">
        <v>-0.22700000000000001</v>
      </c>
      <c r="K480" s="3">
        <f t="shared" si="365"/>
        <v>8.6999999999999994E-2</v>
      </c>
      <c r="L480" s="3">
        <v>0.114</v>
      </c>
      <c r="M480" s="6">
        <v>-3.7999999999999999E-2</v>
      </c>
      <c r="N480" s="3">
        <f t="shared" si="366"/>
        <v>-0.152</v>
      </c>
      <c r="O480" s="3">
        <f t="shared" si="360"/>
        <v>0.1</v>
      </c>
      <c r="P480" s="3">
        <f t="shared" si="360"/>
        <v>0.13250000000000001</v>
      </c>
      <c r="Q480" s="3">
        <f t="shared" si="367"/>
        <v>3.2500000000000001E-2</v>
      </c>
      <c r="R480" s="3">
        <f t="shared" si="368"/>
        <v>0.42799999999999999</v>
      </c>
      <c r="S480" s="3">
        <f t="shared" si="369"/>
        <v>0.189</v>
      </c>
      <c r="T480" s="3">
        <f t="shared" si="370"/>
        <v>-0.23899999999999999</v>
      </c>
      <c r="U480" s="3">
        <f t="shared" si="371"/>
        <v>-0.1</v>
      </c>
      <c r="V480" s="3">
        <f t="shared" si="372"/>
        <v>-0.13250000000000001</v>
      </c>
      <c r="W480" s="3">
        <f t="shared" si="355"/>
        <v>-3.2500000000000001E-2</v>
      </c>
      <c r="X480" s="3">
        <f t="shared" si="351"/>
        <v>1.1682242990654209E-2</v>
      </c>
      <c r="Y480" s="3">
        <f t="shared" si="352"/>
        <v>4.6445105820105824E-2</v>
      </c>
      <c r="Z480" s="3">
        <f t="shared" si="373"/>
        <v>3.4762862829451617E-2</v>
      </c>
      <c r="AA480" s="3">
        <v>0.65</v>
      </c>
      <c r="AB480" s="3">
        <v>0.69299999999999995</v>
      </c>
      <c r="AC480" s="3">
        <f t="shared" si="374"/>
        <v>4.2999999999999927E-2</v>
      </c>
      <c r="AD480" s="3">
        <f>-753.679124*627.50956</f>
        <v>-472940.85548242542</v>
      </c>
      <c r="AE480" s="3">
        <f>-757.511469*627.50956</f>
        <v>-475345.68860714365</v>
      </c>
      <c r="AF480" s="3">
        <f t="shared" si="375"/>
        <v>-2404.8331247182214</v>
      </c>
      <c r="AG480" s="3">
        <f>-753.738153*627.50956</f>
        <v>-472977.89674424264</v>
      </c>
      <c r="AH480" s="3">
        <f>-757.570424*627.50956</f>
        <v>-475382.68343325343</v>
      </c>
      <c r="AI480" s="3">
        <f t="shared" si="376"/>
        <v>-2404.786689010798</v>
      </c>
      <c r="AJ480" s="3">
        <v>-0.82099999999999995</v>
      </c>
      <c r="AK480" s="3">
        <v>-0.85199999999999998</v>
      </c>
      <c r="AL480" s="3">
        <f t="shared" si="377"/>
        <v>-3.1000000000000028E-2</v>
      </c>
      <c r="AM480" s="3">
        <v>190.35679999999999</v>
      </c>
      <c r="AN480" s="3">
        <v>280.58359999999999</v>
      </c>
      <c r="AO480" s="3">
        <v>336.6105</v>
      </c>
      <c r="AP480" s="3">
        <f t="shared" si="361"/>
        <v>1.199222571712137</v>
      </c>
      <c r="AQ480" s="3">
        <v>12.02</v>
      </c>
      <c r="AR480" s="3">
        <v>2.9150930000000002</v>
      </c>
      <c r="AS480" s="3">
        <v>-959.76900000000001</v>
      </c>
      <c r="AT480" s="3">
        <v>-958.05</v>
      </c>
      <c r="AU480" s="3">
        <f t="shared" si="339"/>
        <v>-1.7190000000000509</v>
      </c>
      <c r="AV480" s="3">
        <v>-0.317</v>
      </c>
      <c r="AW480" s="3">
        <v>-0.45</v>
      </c>
      <c r="AX480" s="3">
        <f t="shared" si="340"/>
        <v>0.13300000000000001</v>
      </c>
      <c r="AY480" s="3">
        <v>-2.4E-2</v>
      </c>
      <c r="AZ480" s="3">
        <v>0.13500000000000001</v>
      </c>
      <c r="BA480" s="3">
        <f t="shared" si="341"/>
        <v>-0.159</v>
      </c>
      <c r="BB480" s="3">
        <f t="shared" si="378"/>
        <v>0.17050000000000001</v>
      </c>
      <c r="BC480" s="3">
        <f t="shared" si="378"/>
        <v>0.1575</v>
      </c>
      <c r="BD480" s="3">
        <f t="shared" si="342"/>
        <v>1.3000000000000012E-2</v>
      </c>
      <c r="BE480" s="3">
        <f t="shared" si="379"/>
        <v>0.29299999999999998</v>
      </c>
      <c r="BF480" s="3">
        <f t="shared" si="379"/>
        <v>0.58499999999999996</v>
      </c>
      <c r="BG480" s="3">
        <f t="shared" si="343"/>
        <v>-0.29199999999999998</v>
      </c>
      <c r="BH480" s="3">
        <f t="shared" si="380"/>
        <v>-0.17050000000000001</v>
      </c>
      <c r="BI480" s="3">
        <f t="shared" si="380"/>
        <v>-0.1575</v>
      </c>
      <c r="BJ480" s="3">
        <f t="shared" si="356"/>
        <v>-1.3000000000000012E-2</v>
      </c>
      <c r="BK480" s="3">
        <f t="shared" si="353"/>
        <v>4.9607935153583631E-2</v>
      </c>
      <c r="BL480" s="3">
        <f t="shared" si="354"/>
        <v>2.120192307692308E-2</v>
      </c>
      <c r="BM480" s="3">
        <f t="shared" si="344"/>
        <v>2.8406012076660551E-2</v>
      </c>
      <c r="BN480" s="3">
        <v>2.2370000000000001</v>
      </c>
      <c r="BO480" s="3">
        <v>2.431</v>
      </c>
      <c r="BP480" s="3">
        <f t="shared" si="345"/>
        <v>-0.19399999999999995</v>
      </c>
      <c r="BQ480" s="3">
        <v>-602243.07700000005</v>
      </c>
      <c r="BR480" s="3">
        <v>-601163.24300000002</v>
      </c>
      <c r="BS480" s="3">
        <f t="shared" si="346"/>
        <v>-1079.8340000000317</v>
      </c>
      <c r="BT480" s="3">
        <v>-602262.36399999994</v>
      </c>
      <c r="BU480" s="3">
        <v>-601182.38500000001</v>
      </c>
      <c r="BV480" s="3">
        <f t="shared" si="347"/>
        <v>-1079.9789999999339</v>
      </c>
    </row>
    <row r="481" spans="1:74" x14ac:dyDescent="0.25">
      <c r="A481" t="s">
        <v>556</v>
      </c>
      <c r="B481" s="1" t="s">
        <v>646</v>
      </c>
      <c r="C481" s="1" t="s">
        <v>103</v>
      </c>
      <c r="D481" s="3">
        <v>5.41</v>
      </c>
      <c r="E481" s="3">
        <v>0.9</v>
      </c>
      <c r="F481" s="3">
        <v>-599.30499999999995</v>
      </c>
      <c r="G481" s="3">
        <v>-601.97</v>
      </c>
      <c r="H481" s="3">
        <f t="shared" si="381"/>
        <v>-2.6650000000000773</v>
      </c>
      <c r="I481" s="3">
        <v>-0.33900000000000002</v>
      </c>
      <c r="J481" s="6">
        <v>-0.23200000000000001</v>
      </c>
      <c r="K481" s="3">
        <f t="shared" si="365"/>
        <v>0.10700000000000001</v>
      </c>
      <c r="L481" s="3">
        <v>0.14000000000000001</v>
      </c>
      <c r="M481" s="6">
        <v>2.1999999999999999E-2</v>
      </c>
      <c r="N481" s="3">
        <f t="shared" si="366"/>
        <v>-0.11800000000000002</v>
      </c>
      <c r="O481" s="3">
        <f t="shared" si="360"/>
        <v>9.9500000000000005E-2</v>
      </c>
      <c r="P481" s="3">
        <f t="shared" si="360"/>
        <v>0.10500000000000001</v>
      </c>
      <c r="Q481" s="3">
        <f t="shared" si="367"/>
        <v>5.5000000000000049E-3</v>
      </c>
      <c r="R481" s="3">
        <f t="shared" si="368"/>
        <v>0.47900000000000004</v>
      </c>
      <c r="S481" s="3">
        <f t="shared" si="369"/>
        <v>0.254</v>
      </c>
      <c r="T481" s="3">
        <f t="shared" si="370"/>
        <v>-0.22500000000000003</v>
      </c>
      <c r="U481" s="3">
        <f t="shared" si="371"/>
        <v>-9.9500000000000005E-2</v>
      </c>
      <c r="V481" s="3">
        <f t="shared" si="372"/>
        <v>-0.10500000000000001</v>
      </c>
      <c r="W481" s="3">
        <f t="shared" si="355"/>
        <v>-5.5000000000000049E-3</v>
      </c>
      <c r="X481" s="3">
        <f t="shared" si="351"/>
        <v>1.0334290187891441E-2</v>
      </c>
      <c r="Y481" s="3">
        <f t="shared" si="352"/>
        <v>2.1702755905511815E-2</v>
      </c>
      <c r="Z481" s="3">
        <f t="shared" si="373"/>
        <v>1.1368465717620374E-2</v>
      </c>
      <c r="AA481" s="3">
        <v>0.72899999999999998</v>
      </c>
      <c r="AB481" s="3">
        <v>0.99</v>
      </c>
      <c r="AC481" s="3">
        <f t="shared" si="374"/>
        <v>0.26100000000000001</v>
      </c>
      <c r="AD481" s="3">
        <f>-599.0962*627.50956</f>
        <v>-375938.59285967198</v>
      </c>
      <c r="AE481" s="3">
        <f>-601.771305*627.50956</f>
        <v>-377617.2468211758</v>
      </c>
      <c r="AF481" s="3">
        <f t="shared" si="375"/>
        <v>-1678.65396150382</v>
      </c>
      <c r="AG481" s="3">
        <f>-599.146873*627.50956</f>
        <v>-375970.39065160585</v>
      </c>
      <c r="AH481" s="3">
        <f>-601.822906*627.50956</f>
        <v>-377649.62694198132</v>
      </c>
      <c r="AI481" s="3">
        <f t="shared" si="376"/>
        <v>-1679.2362903754693</v>
      </c>
      <c r="AJ481" s="3">
        <v>-0.53700000000000003</v>
      </c>
      <c r="AK481" s="3">
        <v>-0.61099999999999999</v>
      </c>
      <c r="AL481" s="3">
        <f t="shared" si="377"/>
        <v>-7.3999999999999955E-2</v>
      </c>
      <c r="AM481" s="3">
        <v>130.26025999999999</v>
      </c>
      <c r="AN481" s="3">
        <v>220.5736</v>
      </c>
      <c r="AO481" s="3">
        <v>242.0472</v>
      </c>
      <c r="AP481" s="3">
        <f t="shared" si="361"/>
        <v>1.1745624331750149</v>
      </c>
      <c r="AQ481" s="3">
        <v>9.4510000000000005</v>
      </c>
      <c r="AR481" s="3">
        <v>2.148469</v>
      </c>
      <c r="AS481" s="3">
        <v>-959.76900000000001</v>
      </c>
      <c r="AT481" s="3">
        <v>-958.05</v>
      </c>
      <c r="AU481" s="3">
        <f t="shared" si="339"/>
        <v>-1.7190000000000509</v>
      </c>
      <c r="AV481" s="3">
        <v>-0.317</v>
      </c>
      <c r="AW481" s="3">
        <v>-0.45</v>
      </c>
      <c r="AX481" s="3">
        <f t="shared" si="340"/>
        <v>0.13300000000000001</v>
      </c>
      <c r="AY481" s="3">
        <v>-2.4E-2</v>
      </c>
      <c r="AZ481" s="3">
        <v>0.13500000000000001</v>
      </c>
      <c r="BA481" s="3">
        <f t="shared" si="341"/>
        <v>-0.159</v>
      </c>
      <c r="BB481" s="3">
        <f t="shared" si="378"/>
        <v>0.17050000000000001</v>
      </c>
      <c r="BC481" s="3">
        <f t="shared" si="378"/>
        <v>0.1575</v>
      </c>
      <c r="BD481" s="3">
        <f t="shared" si="342"/>
        <v>1.3000000000000012E-2</v>
      </c>
      <c r="BE481" s="3">
        <f t="shared" si="379"/>
        <v>0.29299999999999998</v>
      </c>
      <c r="BF481" s="3">
        <f t="shared" si="379"/>
        <v>0.58499999999999996</v>
      </c>
      <c r="BG481" s="3">
        <f t="shared" si="343"/>
        <v>-0.29199999999999998</v>
      </c>
      <c r="BH481" s="3">
        <f t="shared" si="380"/>
        <v>-0.17050000000000001</v>
      </c>
      <c r="BI481" s="3">
        <f t="shared" si="380"/>
        <v>-0.1575</v>
      </c>
      <c r="BJ481" s="3">
        <f t="shared" si="356"/>
        <v>-1.3000000000000012E-2</v>
      </c>
      <c r="BK481" s="3">
        <f t="shared" si="353"/>
        <v>4.9607935153583631E-2</v>
      </c>
      <c r="BL481" s="3">
        <f t="shared" si="354"/>
        <v>2.120192307692308E-2</v>
      </c>
      <c r="BM481" s="3">
        <f t="shared" si="344"/>
        <v>2.8406012076660551E-2</v>
      </c>
      <c r="BN481" s="3">
        <v>2.2370000000000001</v>
      </c>
      <c r="BO481" s="3">
        <v>2.431</v>
      </c>
      <c r="BP481" s="3">
        <f t="shared" si="345"/>
        <v>-0.19399999999999995</v>
      </c>
      <c r="BQ481" s="3">
        <v>-602243.07700000005</v>
      </c>
      <c r="BR481" s="3">
        <v>-601163.24300000002</v>
      </c>
      <c r="BS481" s="3">
        <f t="shared" si="346"/>
        <v>-1079.8340000000317</v>
      </c>
      <c r="BT481" s="3">
        <v>-602262.36399999994</v>
      </c>
      <c r="BU481" s="3">
        <v>-601182.38500000001</v>
      </c>
      <c r="BV481" s="3">
        <f t="shared" si="347"/>
        <v>-1079.9789999999339</v>
      </c>
    </row>
    <row r="482" spans="1:74" x14ac:dyDescent="0.25">
      <c r="A482" t="s">
        <v>555</v>
      </c>
      <c r="B482" s="1" t="s">
        <v>646</v>
      </c>
      <c r="C482" s="1" t="s">
        <v>103</v>
      </c>
      <c r="D482" s="3">
        <v>5.41</v>
      </c>
      <c r="E482" s="3">
        <v>0.91</v>
      </c>
      <c r="F482" s="3">
        <v>-475.46899999999999</v>
      </c>
      <c r="G482" s="3">
        <v>-478.47199999999998</v>
      </c>
      <c r="H482" s="3">
        <f t="shared" si="381"/>
        <v>-3.0029999999999859</v>
      </c>
      <c r="I482" s="3">
        <v>-0.28199999999999997</v>
      </c>
      <c r="J482" s="6">
        <v>-0.20200000000000001</v>
      </c>
      <c r="K482" s="3">
        <f t="shared" si="365"/>
        <v>7.999999999999996E-2</v>
      </c>
      <c r="L482" s="3">
        <v>0.129</v>
      </c>
      <c r="M482" s="6">
        <v>-1.2999999999999999E-2</v>
      </c>
      <c r="N482" s="3">
        <f t="shared" si="366"/>
        <v>-0.14200000000000002</v>
      </c>
      <c r="O482" s="3">
        <f t="shared" si="360"/>
        <v>7.6499999999999985E-2</v>
      </c>
      <c r="P482" s="3">
        <f t="shared" si="360"/>
        <v>0.10750000000000001</v>
      </c>
      <c r="Q482" s="3">
        <f t="shared" si="367"/>
        <v>3.1000000000000028E-2</v>
      </c>
      <c r="R482" s="3">
        <f t="shared" si="368"/>
        <v>0.41099999999999998</v>
      </c>
      <c r="S482" s="3">
        <f t="shared" si="369"/>
        <v>0.189</v>
      </c>
      <c r="T482" s="3">
        <f t="shared" si="370"/>
        <v>-0.22199999999999998</v>
      </c>
      <c r="U482" s="3">
        <f t="shared" si="371"/>
        <v>-7.6499999999999985E-2</v>
      </c>
      <c r="V482" s="3">
        <f t="shared" si="372"/>
        <v>-0.10750000000000001</v>
      </c>
      <c r="W482" s="3">
        <f t="shared" si="355"/>
        <v>-3.1000000000000028E-2</v>
      </c>
      <c r="X482" s="3">
        <f t="shared" si="351"/>
        <v>7.1195255474452539E-3</v>
      </c>
      <c r="Y482" s="3">
        <f t="shared" si="352"/>
        <v>3.0572089947089952E-2</v>
      </c>
      <c r="Z482" s="3">
        <f t="shared" si="373"/>
        <v>2.3452564399644698E-2</v>
      </c>
      <c r="AA482" s="3">
        <v>1.528</v>
      </c>
      <c r="AB482" s="3">
        <v>1.4990000000000001</v>
      </c>
      <c r="AC482" s="3">
        <f t="shared" si="374"/>
        <v>-2.8999999999999915E-2</v>
      </c>
      <c r="AD482" s="3">
        <f>-475.286361*627.50956</f>
        <v>-298246.73526511114</v>
      </c>
      <c r="AE482" s="3">
        <f>-478.300076*627.50956</f>
        <v>-300137.87023872655</v>
      </c>
      <c r="AF482" s="3">
        <f t="shared" si="375"/>
        <v>-1891.1349736154079</v>
      </c>
      <c r="AG482" s="3">
        <f>-475.328978*627.50956</f>
        <v>-298273.47784002969</v>
      </c>
      <c r="AH482" s="3">
        <f>-478.343638*627.50956</f>
        <v>-300165.20581017924</v>
      </c>
      <c r="AI482" s="3">
        <f t="shared" si="376"/>
        <v>-1891.7279701495427</v>
      </c>
      <c r="AJ482" s="3">
        <v>-0.30199999999999999</v>
      </c>
      <c r="AK482" s="3">
        <v>-0.30199999999999999</v>
      </c>
      <c r="AL482" s="3">
        <f t="shared" si="377"/>
        <v>0</v>
      </c>
      <c r="AM482" s="3">
        <v>147.17385999999999</v>
      </c>
      <c r="AN482" s="3">
        <v>206.00530000000001</v>
      </c>
      <c r="AO482" s="3">
        <v>220.49250000000001</v>
      </c>
      <c r="AP482" s="3">
        <f t="shared" si="361"/>
        <v>1.1673608650095961</v>
      </c>
      <c r="AQ482" s="3">
        <v>9.9860000000000007</v>
      </c>
      <c r="AR482" s="3">
        <v>2.2742200000000001</v>
      </c>
      <c r="AS482" s="3">
        <v>-959.76900000000001</v>
      </c>
      <c r="AT482" s="3">
        <v>-958.05</v>
      </c>
      <c r="AU482" s="3">
        <f t="shared" si="339"/>
        <v>-1.7190000000000509</v>
      </c>
      <c r="AV482" s="3">
        <v>-0.317</v>
      </c>
      <c r="AW482" s="3">
        <v>-0.45</v>
      </c>
      <c r="AX482" s="3">
        <f t="shared" si="340"/>
        <v>0.13300000000000001</v>
      </c>
      <c r="AY482" s="3">
        <v>-2.4E-2</v>
      </c>
      <c r="AZ482" s="3">
        <v>0.13500000000000001</v>
      </c>
      <c r="BA482" s="3">
        <f t="shared" si="341"/>
        <v>-0.159</v>
      </c>
      <c r="BB482" s="3">
        <f t="shared" si="378"/>
        <v>0.17050000000000001</v>
      </c>
      <c r="BC482" s="3">
        <f t="shared" si="378"/>
        <v>0.1575</v>
      </c>
      <c r="BD482" s="3">
        <f t="shared" si="342"/>
        <v>1.3000000000000012E-2</v>
      </c>
      <c r="BE482" s="3">
        <f t="shared" si="379"/>
        <v>0.29299999999999998</v>
      </c>
      <c r="BF482" s="3">
        <f t="shared" si="379"/>
        <v>0.58499999999999996</v>
      </c>
      <c r="BG482" s="3">
        <f t="shared" si="343"/>
        <v>-0.29199999999999998</v>
      </c>
      <c r="BH482" s="3">
        <f t="shared" si="380"/>
        <v>-0.17050000000000001</v>
      </c>
      <c r="BI482" s="3">
        <f t="shared" si="380"/>
        <v>-0.1575</v>
      </c>
      <c r="BJ482" s="3">
        <f t="shared" si="356"/>
        <v>-1.3000000000000012E-2</v>
      </c>
      <c r="BK482" s="3">
        <f t="shared" si="353"/>
        <v>4.9607935153583631E-2</v>
      </c>
      <c r="BL482" s="3">
        <f t="shared" si="354"/>
        <v>2.120192307692308E-2</v>
      </c>
      <c r="BM482" s="3">
        <f t="shared" si="344"/>
        <v>2.8406012076660551E-2</v>
      </c>
      <c r="BN482" s="3">
        <v>2.2370000000000001</v>
      </c>
      <c r="BO482" s="3">
        <v>2.431</v>
      </c>
      <c r="BP482" s="3">
        <f t="shared" si="345"/>
        <v>-0.19399999999999995</v>
      </c>
      <c r="BQ482" s="3">
        <v>-602243.07700000005</v>
      </c>
      <c r="BR482" s="3">
        <v>-601163.24300000002</v>
      </c>
      <c r="BS482" s="3">
        <f t="shared" si="346"/>
        <v>-1079.8340000000317</v>
      </c>
      <c r="BT482" s="3">
        <v>-602262.36399999994</v>
      </c>
      <c r="BU482" s="3">
        <v>-601182.38500000001</v>
      </c>
      <c r="BV482" s="3">
        <f t="shared" si="347"/>
        <v>-1079.9789999999339</v>
      </c>
    </row>
    <row r="483" spans="1:74" x14ac:dyDescent="0.25">
      <c r="A483" t="s">
        <v>557</v>
      </c>
      <c r="B483" s="1" t="s">
        <v>646</v>
      </c>
      <c r="C483" s="1" t="s">
        <v>99</v>
      </c>
      <c r="D483" s="3">
        <v>5.41</v>
      </c>
      <c r="E483" s="3">
        <v>1.1000000000000001</v>
      </c>
      <c r="F483" s="3">
        <v>-677.39099999999996</v>
      </c>
      <c r="G483" s="3">
        <v>-680.61699999999996</v>
      </c>
      <c r="H483" s="3">
        <f t="shared" si="381"/>
        <v>-3.2259999999999991</v>
      </c>
      <c r="I483" s="3">
        <v>-0.33800000000000002</v>
      </c>
      <c r="J483" s="6">
        <v>-0.23200000000000001</v>
      </c>
      <c r="K483" s="3">
        <f t="shared" si="365"/>
        <v>0.10600000000000001</v>
      </c>
      <c r="L483" s="3">
        <v>0.13800000000000001</v>
      </c>
      <c r="M483" s="6">
        <v>0.02</v>
      </c>
      <c r="N483" s="3">
        <f t="shared" si="366"/>
        <v>-0.11800000000000001</v>
      </c>
      <c r="O483" s="3">
        <f t="shared" si="360"/>
        <v>0.1</v>
      </c>
      <c r="P483" s="3">
        <f t="shared" si="360"/>
        <v>0.10600000000000001</v>
      </c>
      <c r="Q483" s="3">
        <f t="shared" si="367"/>
        <v>6.0000000000000053E-3</v>
      </c>
      <c r="R483" s="3">
        <f t="shared" si="368"/>
        <v>0.47600000000000003</v>
      </c>
      <c r="S483" s="3">
        <f t="shared" si="369"/>
        <v>0.252</v>
      </c>
      <c r="T483" s="3">
        <f t="shared" si="370"/>
        <v>-0.22400000000000003</v>
      </c>
      <c r="U483" s="3">
        <f t="shared" si="371"/>
        <v>-0.1</v>
      </c>
      <c r="V483" s="3">
        <f t="shared" si="372"/>
        <v>-0.10600000000000001</v>
      </c>
      <c r="W483" s="3">
        <f t="shared" si="355"/>
        <v>-6.0000000000000053E-3</v>
      </c>
      <c r="X483" s="3">
        <f t="shared" si="351"/>
        <v>1.050420168067227E-2</v>
      </c>
      <c r="Y483" s="3">
        <f t="shared" si="352"/>
        <v>2.22936507936508E-2</v>
      </c>
      <c r="Z483" s="3">
        <f t="shared" si="373"/>
        <v>1.178944911297853E-2</v>
      </c>
      <c r="AA483" s="3">
        <v>0.69499999999999995</v>
      </c>
      <c r="AB483" s="3">
        <v>1.0089999999999999</v>
      </c>
      <c r="AC483" s="3">
        <f t="shared" si="374"/>
        <v>0.31399999999999995</v>
      </c>
      <c r="AD483" s="3">
        <f>-677.119331*627.50956</f>
        <v>-424898.85346330435</v>
      </c>
      <c r="AE483" s="3">
        <f>-680.359178*627.50956</f>
        <v>-426931.88842874166</v>
      </c>
      <c r="AF483" s="3">
        <f t="shared" si="375"/>
        <v>-2033.0349654373131</v>
      </c>
      <c r="AG483" s="3">
        <f>-677.176436*627.50956</f>
        <v>-424934.68739672814</v>
      </c>
      <c r="AH483" s="3">
        <f>-680.417452*627.50956</f>
        <v>-426968.45592084114</v>
      </c>
      <c r="AI483" s="3">
        <f t="shared" si="376"/>
        <v>-2033.7685241129948</v>
      </c>
      <c r="AJ483" s="3">
        <v>-0.20899999999999999</v>
      </c>
      <c r="AK483" s="3">
        <v>-0.23899999999999999</v>
      </c>
      <c r="AL483" s="3">
        <f t="shared" si="377"/>
        <v>-0.03</v>
      </c>
      <c r="AM483" s="3">
        <v>158.31342000000001</v>
      </c>
      <c r="AN483" s="3">
        <v>258.23610000000002</v>
      </c>
      <c r="AO483" s="3">
        <v>295.87590999999998</v>
      </c>
      <c r="AP483" s="3">
        <f t="shared" si="361"/>
        <v>1.2028177640971656</v>
      </c>
      <c r="AQ483" s="3">
        <v>10.563000000000001</v>
      </c>
      <c r="AR483" s="3">
        <v>2.5143819999999999</v>
      </c>
      <c r="AS483" s="3">
        <v>-132.80099999999999</v>
      </c>
      <c r="AT483" s="3">
        <v>-131.97</v>
      </c>
      <c r="AU483" s="3">
        <f t="shared" si="339"/>
        <v>-0.83099999999998886</v>
      </c>
      <c r="AV483" s="3">
        <v>-0.34100000000000003</v>
      </c>
      <c r="AW483" s="3">
        <v>-0.47499999999999998</v>
      </c>
      <c r="AX483" s="3">
        <f t="shared" si="340"/>
        <v>0.13399999999999995</v>
      </c>
      <c r="AY483" s="3">
        <v>2.9000000000000001E-2</v>
      </c>
      <c r="AZ483" s="3">
        <v>0.156</v>
      </c>
      <c r="BA483" s="3">
        <f t="shared" si="341"/>
        <v>-0.127</v>
      </c>
      <c r="BB483" s="3">
        <f t="shared" si="378"/>
        <v>0.156</v>
      </c>
      <c r="BC483" s="3">
        <f t="shared" si="378"/>
        <v>0.15949999999999998</v>
      </c>
      <c r="BD483" s="3">
        <f t="shared" si="342"/>
        <v>-3.4999999999999754E-3</v>
      </c>
      <c r="BE483" s="3">
        <f t="shared" si="379"/>
        <v>0.37000000000000005</v>
      </c>
      <c r="BF483" s="3">
        <f t="shared" si="379"/>
        <v>0.63100000000000001</v>
      </c>
      <c r="BG483" s="3">
        <f t="shared" si="343"/>
        <v>-0.26099999999999995</v>
      </c>
      <c r="BH483" s="3">
        <f t="shared" si="380"/>
        <v>-0.156</v>
      </c>
      <c r="BI483" s="3">
        <f t="shared" si="380"/>
        <v>-0.15949999999999998</v>
      </c>
      <c r="BJ483" s="3">
        <f t="shared" si="356"/>
        <v>3.4999999999999754E-3</v>
      </c>
      <c r="BK483" s="3">
        <f t="shared" si="353"/>
        <v>3.2886486486486483E-2</v>
      </c>
      <c r="BL483" s="3">
        <f t="shared" si="354"/>
        <v>2.0158676703645E-2</v>
      </c>
      <c r="BM483" s="3">
        <f t="shared" si="344"/>
        <v>1.2727809782841482E-2</v>
      </c>
      <c r="BN483" s="3">
        <v>4.7279999999999998</v>
      </c>
      <c r="BO483" s="3">
        <v>4.9340000000000002</v>
      </c>
      <c r="BP483" s="3">
        <f t="shared" si="345"/>
        <v>-0.20600000000000041</v>
      </c>
      <c r="BQ483" s="3">
        <v>-83302.89</v>
      </c>
      <c r="BR483" s="3">
        <v>-82779.224000000002</v>
      </c>
      <c r="BS483" s="3">
        <f t="shared" si="346"/>
        <v>-523.66599999999744</v>
      </c>
      <c r="BT483" s="3">
        <v>-83320.774999999994</v>
      </c>
      <c r="BU483" s="3">
        <v>-82796.997000000003</v>
      </c>
      <c r="BV483" s="3">
        <f t="shared" si="347"/>
        <v>-523.77799999999115</v>
      </c>
    </row>
    <row r="484" spans="1:74" x14ac:dyDescent="0.25">
      <c r="A484" t="s">
        <v>558</v>
      </c>
      <c r="B484" s="1" t="s">
        <v>646</v>
      </c>
      <c r="C484" s="1" t="s">
        <v>103</v>
      </c>
      <c r="D484" s="3">
        <v>5.55</v>
      </c>
      <c r="E484" s="3">
        <v>1.0900000000000001</v>
      </c>
      <c r="F484" s="3">
        <v>-361.55500000000001</v>
      </c>
      <c r="G484" s="3">
        <v>-363.91500000000002</v>
      </c>
      <c r="H484" s="3">
        <f t="shared" si="381"/>
        <v>-2.3600000000000136</v>
      </c>
      <c r="I484" s="3">
        <v>-0.28999999999999998</v>
      </c>
      <c r="J484" s="6">
        <v>-0.21299999999999999</v>
      </c>
      <c r="K484" s="3">
        <f t="shared" si="365"/>
        <v>7.6999999999999985E-2</v>
      </c>
      <c r="L484" s="3">
        <v>0.12</v>
      </c>
      <c r="M484" s="6">
        <v>-0.02</v>
      </c>
      <c r="N484" s="3">
        <f t="shared" si="366"/>
        <v>-0.13999999999999999</v>
      </c>
      <c r="O484" s="3">
        <f t="shared" si="360"/>
        <v>8.4999999999999992E-2</v>
      </c>
      <c r="P484" s="3">
        <f t="shared" si="360"/>
        <v>0.11649999999999999</v>
      </c>
      <c r="Q484" s="3">
        <f t="shared" si="367"/>
        <v>3.15E-2</v>
      </c>
      <c r="R484" s="3">
        <f t="shared" si="368"/>
        <v>0.41</v>
      </c>
      <c r="S484" s="3">
        <f t="shared" si="369"/>
        <v>0.193</v>
      </c>
      <c r="T484" s="3">
        <f t="shared" si="370"/>
        <v>-0.21699999999999997</v>
      </c>
      <c r="U484" s="3">
        <f t="shared" si="371"/>
        <v>-8.4999999999999992E-2</v>
      </c>
      <c r="V484" s="3">
        <f t="shared" si="372"/>
        <v>-0.11649999999999999</v>
      </c>
      <c r="W484" s="3">
        <f t="shared" si="355"/>
        <v>-3.15E-2</v>
      </c>
      <c r="X484" s="3">
        <f t="shared" si="351"/>
        <v>8.8109756097560967E-3</v>
      </c>
      <c r="Y484" s="3">
        <f t="shared" si="352"/>
        <v>3.5161269430051809E-2</v>
      </c>
      <c r="Z484" s="3">
        <f t="shared" si="373"/>
        <v>2.635029382029571E-2</v>
      </c>
      <c r="AA484" s="3">
        <v>2.7269999999999999</v>
      </c>
      <c r="AB484" s="3">
        <v>2.899</v>
      </c>
      <c r="AC484" s="3">
        <f t="shared" si="374"/>
        <v>0.17200000000000015</v>
      </c>
      <c r="AD484" s="3">
        <f>-361.410161*627.50956</f>
        <v>-226788.33110863916</v>
      </c>
      <c r="AE484" s="3">
        <f>-363.778562*627.50956</f>
        <v>-228274.52537805273</v>
      </c>
      <c r="AF484" s="3">
        <f t="shared" si="375"/>
        <v>-1486.1942694135651</v>
      </c>
      <c r="AG484" s="3">
        <f>-361.447003*627.50956</f>
        <v>-226811.44981584867</v>
      </c>
      <c r="AH484" s="3">
        <f>-363.816068*627.50956</f>
        <v>-228298.06075161006</v>
      </c>
      <c r="AI484" s="3">
        <f t="shared" si="376"/>
        <v>-1486.6109357613896</v>
      </c>
      <c r="AJ484" s="3">
        <v>-0.314</v>
      </c>
      <c r="AK484" s="3">
        <v>-0.30599999999999999</v>
      </c>
      <c r="AL484" s="3">
        <f t="shared" si="377"/>
        <v>8.0000000000000071E-3</v>
      </c>
      <c r="AM484" s="3">
        <v>117.14788</v>
      </c>
      <c r="AN484" s="3">
        <v>174.47110000000001</v>
      </c>
      <c r="AO484" s="3">
        <v>181.7638</v>
      </c>
      <c r="AP484" s="3">
        <f t="shared" si="361"/>
        <v>1.1245389968389456</v>
      </c>
      <c r="AQ484" s="3">
        <v>9.0980000000000008</v>
      </c>
      <c r="AR484" s="3">
        <v>1.9370364</v>
      </c>
      <c r="AS484" s="3">
        <v>-959.76900000000001</v>
      </c>
      <c r="AT484" s="3">
        <v>-958.05</v>
      </c>
      <c r="AU484" s="3">
        <f t="shared" si="339"/>
        <v>-1.7190000000000509</v>
      </c>
      <c r="AV484" s="3">
        <v>-0.317</v>
      </c>
      <c r="AW484" s="3">
        <v>-0.45</v>
      </c>
      <c r="AX484" s="3">
        <f t="shared" si="340"/>
        <v>0.13300000000000001</v>
      </c>
      <c r="AY484" s="3">
        <v>-2.4E-2</v>
      </c>
      <c r="AZ484" s="3">
        <v>0.13500000000000001</v>
      </c>
      <c r="BA484" s="3">
        <f t="shared" si="341"/>
        <v>-0.159</v>
      </c>
      <c r="BB484" s="3">
        <f t="shared" si="378"/>
        <v>0.17050000000000001</v>
      </c>
      <c r="BC484" s="3">
        <f t="shared" si="378"/>
        <v>0.1575</v>
      </c>
      <c r="BD484" s="3">
        <f t="shared" si="342"/>
        <v>1.3000000000000012E-2</v>
      </c>
      <c r="BE484" s="3">
        <f t="shared" si="379"/>
        <v>0.29299999999999998</v>
      </c>
      <c r="BF484" s="3">
        <f t="shared" si="379"/>
        <v>0.58499999999999996</v>
      </c>
      <c r="BG484" s="3">
        <f t="shared" si="343"/>
        <v>-0.29199999999999998</v>
      </c>
      <c r="BH484" s="3">
        <f t="shared" si="380"/>
        <v>-0.17050000000000001</v>
      </c>
      <c r="BI484" s="3">
        <f t="shared" si="380"/>
        <v>-0.1575</v>
      </c>
      <c r="BJ484" s="3">
        <f t="shared" si="356"/>
        <v>-1.3000000000000012E-2</v>
      </c>
      <c r="BK484" s="3">
        <f t="shared" si="353"/>
        <v>4.9607935153583631E-2</v>
      </c>
      <c r="BL484" s="3">
        <f t="shared" si="354"/>
        <v>2.120192307692308E-2</v>
      </c>
      <c r="BM484" s="3">
        <f t="shared" si="344"/>
        <v>2.8406012076660551E-2</v>
      </c>
      <c r="BN484" s="3">
        <v>2.2370000000000001</v>
      </c>
      <c r="BO484" s="3">
        <v>2.431</v>
      </c>
      <c r="BP484" s="3">
        <f t="shared" si="345"/>
        <v>-0.19399999999999995</v>
      </c>
      <c r="BQ484" s="3">
        <v>-602243.07700000005</v>
      </c>
      <c r="BR484" s="3">
        <v>-601163.24300000002</v>
      </c>
      <c r="BS484" s="3">
        <f t="shared" si="346"/>
        <v>-1079.8340000000317</v>
      </c>
      <c r="BT484" s="3">
        <v>-602262.36399999994</v>
      </c>
      <c r="BU484" s="3">
        <v>-601182.38500000001</v>
      </c>
      <c r="BV484" s="3">
        <f t="shared" si="347"/>
        <v>-1079.9789999999339</v>
      </c>
    </row>
    <row r="485" spans="1:74" x14ac:dyDescent="0.25">
      <c r="A485" t="s">
        <v>559</v>
      </c>
      <c r="B485" s="1" t="s">
        <v>646</v>
      </c>
      <c r="C485" s="1" t="s">
        <v>103</v>
      </c>
      <c r="D485" s="3">
        <v>5.58</v>
      </c>
      <c r="E485" s="3">
        <v>0.9</v>
      </c>
      <c r="F485" s="3">
        <v>-716.42399999999998</v>
      </c>
      <c r="G485" s="3">
        <v>-719.93200000000002</v>
      </c>
      <c r="H485" s="3">
        <f t="shared" si="381"/>
        <v>-3.5080000000000382</v>
      </c>
      <c r="I485" s="3">
        <v>-0.33800000000000002</v>
      </c>
      <c r="J485" s="6">
        <v>-0.23200000000000001</v>
      </c>
      <c r="K485" s="3">
        <f t="shared" si="365"/>
        <v>0.10600000000000001</v>
      </c>
      <c r="L485" s="3">
        <v>0.13900000000000001</v>
      </c>
      <c r="M485" s="6">
        <v>2.1000000000000001E-2</v>
      </c>
      <c r="N485" s="3">
        <f t="shared" si="366"/>
        <v>-0.11800000000000001</v>
      </c>
      <c r="O485" s="3">
        <f t="shared" si="360"/>
        <v>9.9500000000000005E-2</v>
      </c>
      <c r="P485" s="3">
        <f t="shared" si="360"/>
        <v>0.10550000000000001</v>
      </c>
      <c r="Q485" s="3">
        <f t="shared" si="367"/>
        <v>6.0000000000000053E-3</v>
      </c>
      <c r="R485" s="3">
        <f t="shared" si="368"/>
        <v>0.47700000000000004</v>
      </c>
      <c r="S485" s="3">
        <f t="shared" si="369"/>
        <v>0.253</v>
      </c>
      <c r="T485" s="3">
        <f t="shared" si="370"/>
        <v>-0.22400000000000003</v>
      </c>
      <c r="U485" s="3">
        <f t="shared" si="371"/>
        <v>-9.9500000000000005E-2</v>
      </c>
      <c r="V485" s="3">
        <f t="shared" si="372"/>
        <v>-0.10550000000000001</v>
      </c>
      <c r="W485" s="3">
        <f t="shared" si="355"/>
        <v>-6.0000000000000053E-3</v>
      </c>
      <c r="X485" s="3">
        <f t="shared" si="351"/>
        <v>1.0377620545073376E-2</v>
      </c>
      <c r="Y485" s="3">
        <f t="shared" si="352"/>
        <v>2.1996541501976292E-2</v>
      </c>
      <c r="Z485" s="3">
        <f t="shared" si="373"/>
        <v>1.1618920956902916E-2</v>
      </c>
      <c r="AA485" s="3">
        <v>0.64500000000000002</v>
      </c>
      <c r="AB485" s="3">
        <v>0.86799999999999999</v>
      </c>
      <c r="AC485" s="3">
        <f t="shared" si="374"/>
        <v>0.22299999999999998</v>
      </c>
      <c r="AD485" s="3">
        <f>-716.121654*627.50956</f>
        <v>-449373.18400801223</v>
      </c>
      <c r="AE485" s="3">
        <f>-719.64518*627.50956</f>
        <v>-451584.23025792075</v>
      </c>
      <c r="AF485" s="3">
        <f t="shared" si="375"/>
        <v>-2211.0462499085115</v>
      </c>
      <c r="AG485" s="3">
        <f>-716.181072*627.50956</f>
        <v>-449410.46937104827</v>
      </c>
      <c r="AH485" s="3">
        <f>-719.706367*627.50956</f>
        <v>-451622.62568536849</v>
      </c>
      <c r="AI485" s="3">
        <f t="shared" si="376"/>
        <v>-2212.156314320222</v>
      </c>
      <c r="AJ485" s="3">
        <v>-0.53700000000000003</v>
      </c>
      <c r="AK485" s="3">
        <v>-0.61</v>
      </c>
      <c r="AL485" s="3">
        <f t="shared" si="377"/>
        <v>-7.2999999999999954E-2</v>
      </c>
      <c r="AM485" s="3">
        <v>172.34</v>
      </c>
      <c r="AN485" s="3">
        <v>264.05986999999999</v>
      </c>
      <c r="AO485" s="3">
        <v>318.62779999999998</v>
      </c>
      <c r="AP485" s="3">
        <f t="shared" si="361"/>
        <v>1.1706738361205571</v>
      </c>
      <c r="AQ485" s="3">
        <v>10.618</v>
      </c>
      <c r="AR485" s="3">
        <v>2.4546299999999999</v>
      </c>
      <c r="AS485" s="3">
        <v>-959.76900000000001</v>
      </c>
      <c r="AT485" s="3">
        <v>-958.05</v>
      </c>
      <c r="AU485" s="3">
        <f t="shared" ref="AU485:AU532" si="382">AS485-AT485</f>
        <v>-1.7190000000000509</v>
      </c>
      <c r="AV485" s="3">
        <v>-0.317</v>
      </c>
      <c r="AW485" s="3">
        <v>-0.45</v>
      </c>
      <c r="AX485" s="3">
        <f t="shared" ref="AX485:AX532" si="383">AV485-AW485</f>
        <v>0.13300000000000001</v>
      </c>
      <c r="AY485" s="3">
        <v>-2.4E-2</v>
      </c>
      <c r="AZ485" s="3">
        <v>0.13500000000000001</v>
      </c>
      <c r="BA485" s="3">
        <f t="shared" ref="BA485:BA532" si="384">AY485-AZ485</f>
        <v>-0.159</v>
      </c>
      <c r="BB485" s="3">
        <f t="shared" si="378"/>
        <v>0.17050000000000001</v>
      </c>
      <c r="BC485" s="3">
        <f t="shared" si="378"/>
        <v>0.1575</v>
      </c>
      <c r="BD485" s="3">
        <f t="shared" ref="BD485:BD532" si="385">BB485-BC485</f>
        <v>1.3000000000000012E-2</v>
      </c>
      <c r="BE485" s="3">
        <f t="shared" si="379"/>
        <v>0.29299999999999998</v>
      </c>
      <c r="BF485" s="3">
        <f t="shared" si="379"/>
        <v>0.58499999999999996</v>
      </c>
      <c r="BG485" s="3">
        <f t="shared" ref="BG485:BG532" si="386">BE485-BF485</f>
        <v>-0.29199999999999998</v>
      </c>
      <c r="BH485" s="3">
        <f t="shared" si="380"/>
        <v>-0.17050000000000001</v>
      </c>
      <c r="BI485" s="3">
        <f t="shared" si="380"/>
        <v>-0.1575</v>
      </c>
      <c r="BJ485" s="3">
        <f t="shared" si="356"/>
        <v>-1.3000000000000012E-2</v>
      </c>
      <c r="BK485" s="3">
        <f t="shared" si="353"/>
        <v>4.9607935153583631E-2</v>
      </c>
      <c r="BL485" s="3">
        <f t="shared" si="354"/>
        <v>2.120192307692308E-2</v>
      </c>
      <c r="BM485" s="3">
        <f t="shared" ref="BM485:BM532" si="387">BK485-BL485</f>
        <v>2.8406012076660551E-2</v>
      </c>
      <c r="BN485" s="3">
        <v>2.2370000000000001</v>
      </c>
      <c r="BO485" s="3">
        <v>2.431</v>
      </c>
      <c r="BP485" s="3">
        <f t="shared" ref="BP485:BP532" si="388">BN485-BO485</f>
        <v>-0.19399999999999995</v>
      </c>
      <c r="BQ485" s="3">
        <v>-602243.07700000005</v>
      </c>
      <c r="BR485" s="3">
        <v>-601163.24300000002</v>
      </c>
      <c r="BS485" s="3">
        <f t="shared" ref="BS485:BS532" si="389">BQ485-BR485</f>
        <v>-1079.8340000000317</v>
      </c>
      <c r="BT485" s="3">
        <v>-602262.36399999994</v>
      </c>
      <c r="BU485" s="3">
        <v>-601182.38500000001</v>
      </c>
      <c r="BV485" s="3">
        <f t="shared" ref="BV485:BV532" si="390">BT485-BU485</f>
        <v>-1079.9789999999339</v>
      </c>
    </row>
    <row r="486" spans="1:74" x14ac:dyDescent="0.25">
      <c r="A486" t="s">
        <v>560</v>
      </c>
      <c r="B486" s="1" t="s">
        <v>646</v>
      </c>
      <c r="C486" s="1" t="s">
        <v>103</v>
      </c>
      <c r="D486" s="3">
        <v>5.58</v>
      </c>
      <c r="E486" s="3">
        <v>1</v>
      </c>
      <c r="F486" s="3">
        <v>-677.39</v>
      </c>
      <c r="G486" s="3">
        <v>-680.61599999999999</v>
      </c>
      <c r="H486" s="3">
        <f t="shared" si="381"/>
        <v>-3.2259999999999991</v>
      </c>
      <c r="I486" s="3">
        <v>-0.32800000000000001</v>
      </c>
      <c r="J486" s="6">
        <v>-0.22500000000000001</v>
      </c>
      <c r="K486" s="3">
        <f t="shared" si="365"/>
        <v>0.10300000000000001</v>
      </c>
      <c r="L486" s="3">
        <v>0.13800000000000001</v>
      </c>
      <c r="M486" s="6">
        <v>2.3E-2</v>
      </c>
      <c r="N486" s="3">
        <f t="shared" si="366"/>
        <v>-0.11500000000000002</v>
      </c>
      <c r="O486" s="3">
        <f t="shared" si="360"/>
        <v>9.5000000000000001E-2</v>
      </c>
      <c r="P486" s="3">
        <f t="shared" si="360"/>
        <v>0.10100000000000001</v>
      </c>
      <c r="Q486" s="3">
        <f t="shared" si="367"/>
        <v>6.0000000000000053E-3</v>
      </c>
      <c r="R486" s="3">
        <f t="shared" si="368"/>
        <v>0.46600000000000003</v>
      </c>
      <c r="S486" s="3">
        <f t="shared" si="369"/>
        <v>0.248</v>
      </c>
      <c r="T486" s="3">
        <f t="shared" si="370"/>
        <v>-0.21800000000000003</v>
      </c>
      <c r="U486" s="3">
        <f t="shared" si="371"/>
        <v>-9.5000000000000001E-2</v>
      </c>
      <c r="V486" s="3">
        <f t="shared" si="372"/>
        <v>-0.10100000000000001</v>
      </c>
      <c r="W486" s="3">
        <f t="shared" si="355"/>
        <v>-6.0000000000000053E-3</v>
      </c>
      <c r="X486" s="3">
        <f t="shared" si="351"/>
        <v>9.6834763948497847E-3</v>
      </c>
      <c r="Y486" s="3">
        <f t="shared" si="352"/>
        <v>2.056653225806452E-2</v>
      </c>
      <c r="Z486" s="3">
        <f t="shared" si="373"/>
        <v>1.0883055863214735E-2</v>
      </c>
      <c r="AA486" s="3">
        <v>1.1870000000000001</v>
      </c>
      <c r="AB486" s="3">
        <v>1.298</v>
      </c>
      <c r="AC486" s="3">
        <f t="shared" si="374"/>
        <v>0.11099999999999999</v>
      </c>
      <c r="AD486" s="3">
        <f>-677.117888*627.50956</f>
        <v>-424897.94796700927</v>
      </c>
      <c r="AE486" s="3">
        <f>-680.358409*627.50956</f>
        <v>-426931.40587389003</v>
      </c>
      <c r="AF486" s="3">
        <f t="shared" si="375"/>
        <v>-2033.4579068807652</v>
      </c>
      <c r="AG486" s="3">
        <f>-677.17506*627.50956</f>
        <v>-424933.82394357357</v>
      </c>
      <c r="AH486" s="3">
        <f>-680.417712*627.50956</f>
        <v>-426968.6190733267</v>
      </c>
      <c r="AI486" s="3">
        <f t="shared" si="376"/>
        <v>-2034.7951297531254</v>
      </c>
      <c r="AJ486" s="3">
        <v>-0.52</v>
      </c>
      <c r="AK486" s="3">
        <v>-0.6</v>
      </c>
      <c r="AL486" s="3">
        <f t="shared" si="377"/>
        <v>-7.999999999999996E-2</v>
      </c>
      <c r="AM486" s="3">
        <v>158.31342000000001</v>
      </c>
      <c r="AN486" s="3">
        <v>249.09415999999999</v>
      </c>
      <c r="AO486" s="3">
        <v>295.8229</v>
      </c>
      <c r="AP486" s="3">
        <f t="shared" si="361"/>
        <v>1.1603748372699654</v>
      </c>
      <c r="AQ486" s="3">
        <v>9.8079999999999998</v>
      </c>
      <c r="AR486" s="3">
        <v>2.3575300000000001</v>
      </c>
      <c r="AS486" s="3">
        <v>-959.76900000000001</v>
      </c>
      <c r="AT486" s="3">
        <v>-958.05</v>
      </c>
      <c r="AU486" s="3">
        <f t="shared" si="382"/>
        <v>-1.7190000000000509</v>
      </c>
      <c r="AV486" s="3">
        <v>-0.317</v>
      </c>
      <c r="AW486" s="3">
        <v>-0.45</v>
      </c>
      <c r="AX486" s="3">
        <f t="shared" si="383"/>
        <v>0.13300000000000001</v>
      </c>
      <c r="AY486" s="3">
        <v>-2.4E-2</v>
      </c>
      <c r="AZ486" s="3">
        <v>0.13500000000000001</v>
      </c>
      <c r="BA486" s="3">
        <f t="shared" si="384"/>
        <v>-0.159</v>
      </c>
      <c r="BB486" s="3">
        <f t="shared" si="378"/>
        <v>0.17050000000000001</v>
      </c>
      <c r="BC486" s="3">
        <f t="shared" si="378"/>
        <v>0.1575</v>
      </c>
      <c r="BD486" s="3">
        <f t="shared" si="385"/>
        <v>1.3000000000000012E-2</v>
      </c>
      <c r="BE486" s="3">
        <f t="shared" si="379"/>
        <v>0.29299999999999998</v>
      </c>
      <c r="BF486" s="3">
        <f t="shared" si="379"/>
        <v>0.58499999999999996</v>
      </c>
      <c r="BG486" s="3">
        <f t="shared" si="386"/>
        <v>-0.29199999999999998</v>
      </c>
      <c r="BH486" s="3">
        <f t="shared" si="380"/>
        <v>-0.17050000000000001</v>
      </c>
      <c r="BI486" s="3">
        <f t="shared" si="380"/>
        <v>-0.1575</v>
      </c>
      <c r="BJ486" s="3">
        <f t="shared" si="356"/>
        <v>-1.3000000000000012E-2</v>
      </c>
      <c r="BK486" s="3">
        <f t="shared" si="353"/>
        <v>4.9607935153583631E-2</v>
      </c>
      <c r="BL486" s="3">
        <f t="shared" si="354"/>
        <v>2.120192307692308E-2</v>
      </c>
      <c r="BM486" s="3">
        <f t="shared" si="387"/>
        <v>2.8406012076660551E-2</v>
      </c>
      <c r="BN486" s="3">
        <v>2.2370000000000001</v>
      </c>
      <c r="BO486" s="3">
        <v>2.431</v>
      </c>
      <c r="BP486" s="3">
        <f t="shared" si="388"/>
        <v>-0.19399999999999995</v>
      </c>
      <c r="BQ486" s="3">
        <v>-602243.07700000005</v>
      </c>
      <c r="BR486" s="3">
        <v>-601163.24300000002</v>
      </c>
      <c r="BS486" s="3">
        <f t="shared" si="389"/>
        <v>-1079.8340000000317</v>
      </c>
      <c r="BT486" s="3">
        <v>-602262.36399999994</v>
      </c>
      <c r="BU486" s="3">
        <v>-601182.38500000001</v>
      </c>
      <c r="BV486" s="3">
        <f t="shared" si="390"/>
        <v>-1079.9789999999339</v>
      </c>
    </row>
    <row r="487" spans="1:74" x14ac:dyDescent="0.25">
      <c r="A487" t="s">
        <v>561</v>
      </c>
      <c r="B487" s="1" t="s">
        <v>646</v>
      </c>
      <c r="C487" s="1" t="s">
        <v>99</v>
      </c>
      <c r="D487" s="3">
        <v>5.6</v>
      </c>
      <c r="E487" s="3">
        <v>1</v>
      </c>
      <c r="F487" s="3">
        <v>-973.45299999999997</v>
      </c>
      <c r="G487" s="3">
        <v>-977.42899999999997</v>
      </c>
      <c r="H487" s="3">
        <f t="shared" si="381"/>
        <v>-3.9759999999999991</v>
      </c>
      <c r="I487" s="3">
        <v>-0.32200000000000001</v>
      </c>
      <c r="J487" s="6">
        <v>-0.23599999999999999</v>
      </c>
      <c r="K487" s="3">
        <f t="shared" si="365"/>
        <v>8.6000000000000021E-2</v>
      </c>
      <c r="L487" s="3">
        <v>0.09</v>
      </c>
      <c r="M487" s="6">
        <v>-0.53</v>
      </c>
      <c r="N487" s="3">
        <f t="shared" si="366"/>
        <v>-0.62</v>
      </c>
      <c r="O487" s="3">
        <f t="shared" si="360"/>
        <v>0.11600000000000001</v>
      </c>
      <c r="P487" s="3">
        <f t="shared" si="360"/>
        <v>0.38300000000000001</v>
      </c>
      <c r="Q487" s="3">
        <f t="shared" si="367"/>
        <v>0.26700000000000002</v>
      </c>
      <c r="R487" s="3">
        <f t="shared" si="368"/>
        <v>0.41200000000000003</v>
      </c>
      <c r="S487" s="3">
        <f t="shared" si="369"/>
        <v>-0.29400000000000004</v>
      </c>
      <c r="T487" s="3">
        <f t="shared" si="370"/>
        <v>-0.70600000000000007</v>
      </c>
      <c r="U487" s="3">
        <f t="shared" si="371"/>
        <v>-0.11600000000000001</v>
      </c>
      <c r="V487" s="3">
        <f t="shared" si="372"/>
        <v>-0.38300000000000001</v>
      </c>
      <c r="W487" s="3">
        <f t="shared" si="355"/>
        <v>-0.26700000000000002</v>
      </c>
      <c r="X487" s="3">
        <f t="shared" si="351"/>
        <v>1.6330097087378641E-2</v>
      </c>
      <c r="Y487" s="3">
        <f t="shared" si="352"/>
        <v>-0.24947108843537413</v>
      </c>
      <c r="Z487" s="3">
        <f t="shared" si="373"/>
        <v>-0.26580118552275278</v>
      </c>
      <c r="AA487" s="3">
        <v>4.0670000000000002</v>
      </c>
      <c r="AB487" s="3">
        <v>3.5059999999999998</v>
      </c>
      <c r="AC487" s="3">
        <f t="shared" si="374"/>
        <v>-0.56100000000000039</v>
      </c>
      <c r="AD487" s="3">
        <f>-973.250297*627.50956</f>
        <v>-610723.86564033933</v>
      </c>
      <c r="AE487" s="3">
        <f>-977.237936*627.50956</f>
        <v>-613226.14723466814</v>
      </c>
      <c r="AF487" s="3">
        <f t="shared" si="375"/>
        <v>-2502.2815943288151</v>
      </c>
      <c r="AG487" s="3">
        <f>-973.302407*627.50956</f>
        <v>-610756.56516351085</v>
      </c>
      <c r="AH487" s="3">
        <f>-977.291037*627.50956</f>
        <v>-613259.46861981368</v>
      </c>
      <c r="AI487" s="3">
        <f t="shared" si="376"/>
        <v>-2502.9034563028254</v>
      </c>
      <c r="AJ487" s="3">
        <v>-0.60599999999999998</v>
      </c>
      <c r="AK487" s="3">
        <v>-0.67400000000000004</v>
      </c>
      <c r="AL487" s="3">
        <f t="shared" si="377"/>
        <v>-6.800000000000006E-2</v>
      </c>
      <c r="AM487" s="3">
        <v>195.6455</v>
      </c>
      <c r="AN487" s="3">
        <v>245.32570000000001</v>
      </c>
      <c r="AO487" s="3">
        <v>271.2518</v>
      </c>
      <c r="AP487" s="3">
        <f t="shared" si="361"/>
        <v>1.2108320591439306</v>
      </c>
      <c r="AQ487" s="3">
        <v>12.273</v>
      </c>
      <c r="AR487" s="3">
        <v>3.2033550000000002</v>
      </c>
      <c r="AS487" s="3">
        <v>-132.80099999999999</v>
      </c>
      <c r="AT487" s="3">
        <v>-131.97</v>
      </c>
      <c r="AU487" s="3">
        <f t="shared" si="382"/>
        <v>-0.83099999999998886</v>
      </c>
      <c r="AV487" s="3">
        <v>-0.34100000000000003</v>
      </c>
      <c r="AW487" s="3">
        <v>-0.47499999999999998</v>
      </c>
      <c r="AX487" s="3">
        <f t="shared" si="383"/>
        <v>0.13399999999999995</v>
      </c>
      <c r="AY487" s="3">
        <v>2.9000000000000001E-2</v>
      </c>
      <c r="AZ487" s="3">
        <v>0.156</v>
      </c>
      <c r="BA487" s="3">
        <f t="shared" si="384"/>
        <v>-0.127</v>
      </c>
      <c r="BB487" s="3">
        <f t="shared" si="378"/>
        <v>0.156</v>
      </c>
      <c r="BC487" s="3">
        <f t="shared" si="378"/>
        <v>0.15949999999999998</v>
      </c>
      <c r="BD487" s="3">
        <f t="shared" si="385"/>
        <v>-3.4999999999999754E-3</v>
      </c>
      <c r="BE487" s="3">
        <f t="shared" si="379"/>
        <v>0.37000000000000005</v>
      </c>
      <c r="BF487" s="3">
        <f t="shared" si="379"/>
        <v>0.63100000000000001</v>
      </c>
      <c r="BG487" s="3">
        <f t="shared" si="386"/>
        <v>-0.26099999999999995</v>
      </c>
      <c r="BH487" s="3">
        <f t="shared" si="380"/>
        <v>-0.156</v>
      </c>
      <c r="BI487" s="3">
        <f t="shared" si="380"/>
        <v>-0.15949999999999998</v>
      </c>
      <c r="BJ487" s="3">
        <f t="shared" si="356"/>
        <v>3.4999999999999754E-3</v>
      </c>
      <c r="BK487" s="3">
        <f t="shared" si="353"/>
        <v>3.2886486486486483E-2</v>
      </c>
      <c r="BL487" s="3">
        <f t="shared" si="354"/>
        <v>2.0158676703645E-2</v>
      </c>
      <c r="BM487" s="3">
        <f t="shared" si="387"/>
        <v>1.2727809782841482E-2</v>
      </c>
      <c r="BN487" s="3">
        <v>4.7279999999999998</v>
      </c>
      <c r="BO487" s="3">
        <v>4.9340000000000002</v>
      </c>
      <c r="BP487" s="3">
        <f t="shared" si="388"/>
        <v>-0.20600000000000041</v>
      </c>
      <c r="BQ487" s="3">
        <v>-83302.89</v>
      </c>
      <c r="BR487" s="3">
        <v>-82779.224000000002</v>
      </c>
      <c r="BS487" s="3">
        <f t="shared" si="389"/>
        <v>-523.66599999999744</v>
      </c>
      <c r="BT487" s="3">
        <v>-83320.774999999994</v>
      </c>
      <c r="BU487" s="3">
        <v>-82796.997000000003</v>
      </c>
      <c r="BV487" s="3">
        <f t="shared" si="390"/>
        <v>-523.77799999999115</v>
      </c>
    </row>
    <row r="488" spans="1:74" x14ac:dyDescent="0.25">
      <c r="A488" t="s">
        <v>562</v>
      </c>
      <c r="B488" s="1" t="s">
        <v>646</v>
      </c>
      <c r="C488" s="1" t="s">
        <v>99</v>
      </c>
      <c r="D488" s="3">
        <v>5.64</v>
      </c>
      <c r="E488" s="3">
        <v>0.79</v>
      </c>
      <c r="F488" s="3">
        <v>-437.50400000000002</v>
      </c>
      <c r="G488" s="3">
        <v>-440.26400000000001</v>
      </c>
      <c r="H488" s="3">
        <f t="shared" si="381"/>
        <v>-2.7599999999999909</v>
      </c>
      <c r="I488" s="3">
        <v>-0.32100000000000001</v>
      </c>
      <c r="J488" s="6">
        <v>-0.22500000000000001</v>
      </c>
      <c r="K488" s="3">
        <f t="shared" si="365"/>
        <v>9.6000000000000002E-2</v>
      </c>
      <c r="L488" s="3">
        <v>0.13400000000000001</v>
      </c>
      <c r="M488" s="6">
        <v>-2.4E-2</v>
      </c>
      <c r="N488" s="3">
        <f t="shared" si="366"/>
        <v>-0.158</v>
      </c>
      <c r="O488" s="3">
        <f t="shared" si="360"/>
        <v>9.35E-2</v>
      </c>
      <c r="P488" s="3">
        <f t="shared" si="360"/>
        <v>0.1245</v>
      </c>
      <c r="Q488" s="3">
        <f t="shared" si="367"/>
        <v>3.1E-2</v>
      </c>
      <c r="R488" s="3">
        <f t="shared" si="368"/>
        <v>0.45500000000000002</v>
      </c>
      <c r="S488" s="3">
        <f t="shared" si="369"/>
        <v>0.20100000000000001</v>
      </c>
      <c r="T488" s="3">
        <f t="shared" si="370"/>
        <v>-0.254</v>
      </c>
      <c r="U488" s="3">
        <f t="shared" si="371"/>
        <v>-9.35E-2</v>
      </c>
      <c r="V488" s="3">
        <f t="shared" si="372"/>
        <v>-0.1245</v>
      </c>
      <c r="W488" s="3">
        <f t="shared" si="355"/>
        <v>-3.1E-2</v>
      </c>
      <c r="X488" s="3">
        <f t="shared" si="351"/>
        <v>9.606868131868132E-3</v>
      </c>
      <c r="Y488" s="3">
        <f t="shared" si="352"/>
        <v>3.8557835820895524E-2</v>
      </c>
      <c r="Z488" s="3">
        <f t="shared" si="373"/>
        <v>2.8950967689027392E-2</v>
      </c>
      <c r="AA488" s="3">
        <v>3.843</v>
      </c>
      <c r="AB488" s="3">
        <v>3.5649999999999999</v>
      </c>
      <c r="AC488" s="3">
        <f t="shared" si="374"/>
        <v>-0.27800000000000002</v>
      </c>
      <c r="AD488" s="3">
        <f xml:space="preserve"> -437.331075*627.50956</f>
        <v>-274429.43044757697</v>
      </c>
      <c r="AE488" s="3">
        <f>-440.101542*627.50956</f>
        <v>-276167.92497574148</v>
      </c>
      <c r="AF488" s="3">
        <f t="shared" si="375"/>
        <v>-1738.494528164505</v>
      </c>
      <c r="AG488" s="3">
        <f>-437.374806*627.50956</f>
        <v>-274456.87206814531</v>
      </c>
      <c r="AH488" s="3">
        <f>-440.146227*627.50956</f>
        <v>-276195.96524043009</v>
      </c>
      <c r="AI488" s="3">
        <f t="shared" si="376"/>
        <v>-1739.0931722847745</v>
      </c>
      <c r="AJ488" s="3">
        <v>-0.61199999999999999</v>
      </c>
      <c r="AK488" s="3">
        <v>-0.67900000000000005</v>
      </c>
      <c r="AL488" s="3">
        <f t="shared" si="377"/>
        <v>-6.700000000000006E-2</v>
      </c>
      <c r="AM488" s="3">
        <v>135.16316</v>
      </c>
      <c r="AN488" s="3">
        <v>198.37690000000001</v>
      </c>
      <c r="AO488" s="3">
        <v>209.9348</v>
      </c>
      <c r="AP488" s="3">
        <f t="shared" si="361"/>
        <v>1.1615130472653696</v>
      </c>
      <c r="AQ488" s="3">
        <v>9.5779999999999994</v>
      </c>
      <c r="AR488" s="3">
        <v>2.3798020000000002</v>
      </c>
      <c r="AS488" s="3">
        <v>-132.80099999999999</v>
      </c>
      <c r="AT488" s="3">
        <v>-131.97</v>
      </c>
      <c r="AU488" s="3">
        <f t="shared" si="382"/>
        <v>-0.83099999999998886</v>
      </c>
      <c r="AV488" s="3">
        <v>-0.34100000000000003</v>
      </c>
      <c r="AW488" s="3">
        <v>-0.47499999999999998</v>
      </c>
      <c r="AX488" s="3">
        <f t="shared" si="383"/>
        <v>0.13399999999999995</v>
      </c>
      <c r="AY488" s="3">
        <v>2.9000000000000001E-2</v>
      </c>
      <c r="AZ488" s="3">
        <v>0.156</v>
      </c>
      <c r="BA488" s="3">
        <f t="shared" si="384"/>
        <v>-0.127</v>
      </c>
      <c r="BB488" s="3">
        <f t="shared" si="378"/>
        <v>0.156</v>
      </c>
      <c r="BC488" s="3">
        <f t="shared" si="378"/>
        <v>0.15949999999999998</v>
      </c>
      <c r="BD488" s="3">
        <f t="shared" si="385"/>
        <v>-3.4999999999999754E-3</v>
      </c>
      <c r="BE488" s="3">
        <f t="shared" si="379"/>
        <v>0.37000000000000005</v>
      </c>
      <c r="BF488" s="3">
        <f t="shared" si="379"/>
        <v>0.63100000000000001</v>
      </c>
      <c r="BG488" s="3">
        <f t="shared" si="386"/>
        <v>-0.26099999999999995</v>
      </c>
      <c r="BH488" s="3">
        <f t="shared" si="380"/>
        <v>-0.156</v>
      </c>
      <c r="BI488" s="3">
        <f t="shared" si="380"/>
        <v>-0.15949999999999998</v>
      </c>
      <c r="BJ488" s="3">
        <f t="shared" si="356"/>
        <v>3.4999999999999754E-3</v>
      </c>
      <c r="BK488" s="3">
        <f t="shared" si="353"/>
        <v>3.2886486486486483E-2</v>
      </c>
      <c r="BL488" s="3">
        <f t="shared" si="354"/>
        <v>2.0158676703645E-2</v>
      </c>
      <c r="BM488" s="3">
        <f t="shared" si="387"/>
        <v>1.2727809782841482E-2</v>
      </c>
      <c r="BN488" s="3">
        <v>4.7279999999999998</v>
      </c>
      <c r="BO488" s="3">
        <v>4.9340000000000002</v>
      </c>
      <c r="BP488" s="3">
        <f t="shared" si="388"/>
        <v>-0.20600000000000041</v>
      </c>
      <c r="BQ488" s="3">
        <v>-83302.89</v>
      </c>
      <c r="BR488" s="3">
        <v>-82779.224000000002</v>
      </c>
      <c r="BS488" s="3">
        <f t="shared" si="389"/>
        <v>-523.66599999999744</v>
      </c>
      <c r="BT488" s="3">
        <v>-83320.774999999994</v>
      </c>
      <c r="BU488" s="3">
        <v>-82796.997000000003</v>
      </c>
      <c r="BV488" s="3">
        <f t="shared" si="390"/>
        <v>-523.77799999999115</v>
      </c>
    </row>
    <row r="489" spans="1:74" x14ac:dyDescent="0.25">
      <c r="A489" t="s">
        <v>563</v>
      </c>
      <c r="B489" s="1" t="s">
        <v>646</v>
      </c>
      <c r="C489" s="1" t="s">
        <v>99</v>
      </c>
      <c r="D489" s="3">
        <v>5.73</v>
      </c>
      <c r="E489" s="3">
        <v>0.97</v>
      </c>
      <c r="F489" s="3">
        <v>-514.53099999999995</v>
      </c>
      <c r="G489" s="3">
        <v>-517.80799999999999</v>
      </c>
      <c r="H489" s="3">
        <f t="shared" si="381"/>
        <v>-3.2770000000000437</v>
      </c>
      <c r="I489" s="3">
        <v>-0.32</v>
      </c>
      <c r="J489" s="6">
        <v>-0.23400000000000001</v>
      </c>
      <c r="K489" s="3">
        <f t="shared" si="365"/>
        <v>8.5999999999999993E-2</v>
      </c>
      <c r="L489" s="3">
        <v>9.8000000000000004E-2</v>
      </c>
      <c r="M489" s="6">
        <v>-4.5999999999999999E-2</v>
      </c>
      <c r="N489" s="3">
        <f t="shared" si="366"/>
        <v>-0.14400000000000002</v>
      </c>
      <c r="O489" s="3">
        <f t="shared" si="360"/>
        <v>0.111</v>
      </c>
      <c r="P489" s="3">
        <f t="shared" si="360"/>
        <v>0.14000000000000001</v>
      </c>
      <c r="Q489" s="3">
        <f t="shared" si="367"/>
        <v>2.9000000000000012E-2</v>
      </c>
      <c r="R489" s="3">
        <f t="shared" si="368"/>
        <v>0.41800000000000004</v>
      </c>
      <c r="S489" s="3">
        <f t="shared" si="369"/>
        <v>0.188</v>
      </c>
      <c r="T489" s="3">
        <f t="shared" si="370"/>
        <v>-0.23000000000000004</v>
      </c>
      <c r="U489" s="3">
        <f t="shared" si="371"/>
        <v>-0.111</v>
      </c>
      <c r="V489" s="3">
        <f t="shared" si="372"/>
        <v>-0.14000000000000001</v>
      </c>
      <c r="W489" s="3">
        <f t="shared" si="355"/>
        <v>-2.9000000000000012E-2</v>
      </c>
      <c r="X489" s="3">
        <f t="shared" si="351"/>
        <v>1.4738038277511962E-2</v>
      </c>
      <c r="Y489" s="3">
        <f t="shared" si="352"/>
        <v>5.2127659574468091E-2</v>
      </c>
      <c r="Z489" s="3">
        <f t="shared" si="373"/>
        <v>3.7389621296956131E-2</v>
      </c>
      <c r="AA489" s="3">
        <v>4.7809999999999997</v>
      </c>
      <c r="AB489" s="3">
        <v>4.3140000000000001</v>
      </c>
      <c r="AC489" s="3">
        <f t="shared" si="374"/>
        <v>-0.46699999999999964</v>
      </c>
      <c r="AD489" s="3">
        <f>-514.319418*627.50956</f>
        <v>-322740.35168863606</v>
      </c>
      <c r="AE489" s="3">
        <f>-517.607641*627.50956</f>
        <v>-324803.74305654789</v>
      </c>
      <c r="AF489" s="3">
        <f t="shared" si="375"/>
        <v>-2063.3913679118268</v>
      </c>
      <c r="AG489" s="3">
        <f>-514.368459*627.50956</f>
        <v>-322771.12538496807</v>
      </c>
      <c r="AH489" s="3">
        <f>-517.657127*627.50956</f>
        <v>-324834.79599463404</v>
      </c>
      <c r="AI489" s="3">
        <f t="shared" si="376"/>
        <v>-2063.6706096659764</v>
      </c>
      <c r="AJ489" s="3">
        <v>-0.60499999999999998</v>
      </c>
      <c r="AK489" s="3">
        <v>-0.67400000000000004</v>
      </c>
      <c r="AL489" s="3">
        <f t="shared" si="377"/>
        <v>-6.9000000000000061E-2</v>
      </c>
      <c r="AM489" s="3">
        <v>161.2004</v>
      </c>
      <c r="AN489" s="3">
        <v>229.62559999999999</v>
      </c>
      <c r="AO489" s="3">
        <v>252.61770000000001</v>
      </c>
      <c r="AP489" s="3">
        <f t="shared" si="361"/>
        <v>1.1884121137506543</v>
      </c>
      <c r="AQ489" s="3">
        <v>11.106</v>
      </c>
      <c r="AR489" s="3">
        <v>2.7197399999999998</v>
      </c>
      <c r="AS489" s="3">
        <v>-132.80099999999999</v>
      </c>
      <c r="AT489" s="3">
        <v>-131.97</v>
      </c>
      <c r="AU489" s="3">
        <f t="shared" si="382"/>
        <v>-0.83099999999998886</v>
      </c>
      <c r="AV489" s="3">
        <v>-0.34100000000000003</v>
      </c>
      <c r="AW489" s="3">
        <v>-0.47499999999999998</v>
      </c>
      <c r="AX489" s="3">
        <f t="shared" si="383"/>
        <v>0.13399999999999995</v>
      </c>
      <c r="AY489" s="3">
        <v>2.9000000000000001E-2</v>
      </c>
      <c r="AZ489" s="3">
        <v>0.156</v>
      </c>
      <c r="BA489" s="3">
        <f t="shared" si="384"/>
        <v>-0.127</v>
      </c>
      <c r="BB489" s="3">
        <f t="shared" si="378"/>
        <v>0.156</v>
      </c>
      <c r="BC489" s="3">
        <f t="shared" si="378"/>
        <v>0.15949999999999998</v>
      </c>
      <c r="BD489" s="3">
        <f t="shared" si="385"/>
        <v>-3.4999999999999754E-3</v>
      </c>
      <c r="BE489" s="3">
        <f t="shared" si="379"/>
        <v>0.37000000000000005</v>
      </c>
      <c r="BF489" s="3">
        <f t="shared" si="379"/>
        <v>0.63100000000000001</v>
      </c>
      <c r="BG489" s="3">
        <f t="shared" si="386"/>
        <v>-0.26099999999999995</v>
      </c>
      <c r="BH489" s="3">
        <f t="shared" si="380"/>
        <v>-0.156</v>
      </c>
      <c r="BI489" s="3">
        <f t="shared" si="380"/>
        <v>-0.15949999999999998</v>
      </c>
      <c r="BJ489" s="3">
        <f t="shared" si="356"/>
        <v>3.4999999999999754E-3</v>
      </c>
      <c r="BK489" s="3">
        <f t="shared" si="353"/>
        <v>3.2886486486486483E-2</v>
      </c>
      <c r="BL489" s="3">
        <f t="shared" si="354"/>
        <v>2.0158676703645E-2</v>
      </c>
      <c r="BM489" s="3">
        <f t="shared" si="387"/>
        <v>1.2727809782841482E-2</v>
      </c>
      <c r="BN489" s="3">
        <v>4.7279999999999998</v>
      </c>
      <c r="BO489" s="3">
        <v>4.9340000000000002</v>
      </c>
      <c r="BP489" s="3">
        <f t="shared" si="388"/>
        <v>-0.20600000000000041</v>
      </c>
      <c r="BQ489" s="3">
        <v>-83302.89</v>
      </c>
      <c r="BR489" s="3">
        <v>-82779.224000000002</v>
      </c>
      <c r="BS489" s="3">
        <f t="shared" si="389"/>
        <v>-523.66599999999744</v>
      </c>
      <c r="BT489" s="3">
        <v>-83320.774999999994</v>
      </c>
      <c r="BU489" s="3">
        <v>-82796.997000000003</v>
      </c>
      <c r="BV489" s="3">
        <f t="shared" si="390"/>
        <v>-523.77799999999115</v>
      </c>
    </row>
    <row r="490" spans="1:74" x14ac:dyDescent="0.25">
      <c r="A490" t="s">
        <v>564</v>
      </c>
      <c r="B490" s="1" t="s">
        <v>646</v>
      </c>
      <c r="C490" s="1" t="s">
        <v>103</v>
      </c>
      <c r="D490" s="3">
        <v>5.75</v>
      </c>
      <c r="E490" s="3">
        <v>1.23</v>
      </c>
      <c r="F490" s="3">
        <v>-400.59199999999998</v>
      </c>
      <c r="G490" s="3">
        <v>-403.233</v>
      </c>
      <c r="H490" s="3">
        <f t="shared" si="381"/>
        <v>-2.6410000000000196</v>
      </c>
      <c r="I490" s="3">
        <v>-0.28699999999999998</v>
      </c>
      <c r="J490" s="6">
        <v>-0.20899999999999999</v>
      </c>
      <c r="K490" s="3">
        <f t="shared" si="365"/>
        <v>7.7999999999999986E-2</v>
      </c>
      <c r="L490" s="3">
        <v>0.11899999999999999</v>
      </c>
      <c r="M490" s="6">
        <v>-2.1000000000000001E-2</v>
      </c>
      <c r="N490" s="3">
        <f t="shared" si="366"/>
        <v>-0.13999999999999999</v>
      </c>
      <c r="O490" s="3">
        <f t="shared" si="360"/>
        <v>8.3999999999999991E-2</v>
      </c>
      <c r="P490" s="3">
        <f t="shared" si="360"/>
        <v>0.11499999999999999</v>
      </c>
      <c r="Q490" s="3">
        <f t="shared" si="367"/>
        <v>3.1E-2</v>
      </c>
      <c r="R490" s="3">
        <f t="shared" si="368"/>
        <v>0.40599999999999997</v>
      </c>
      <c r="S490" s="3">
        <f t="shared" si="369"/>
        <v>0.188</v>
      </c>
      <c r="T490" s="3">
        <f t="shared" si="370"/>
        <v>-0.21799999999999997</v>
      </c>
      <c r="U490" s="3">
        <f t="shared" si="371"/>
        <v>-8.3999999999999991E-2</v>
      </c>
      <c r="V490" s="3">
        <f t="shared" si="372"/>
        <v>-0.11499999999999999</v>
      </c>
      <c r="W490" s="3">
        <f t="shared" si="355"/>
        <v>-3.1E-2</v>
      </c>
      <c r="X490" s="3">
        <f t="shared" si="351"/>
        <v>8.6896551724137926E-3</v>
      </c>
      <c r="Y490" s="3">
        <f t="shared" si="352"/>
        <v>3.5172872340425522E-2</v>
      </c>
      <c r="Z490" s="3">
        <f t="shared" si="373"/>
        <v>2.6483217168011729E-2</v>
      </c>
      <c r="AA490" s="3">
        <v>3.056</v>
      </c>
      <c r="AB490" s="3">
        <v>3.218</v>
      </c>
      <c r="AC490" s="3">
        <f t="shared" si="374"/>
        <v>0.16199999999999992</v>
      </c>
      <c r="AD490" s="3">
        <f>-400.416073*627.50956</f>
        <v>-251264.91378515784</v>
      </c>
      <c r="AE490" s="3">
        <f>-403.067524*627.50956</f>
        <v>-252928.72463552942</v>
      </c>
      <c r="AF490" s="3">
        <f t="shared" si="375"/>
        <v>-1663.8108503715775</v>
      </c>
      <c r="AG490" s="3">
        <f>-400.456866*627.50956</f>
        <v>-251290.51178263893</v>
      </c>
      <c r="AH490" s="3">
        <f>-403.109368*627.50956</f>
        <v>-252954.98214555808</v>
      </c>
      <c r="AI490" s="3">
        <f t="shared" si="376"/>
        <v>-1664.4703629191499</v>
      </c>
      <c r="AJ490" s="3">
        <v>-0.315</v>
      </c>
      <c r="AK490" s="3">
        <v>-0.30499999999999999</v>
      </c>
      <c r="AL490" s="3">
        <f t="shared" si="377"/>
        <v>1.0000000000000009E-2</v>
      </c>
      <c r="AM490" s="3">
        <v>131.17439999999999</v>
      </c>
      <c r="AN490" s="3">
        <v>195.10589999999999</v>
      </c>
      <c r="AO490" s="3">
        <v>209.7552</v>
      </c>
      <c r="AP490" s="3">
        <f t="shared" si="361"/>
        <v>1.1430130677996695</v>
      </c>
      <c r="AQ490" s="3">
        <v>9.6310000000000002</v>
      </c>
      <c r="AR490" s="3">
        <v>2.09965</v>
      </c>
      <c r="AS490" s="3">
        <v>-959.76900000000001</v>
      </c>
      <c r="AT490" s="3">
        <v>-958.05</v>
      </c>
      <c r="AU490" s="3">
        <f t="shared" si="382"/>
        <v>-1.7190000000000509</v>
      </c>
      <c r="AV490" s="3">
        <v>-0.317</v>
      </c>
      <c r="AW490" s="3">
        <v>-0.45</v>
      </c>
      <c r="AX490" s="3">
        <f t="shared" si="383"/>
        <v>0.13300000000000001</v>
      </c>
      <c r="AY490" s="3">
        <v>-2.4E-2</v>
      </c>
      <c r="AZ490" s="3">
        <v>0.13500000000000001</v>
      </c>
      <c r="BA490" s="3">
        <f t="shared" si="384"/>
        <v>-0.159</v>
      </c>
      <c r="BB490" s="3">
        <f t="shared" ref="BB490:BC502" si="391">-(AV490+AY490)/2</f>
        <v>0.17050000000000001</v>
      </c>
      <c r="BC490" s="3">
        <f t="shared" si="391"/>
        <v>0.1575</v>
      </c>
      <c r="BD490" s="3">
        <f t="shared" si="385"/>
        <v>1.3000000000000012E-2</v>
      </c>
      <c r="BE490" s="3">
        <f t="shared" ref="BE490:BF502" si="392">AY490-AV490</f>
        <v>0.29299999999999998</v>
      </c>
      <c r="BF490" s="3">
        <f t="shared" si="392"/>
        <v>0.58499999999999996</v>
      </c>
      <c r="BG490" s="3">
        <f t="shared" si="386"/>
        <v>-0.29199999999999998</v>
      </c>
      <c r="BH490" s="3">
        <f t="shared" ref="BH490:BI502" si="393">(AV490+AY490)/2</f>
        <v>-0.17050000000000001</v>
      </c>
      <c r="BI490" s="3">
        <f t="shared" si="393"/>
        <v>-0.1575</v>
      </c>
      <c r="BJ490" s="3">
        <f t="shared" si="356"/>
        <v>-1.3000000000000012E-2</v>
      </c>
      <c r="BK490" s="3">
        <f t="shared" si="353"/>
        <v>4.9607935153583631E-2</v>
      </c>
      <c r="BL490" s="3">
        <f t="shared" si="354"/>
        <v>2.120192307692308E-2</v>
      </c>
      <c r="BM490" s="3">
        <f t="shared" si="387"/>
        <v>2.8406012076660551E-2</v>
      </c>
      <c r="BN490" s="3">
        <v>2.2370000000000001</v>
      </c>
      <c r="BO490" s="3">
        <v>2.431</v>
      </c>
      <c r="BP490" s="3">
        <f t="shared" si="388"/>
        <v>-0.19399999999999995</v>
      </c>
      <c r="BQ490" s="3">
        <v>-602243.07700000005</v>
      </c>
      <c r="BR490" s="3">
        <v>-601163.24300000002</v>
      </c>
      <c r="BS490" s="3">
        <f t="shared" si="389"/>
        <v>-1079.8340000000317</v>
      </c>
      <c r="BT490" s="3">
        <v>-602262.36399999994</v>
      </c>
      <c r="BU490" s="3">
        <v>-601182.38500000001</v>
      </c>
      <c r="BV490" s="3">
        <f t="shared" si="390"/>
        <v>-1079.9789999999339</v>
      </c>
    </row>
    <row r="491" spans="1:74" x14ac:dyDescent="0.25">
      <c r="A491" t="s">
        <v>565</v>
      </c>
      <c r="B491" s="1" t="s">
        <v>646</v>
      </c>
      <c r="C491" s="1" t="s">
        <v>103</v>
      </c>
      <c r="D491" s="3">
        <v>5.76</v>
      </c>
      <c r="E491" s="3">
        <v>1.02</v>
      </c>
      <c r="F491" s="3">
        <v>-1247.8599999999999</v>
      </c>
      <c r="G491" s="3">
        <v>-1254.731</v>
      </c>
      <c r="H491" s="3">
        <f t="shared" si="381"/>
        <v>-6.8710000000000946</v>
      </c>
      <c r="I491" s="3">
        <v>-0.32900000000000001</v>
      </c>
      <c r="J491" s="6">
        <v>-0.22700000000000001</v>
      </c>
      <c r="K491" s="3">
        <f t="shared" si="365"/>
        <v>0.10200000000000001</v>
      </c>
      <c r="L491" s="3">
        <v>0.10199999999999999</v>
      </c>
      <c r="M491" s="6">
        <v>-3.6999999999999998E-2</v>
      </c>
      <c r="N491" s="3">
        <f t="shared" si="366"/>
        <v>-0.13899999999999998</v>
      </c>
      <c r="O491" s="3">
        <f t="shared" si="360"/>
        <v>0.11350000000000002</v>
      </c>
      <c r="P491" s="3">
        <f t="shared" si="360"/>
        <v>0.13200000000000001</v>
      </c>
      <c r="Q491" s="3">
        <f t="shared" si="367"/>
        <v>1.8499999999999989E-2</v>
      </c>
      <c r="R491" s="3">
        <f t="shared" si="368"/>
        <v>0.43099999999999999</v>
      </c>
      <c r="S491" s="3">
        <f t="shared" si="369"/>
        <v>0.19</v>
      </c>
      <c r="T491" s="3">
        <f t="shared" si="370"/>
        <v>-0.24099999999999999</v>
      </c>
      <c r="U491" s="3">
        <f t="shared" si="371"/>
        <v>-0.11350000000000002</v>
      </c>
      <c r="V491" s="3">
        <f t="shared" si="372"/>
        <v>-0.13200000000000001</v>
      </c>
      <c r="W491" s="3">
        <f t="shared" si="355"/>
        <v>-1.8499999999999989E-2</v>
      </c>
      <c r="X491" s="3">
        <f t="shared" si="351"/>
        <v>1.4944605568445481E-2</v>
      </c>
      <c r="Y491" s="3">
        <f t="shared" si="352"/>
        <v>4.5852631578947374E-2</v>
      </c>
      <c r="Z491" s="3">
        <f t="shared" si="373"/>
        <v>3.0908026010501893E-2</v>
      </c>
      <c r="AA491" s="3">
        <v>1.6619999999999999</v>
      </c>
      <c r="AB491" s="3">
        <v>1.8049999999999999</v>
      </c>
      <c r="AC491" s="3">
        <f t="shared" si="374"/>
        <v>0.14300000000000002</v>
      </c>
      <c r="AD491" s="3">
        <f>-1247.429127*627.50956</f>
        <v>-782773.70261495409</v>
      </c>
      <c r="AE491" s="3">
        <f>-1254.323611*627.50956</f>
        <v>-787100.05723622115</v>
      </c>
      <c r="AF491" s="3">
        <f t="shared" si="375"/>
        <v>-4326.3546212670626</v>
      </c>
      <c r="AG491" s="3">
        <f>-1247.506195*627.50956</f>
        <v>-782822.06352172408</v>
      </c>
      <c r="AH491" s="3">
        <f>-1254.403597*627.50956</f>
        <v>-787150.24921588728</v>
      </c>
      <c r="AI491" s="3">
        <f t="shared" si="376"/>
        <v>-4328.1856941631995</v>
      </c>
      <c r="AJ491" s="3">
        <v>-0.33500000000000002</v>
      </c>
      <c r="AK491" s="3">
        <v>-0.39200000000000002</v>
      </c>
      <c r="AL491" s="3">
        <f t="shared" si="377"/>
        <v>-5.6999999999999995E-2</v>
      </c>
      <c r="AM491" s="3">
        <v>342.50567999999998</v>
      </c>
      <c r="AN491" s="3">
        <v>421.49189999999999</v>
      </c>
      <c r="AO491" s="3">
        <v>523.55589999999995</v>
      </c>
      <c r="AP491" s="3">
        <f t="shared" si="361"/>
        <v>1.3419504429673623</v>
      </c>
      <c r="AQ491" s="3">
        <v>13.180999999999999</v>
      </c>
      <c r="AR491" s="3">
        <v>3.5238309999999999</v>
      </c>
      <c r="AS491" s="3">
        <v>-959.76900000000001</v>
      </c>
      <c r="AT491" s="3">
        <v>-958.05</v>
      </c>
      <c r="AU491" s="3">
        <f t="shared" si="382"/>
        <v>-1.7190000000000509</v>
      </c>
      <c r="AV491" s="3">
        <v>-0.317</v>
      </c>
      <c r="AW491" s="3">
        <v>-0.45</v>
      </c>
      <c r="AX491" s="3">
        <f t="shared" si="383"/>
        <v>0.13300000000000001</v>
      </c>
      <c r="AY491" s="3">
        <v>-2.4E-2</v>
      </c>
      <c r="AZ491" s="3">
        <v>0.13500000000000001</v>
      </c>
      <c r="BA491" s="3">
        <f t="shared" si="384"/>
        <v>-0.159</v>
      </c>
      <c r="BB491" s="3">
        <f t="shared" si="391"/>
        <v>0.17050000000000001</v>
      </c>
      <c r="BC491" s="3">
        <f t="shared" si="391"/>
        <v>0.1575</v>
      </c>
      <c r="BD491" s="3">
        <f t="shared" si="385"/>
        <v>1.3000000000000012E-2</v>
      </c>
      <c r="BE491" s="3">
        <f t="shared" si="392"/>
        <v>0.29299999999999998</v>
      </c>
      <c r="BF491" s="3">
        <f t="shared" si="392"/>
        <v>0.58499999999999996</v>
      </c>
      <c r="BG491" s="3">
        <f t="shared" si="386"/>
        <v>-0.29199999999999998</v>
      </c>
      <c r="BH491" s="3">
        <f t="shared" si="393"/>
        <v>-0.17050000000000001</v>
      </c>
      <c r="BI491" s="3">
        <f t="shared" si="393"/>
        <v>-0.1575</v>
      </c>
      <c r="BJ491" s="3">
        <f t="shared" si="356"/>
        <v>-1.3000000000000012E-2</v>
      </c>
      <c r="BK491" s="3">
        <f t="shared" si="353"/>
        <v>4.9607935153583631E-2</v>
      </c>
      <c r="BL491" s="3">
        <f t="shared" si="354"/>
        <v>2.120192307692308E-2</v>
      </c>
      <c r="BM491" s="3">
        <f t="shared" si="387"/>
        <v>2.8406012076660551E-2</v>
      </c>
      <c r="BN491" s="3">
        <v>2.2370000000000001</v>
      </c>
      <c r="BO491" s="3">
        <v>2.431</v>
      </c>
      <c r="BP491" s="3">
        <f t="shared" si="388"/>
        <v>-0.19399999999999995</v>
      </c>
      <c r="BQ491" s="3">
        <v>-602243.07700000005</v>
      </c>
      <c r="BR491" s="3">
        <v>-601163.24300000002</v>
      </c>
      <c r="BS491" s="3">
        <f t="shared" si="389"/>
        <v>-1079.8340000000317</v>
      </c>
      <c r="BT491" s="3">
        <v>-602262.36399999994</v>
      </c>
      <c r="BU491" s="3">
        <v>-601182.38500000001</v>
      </c>
      <c r="BV491" s="3">
        <f t="shared" si="390"/>
        <v>-1079.9789999999339</v>
      </c>
    </row>
    <row r="492" spans="1:74" x14ac:dyDescent="0.25">
      <c r="A492" t="s">
        <v>566</v>
      </c>
      <c r="B492" s="1" t="s">
        <v>646</v>
      </c>
      <c r="C492" s="1" t="s">
        <v>103</v>
      </c>
      <c r="D492" s="3">
        <v>5.85</v>
      </c>
      <c r="E492" s="3">
        <v>1.03</v>
      </c>
      <c r="F492" s="3">
        <v>-247.90299999999999</v>
      </c>
      <c r="G492" s="3">
        <v>-249.54900000000001</v>
      </c>
      <c r="H492" s="3">
        <f t="shared" si="381"/>
        <v>-1.646000000000015</v>
      </c>
      <c r="I492" s="3">
        <v>-0.30199999999999999</v>
      </c>
      <c r="J492" s="6">
        <v>-0.216</v>
      </c>
      <c r="K492" s="3">
        <f t="shared" si="365"/>
        <v>8.5999999999999993E-2</v>
      </c>
      <c r="L492" s="3">
        <v>0.16</v>
      </c>
      <c r="M492" s="6">
        <v>2.7E-2</v>
      </c>
      <c r="N492" s="3">
        <f t="shared" si="366"/>
        <v>-0.13300000000000001</v>
      </c>
      <c r="O492" s="3">
        <f t="shared" si="360"/>
        <v>7.0999999999999994E-2</v>
      </c>
      <c r="P492" s="3">
        <f t="shared" si="360"/>
        <v>9.4500000000000001E-2</v>
      </c>
      <c r="Q492" s="3">
        <f t="shared" si="367"/>
        <v>2.3500000000000007E-2</v>
      </c>
      <c r="R492" s="3">
        <f t="shared" si="368"/>
        <v>0.46199999999999997</v>
      </c>
      <c r="S492" s="3">
        <f t="shared" si="369"/>
        <v>0.24299999999999999</v>
      </c>
      <c r="T492" s="3">
        <f t="shared" si="370"/>
        <v>-0.21899999999999997</v>
      </c>
      <c r="U492" s="3">
        <f t="shared" si="371"/>
        <v>-7.0999999999999994E-2</v>
      </c>
      <c r="V492" s="3">
        <f t="shared" si="372"/>
        <v>-9.4500000000000001E-2</v>
      </c>
      <c r="W492" s="3">
        <f t="shared" si="355"/>
        <v>-2.3500000000000007E-2</v>
      </c>
      <c r="X492" s="3">
        <f t="shared" si="351"/>
        <v>5.4556277056277058E-3</v>
      </c>
      <c r="Y492" s="3">
        <f t="shared" si="352"/>
        <v>1.8375000000000002E-2</v>
      </c>
      <c r="Z492" s="3">
        <f t="shared" si="373"/>
        <v>1.2919372294372296E-2</v>
      </c>
      <c r="AA492" s="3">
        <v>2.774</v>
      </c>
      <c r="AB492" s="3">
        <v>2.7519999999999998</v>
      </c>
      <c r="AC492" s="3">
        <f t="shared" si="374"/>
        <v>-2.2000000000000242E-2</v>
      </c>
      <c r="AD492" s="3">
        <f>-247.779659*627.50956</f>
        <v>-155484.10479604005</v>
      </c>
      <c r="AE492" s="3">
        <f>-249.432983*627.50956</f>
        <v>-156521.58141181749</v>
      </c>
      <c r="AF492" s="3">
        <f t="shared" si="375"/>
        <v>-1037.4766157774429</v>
      </c>
      <c r="AG492" s="3">
        <f>-247.814752*627.50956</f>
        <v>-155506.1259890291</v>
      </c>
      <c r="AH492" s="3">
        <f>-249.468558*627.50956</f>
        <v>-156543.90506441446</v>
      </c>
      <c r="AI492" s="3">
        <f t="shared" si="376"/>
        <v>-1037.7790753853624</v>
      </c>
      <c r="AJ492" s="3">
        <v>-0.24299999999999999</v>
      </c>
      <c r="AK492" s="3">
        <v>-0.30499999999999999</v>
      </c>
      <c r="AL492" s="3">
        <f t="shared" si="377"/>
        <v>-6.2E-2</v>
      </c>
      <c r="AM492" s="3">
        <v>81.115780000000001</v>
      </c>
      <c r="AN492" s="3">
        <v>146.31440000000001</v>
      </c>
      <c r="AO492" s="3">
        <v>143.6643</v>
      </c>
      <c r="AP492" s="3">
        <f t="shared" si="361"/>
        <v>1.1031733971600515</v>
      </c>
      <c r="AQ492" s="3">
        <v>7.7380000000000004</v>
      </c>
      <c r="AR492" s="3">
        <v>1.56628284</v>
      </c>
      <c r="AS492" s="3">
        <v>-959.76900000000001</v>
      </c>
      <c r="AT492" s="3">
        <v>-958.05</v>
      </c>
      <c r="AU492" s="3">
        <f t="shared" si="382"/>
        <v>-1.7190000000000509</v>
      </c>
      <c r="AV492" s="3">
        <v>-0.317</v>
      </c>
      <c r="AW492" s="3">
        <v>-0.45</v>
      </c>
      <c r="AX492" s="3">
        <f t="shared" si="383"/>
        <v>0.13300000000000001</v>
      </c>
      <c r="AY492" s="3">
        <v>-2.4E-2</v>
      </c>
      <c r="AZ492" s="3">
        <v>0.13500000000000001</v>
      </c>
      <c r="BA492" s="3">
        <f t="shared" si="384"/>
        <v>-0.159</v>
      </c>
      <c r="BB492" s="3">
        <f t="shared" si="391"/>
        <v>0.17050000000000001</v>
      </c>
      <c r="BC492" s="3">
        <f t="shared" si="391"/>
        <v>0.1575</v>
      </c>
      <c r="BD492" s="3">
        <f t="shared" si="385"/>
        <v>1.3000000000000012E-2</v>
      </c>
      <c r="BE492" s="3">
        <f t="shared" si="392"/>
        <v>0.29299999999999998</v>
      </c>
      <c r="BF492" s="3">
        <f t="shared" si="392"/>
        <v>0.58499999999999996</v>
      </c>
      <c r="BG492" s="3">
        <f t="shared" si="386"/>
        <v>-0.29199999999999998</v>
      </c>
      <c r="BH492" s="3">
        <f t="shared" si="393"/>
        <v>-0.17050000000000001</v>
      </c>
      <c r="BI492" s="3">
        <f t="shared" si="393"/>
        <v>-0.1575</v>
      </c>
      <c r="BJ492" s="3">
        <f t="shared" si="356"/>
        <v>-1.3000000000000012E-2</v>
      </c>
      <c r="BK492" s="3">
        <f t="shared" si="353"/>
        <v>4.9607935153583631E-2</v>
      </c>
      <c r="BL492" s="3">
        <f t="shared" si="354"/>
        <v>2.120192307692308E-2</v>
      </c>
      <c r="BM492" s="3">
        <f t="shared" si="387"/>
        <v>2.8406012076660551E-2</v>
      </c>
      <c r="BN492" s="3">
        <v>2.2370000000000001</v>
      </c>
      <c r="BO492" s="3">
        <v>2.431</v>
      </c>
      <c r="BP492" s="3">
        <f t="shared" si="388"/>
        <v>-0.19399999999999995</v>
      </c>
      <c r="BQ492" s="3">
        <v>-602243.07700000005</v>
      </c>
      <c r="BR492" s="3">
        <v>-601163.24300000002</v>
      </c>
      <c r="BS492" s="3">
        <f t="shared" si="389"/>
        <v>-1079.8340000000317</v>
      </c>
      <c r="BT492" s="3">
        <v>-602262.36399999994</v>
      </c>
      <c r="BU492" s="3">
        <v>-601182.38500000001</v>
      </c>
      <c r="BV492" s="3">
        <f t="shared" si="390"/>
        <v>-1079.9789999999339</v>
      </c>
    </row>
    <row r="493" spans="1:74" x14ac:dyDescent="0.25">
      <c r="A493" t="s">
        <v>567</v>
      </c>
      <c r="B493" s="1" t="s">
        <v>646</v>
      </c>
      <c r="C493" s="1" t="s">
        <v>99</v>
      </c>
      <c r="D493" s="3">
        <v>6</v>
      </c>
      <c r="E493" s="3">
        <v>1.1000000000000001</v>
      </c>
      <c r="F493" s="3">
        <v>-400.601</v>
      </c>
      <c r="G493" s="3">
        <v>-403.24299999999999</v>
      </c>
      <c r="H493" s="3">
        <f t="shared" si="381"/>
        <v>-2.6419999999999959</v>
      </c>
      <c r="I493" s="3">
        <v>-0.28999999999999998</v>
      </c>
      <c r="J493" s="6">
        <v>-0.21199999999999999</v>
      </c>
      <c r="K493" s="3">
        <f t="shared" si="365"/>
        <v>7.7999999999999986E-2</v>
      </c>
      <c r="L493" s="3">
        <v>0.12</v>
      </c>
      <c r="M493" s="6">
        <v>-1.9E-2</v>
      </c>
      <c r="N493" s="3">
        <f t="shared" si="366"/>
        <v>-0.13899999999999998</v>
      </c>
      <c r="O493" s="3">
        <f t="shared" si="360"/>
        <v>8.4999999999999992E-2</v>
      </c>
      <c r="P493" s="3">
        <f t="shared" si="360"/>
        <v>0.11549999999999999</v>
      </c>
      <c r="Q493" s="3">
        <f t="shared" si="367"/>
        <v>3.0499999999999999E-2</v>
      </c>
      <c r="R493" s="3">
        <f t="shared" si="368"/>
        <v>0.41</v>
      </c>
      <c r="S493" s="3">
        <f t="shared" si="369"/>
        <v>0.193</v>
      </c>
      <c r="T493" s="3">
        <f t="shared" si="370"/>
        <v>-0.21699999999999997</v>
      </c>
      <c r="U493" s="3">
        <f t="shared" si="371"/>
        <v>-8.4999999999999992E-2</v>
      </c>
      <c r="V493" s="3">
        <f t="shared" si="372"/>
        <v>-0.11549999999999999</v>
      </c>
      <c r="W493" s="3">
        <f t="shared" si="355"/>
        <v>-3.0499999999999999E-2</v>
      </c>
      <c r="X493" s="3">
        <f t="shared" si="351"/>
        <v>8.8109756097560967E-3</v>
      </c>
      <c r="Y493" s="3">
        <f t="shared" si="352"/>
        <v>3.4560233160621755E-2</v>
      </c>
      <c r="Z493" s="3">
        <f t="shared" si="373"/>
        <v>2.5749257550865656E-2</v>
      </c>
      <c r="AA493" s="3">
        <v>2.5129999999999999</v>
      </c>
      <c r="AB493" s="3">
        <v>2.6589999999999998</v>
      </c>
      <c r="AC493" s="3">
        <f t="shared" si="374"/>
        <v>0.14599999999999991</v>
      </c>
      <c r="AD493" s="3">
        <f>-400.425693*627.50956</f>
        <v>-251270.95042712509</v>
      </c>
      <c r="AE493" s="3">
        <f>-403.077247*627.50956</f>
        <v>-252934.82591098131</v>
      </c>
      <c r="AF493" s="3">
        <f t="shared" si="375"/>
        <v>-1663.8754838562163</v>
      </c>
      <c r="AG493" s="3">
        <f>-400.466676*627.50956</f>
        <v>-251296.66765142255</v>
      </c>
      <c r="AH493" s="3">
        <f>-403.119239*627.50956</f>
        <v>-252961.17629242482</v>
      </c>
      <c r="AI493" s="3">
        <f t="shared" si="376"/>
        <v>-1664.5086410022632</v>
      </c>
      <c r="AJ493" s="3">
        <v>-0.504</v>
      </c>
      <c r="AK493" s="3">
        <v>-0.58199999999999996</v>
      </c>
      <c r="AL493" s="3">
        <f t="shared" si="377"/>
        <v>-7.7999999999999958E-2</v>
      </c>
      <c r="AM493" s="3">
        <v>131.17446000000001</v>
      </c>
      <c r="AN493" s="3">
        <v>196.7115</v>
      </c>
      <c r="AO493" s="3">
        <v>209.72329999999999</v>
      </c>
      <c r="AP493" s="3">
        <f t="shared" si="361"/>
        <v>1.1525362095539597</v>
      </c>
      <c r="AQ493" s="3">
        <v>10.117000000000001</v>
      </c>
      <c r="AR493" s="3">
        <v>2.1998500000000001</v>
      </c>
      <c r="AS493" s="3">
        <v>-132.80099999999999</v>
      </c>
      <c r="AT493" s="3">
        <v>-131.97</v>
      </c>
      <c r="AU493" s="3">
        <f t="shared" si="382"/>
        <v>-0.83099999999998886</v>
      </c>
      <c r="AV493" s="3">
        <v>-0.34100000000000003</v>
      </c>
      <c r="AW493" s="3">
        <v>-0.47499999999999998</v>
      </c>
      <c r="AX493" s="3">
        <f t="shared" si="383"/>
        <v>0.13399999999999995</v>
      </c>
      <c r="AY493" s="3">
        <v>2.9000000000000001E-2</v>
      </c>
      <c r="AZ493" s="3">
        <v>0.156</v>
      </c>
      <c r="BA493" s="3">
        <f t="shared" si="384"/>
        <v>-0.127</v>
      </c>
      <c r="BB493" s="3">
        <f t="shared" si="391"/>
        <v>0.156</v>
      </c>
      <c r="BC493" s="3">
        <f t="shared" si="391"/>
        <v>0.15949999999999998</v>
      </c>
      <c r="BD493" s="3">
        <f t="shared" si="385"/>
        <v>-3.4999999999999754E-3</v>
      </c>
      <c r="BE493" s="3">
        <f t="shared" si="392"/>
        <v>0.37000000000000005</v>
      </c>
      <c r="BF493" s="3">
        <f t="shared" si="392"/>
        <v>0.63100000000000001</v>
      </c>
      <c r="BG493" s="3">
        <f t="shared" si="386"/>
        <v>-0.26099999999999995</v>
      </c>
      <c r="BH493" s="3">
        <f t="shared" si="393"/>
        <v>-0.156</v>
      </c>
      <c r="BI493" s="3">
        <f t="shared" si="393"/>
        <v>-0.15949999999999998</v>
      </c>
      <c r="BJ493" s="3">
        <f t="shared" si="356"/>
        <v>3.4999999999999754E-3</v>
      </c>
      <c r="BK493" s="3">
        <f t="shared" si="353"/>
        <v>3.2886486486486483E-2</v>
      </c>
      <c r="BL493" s="3">
        <f t="shared" si="354"/>
        <v>2.0158676703645E-2</v>
      </c>
      <c r="BM493" s="3">
        <f t="shared" si="387"/>
        <v>1.2727809782841482E-2</v>
      </c>
      <c r="BN493" s="3">
        <v>4.7279999999999998</v>
      </c>
      <c r="BO493" s="3">
        <v>4.9340000000000002</v>
      </c>
      <c r="BP493" s="3">
        <f t="shared" si="388"/>
        <v>-0.20600000000000041</v>
      </c>
      <c r="BQ493" s="3">
        <v>-83302.89</v>
      </c>
      <c r="BR493" s="3">
        <v>-82779.224000000002</v>
      </c>
      <c r="BS493" s="3">
        <f t="shared" si="389"/>
        <v>-523.66599999999744</v>
      </c>
      <c r="BT493" s="3">
        <v>-83320.774999999994</v>
      </c>
      <c r="BU493" s="3">
        <v>-82796.997000000003</v>
      </c>
      <c r="BV493" s="3">
        <f t="shared" si="390"/>
        <v>-523.77799999999115</v>
      </c>
    </row>
    <row r="494" spans="1:74" x14ac:dyDescent="0.25">
      <c r="A494" t="s">
        <v>568</v>
      </c>
      <c r="B494" s="1" t="s">
        <v>646</v>
      </c>
      <c r="C494" s="1" t="s">
        <v>103</v>
      </c>
      <c r="D494" s="3">
        <v>6.04</v>
      </c>
      <c r="E494" s="3">
        <v>0.82</v>
      </c>
      <c r="F494" s="3">
        <v>-1703.9290000000001</v>
      </c>
      <c r="G494" s="3">
        <v>-1710.155</v>
      </c>
      <c r="H494" s="3">
        <f t="shared" si="381"/>
        <v>-6.2259999999998854</v>
      </c>
      <c r="I494" s="3">
        <v>-0.32</v>
      </c>
      <c r="J494" s="6">
        <v>-0.221</v>
      </c>
      <c r="K494" s="3">
        <f t="shared" si="365"/>
        <v>9.9000000000000005E-2</v>
      </c>
      <c r="L494" s="3">
        <v>0.114</v>
      </c>
      <c r="M494" s="6">
        <v>-1.4E-2</v>
      </c>
      <c r="N494" s="3">
        <f t="shared" si="366"/>
        <v>-0.128</v>
      </c>
      <c r="O494" s="3">
        <f t="shared" si="360"/>
        <v>0.10300000000000001</v>
      </c>
      <c r="P494" s="3">
        <f t="shared" si="360"/>
        <v>0.11750000000000001</v>
      </c>
      <c r="Q494" s="3">
        <f t="shared" si="367"/>
        <v>1.4499999999999999E-2</v>
      </c>
      <c r="R494" s="3">
        <f t="shared" si="368"/>
        <v>0.434</v>
      </c>
      <c r="S494" s="3">
        <f t="shared" si="369"/>
        <v>0.20699999999999999</v>
      </c>
      <c r="T494" s="3">
        <f t="shared" si="370"/>
        <v>-0.22700000000000001</v>
      </c>
      <c r="U494" s="3">
        <f t="shared" si="371"/>
        <v>-0.10300000000000001</v>
      </c>
      <c r="V494" s="3">
        <f t="shared" si="372"/>
        <v>-0.11750000000000001</v>
      </c>
      <c r="W494" s="3">
        <f t="shared" si="355"/>
        <v>-1.4499999999999999E-2</v>
      </c>
      <c r="X494" s="3">
        <f t="shared" si="351"/>
        <v>1.222235023041475E-2</v>
      </c>
      <c r="Y494" s="3">
        <f t="shared" si="352"/>
        <v>3.3348429951690829E-2</v>
      </c>
      <c r="Z494" s="3">
        <f t="shared" si="373"/>
        <v>2.112607972127608E-2</v>
      </c>
      <c r="AA494" s="3">
        <v>0.83599999999999997</v>
      </c>
      <c r="AB494" s="3">
        <v>1.0429999999999999</v>
      </c>
      <c r="AC494" s="3">
        <f t="shared" si="374"/>
        <v>0.20699999999999996</v>
      </c>
      <c r="AD494" s="3">
        <f>-1703.465357*627.50956</f>
        <v>-1068940.7966463128</v>
      </c>
      <c r="AE494" s="3">
        <f>-1709.712936*627.50956</f>
        <v>-1072861.2121956681</v>
      </c>
      <c r="AF494" s="3">
        <f t="shared" si="375"/>
        <v>-3920.4155493553262</v>
      </c>
      <c r="AG494" s="3">
        <f>-1703.554916*627.50956</f>
        <v>-1068996.9957749969</v>
      </c>
      <c r="AH494" s="3">
        <f>-1709.806279*627.50956</f>
        <v>-1072919.7858205272</v>
      </c>
      <c r="AI494" s="3">
        <f t="shared" si="376"/>
        <v>-3922.7900455303025</v>
      </c>
      <c r="AJ494" s="3">
        <v>-0.53600000000000003</v>
      </c>
      <c r="AK494" s="3">
        <v>-0.60899999999999999</v>
      </c>
      <c r="AL494" s="3">
        <f t="shared" si="377"/>
        <v>-7.2999999999999954E-2</v>
      </c>
      <c r="AM494" s="3">
        <v>304.72379999999998</v>
      </c>
      <c r="AN494" s="3">
        <v>390.73399999999998</v>
      </c>
      <c r="AO494" s="3">
        <v>547.99239999999998</v>
      </c>
      <c r="AP494" s="3">
        <f t="shared" si="361"/>
        <v>1.2067596955389432</v>
      </c>
      <c r="AQ494" s="3">
        <v>11.256</v>
      </c>
      <c r="AR494" s="3">
        <v>3.0488689999999998</v>
      </c>
      <c r="AS494" s="3">
        <v>-959.76900000000001</v>
      </c>
      <c r="AT494" s="3">
        <v>-958.05</v>
      </c>
      <c r="AU494" s="3">
        <f t="shared" si="382"/>
        <v>-1.7190000000000509</v>
      </c>
      <c r="AV494" s="3">
        <v>-0.317</v>
      </c>
      <c r="AW494" s="3">
        <v>-0.45</v>
      </c>
      <c r="AX494" s="3">
        <f t="shared" si="383"/>
        <v>0.13300000000000001</v>
      </c>
      <c r="AY494" s="3">
        <v>-2.4E-2</v>
      </c>
      <c r="AZ494" s="3">
        <v>0.13500000000000001</v>
      </c>
      <c r="BA494" s="3">
        <f t="shared" si="384"/>
        <v>-0.159</v>
      </c>
      <c r="BB494" s="3">
        <f t="shared" si="391"/>
        <v>0.17050000000000001</v>
      </c>
      <c r="BC494" s="3">
        <f t="shared" si="391"/>
        <v>0.1575</v>
      </c>
      <c r="BD494" s="3">
        <f t="shared" si="385"/>
        <v>1.3000000000000012E-2</v>
      </c>
      <c r="BE494" s="3">
        <f t="shared" si="392"/>
        <v>0.29299999999999998</v>
      </c>
      <c r="BF494" s="3">
        <f t="shared" si="392"/>
        <v>0.58499999999999996</v>
      </c>
      <c r="BG494" s="3">
        <f t="shared" si="386"/>
        <v>-0.29199999999999998</v>
      </c>
      <c r="BH494" s="3">
        <f t="shared" si="393"/>
        <v>-0.17050000000000001</v>
      </c>
      <c r="BI494" s="3">
        <f t="shared" si="393"/>
        <v>-0.1575</v>
      </c>
      <c r="BJ494" s="3">
        <f t="shared" si="356"/>
        <v>-1.3000000000000012E-2</v>
      </c>
      <c r="BK494" s="3">
        <f t="shared" si="353"/>
        <v>4.9607935153583631E-2</v>
      </c>
      <c r="BL494" s="3">
        <f t="shared" si="354"/>
        <v>2.120192307692308E-2</v>
      </c>
      <c r="BM494" s="3">
        <f t="shared" si="387"/>
        <v>2.8406012076660551E-2</v>
      </c>
      <c r="BN494" s="3">
        <v>2.2370000000000001</v>
      </c>
      <c r="BO494" s="3">
        <v>2.431</v>
      </c>
      <c r="BP494" s="3">
        <f t="shared" si="388"/>
        <v>-0.19399999999999995</v>
      </c>
      <c r="BQ494" s="3">
        <v>-602243.07700000005</v>
      </c>
      <c r="BR494" s="3">
        <v>-601163.24300000002</v>
      </c>
      <c r="BS494" s="3">
        <f t="shared" si="389"/>
        <v>-1079.8340000000317</v>
      </c>
      <c r="BT494" s="3">
        <v>-602262.36399999994</v>
      </c>
      <c r="BU494" s="3">
        <v>-601182.38500000001</v>
      </c>
      <c r="BV494" s="3">
        <f t="shared" si="390"/>
        <v>-1079.9789999999339</v>
      </c>
    </row>
    <row r="495" spans="1:74" x14ac:dyDescent="0.25">
      <c r="A495" t="s">
        <v>569</v>
      </c>
      <c r="B495" s="1" t="s">
        <v>646</v>
      </c>
      <c r="C495" s="1" t="s">
        <v>99</v>
      </c>
      <c r="D495" s="3">
        <v>6.08</v>
      </c>
      <c r="E495" s="3">
        <v>1.1000000000000001</v>
      </c>
      <c r="F495" s="3">
        <v>-859.53</v>
      </c>
      <c r="G495" s="3">
        <v>-862.87099999999998</v>
      </c>
      <c r="H495" s="3">
        <f t="shared" si="381"/>
        <v>-3.3410000000000082</v>
      </c>
      <c r="I495" s="3">
        <v>-0.29299999999999998</v>
      </c>
      <c r="J495" s="6">
        <v>-0.217</v>
      </c>
      <c r="K495" s="3">
        <f t="shared" si="365"/>
        <v>7.5999999999999984E-2</v>
      </c>
      <c r="L495" s="3">
        <v>0.111</v>
      </c>
      <c r="M495" s="6">
        <v>-2.8000000000000001E-2</v>
      </c>
      <c r="N495" s="3">
        <f t="shared" si="366"/>
        <v>-0.13900000000000001</v>
      </c>
      <c r="O495" s="3">
        <f t="shared" si="360"/>
        <v>9.0999999999999998E-2</v>
      </c>
      <c r="P495" s="3">
        <f t="shared" si="360"/>
        <v>0.1225</v>
      </c>
      <c r="Q495" s="3">
        <f t="shared" si="367"/>
        <v>3.15E-2</v>
      </c>
      <c r="R495" s="3">
        <f t="shared" si="368"/>
        <v>0.40399999999999997</v>
      </c>
      <c r="S495" s="3">
        <f t="shared" si="369"/>
        <v>0.189</v>
      </c>
      <c r="T495" s="3">
        <f t="shared" si="370"/>
        <v>-0.21499999999999997</v>
      </c>
      <c r="U495" s="3">
        <f t="shared" si="371"/>
        <v>-9.0999999999999998E-2</v>
      </c>
      <c r="V495" s="3">
        <f t="shared" si="372"/>
        <v>-0.1225</v>
      </c>
      <c r="W495" s="3">
        <f t="shared" si="355"/>
        <v>-3.15E-2</v>
      </c>
      <c r="X495" s="3">
        <f t="shared" si="351"/>
        <v>1.0248762376237624E-2</v>
      </c>
      <c r="Y495" s="3">
        <f t="shared" si="352"/>
        <v>3.9699074074074067E-2</v>
      </c>
      <c r="Z495" s="3">
        <f t="shared" si="373"/>
        <v>2.9450311697836441E-2</v>
      </c>
      <c r="AA495" s="3">
        <v>6.51</v>
      </c>
      <c r="AB495" s="3">
        <v>6.63</v>
      </c>
      <c r="AC495" s="3">
        <f t="shared" si="374"/>
        <v>0.12000000000000011</v>
      </c>
      <c r="AD495" s="3">
        <f>-859.363768*627.50956</f>
        <v>-539258.97993762209</v>
      </c>
      <c r="AE495" s="3">
        <f>-862.713368*627.50956</f>
        <v>-541360.885959798</v>
      </c>
      <c r="AF495" s="3">
        <f t="shared" si="375"/>
        <v>-2101.9060221759137</v>
      </c>
      <c r="AG495" s="3">
        <f>-859.407605*627.50956</f>
        <v>-539286.48807420372</v>
      </c>
      <c r="AH495" s="3">
        <f>-862.758374*627.50956</f>
        <v>-541389.12765505537</v>
      </c>
      <c r="AI495" s="3">
        <f t="shared" si="376"/>
        <v>-2102.6395808516536</v>
      </c>
      <c r="AJ495" s="3">
        <v>-0.53300000000000003</v>
      </c>
      <c r="AK495" s="3">
        <v>-0.60899999999999999</v>
      </c>
      <c r="AL495" s="3">
        <f t="shared" si="377"/>
        <v>-7.5999999999999956E-2</v>
      </c>
      <c r="AM495" s="3">
        <v>165.61951999999999</v>
      </c>
      <c r="AN495" s="3">
        <v>213.65663000000001</v>
      </c>
      <c r="AO495" s="3">
        <v>228.8837</v>
      </c>
      <c r="AP495" s="3">
        <f t="shared" si="361"/>
        <v>1.1809433930403104</v>
      </c>
      <c r="AQ495" s="3">
        <v>11.223000000000001</v>
      </c>
      <c r="AR495" s="3">
        <v>2.666318</v>
      </c>
      <c r="AS495" s="3">
        <v>-132.80099999999999</v>
      </c>
      <c r="AT495" s="3">
        <v>-131.97</v>
      </c>
      <c r="AU495" s="3">
        <f t="shared" si="382"/>
        <v>-0.83099999999998886</v>
      </c>
      <c r="AV495" s="3">
        <v>-0.34100000000000003</v>
      </c>
      <c r="AW495" s="3">
        <v>-0.47499999999999998</v>
      </c>
      <c r="AX495" s="3">
        <f t="shared" si="383"/>
        <v>0.13399999999999995</v>
      </c>
      <c r="AY495" s="3">
        <v>2.9000000000000001E-2</v>
      </c>
      <c r="AZ495" s="3">
        <v>0.156</v>
      </c>
      <c r="BA495" s="3">
        <f t="shared" si="384"/>
        <v>-0.127</v>
      </c>
      <c r="BB495" s="3">
        <f t="shared" si="391"/>
        <v>0.156</v>
      </c>
      <c r="BC495" s="3">
        <f t="shared" si="391"/>
        <v>0.15949999999999998</v>
      </c>
      <c r="BD495" s="3">
        <f t="shared" si="385"/>
        <v>-3.4999999999999754E-3</v>
      </c>
      <c r="BE495" s="3">
        <f t="shared" si="392"/>
        <v>0.37000000000000005</v>
      </c>
      <c r="BF495" s="3">
        <f t="shared" si="392"/>
        <v>0.63100000000000001</v>
      </c>
      <c r="BG495" s="3">
        <f t="shared" si="386"/>
        <v>-0.26099999999999995</v>
      </c>
      <c r="BH495" s="3">
        <f t="shared" si="393"/>
        <v>-0.156</v>
      </c>
      <c r="BI495" s="3">
        <f t="shared" si="393"/>
        <v>-0.15949999999999998</v>
      </c>
      <c r="BJ495" s="3">
        <f t="shared" si="356"/>
        <v>3.4999999999999754E-3</v>
      </c>
      <c r="BK495" s="3">
        <f t="shared" si="353"/>
        <v>3.2886486486486483E-2</v>
      </c>
      <c r="BL495" s="3">
        <f t="shared" si="354"/>
        <v>2.0158676703645E-2</v>
      </c>
      <c r="BM495" s="3">
        <f t="shared" si="387"/>
        <v>1.2727809782841482E-2</v>
      </c>
      <c r="BN495" s="3">
        <v>4.7279999999999998</v>
      </c>
      <c r="BO495" s="3">
        <v>4.9340000000000002</v>
      </c>
      <c r="BP495" s="3">
        <f t="shared" si="388"/>
        <v>-0.20600000000000041</v>
      </c>
      <c r="BQ495" s="3">
        <v>-83302.89</v>
      </c>
      <c r="BR495" s="3">
        <v>-82779.224000000002</v>
      </c>
      <c r="BS495" s="3">
        <f t="shared" si="389"/>
        <v>-523.66599999999744</v>
      </c>
      <c r="BT495" s="3">
        <v>-83320.774999999994</v>
      </c>
      <c r="BU495" s="3">
        <v>-82796.997000000003</v>
      </c>
      <c r="BV495" s="3">
        <f t="shared" si="390"/>
        <v>-523.77799999999115</v>
      </c>
    </row>
    <row r="496" spans="1:74" x14ac:dyDescent="0.25">
      <c r="A496" t="s">
        <v>570</v>
      </c>
      <c r="B496" s="1" t="s">
        <v>646</v>
      </c>
      <c r="C496" s="1" t="s">
        <v>99</v>
      </c>
      <c r="D496" s="3">
        <v>6.21</v>
      </c>
      <c r="E496" s="3">
        <v>0.87</v>
      </c>
      <c r="F496" s="3">
        <v>-819.01700000000005</v>
      </c>
      <c r="G496" s="3">
        <v>-824.16099999999994</v>
      </c>
      <c r="H496" s="3">
        <f t="shared" si="381"/>
        <v>-5.1439999999998918</v>
      </c>
      <c r="I496" s="3">
        <v>-0.31900000000000001</v>
      </c>
      <c r="J496" s="6">
        <v>-0.23499999999999999</v>
      </c>
      <c r="K496" s="3">
        <f t="shared" si="365"/>
        <v>8.4000000000000019E-2</v>
      </c>
      <c r="L496" s="3">
        <v>0.10100000000000001</v>
      </c>
      <c r="M496" s="6">
        <v>-4.2999999999999997E-2</v>
      </c>
      <c r="N496" s="3">
        <f t="shared" si="366"/>
        <v>-0.14400000000000002</v>
      </c>
      <c r="O496" s="3">
        <f t="shared" si="360"/>
        <v>0.109</v>
      </c>
      <c r="P496" s="3">
        <f t="shared" si="360"/>
        <v>0.13899999999999998</v>
      </c>
      <c r="Q496" s="3">
        <f t="shared" si="367"/>
        <v>2.9999999999999985E-2</v>
      </c>
      <c r="R496" s="3">
        <f t="shared" si="368"/>
        <v>0.42000000000000004</v>
      </c>
      <c r="S496" s="3">
        <f t="shared" si="369"/>
        <v>0.192</v>
      </c>
      <c r="T496" s="3">
        <f t="shared" si="370"/>
        <v>-0.22800000000000004</v>
      </c>
      <c r="U496" s="3">
        <f t="shared" si="371"/>
        <v>-0.109</v>
      </c>
      <c r="V496" s="3">
        <f t="shared" si="372"/>
        <v>-0.13899999999999998</v>
      </c>
      <c r="W496" s="3">
        <f t="shared" si="355"/>
        <v>-2.9999999999999985E-2</v>
      </c>
      <c r="X496" s="3">
        <f t="shared" si="351"/>
        <v>1.4144047619047617E-2</v>
      </c>
      <c r="Y496" s="3">
        <f t="shared" si="352"/>
        <v>5.0315104166666652E-2</v>
      </c>
      <c r="Z496" s="3">
        <f t="shared" si="373"/>
        <v>3.6171056547619033E-2</v>
      </c>
      <c r="AA496" s="3">
        <v>2.8090000000000002</v>
      </c>
      <c r="AB496" s="3">
        <v>2.395</v>
      </c>
      <c r="AC496" s="3">
        <f t="shared" si="374"/>
        <v>-0.41400000000000015</v>
      </c>
      <c r="AD496" s="3">
        <f>-818.707211*627.50956</f>
        <v>-513746.60174343718</v>
      </c>
      <c r="AE496" s="3">
        <f>-823.869761*627.50956</f>
        <v>-516986.15122241515</v>
      </c>
      <c r="AF496" s="3">
        <f t="shared" si="375"/>
        <v>-3239.5494789779768</v>
      </c>
      <c r="AG496" s="3">
        <f>-818.770408*627.50956</f>
        <v>-513786.25846510043</v>
      </c>
      <c r="AH496" s="3">
        <f>-823.934194*627.50956</f>
        <v>-517026.58354589465</v>
      </c>
      <c r="AI496" s="3">
        <f t="shared" si="376"/>
        <v>-3240.325080794224</v>
      </c>
      <c r="AJ496" s="3">
        <v>-0.35299999999999998</v>
      </c>
      <c r="AK496" s="3">
        <v>-0.38900000000000001</v>
      </c>
      <c r="AL496" s="3">
        <f t="shared" si="377"/>
        <v>-3.6000000000000032E-2</v>
      </c>
      <c r="AM496" s="3">
        <v>253.29580000000001</v>
      </c>
      <c r="AN496" s="3">
        <v>331.53739999999999</v>
      </c>
      <c r="AO496" s="3">
        <v>376.84521000000001</v>
      </c>
      <c r="AP496" s="3">
        <f t="shared" si="361"/>
        <v>1.3142555249583443</v>
      </c>
      <c r="AQ496" s="3">
        <v>13.260999999999999</v>
      </c>
      <c r="AR496" s="3">
        <v>3.3941180000000002</v>
      </c>
      <c r="AS496" s="3">
        <v>-132.80099999999999</v>
      </c>
      <c r="AT496" s="3">
        <v>-131.97</v>
      </c>
      <c r="AU496" s="3">
        <f t="shared" si="382"/>
        <v>-0.83099999999998886</v>
      </c>
      <c r="AV496" s="3">
        <v>-0.34100000000000003</v>
      </c>
      <c r="AW496" s="3">
        <v>-0.47499999999999998</v>
      </c>
      <c r="AX496" s="3">
        <f t="shared" si="383"/>
        <v>0.13399999999999995</v>
      </c>
      <c r="AY496" s="3">
        <v>2.9000000000000001E-2</v>
      </c>
      <c r="AZ496" s="3">
        <v>0.156</v>
      </c>
      <c r="BA496" s="3">
        <f t="shared" si="384"/>
        <v>-0.127</v>
      </c>
      <c r="BB496" s="3">
        <f t="shared" si="391"/>
        <v>0.156</v>
      </c>
      <c r="BC496" s="3">
        <f t="shared" si="391"/>
        <v>0.15949999999999998</v>
      </c>
      <c r="BD496" s="3">
        <f t="shared" si="385"/>
        <v>-3.4999999999999754E-3</v>
      </c>
      <c r="BE496" s="3">
        <f t="shared" si="392"/>
        <v>0.37000000000000005</v>
      </c>
      <c r="BF496" s="3">
        <f t="shared" si="392"/>
        <v>0.63100000000000001</v>
      </c>
      <c r="BG496" s="3">
        <f t="shared" si="386"/>
        <v>-0.26099999999999995</v>
      </c>
      <c r="BH496" s="3">
        <f t="shared" si="393"/>
        <v>-0.156</v>
      </c>
      <c r="BI496" s="3">
        <f t="shared" si="393"/>
        <v>-0.15949999999999998</v>
      </c>
      <c r="BJ496" s="3">
        <f t="shared" si="356"/>
        <v>3.4999999999999754E-3</v>
      </c>
      <c r="BK496" s="3">
        <f t="shared" si="353"/>
        <v>3.2886486486486483E-2</v>
      </c>
      <c r="BL496" s="3">
        <f t="shared" si="354"/>
        <v>2.0158676703645E-2</v>
      </c>
      <c r="BM496" s="3">
        <f t="shared" si="387"/>
        <v>1.2727809782841482E-2</v>
      </c>
      <c r="BN496" s="3">
        <v>4.7279999999999998</v>
      </c>
      <c r="BO496" s="3">
        <v>4.9340000000000002</v>
      </c>
      <c r="BP496" s="3">
        <f t="shared" si="388"/>
        <v>-0.20600000000000041</v>
      </c>
      <c r="BQ496" s="3">
        <v>-83302.89</v>
      </c>
      <c r="BR496" s="3">
        <v>-82779.224000000002</v>
      </c>
      <c r="BS496" s="3">
        <f t="shared" si="389"/>
        <v>-523.66599999999744</v>
      </c>
      <c r="BT496" s="3">
        <v>-83320.774999999994</v>
      </c>
      <c r="BU496" s="3">
        <v>-82796.997000000003</v>
      </c>
      <c r="BV496" s="3">
        <f t="shared" si="390"/>
        <v>-523.77799999999115</v>
      </c>
    </row>
    <row r="497" spans="1:74" x14ac:dyDescent="0.25">
      <c r="A497" t="s">
        <v>571</v>
      </c>
      <c r="B497" s="1" t="s">
        <v>646</v>
      </c>
      <c r="C497" s="1" t="s">
        <v>103</v>
      </c>
      <c r="D497" s="3">
        <v>6.22</v>
      </c>
      <c r="E497" s="3">
        <v>0.96</v>
      </c>
      <c r="F497" s="3">
        <v>-789.85299999999995</v>
      </c>
      <c r="G497" s="3">
        <v>-793.75099999999998</v>
      </c>
      <c r="H497" s="3">
        <f t="shared" si="381"/>
        <v>-3.8980000000000246</v>
      </c>
      <c r="I497" s="3">
        <v>-0.312</v>
      </c>
      <c r="J497" s="6">
        <v>-0.22600000000000001</v>
      </c>
      <c r="K497" s="3">
        <f t="shared" si="365"/>
        <v>8.5999999999999993E-2</v>
      </c>
      <c r="L497" s="3">
        <v>0.104</v>
      </c>
      <c r="M497" s="6">
        <v>-3.7999999999999999E-2</v>
      </c>
      <c r="N497" s="3">
        <f t="shared" si="366"/>
        <v>-0.14199999999999999</v>
      </c>
      <c r="O497" s="3">
        <f t="shared" si="360"/>
        <v>0.10400000000000001</v>
      </c>
      <c r="P497" s="3">
        <f t="shared" si="360"/>
        <v>0.13200000000000001</v>
      </c>
      <c r="Q497" s="3">
        <f t="shared" si="367"/>
        <v>2.7999999999999997E-2</v>
      </c>
      <c r="R497" s="3">
        <f t="shared" si="368"/>
        <v>0.41599999999999998</v>
      </c>
      <c r="S497" s="3">
        <f t="shared" si="369"/>
        <v>0.188</v>
      </c>
      <c r="T497" s="3">
        <f t="shared" si="370"/>
        <v>-0.22799999999999998</v>
      </c>
      <c r="U497" s="3">
        <f t="shared" si="371"/>
        <v>-0.10400000000000001</v>
      </c>
      <c r="V497" s="3">
        <f t="shared" si="372"/>
        <v>-0.13200000000000001</v>
      </c>
      <c r="W497" s="3">
        <f t="shared" si="355"/>
        <v>-2.7999999999999997E-2</v>
      </c>
      <c r="X497" s="3">
        <f t="shared" si="351"/>
        <v>1.3000000000000005E-2</v>
      </c>
      <c r="Y497" s="3">
        <f t="shared" si="352"/>
        <v>4.6340425531914899E-2</v>
      </c>
      <c r="Z497" s="3">
        <f t="shared" si="373"/>
        <v>3.3340425531914894E-2</v>
      </c>
      <c r="AA497" s="3">
        <v>0.96699999999999997</v>
      </c>
      <c r="AB497" s="3">
        <v>1.3480000000000001</v>
      </c>
      <c r="AC497" s="3">
        <f t="shared" si="374"/>
        <v>0.38100000000000012</v>
      </c>
      <c r="AD497" s="3">
        <f>-789.58488*627.50956</f>
        <v>-495472.06063145277</v>
      </c>
      <c r="AE497" s="3">
        <f>-793.49642*627.50956</f>
        <v>-497926.58937577513</v>
      </c>
      <c r="AF497" s="3">
        <f t="shared" si="375"/>
        <v>-2454.5287443223642</v>
      </c>
      <c r="AG497" s="3">
        <f>-789.643021*627.50956</f>
        <v>-495508.54466478073</v>
      </c>
      <c r="AH497" s="3">
        <f>-793.556674*627.50956</f>
        <v>-497964.39933680341</v>
      </c>
      <c r="AI497" s="3">
        <f t="shared" si="376"/>
        <v>-2455.8546720226877</v>
      </c>
      <c r="AJ497" s="3">
        <v>-0.48799999999999999</v>
      </c>
      <c r="AK497" s="3">
        <v>-0.48699999999999999</v>
      </c>
      <c r="AL497" s="3">
        <f t="shared" si="377"/>
        <v>1.0000000000000009E-3</v>
      </c>
      <c r="AM497" s="3">
        <v>192.3296</v>
      </c>
      <c r="AN497" s="3">
        <v>281.2276</v>
      </c>
      <c r="AO497" s="3">
        <v>323.18428</v>
      </c>
      <c r="AP497" s="3">
        <f t="shared" si="361"/>
        <v>1.235038242527942</v>
      </c>
      <c r="AQ497" s="3">
        <v>12.144</v>
      </c>
      <c r="AR497" s="3">
        <v>2.9537469999999999</v>
      </c>
      <c r="AS497" s="3">
        <v>-959.76900000000001</v>
      </c>
      <c r="AT497" s="3">
        <v>-958.05</v>
      </c>
      <c r="AU497" s="3">
        <f t="shared" si="382"/>
        <v>-1.7190000000000509</v>
      </c>
      <c r="AV497" s="3">
        <v>-0.317</v>
      </c>
      <c r="AW497" s="3">
        <v>-0.45</v>
      </c>
      <c r="AX497" s="3">
        <f t="shared" si="383"/>
        <v>0.13300000000000001</v>
      </c>
      <c r="AY497" s="3">
        <v>-2.4E-2</v>
      </c>
      <c r="AZ497" s="3">
        <v>0.13500000000000001</v>
      </c>
      <c r="BA497" s="3">
        <f t="shared" si="384"/>
        <v>-0.159</v>
      </c>
      <c r="BB497" s="3">
        <f t="shared" si="391"/>
        <v>0.17050000000000001</v>
      </c>
      <c r="BC497" s="3">
        <f t="shared" si="391"/>
        <v>0.1575</v>
      </c>
      <c r="BD497" s="3">
        <f t="shared" si="385"/>
        <v>1.3000000000000012E-2</v>
      </c>
      <c r="BE497" s="3">
        <f t="shared" si="392"/>
        <v>0.29299999999999998</v>
      </c>
      <c r="BF497" s="3">
        <f t="shared" si="392"/>
        <v>0.58499999999999996</v>
      </c>
      <c r="BG497" s="3">
        <f t="shared" si="386"/>
        <v>-0.29199999999999998</v>
      </c>
      <c r="BH497" s="3">
        <f t="shared" si="393"/>
        <v>-0.17050000000000001</v>
      </c>
      <c r="BI497" s="3">
        <f t="shared" si="393"/>
        <v>-0.1575</v>
      </c>
      <c r="BJ497" s="3">
        <f t="shared" si="356"/>
        <v>-1.3000000000000012E-2</v>
      </c>
      <c r="BK497" s="3">
        <f t="shared" si="353"/>
        <v>4.9607935153583631E-2</v>
      </c>
      <c r="BL497" s="3">
        <f t="shared" si="354"/>
        <v>2.120192307692308E-2</v>
      </c>
      <c r="BM497" s="3">
        <f t="shared" si="387"/>
        <v>2.8406012076660551E-2</v>
      </c>
      <c r="BN497" s="3">
        <v>2.2370000000000001</v>
      </c>
      <c r="BO497" s="3">
        <v>2.431</v>
      </c>
      <c r="BP497" s="3">
        <f t="shared" si="388"/>
        <v>-0.19399999999999995</v>
      </c>
      <c r="BQ497" s="3">
        <v>-602243.07700000005</v>
      </c>
      <c r="BR497" s="3">
        <v>-601163.24300000002</v>
      </c>
      <c r="BS497" s="3">
        <f t="shared" si="389"/>
        <v>-1079.8340000000317</v>
      </c>
      <c r="BT497" s="3">
        <v>-602262.36399999994</v>
      </c>
      <c r="BU497" s="3">
        <v>-601182.38500000001</v>
      </c>
      <c r="BV497" s="3">
        <f t="shared" si="390"/>
        <v>-1079.9789999999339</v>
      </c>
    </row>
    <row r="498" spans="1:74" x14ac:dyDescent="0.25">
      <c r="A498" t="s">
        <v>572</v>
      </c>
      <c r="B498" s="1" t="s">
        <v>646</v>
      </c>
      <c r="C498" s="1" t="s">
        <v>103</v>
      </c>
      <c r="D498" s="3">
        <v>6.22</v>
      </c>
      <c r="E498" s="3">
        <v>1.1200000000000001</v>
      </c>
      <c r="F498" s="3">
        <v>-475.46199999999999</v>
      </c>
      <c r="G498" s="3">
        <v>-478.46699999999998</v>
      </c>
      <c r="H498" s="3">
        <f t="shared" si="381"/>
        <v>-3.0049999999999955</v>
      </c>
      <c r="I498" s="3">
        <v>-0.28599999999999998</v>
      </c>
      <c r="J498" s="6">
        <v>-0.20399999999999999</v>
      </c>
      <c r="K498" s="3">
        <f t="shared" si="365"/>
        <v>8.199999999999999E-2</v>
      </c>
      <c r="L498" s="3">
        <v>0.115</v>
      </c>
      <c r="M498" s="6">
        <v>-2.1999999999999999E-2</v>
      </c>
      <c r="N498" s="3">
        <f t="shared" si="366"/>
        <v>-0.13700000000000001</v>
      </c>
      <c r="O498" s="3">
        <f t="shared" si="360"/>
        <v>8.5499999999999993E-2</v>
      </c>
      <c r="P498" s="3">
        <f t="shared" si="360"/>
        <v>0.11299999999999999</v>
      </c>
      <c r="Q498" s="3">
        <f t="shared" si="367"/>
        <v>2.7499999999999997E-2</v>
      </c>
      <c r="R498" s="3">
        <f t="shared" si="368"/>
        <v>0.40099999999999997</v>
      </c>
      <c r="S498" s="3">
        <f t="shared" si="369"/>
        <v>0.182</v>
      </c>
      <c r="T498" s="3">
        <f t="shared" si="370"/>
        <v>-0.21899999999999997</v>
      </c>
      <c r="U498" s="3">
        <f t="shared" si="371"/>
        <v>-8.5499999999999993E-2</v>
      </c>
      <c r="V498" s="3">
        <f t="shared" si="372"/>
        <v>-0.11299999999999999</v>
      </c>
      <c r="W498" s="3">
        <f t="shared" si="355"/>
        <v>-2.7499999999999997E-2</v>
      </c>
      <c r="X498" s="3">
        <f t="shared" si="351"/>
        <v>9.1150249376558603E-3</v>
      </c>
      <c r="Y498" s="3">
        <f t="shared" si="352"/>
        <v>3.5079670329670326E-2</v>
      </c>
      <c r="Z498" s="3">
        <f t="shared" si="373"/>
        <v>2.5964645392014464E-2</v>
      </c>
      <c r="AA498" s="3">
        <v>3.6139999999999999</v>
      </c>
      <c r="AB498" s="3">
        <v>3.4630000000000001</v>
      </c>
      <c r="AC498" s="3">
        <f t="shared" si="374"/>
        <v>-0.1509999999999998</v>
      </c>
      <c r="AD498" s="3">
        <f>-475.280193*627.50956</f>
        <v>-298242.86478614504</v>
      </c>
      <c r="AE498" s="3">
        <f>-478.295372*627.50956</f>
        <v>-300134.91843375628</v>
      </c>
      <c r="AF498" s="3">
        <f t="shared" si="375"/>
        <v>-1892.053647611232</v>
      </c>
      <c r="AG498" s="3">
        <f>-475.323474*627.50956</f>
        <v>-298270.02402741142</v>
      </c>
      <c r="AH498" s="3">
        <f>-478.339258*627.50956</f>
        <v>-300162.45731830643</v>
      </c>
      <c r="AI498" s="3">
        <f t="shared" si="376"/>
        <v>-1892.4332908950164</v>
      </c>
      <c r="AJ498" s="3">
        <v>-0.33</v>
      </c>
      <c r="AK498" s="3">
        <v>-0.314</v>
      </c>
      <c r="AL498" s="3">
        <f t="shared" si="377"/>
        <v>1.6000000000000014E-2</v>
      </c>
      <c r="AM498" s="3">
        <v>147.17385999999999</v>
      </c>
      <c r="AN498" s="3">
        <v>206.48820000000001</v>
      </c>
      <c r="AO498" s="3">
        <v>220.57239999999999</v>
      </c>
      <c r="AP498" s="3">
        <f t="shared" si="361"/>
        <v>1.1698147052378127</v>
      </c>
      <c r="AQ498" s="3">
        <v>11.337999999999999</v>
      </c>
      <c r="AR498" s="3">
        <v>2.4297578999999998</v>
      </c>
      <c r="AS498" s="3">
        <v>-959.76900000000001</v>
      </c>
      <c r="AT498" s="3">
        <v>-958.05</v>
      </c>
      <c r="AU498" s="3">
        <f t="shared" si="382"/>
        <v>-1.7190000000000509</v>
      </c>
      <c r="AV498" s="3">
        <v>-0.317</v>
      </c>
      <c r="AW498" s="3">
        <v>-0.45</v>
      </c>
      <c r="AX498" s="3">
        <f t="shared" si="383"/>
        <v>0.13300000000000001</v>
      </c>
      <c r="AY498" s="3">
        <v>-2.4E-2</v>
      </c>
      <c r="AZ498" s="3">
        <v>0.13500000000000001</v>
      </c>
      <c r="BA498" s="3">
        <f t="shared" si="384"/>
        <v>-0.159</v>
      </c>
      <c r="BB498" s="3">
        <f t="shared" si="391"/>
        <v>0.17050000000000001</v>
      </c>
      <c r="BC498" s="3">
        <f t="shared" si="391"/>
        <v>0.1575</v>
      </c>
      <c r="BD498" s="3">
        <f t="shared" si="385"/>
        <v>1.3000000000000012E-2</v>
      </c>
      <c r="BE498" s="3">
        <f t="shared" si="392"/>
        <v>0.29299999999999998</v>
      </c>
      <c r="BF498" s="3">
        <f t="shared" si="392"/>
        <v>0.58499999999999996</v>
      </c>
      <c r="BG498" s="3">
        <f t="shared" si="386"/>
        <v>-0.29199999999999998</v>
      </c>
      <c r="BH498" s="3">
        <f t="shared" si="393"/>
        <v>-0.17050000000000001</v>
      </c>
      <c r="BI498" s="3">
        <f t="shared" si="393"/>
        <v>-0.1575</v>
      </c>
      <c r="BJ498" s="3">
        <f t="shared" si="356"/>
        <v>-1.3000000000000012E-2</v>
      </c>
      <c r="BK498" s="3">
        <f t="shared" si="353"/>
        <v>4.9607935153583631E-2</v>
      </c>
      <c r="BL498" s="3">
        <f t="shared" si="354"/>
        <v>2.120192307692308E-2</v>
      </c>
      <c r="BM498" s="3">
        <f t="shared" si="387"/>
        <v>2.8406012076660551E-2</v>
      </c>
      <c r="BN498" s="3">
        <v>2.2370000000000001</v>
      </c>
      <c r="BO498" s="3">
        <v>2.431</v>
      </c>
      <c r="BP498" s="3">
        <f t="shared" si="388"/>
        <v>-0.19399999999999995</v>
      </c>
      <c r="BQ498" s="3">
        <v>-602243.07700000005</v>
      </c>
      <c r="BR498" s="3">
        <v>-601163.24300000002</v>
      </c>
      <c r="BS498" s="3">
        <f t="shared" si="389"/>
        <v>-1079.8340000000317</v>
      </c>
      <c r="BT498" s="3">
        <v>-602262.36399999994</v>
      </c>
      <c r="BU498" s="3">
        <v>-601182.38500000001</v>
      </c>
      <c r="BV498" s="3">
        <f t="shared" si="390"/>
        <v>-1079.9789999999339</v>
      </c>
    </row>
    <row r="499" spans="1:74" x14ac:dyDescent="0.25">
      <c r="A499" t="s">
        <v>573</v>
      </c>
      <c r="B499" s="1" t="s">
        <v>646</v>
      </c>
      <c r="C499" s="1" t="s">
        <v>99</v>
      </c>
      <c r="D499" s="3">
        <v>6.24</v>
      </c>
      <c r="E499" s="3">
        <v>1</v>
      </c>
      <c r="F499" s="3">
        <v>-1572.0519999999999</v>
      </c>
      <c r="G499" s="3">
        <v>-1579.6469999999999</v>
      </c>
      <c r="H499" s="3">
        <f t="shared" si="381"/>
        <v>-7.5950000000000273</v>
      </c>
      <c r="I499" s="3">
        <v>-0.30099999999999999</v>
      </c>
      <c r="J499" s="6">
        <v>-0.214</v>
      </c>
      <c r="K499" s="3">
        <f t="shared" si="365"/>
        <v>8.6999999999999994E-2</v>
      </c>
      <c r="L499" s="3">
        <v>4.2999999999999997E-2</v>
      </c>
      <c r="M499" s="6">
        <v>-2.4E-2</v>
      </c>
      <c r="N499" s="3">
        <f t="shared" si="366"/>
        <v>-6.7000000000000004E-2</v>
      </c>
      <c r="O499" s="3">
        <f t="shared" si="360"/>
        <v>0.129</v>
      </c>
      <c r="P499" s="3">
        <f t="shared" si="360"/>
        <v>0.11899999999999999</v>
      </c>
      <c r="Q499" s="3">
        <f t="shared" si="367"/>
        <v>-1.0000000000000009E-2</v>
      </c>
      <c r="R499" s="3">
        <f t="shared" si="368"/>
        <v>0.34399999999999997</v>
      </c>
      <c r="S499" s="3">
        <f t="shared" si="369"/>
        <v>0.19</v>
      </c>
      <c r="T499" s="3">
        <f t="shared" si="370"/>
        <v>-0.15399999999999997</v>
      </c>
      <c r="U499" s="3">
        <f t="shared" si="371"/>
        <v>-0.129</v>
      </c>
      <c r="V499" s="3">
        <f t="shared" si="372"/>
        <v>-0.11899999999999999</v>
      </c>
      <c r="W499" s="3">
        <f t="shared" si="355"/>
        <v>1.0000000000000009E-2</v>
      </c>
      <c r="X499" s="3">
        <f t="shared" si="351"/>
        <v>2.4187500000000001E-2</v>
      </c>
      <c r="Y499" s="3">
        <f t="shared" si="352"/>
        <v>3.7265789473684204E-2</v>
      </c>
      <c r="Z499" s="3">
        <f t="shared" si="373"/>
        <v>1.3078289473684203E-2</v>
      </c>
      <c r="AA499" s="3">
        <v>15.189</v>
      </c>
      <c r="AB499" s="3">
        <v>14.93</v>
      </c>
      <c r="AC499" s="3">
        <f t="shared" si="374"/>
        <v>-0.25900000000000034</v>
      </c>
      <c r="AD499" s="3">
        <f>-1571.641348*627.50956</f>
        <v>-986219.97076128691</v>
      </c>
      <c r="AE499" s="3">
        <f>-1579.26011*627.50956</f>
        <v>-991000.81675165147</v>
      </c>
      <c r="AF499" s="3">
        <f t="shared" si="375"/>
        <v>-4780.8459903645562</v>
      </c>
      <c r="AG499" s="3">
        <f>-1571.722398*627.50956</f>
        <v>-986270.83041112486</v>
      </c>
      <c r="AH499" s="3">
        <f>-1579.344458*627.50956</f>
        <v>-991053.74592801847</v>
      </c>
      <c r="AI499" s="3">
        <f t="shared" si="376"/>
        <v>-4782.9155168936122</v>
      </c>
      <c r="AJ499" s="3">
        <v>-0.27300000000000002</v>
      </c>
      <c r="AK499" s="3">
        <v>-0.46200000000000002</v>
      </c>
      <c r="AL499" s="3">
        <f t="shared" si="377"/>
        <v>-0.189</v>
      </c>
      <c r="AM499" s="3">
        <v>376.17034000000001</v>
      </c>
      <c r="AN499" s="3">
        <v>401.90179999999998</v>
      </c>
      <c r="AO499" s="3">
        <v>522.1576</v>
      </c>
      <c r="AP499" s="3">
        <f t="shared" si="361"/>
        <v>1.2818626669500597</v>
      </c>
      <c r="AQ499" s="3">
        <v>14.416</v>
      </c>
      <c r="AR499" s="3">
        <v>3.8975764000000002</v>
      </c>
      <c r="AS499" s="3">
        <v>-132.80099999999999</v>
      </c>
      <c r="AT499" s="3">
        <v>-131.97</v>
      </c>
      <c r="AU499" s="3">
        <f t="shared" si="382"/>
        <v>-0.83099999999998886</v>
      </c>
      <c r="AV499" s="3">
        <v>-0.34100000000000003</v>
      </c>
      <c r="AW499" s="3">
        <v>-0.47499999999999998</v>
      </c>
      <c r="AX499" s="3">
        <f t="shared" si="383"/>
        <v>0.13399999999999995</v>
      </c>
      <c r="AY499" s="3">
        <v>2.9000000000000001E-2</v>
      </c>
      <c r="AZ499" s="3">
        <v>0.156</v>
      </c>
      <c r="BA499" s="3">
        <f t="shared" si="384"/>
        <v>-0.127</v>
      </c>
      <c r="BB499" s="3">
        <f t="shared" si="391"/>
        <v>0.156</v>
      </c>
      <c r="BC499" s="3">
        <f t="shared" si="391"/>
        <v>0.15949999999999998</v>
      </c>
      <c r="BD499" s="3">
        <f t="shared" si="385"/>
        <v>-3.4999999999999754E-3</v>
      </c>
      <c r="BE499" s="3">
        <f t="shared" si="392"/>
        <v>0.37000000000000005</v>
      </c>
      <c r="BF499" s="3">
        <f t="shared" si="392"/>
        <v>0.63100000000000001</v>
      </c>
      <c r="BG499" s="3">
        <f t="shared" si="386"/>
        <v>-0.26099999999999995</v>
      </c>
      <c r="BH499" s="3">
        <f t="shared" si="393"/>
        <v>-0.156</v>
      </c>
      <c r="BI499" s="3">
        <f t="shared" si="393"/>
        <v>-0.15949999999999998</v>
      </c>
      <c r="BJ499" s="3">
        <f t="shared" si="356"/>
        <v>3.4999999999999754E-3</v>
      </c>
      <c r="BK499" s="3">
        <f t="shared" si="353"/>
        <v>3.2886486486486483E-2</v>
      </c>
      <c r="BL499" s="3">
        <f t="shared" si="354"/>
        <v>2.0158676703645E-2</v>
      </c>
      <c r="BM499" s="3">
        <f t="shared" si="387"/>
        <v>1.2727809782841482E-2</v>
      </c>
      <c r="BN499" s="3">
        <v>4.7279999999999998</v>
      </c>
      <c r="BO499" s="3">
        <v>4.9340000000000002</v>
      </c>
      <c r="BP499" s="3">
        <f t="shared" si="388"/>
        <v>-0.20600000000000041</v>
      </c>
      <c r="BQ499" s="3">
        <v>-83302.89</v>
      </c>
      <c r="BR499" s="3">
        <v>-82779.224000000002</v>
      </c>
      <c r="BS499" s="3">
        <f t="shared" si="389"/>
        <v>-523.66599999999744</v>
      </c>
      <c r="BT499" s="3">
        <v>-83320.774999999994</v>
      </c>
      <c r="BU499" s="3">
        <v>-82796.997000000003</v>
      </c>
      <c r="BV499" s="3">
        <f t="shared" si="390"/>
        <v>-523.77799999999115</v>
      </c>
    </row>
    <row r="500" spans="1:74" x14ac:dyDescent="0.25">
      <c r="A500" t="s">
        <v>574</v>
      </c>
      <c r="B500" s="1" t="s">
        <v>646</v>
      </c>
      <c r="C500" s="1" t="s">
        <v>99</v>
      </c>
      <c r="D500" s="3">
        <v>6.28</v>
      </c>
      <c r="E500" s="3">
        <v>0.95</v>
      </c>
      <c r="F500" s="3">
        <v>-667.21299999999997</v>
      </c>
      <c r="G500" s="3">
        <v>-671.48400000000004</v>
      </c>
      <c r="H500" s="3">
        <f t="shared" si="381"/>
        <v>-4.2710000000000719</v>
      </c>
      <c r="I500" s="3">
        <v>-0.29599999999999999</v>
      </c>
      <c r="J500" s="6">
        <v>-0.22500000000000001</v>
      </c>
      <c r="K500" s="3">
        <f t="shared" si="365"/>
        <v>7.099999999999998E-2</v>
      </c>
      <c r="L500" s="3">
        <v>7.5999999999999998E-2</v>
      </c>
      <c r="M500" s="6">
        <v>-6.2E-2</v>
      </c>
      <c r="N500" s="3">
        <f t="shared" si="366"/>
        <v>-0.13800000000000001</v>
      </c>
      <c r="O500" s="3">
        <f t="shared" si="360"/>
        <v>0.10999999999999999</v>
      </c>
      <c r="P500" s="3">
        <f t="shared" si="360"/>
        <v>0.14350000000000002</v>
      </c>
      <c r="Q500" s="3">
        <f t="shared" si="367"/>
        <v>3.350000000000003E-2</v>
      </c>
      <c r="R500" s="3">
        <f t="shared" si="368"/>
        <v>0.372</v>
      </c>
      <c r="S500" s="3">
        <f t="shared" si="369"/>
        <v>0.16300000000000001</v>
      </c>
      <c r="T500" s="3">
        <f t="shared" si="370"/>
        <v>-0.20899999999999999</v>
      </c>
      <c r="U500" s="3">
        <f t="shared" si="371"/>
        <v>-0.10999999999999999</v>
      </c>
      <c r="V500" s="3">
        <f t="shared" si="372"/>
        <v>-0.14350000000000002</v>
      </c>
      <c r="W500" s="3">
        <f t="shared" si="355"/>
        <v>-3.350000000000003E-2</v>
      </c>
      <c r="X500" s="3">
        <f t="shared" si="351"/>
        <v>1.6263440860215053E-2</v>
      </c>
      <c r="Y500" s="3">
        <f t="shared" si="352"/>
        <v>6.3166411042944806E-2</v>
      </c>
      <c r="Z500" s="3">
        <f t="shared" si="373"/>
        <v>4.690297018272975E-2</v>
      </c>
      <c r="AA500" s="3">
        <v>4.8330000000000002</v>
      </c>
      <c r="AB500" s="3">
        <v>4.4349999999999996</v>
      </c>
      <c r="AC500" s="3">
        <f t="shared" si="374"/>
        <v>-0.39800000000000058</v>
      </c>
      <c r="AD500" s="3">
        <f>-666.948681*627.50956</f>
        <v>-418516.67335689033</v>
      </c>
      <c r="AE500" s="3">
        <f>-671.235126*627.50956</f>
        <v>-421206.45857280458</v>
      </c>
      <c r="AF500" s="3">
        <f t="shared" si="375"/>
        <v>-2689.7852159142494</v>
      </c>
      <c r="AG500" s="3">
        <f>-667.003726*627.50956</f>
        <v>-418551.21462062054</v>
      </c>
      <c r="AH500" s="3">
        <f>-671.2915*627.50956</f>
        <v>-421241.83379673999</v>
      </c>
      <c r="AI500" s="3">
        <f t="shared" si="376"/>
        <v>-2690.6191761194495</v>
      </c>
      <c r="AJ500" s="3">
        <v>-0.61</v>
      </c>
      <c r="AK500" s="3">
        <v>-0.67600000000000005</v>
      </c>
      <c r="AL500" s="3">
        <f t="shared" si="377"/>
        <v>-6.6000000000000059E-2</v>
      </c>
      <c r="AM500" s="3">
        <v>211.25912</v>
      </c>
      <c r="AN500" s="3">
        <v>276.42115999999999</v>
      </c>
      <c r="AO500" s="3">
        <v>318.86059999999998</v>
      </c>
      <c r="AP500" s="3">
        <f t="shared" si="361"/>
        <v>1.2248793966473177</v>
      </c>
      <c r="AQ500" s="3">
        <v>11.952</v>
      </c>
      <c r="AR500" s="3">
        <v>3.0487700000000002</v>
      </c>
      <c r="AS500" s="3">
        <v>-132.80099999999999</v>
      </c>
      <c r="AT500" s="3">
        <v>-131.97</v>
      </c>
      <c r="AU500" s="3">
        <f t="shared" si="382"/>
        <v>-0.83099999999998886</v>
      </c>
      <c r="AV500" s="3">
        <v>-0.34100000000000003</v>
      </c>
      <c r="AW500" s="3">
        <v>-0.47499999999999998</v>
      </c>
      <c r="AX500" s="3">
        <f t="shared" si="383"/>
        <v>0.13399999999999995</v>
      </c>
      <c r="AY500" s="3">
        <v>2.9000000000000001E-2</v>
      </c>
      <c r="AZ500" s="3">
        <v>0.156</v>
      </c>
      <c r="BA500" s="3">
        <f t="shared" si="384"/>
        <v>-0.127</v>
      </c>
      <c r="BB500" s="3">
        <f t="shared" si="391"/>
        <v>0.156</v>
      </c>
      <c r="BC500" s="3">
        <f t="shared" si="391"/>
        <v>0.15949999999999998</v>
      </c>
      <c r="BD500" s="3">
        <f t="shared" si="385"/>
        <v>-3.4999999999999754E-3</v>
      </c>
      <c r="BE500" s="3">
        <f t="shared" si="392"/>
        <v>0.37000000000000005</v>
      </c>
      <c r="BF500" s="3">
        <f t="shared" si="392"/>
        <v>0.63100000000000001</v>
      </c>
      <c r="BG500" s="3">
        <f t="shared" si="386"/>
        <v>-0.26099999999999995</v>
      </c>
      <c r="BH500" s="3">
        <f t="shared" si="393"/>
        <v>-0.156</v>
      </c>
      <c r="BI500" s="3">
        <f t="shared" si="393"/>
        <v>-0.15949999999999998</v>
      </c>
      <c r="BJ500" s="3">
        <f t="shared" si="356"/>
        <v>3.4999999999999754E-3</v>
      </c>
      <c r="BK500" s="3">
        <f t="shared" si="353"/>
        <v>3.2886486486486483E-2</v>
      </c>
      <c r="BL500" s="3">
        <f t="shared" si="354"/>
        <v>2.0158676703645E-2</v>
      </c>
      <c r="BM500" s="3">
        <f t="shared" si="387"/>
        <v>1.2727809782841482E-2</v>
      </c>
      <c r="BN500" s="3">
        <v>4.7279999999999998</v>
      </c>
      <c r="BO500" s="3">
        <v>4.9340000000000002</v>
      </c>
      <c r="BP500" s="3">
        <f t="shared" si="388"/>
        <v>-0.20600000000000041</v>
      </c>
      <c r="BQ500" s="3">
        <v>-83302.89</v>
      </c>
      <c r="BR500" s="3">
        <v>-82779.224000000002</v>
      </c>
      <c r="BS500" s="3">
        <f t="shared" si="389"/>
        <v>-523.66599999999744</v>
      </c>
      <c r="BT500" s="3">
        <v>-83320.774999999994</v>
      </c>
      <c r="BU500" s="3">
        <v>-82796.997000000003</v>
      </c>
      <c r="BV500" s="3">
        <f t="shared" si="390"/>
        <v>-523.77799999999115</v>
      </c>
    </row>
    <row r="501" spans="1:74" x14ac:dyDescent="0.25">
      <c r="A501" t="s">
        <v>575</v>
      </c>
      <c r="B501" s="1" t="s">
        <v>646</v>
      </c>
      <c r="C501" s="1" t="s">
        <v>99</v>
      </c>
      <c r="D501" s="3">
        <v>6.3</v>
      </c>
      <c r="E501" s="3">
        <v>0.78</v>
      </c>
      <c r="F501" s="3">
        <v>-1626.1959999999999</v>
      </c>
      <c r="G501" s="3">
        <v>-1635.3340000000001</v>
      </c>
      <c r="H501" s="3">
        <f t="shared" si="381"/>
        <v>-9.1380000000001473</v>
      </c>
      <c r="I501" s="3">
        <v>-0.315</v>
      </c>
      <c r="J501" s="6">
        <v>-0.21099999999999999</v>
      </c>
      <c r="K501" s="3">
        <f t="shared" si="365"/>
        <v>0.10400000000000001</v>
      </c>
      <c r="L501" s="3">
        <v>4.2000000000000003E-2</v>
      </c>
      <c r="M501" s="6">
        <v>-3.7999999999999999E-2</v>
      </c>
      <c r="N501" s="3">
        <f t="shared" si="366"/>
        <v>-0.08</v>
      </c>
      <c r="O501" s="3">
        <f t="shared" si="360"/>
        <v>0.13650000000000001</v>
      </c>
      <c r="P501" s="3">
        <f t="shared" si="360"/>
        <v>0.1245</v>
      </c>
      <c r="Q501" s="3">
        <f t="shared" si="367"/>
        <v>-1.2000000000000011E-2</v>
      </c>
      <c r="R501" s="3">
        <f t="shared" si="368"/>
        <v>0.35699999999999998</v>
      </c>
      <c r="S501" s="3">
        <f t="shared" si="369"/>
        <v>0.17299999999999999</v>
      </c>
      <c r="T501" s="3">
        <f t="shared" si="370"/>
        <v>-0.184</v>
      </c>
      <c r="U501" s="3">
        <f t="shared" si="371"/>
        <v>-0.13650000000000001</v>
      </c>
      <c r="V501" s="3">
        <f t="shared" si="372"/>
        <v>-0.1245</v>
      </c>
      <c r="W501" s="3">
        <f t="shared" si="355"/>
        <v>1.2000000000000011E-2</v>
      </c>
      <c r="X501" s="3">
        <f t="shared" si="351"/>
        <v>2.6095588235294124E-2</v>
      </c>
      <c r="Y501" s="3">
        <f t="shared" si="352"/>
        <v>4.4798410404624282E-2</v>
      </c>
      <c r="Z501" s="3">
        <f t="shared" si="373"/>
        <v>1.8702822169330158E-2</v>
      </c>
      <c r="AA501" s="3">
        <v>15.161</v>
      </c>
      <c r="AB501" s="3">
        <v>15.01</v>
      </c>
      <c r="AC501" s="3">
        <f t="shared" si="374"/>
        <v>-0.1509999999999998</v>
      </c>
      <c r="AD501" s="3">
        <f>-1625.709363*627.50956</f>
        <v>-1020148.1670640102</v>
      </c>
      <c r="AE501" s="3">
        <f>-1634.876293*627.50956</f>
        <v>-1025900.503274861</v>
      </c>
      <c r="AF501" s="3">
        <f t="shared" si="375"/>
        <v>-5752.3362108508591</v>
      </c>
      <c r="AG501" s="3">
        <f>-1625.803353*627.50956</f>
        <v>-1020207.1466875547</v>
      </c>
      <c r="AH501" s="3">
        <f>-1634.973131*627.50956</f>
        <v>-1025961.2700456323</v>
      </c>
      <c r="AI501" s="3">
        <f t="shared" si="376"/>
        <v>-5754.1233580776025</v>
      </c>
      <c r="AJ501" s="3">
        <v>-0.64900000000000002</v>
      </c>
      <c r="AK501" s="3">
        <v>-0.68500000000000005</v>
      </c>
      <c r="AL501" s="3">
        <f t="shared" si="377"/>
        <v>-3.6000000000000032E-2</v>
      </c>
      <c r="AM501" s="3">
        <v>452.16716000000002</v>
      </c>
      <c r="AN501" s="3">
        <v>459.80543999999998</v>
      </c>
      <c r="AO501" s="3">
        <v>599.24345000000005</v>
      </c>
      <c r="AP501" s="3">
        <f t="shared" si="361"/>
        <v>1.3379129530536009</v>
      </c>
      <c r="AQ501" s="3">
        <v>14.962999999999999</v>
      </c>
      <c r="AR501" s="3">
        <v>4.2700670000000001</v>
      </c>
      <c r="AS501" s="3">
        <v>-132.80099999999999</v>
      </c>
      <c r="AT501" s="3">
        <v>-131.97</v>
      </c>
      <c r="AU501" s="3">
        <f t="shared" si="382"/>
        <v>-0.83099999999998886</v>
      </c>
      <c r="AV501" s="3">
        <v>-0.34100000000000003</v>
      </c>
      <c r="AW501" s="3">
        <v>-0.47499999999999998</v>
      </c>
      <c r="AX501" s="3">
        <f t="shared" si="383"/>
        <v>0.13399999999999995</v>
      </c>
      <c r="AY501" s="3">
        <v>2.9000000000000001E-2</v>
      </c>
      <c r="AZ501" s="3">
        <v>0.156</v>
      </c>
      <c r="BA501" s="3">
        <f t="shared" si="384"/>
        <v>-0.127</v>
      </c>
      <c r="BB501" s="3">
        <f t="shared" si="391"/>
        <v>0.156</v>
      </c>
      <c r="BC501" s="3">
        <f t="shared" si="391"/>
        <v>0.15949999999999998</v>
      </c>
      <c r="BD501" s="3">
        <f t="shared" si="385"/>
        <v>-3.4999999999999754E-3</v>
      </c>
      <c r="BE501" s="3">
        <f t="shared" si="392"/>
        <v>0.37000000000000005</v>
      </c>
      <c r="BF501" s="3">
        <f t="shared" si="392"/>
        <v>0.63100000000000001</v>
      </c>
      <c r="BG501" s="3">
        <f t="shared" si="386"/>
        <v>-0.26099999999999995</v>
      </c>
      <c r="BH501" s="3">
        <f t="shared" si="393"/>
        <v>-0.156</v>
      </c>
      <c r="BI501" s="3">
        <f t="shared" si="393"/>
        <v>-0.15949999999999998</v>
      </c>
      <c r="BJ501" s="3">
        <f t="shared" si="356"/>
        <v>3.4999999999999754E-3</v>
      </c>
      <c r="BK501" s="3">
        <f t="shared" si="353"/>
        <v>3.2886486486486483E-2</v>
      </c>
      <c r="BL501" s="3">
        <f t="shared" si="354"/>
        <v>2.0158676703645E-2</v>
      </c>
      <c r="BM501" s="3">
        <f t="shared" si="387"/>
        <v>1.2727809782841482E-2</v>
      </c>
      <c r="BN501" s="3">
        <v>4.7279999999999998</v>
      </c>
      <c r="BO501" s="3">
        <v>4.9340000000000002</v>
      </c>
      <c r="BP501" s="3">
        <f t="shared" si="388"/>
        <v>-0.20600000000000041</v>
      </c>
      <c r="BQ501" s="3">
        <v>-83302.89</v>
      </c>
      <c r="BR501" s="3">
        <v>-82779.224000000002</v>
      </c>
      <c r="BS501" s="3">
        <f t="shared" si="389"/>
        <v>-523.66599999999744</v>
      </c>
      <c r="BT501" s="3">
        <v>-83320.774999999994</v>
      </c>
      <c r="BU501" s="3">
        <v>-82796.997000000003</v>
      </c>
      <c r="BV501" s="3">
        <f t="shared" si="390"/>
        <v>-523.77799999999115</v>
      </c>
    </row>
    <row r="502" spans="1:74" x14ac:dyDescent="0.25">
      <c r="A502" t="s">
        <v>576</v>
      </c>
      <c r="B502" s="1" t="s">
        <v>646</v>
      </c>
      <c r="C502" s="1" t="s">
        <v>99</v>
      </c>
      <c r="D502" s="3">
        <v>6.43</v>
      </c>
      <c r="E502" s="3">
        <v>0.89</v>
      </c>
      <c r="F502" s="3">
        <v>-676.22400000000005</v>
      </c>
      <c r="G502" s="3">
        <v>-679.40499999999997</v>
      </c>
      <c r="H502" s="3">
        <f t="shared" si="381"/>
        <v>-3.1809999999999263</v>
      </c>
      <c r="I502" s="3">
        <v>-0.32200000000000001</v>
      </c>
      <c r="J502" s="6">
        <v>-0.218</v>
      </c>
      <c r="K502" s="3">
        <f t="shared" si="365"/>
        <v>0.10400000000000001</v>
      </c>
      <c r="L502" s="3">
        <v>0.14000000000000001</v>
      </c>
      <c r="M502" s="6">
        <v>2.9000000000000001E-2</v>
      </c>
      <c r="N502" s="3">
        <f t="shared" si="366"/>
        <v>-0.11100000000000002</v>
      </c>
      <c r="O502" s="3">
        <f t="shared" si="360"/>
        <v>9.0999999999999998E-2</v>
      </c>
      <c r="P502" s="3">
        <f t="shared" si="360"/>
        <v>9.4500000000000001E-2</v>
      </c>
      <c r="Q502" s="3">
        <f t="shared" si="367"/>
        <v>3.5000000000000031E-3</v>
      </c>
      <c r="R502" s="3">
        <f t="shared" si="368"/>
        <v>0.46200000000000002</v>
      </c>
      <c r="S502" s="3">
        <f t="shared" si="369"/>
        <v>0.247</v>
      </c>
      <c r="T502" s="3">
        <f t="shared" si="370"/>
        <v>-0.21500000000000002</v>
      </c>
      <c r="U502" s="3">
        <f t="shared" si="371"/>
        <v>-9.0999999999999998E-2</v>
      </c>
      <c r="V502" s="3">
        <f t="shared" si="372"/>
        <v>-9.4500000000000001E-2</v>
      </c>
      <c r="W502" s="3">
        <f t="shared" si="355"/>
        <v>-3.5000000000000031E-3</v>
      </c>
      <c r="X502" s="3">
        <f t="shared" si="351"/>
        <v>8.9621212121212112E-3</v>
      </c>
      <c r="Y502" s="3">
        <f t="shared" si="352"/>
        <v>1.8077429149797573E-2</v>
      </c>
      <c r="Z502" s="3">
        <f t="shared" si="373"/>
        <v>9.1153079376763615E-3</v>
      </c>
      <c r="AA502" s="3">
        <v>1.0489999999999999</v>
      </c>
      <c r="AB502" s="3">
        <v>1.3320000000000001</v>
      </c>
      <c r="AC502" s="3">
        <f t="shared" si="374"/>
        <v>0.28300000000000014</v>
      </c>
      <c r="AD502" s="3">
        <f>-675.975299*627.50956</f>
        <v>-424180.9624463584</v>
      </c>
      <c r="AE502" s="3">
        <f>-679.169196*627.50956</f>
        <v>-426185.16334751376</v>
      </c>
      <c r="AF502" s="3">
        <f t="shared" si="375"/>
        <v>-2004.20090115536</v>
      </c>
      <c r="AG502" s="3">
        <f>-676.028551*627.50956</f>
        <v>-424214.37858544756</v>
      </c>
      <c r="AH502" s="3">
        <f>-679.223865*627.50956</f>
        <v>-426219.46866764943</v>
      </c>
      <c r="AI502" s="3">
        <f t="shared" si="376"/>
        <v>-2005.0900822018739</v>
      </c>
      <c r="AJ502" s="3">
        <v>-0.33</v>
      </c>
      <c r="AK502" s="3">
        <v>-0.42199999999999999</v>
      </c>
      <c r="AL502" s="3">
        <f t="shared" si="377"/>
        <v>-9.1999999999999971E-2</v>
      </c>
      <c r="AM502" s="3">
        <v>156.29754</v>
      </c>
      <c r="AN502" s="3">
        <v>247.40128000000001</v>
      </c>
      <c r="AO502" s="3">
        <v>279.15179999999998</v>
      </c>
      <c r="AP502" s="3">
        <f t="shared" si="361"/>
        <v>1.1979286109264187</v>
      </c>
      <c r="AQ502" s="3">
        <v>10.69</v>
      </c>
      <c r="AR502" s="3">
        <v>2.498383</v>
      </c>
      <c r="AS502" s="3">
        <v>-132.80099999999999</v>
      </c>
      <c r="AT502" s="3">
        <v>-131.97</v>
      </c>
      <c r="AU502" s="3">
        <f t="shared" si="382"/>
        <v>-0.83099999999998886</v>
      </c>
      <c r="AV502" s="3">
        <v>-0.34100000000000003</v>
      </c>
      <c r="AW502" s="3">
        <v>-0.47499999999999998</v>
      </c>
      <c r="AX502" s="3">
        <f t="shared" si="383"/>
        <v>0.13399999999999995</v>
      </c>
      <c r="AY502" s="3">
        <v>2.9000000000000001E-2</v>
      </c>
      <c r="AZ502" s="3">
        <v>0.156</v>
      </c>
      <c r="BA502" s="3">
        <f t="shared" si="384"/>
        <v>-0.127</v>
      </c>
      <c r="BB502" s="3">
        <f t="shared" si="391"/>
        <v>0.156</v>
      </c>
      <c r="BC502" s="3">
        <f t="shared" si="391"/>
        <v>0.15949999999999998</v>
      </c>
      <c r="BD502" s="3">
        <f t="shared" si="385"/>
        <v>-3.4999999999999754E-3</v>
      </c>
      <c r="BE502" s="3">
        <f t="shared" si="392"/>
        <v>0.37000000000000005</v>
      </c>
      <c r="BF502" s="3">
        <f t="shared" si="392"/>
        <v>0.63100000000000001</v>
      </c>
      <c r="BG502" s="3">
        <f t="shared" si="386"/>
        <v>-0.26099999999999995</v>
      </c>
      <c r="BH502" s="3">
        <f t="shared" si="393"/>
        <v>-0.156</v>
      </c>
      <c r="BI502" s="3">
        <f t="shared" si="393"/>
        <v>-0.15949999999999998</v>
      </c>
      <c r="BJ502" s="3">
        <f t="shared" si="356"/>
        <v>3.4999999999999754E-3</v>
      </c>
      <c r="BK502" s="3">
        <f t="shared" si="353"/>
        <v>3.2886486486486483E-2</v>
      </c>
      <c r="BL502" s="3">
        <f t="shared" si="354"/>
        <v>2.0158676703645E-2</v>
      </c>
      <c r="BM502" s="3">
        <f t="shared" si="387"/>
        <v>1.2727809782841482E-2</v>
      </c>
      <c r="BN502" s="3">
        <v>4.7279999999999998</v>
      </c>
      <c r="BO502" s="3">
        <v>4.9340000000000002</v>
      </c>
      <c r="BP502" s="3">
        <f t="shared" si="388"/>
        <v>-0.20600000000000041</v>
      </c>
      <c r="BQ502" s="3">
        <v>-83302.89</v>
      </c>
      <c r="BR502" s="3">
        <v>-82779.224000000002</v>
      </c>
      <c r="BS502" s="3">
        <f t="shared" si="389"/>
        <v>-523.66599999999744</v>
      </c>
      <c r="BT502" s="3">
        <v>-83320.774999999994</v>
      </c>
      <c r="BU502" s="3">
        <v>-82796.997000000003</v>
      </c>
      <c r="BV502" s="3">
        <f t="shared" si="390"/>
        <v>-523.77799999999115</v>
      </c>
    </row>
    <row r="503" spans="1:74" x14ac:dyDescent="0.25">
      <c r="A503" t="s">
        <v>577</v>
      </c>
      <c r="B503" s="1" t="s">
        <v>646</v>
      </c>
      <c r="C503" s="1" t="s">
        <v>99</v>
      </c>
      <c r="D503" s="3">
        <v>6.44</v>
      </c>
      <c r="E503" s="3">
        <v>1.1000000000000001</v>
      </c>
      <c r="F503" s="3">
        <v>-436.43799999999999</v>
      </c>
      <c r="G503" s="3">
        <v>-439.16</v>
      </c>
      <c r="H503" s="3">
        <f t="shared" si="381"/>
        <v>-2.7220000000000368</v>
      </c>
      <c r="I503" s="3">
        <v>-0.28999999999999998</v>
      </c>
      <c r="J503" s="6">
        <v>-0.20699999999999999</v>
      </c>
      <c r="K503" s="3">
        <f t="shared" si="365"/>
        <v>8.299999999999999E-2</v>
      </c>
      <c r="L503" s="3">
        <v>0.114</v>
      </c>
      <c r="M503" s="6">
        <v>-2.3E-2</v>
      </c>
      <c r="N503" s="3">
        <f t="shared" si="366"/>
        <v>-0.13700000000000001</v>
      </c>
      <c r="O503" s="3">
        <f t="shared" si="360"/>
        <v>8.7999999999999995E-2</v>
      </c>
      <c r="P503" s="3">
        <f t="shared" si="360"/>
        <v>0.11499999999999999</v>
      </c>
      <c r="Q503" s="3">
        <f t="shared" si="367"/>
        <v>2.6999999999999996E-2</v>
      </c>
      <c r="R503" s="3">
        <f t="shared" si="368"/>
        <v>0.40399999999999997</v>
      </c>
      <c r="S503" s="3">
        <f t="shared" si="369"/>
        <v>0.184</v>
      </c>
      <c r="T503" s="3">
        <f t="shared" si="370"/>
        <v>-0.21999999999999997</v>
      </c>
      <c r="U503" s="3">
        <f t="shared" si="371"/>
        <v>-8.7999999999999995E-2</v>
      </c>
      <c r="V503" s="3">
        <f t="shared" si="372"/>
        <v>-0.11499999999999999</v>
      </c>
      <c r="W503" s="3">
        <f t="shared" si="355"/>
        <v>-2.6999999999999996E-2</v>
      </c>
      <c r="X503" s="3">
        <f t="shared" si="351"/>
        <v>9.584158415841584E-3</v>
      </c>
      <c r="Y503" s="3">
        <f t="shared" si="352"/>
        <v>3.593749999999999E-2</v>
      </c>
      <c r="Z503" s="3">
        <f t="shared" si="373"/>
        <v>2.6353341584158405E-2</v>
      </c>
      <c r="AA503" s="3">
        <v>4.2729999999999997</v>
      </c>
      <c r="AB503" s="3">
        <v>4.0819999999999999</v>
      </c>
      <c r="AC503" s="3">
        <f t="shared" si="374"/>
        <v>-0.19099999999999984</v>
      </c>
      <c r="AD503" s="3">
        <f>-436.287056*627.50956</f>
        <v>-273774.29854425538</v>
      </c>
      <c r="AE503" s="3">
        <f>-439.018614*627.50956</f>
        <v>-275488.37730294984</v>
      </c>
      <c r="AF503" s="3">
        <f t="shared" si="375"/>
        <v>-1714.0787586944643</v>
      </c>
      <c r="AG503" s="3">
        <f>-436.326969*627.50956</f>
        <v>-273799.34433332365</v>
      </c>
      <c r="AH503" s="3">
        <f>-439.059076*627.50956</f>
        <v>-275513.76759476657</v>
      </c>
      <c r="AI503" s="3">
        <f t="shared" si="376"/>
        <v>-1714.4232614429202</v>
      </c>
      <c r="AJ503" s="3">
        <v>-0.27200000000000002</v>
      </c>
      <c r="AK503" s="3">
        <v>-0.317</v>
      </c>
      <c r="AL503" s="3">
        <f t="shared" si="377"/>
        <v>-4.4999999999999984E-2</v>
      </c>
      <c r="AM503" s="3">
        <v>133.14727999999999</v>
      </c>
      <c r="AN503" s="3">
        <v>183.12016</v>
      </c>
      <c r="AO503" s="3">
        <v>192.05410000000001</v>
      </c>
      <c r="AP503" s="3">
        <f t="shared" si="361"/>
        <v>1.1377400711650476</v>
      </c>
      <c r="AQ503" s="3">
        <v>9.984</v>
      </c>
      <c r="AR503" s="3">
        <v>2.1758099999999998</v>
      </c>
      <c r="AS503" s="3">
        <v>-132.80099999999999</v>
      </c>
      <c r="AT503" s="3">
        <v>-131.97</v>
      </c>
      <c r="AU503" s="3">
        <f t="shared" si="382"/>
        <v>-0.83099999999998886</v>
      </c>
      <c r="AV503" s="3">
        <v>-0.34100000000000003</v>
      </c>
      <c r="AW503" s="3">
        <v>-0.47499999999999998</v>
      </c>
      <c r="AX503" s="3">
        <f t="shared" si="383"/>
        <v>0.13399999999999995</v>
      </c>
      <c r="AY503" s="3">
        <v>2.9000000000000001E-2</v>
      </c>
      <c r="AZ503" s="3">
        <v>0.156</v>
      </c>
      <c r="BA503" s="3">
        <f t="shared" si="384"/>
        <v>-0.127</v>
      </c>
      <c r="BB503" s="3">
        <f t="shared" ref="BB503:BC514" si="394">-(AV503+AY503)/2</f>
        <v>0.156</v>
      </c>
      <c r="BC503" s="3">
        <f t="shared" si="394"/>
        <v>0.15949999999999998</v>
      </c>
      <c r="BD503" s="3">
        <f t="shared" si="385"/>
        <v>-3.4999999999999754E-3</v>
      </c>
      <c r="BE503" s="3">
        <f t="shared" ref="BE503:BF514" si="395">AY503-AV503</f>
        <v>0.37000000000000005</v>
      </c>
      <c r="BF503" s="3">
        <f t="shared" si="395"/>
        <v>0.63100000000000001</v>
      </c>
      <c r="BG503" s="3">
        <f t="shared" si="386"/>
        <v>-0.26099999999999995</v>
      </c>
      <c r="BH503" s="3">
        <f t="shared" ref="BH503:BI514" si="396">(AV503+AY503)/2</f>
        <v>-0.156</v>
      </c>
      <c r="BI503" s="3">
        <f t="shared" si="396"/>
        <v>-0.15949999999999998</v>
      </c>
      <c r="BJ503" s="3">
        <f t="shared" si="356"/>
        <v>3.4999999999999754E-3</v>
      </c>
      <c r="BK503" s="3">
        <f t="shared" si="353"/>
        <v>3.2886486486486483E-2</v>
      </c>
      <c r="BL503" s="3">
        <f t="shared" si="354"/>
        <v>2.0158676703645E-2</v>
      </c>
      <c r="BM503" s="3">
        <f t="shared" si="387"/>
        <v>1.2727809782841482E-2</v>
      </c>
      <c r="BN503" s="3">
        <v>4.7279999999999998</v>
      </c>
      <c r="BO503" s="3">
        <v>4.9340000000000002</v>
      </c>
      <c r="BP503" s="3">
        <f t="shared" si="388"/>
        <v>-0.20600000000000041</v>
      </c>
      <c r="BQ503" s="3">
        <v>-83302.89</v>
      </c>
      <c r="BR503" s="3">
        <v>-82779.224000000002</v>
      </c>
      <c r="BS503" s="3">
        <f t="shared" si="389"/>
        <v>-523.66599999999744</v>
      </c>
      <c r="BT503" s="3">
        <v>-83320.774999999994</v>
      </c>
      <c r="BU503" s="3">
        <v>-82796.997000000003</v>
      </c>
      <c r="BV503" s="3">
        <f t="shared" si="390"/>
        <v>-523.77799999999115</v>
      </c>
    </row>
    <row r="504" spans="1:74" x14ac:dyDescent="0.25">
      <c r="A504" t="s">
        <v>578</v>
      </c>
      <c r="B504" s="1" t="s">
        <v>646</v>
      </c>
      <c r="C504" s="1" t="s">
        <v>99</v>
      </c>
      <c r="D504" s="3">
        <v>6.46</v>
      </c>
      <c r="E504" s="3">
        <v>0.96</v>
      </c>
      <c r="F504" s="3">
        <v>-1627.36</v>
      </c>
      <c r="G504" s="3">
        <v>-1633.944</v>
      </c>
      <c r="H504" s="3">
        <f t="shared" si="381"/>
        <v>-6.58400000000006</v>
      </c>
      <c r="I504" s="3">
        <v>-0.29099999999999998</v>
      </c>
      <c r="J504" s="6">
        <v>-0.215</v>
      </c>
      <c r="K504" s="3">
        <f t="shared" si="365"/>
        <v>7.5999999999999984E-2</v>
      </c>
      <c r="L504" s="3">
        <v>2.7E-2</v>
      </c>
      <c r="M504" s="6">
        <v>-2.7E-2</v>
      </c>
      <c r="N504" s="3">
        <f t="shared" si="366"/>
        <v>-5.3999999999999999E-2</v>
      </c>
      <c r="O504" s="3">
        <f t="shared" si="360"/>
        <v>0.13199999999999998</v>
      </c>
      <c r="P504" s="3">
        <f t="shared" si="360"/>
        <v>0.121</v>
      </c>
      <c r="Q504" s="3">
        <f t="shared" si="367"/>
        <v>-1.0999999999999982E-2</v>
      </c>
      <c r="R504" s="3">
        <f t="shared" si="368"/>
        <v>0.318</v>
      </c>
      <c r="S504" s="3">
        <f t="shared" si="369"/>
        <v>0.188</v>
      </c>
      <c r="T504" s="3">
        <f t="shared" si="370"/>
        <v>-0.13</v>
      </c>
      <c r="U504" s="3">
        <f t="shared" si="371"/>
        <v>-0.13199999999999998</v>
      </c>
      <c r="V504" s="3">
        <f t="shared" si="372"/>
        <v>-0.121</v>
      </c>
      <c r="W504" s="3">
        <f t="shared" si="355"/>
        <v>1.0999999999999982E-2</v>
      </c>
      <c r="X504" s="3">
        <f t="shared" si="351"/>
        <v>2.7396226415094333E-2</v>
      </c>
      <c r="Y504" s="3">
        <f t="shared" si="352"/>
        <v>3.8938829787234043E-2</v>
      </c>
      <c r="Z504" s="3">
        <f t="shared" si="373"/>
        <v>1.154260337213971E-2</v>
      </c>
      <c r="AA504" s="3">
        <v>12.795</v>
      </c>
      <c r="AB504" s="3">
        <v>12.363</v>
      </c>
      <c r="AC504" s="3">
        <f t="shared" si="374"/>
        <v>-0.43200000000000038</v>
      </c>
      <c r="AD504" s="3">
        <f>-1627.064729*627.50956</f>
        <v>-1020998.6721863091</v>
      </c>
      <c r="AE504" s="3">
        <f>-1633.66558*627.50956</f>
        <v>-1025140.7692929448</v>
      </c>
      <c r="AF504" s="3">
        <f t="shared" si="375"/>
        <v>-4142.0971066356869</v>
      </c>
      <c r="AG504" s="3">
        <f>-1627.137249*627.50956</f>
        <v>-1021044.1791796004</v>
      </c>
      <c r="AH504" s="3">
        <f>-1633.739713*627.50956</f>
        <v>-1025187.2884591562</v>
      </c>
      <c r="AI504" s="3">
        <f t="shared" si="376"/>
        <v>-4143.1092795557342</v>
      </c>
      <c r="AJ504" s="3">
        <v>-0.28799999999999998</v>
      </c>
      <c r="AK504" s="3">
        <v>-0.27400000000000002</v>
      </c>
      <c r="AL504" s="3">
        <f t="shared" si="377"/>
        <v>1.3999999999999957E-2</v>
      </c>
      <c r="AM504" s="3">
        <v>323.16025999999999</v>
      </c>
      <c r="AN504" s="3">
        <v>351.43630000000002</v>
      </c>
      <c r="AO504" s="3">
        <v>416.39859999999999</v>
      </c>
      <c r="AP504" s="3">
        <f t="shared" si="361"/>
        <v>1.3034560570532445</v>
      </c>
      <c r="AQ504" s="3">
        <v>13.471</v>
      </c>
      <c r="AR504" s="3">
        <v>3.504267</v>
      </c>
      <c r="AS504" s="3">
        <v>-132.80099999999999</v>
      </c>
      <c r="AT504" s="3">
        <v>-131.97</v>
      </c>
      <c r="AU504" s="3">
        <f t="shared" si="382"/>
        <v>-0.83099999999998886</v>
      </c>
      <c r="AV504" s="3">
        <v>-0.34100000000000003</v>
      </c>
      <c r="AW504" s="3">
        <v>-0.47499999999999998</v>
      </c>
      <c r="AX504" s="3">
        <f t="shared" si="383"/>
        <v>0.13399999999999995</v>
      </c>
      <c r="AY504" s="3">
        <v>2.9000000000000001E-2</v>
      </c>
      <c r="AZ504" s="3">
        <v>0.156</v>
      </c>
      <c r="BA504" s="3">
        <f t="shared" si="384"/>
        <v>-0.127</v>
      </c>
      <c r="BB504" s="3">
        <f t="shared" si="394"/>
        <v>0.156</v>
      </c>
      <c r="BC504" s="3">
        <f t="shared" si="394"/>
        <v>0.15949999999999998</v>
      </c>
      <c r="BD504" s="3">
        <f t="shared" si="385"/>
        <v>-3.4999999999999754E-3</v>
      </c>
      <c r="BE504" s="3">
        <f t="shared" si="395"/>
        <v>0.37000000000000005</v>
      </c>
      <c r="BF504" s="3">
        <f t="shared" si="395"/>
        <v>0.63100000000000001</v>
      </c>
      <c r="BG504" s="3">
        <f t="shared" si="386"/>
        <v>-0.26099999999999995</v>
      </c>
      <c r="BH504" s="3">
        <f t="shared" si="396"/>
        <v>-0.156</v>
      </c>
      <c r="BI504" s="3">
        <f t="shared" si="396"/>
        <v>-0.15949999999999998</v>
      </c>
      <c r="BJ504" s="3">
        <f t="shared" si="356"/>
        <v>3.4999999999999754E-3</v>
      </c>
      <c r="BK504" s="3">
        <f t="shared" si="353"/>
        <v>3.2886486486486483E-2</v>
      </c>
      <c r="BL504" s="3">
        <f t="shared" si="354"/>
        <v>2.0158676703645E-2</v>
      </c>
      <c r="BM504" s="3">
        <f t="shared" si="387"/>
        <v>1.2727809782841482E-2</v>
      </c>
      <c r="BN504" s="3">
        <v>4.7279999999999998</v>
      </c>
      <c r="BO504" s="3">
        <v>4.9340000000000002</v>
      </c>
      <c r="BP504" s="3">
        <f t="shared" si="388"/>
        <v>-0.20600000000000041</v>
      </c>
      <c r="BQ504" s="3">
        <v>-83302.89</v>
      </c>
      <c r="BR504" s="3">
        <v>-82779.224000000002</v>
      </c>
      <c r="BS504" s="3">
        <f t="shared" si="389"/>
        <v>-523.66599999999744</v>
      </c>
      <c r="BT504" s="3">
        <v>-83320.774999999994</v>
      </c>
      <c r="BU504" s="3">
        <v>-82796.997000000003</v>
      </c>
      <c r="BV504" s="3">
        <f t="shared" si="390"/>
        <v>-523.77799999999115</v>
      </c>
    </row>
    <row r="505" spans="1:74" x14ac:dyDescent="0.25">
      <c r="A505" t="s">
        <v>579</v>
      </c>
      <c r="B505" s="1" t="s">
        <v>646</v>
      </c>
      <c r="C505" s="1" t="s">
        <v>99</v>
      </c>
      <c r="D505" s="3">
        <v>6.5</v>
      </c>
      <c r="E505" s="3">
        <v>0.77</v>
      </c>
      <c r="F505" s="3">
        <v>-1567.3810000000001</v>
      </c>
      <c r="G505" s="3">
        <v>-1574.809</v>
      </c>
      <c r="H505" s="3">
        <f t="shared" si="381"/>
        <v>-7.4279999999998836</v>
      </c>
      <c r="I505" s="3">
        <v>-0.27500000000000002</v>
      </c>
      <c r="J505" s="6">
        <v>-0.185</v>
      </c>
      <c r="K505" s="3">
        <f t="shared" si="365"/>
        <v>9.0000000000000024E-2</v>
      </c>
      <c r="L505" s="3">
        <v>0.04</v>
      </c>
      <c r="M505" s="6">
        <v>-2.5000000000000001E-2</v>
      </c>
      <c r="N505" s="3">
        <f t="shared" si="366"/>
        <v>-6.5000000000000002E-2</v>
      </c>
      <c r="O505" s="3">
        <f t="shared" si="360"/>
        <v>0.11750000000000001</v>
      </c>
      <c r="P505" s="3">
        <f t="shared" si="360"/>
        <v>0.105</v>
      </c>
      <c r="Q505" s="3">
        <f t="shared" si="367"/>
        <v>-1.2500000000000011E-2</v>
      </c>
      <c r="R505" s="3">
        <f t="shared" si="368"/>
        <v>0.315</v>
      </c>
      <c r="S505" s="3">
        <f t="shared" si="369"/>
        <v>0.16</v>
      </c>
      <c r="T505" s="3">
        <f t="shared" si="370"/>
        <v>-0.155</v>
      </c>
      <c r="U505" s="3">
        <f t="shared" si="371"/>
        <v>-0.11750000000000001</v>
      </c>
      <c r="V505" s="3">
        <f t="shared" si="372"/>
        <v>-0.105</v>
      </c>
      <c r="W505" s="3">
        <f t="shared" si="355"/>
        <v>1.2500000000000011E-2</v>
      </c>
      <c r="X505" s="3">
        <f t="shared" si="351"/>
        <v>2.1914682539682543E-2</v>
      </c>
      <c r="Y505" s="3">
        <f t="shared" si="352"/>
        <v>3.4453124999999994E-2</v>
      </c>
      <c r="Z505" s="3">
        <f t="shared" si="373"/>
        <v>1.2538442460317451E-2</v>
      </c>
      <c r="AA505" s="3">
        <v>23.007999999999999</v>
      </c>
      <c r="AB505" s="3">
        <v>23.053999999999998</v>
      </c>
      <c r="AC505" s="3">
        <f t="shared" si="374"/>
        <v>4.5999999999999375E-2</v>
      </c>
      <c r="AD505" s="3">
        <f>-1567.067398*627.50956</f>
        <v>-983349.77340932481</v>
      </c>
      <c r="AE505" s="3">
        <f>-1574.513343*627.50956</f>
        <v>-988022.1750800591</v>
      </c>
      <c r="AF505" s="3">
        <f t="shared" si="375"/>
        <v>-4672.4016707342817</v>
      </c>
      <c r="AG505" s="3">
        <f>-1567.146471*627.50956</f>
        <v>-983399.39247276273</v>
      </c>
      <c r="AH505" s="3">
        <f>-1574.596116*627.50956</f>
        <v>-988074.11592886888</v>
      </c>
      <c r="AI505" s="3">
        <f t="shared" si="376"/>
        <v>-4674.7234561061487</v>
      </c>
      <c r="AJ505" s="3">
        <v>-0.16400000000000001</v>
      </c>
      <c r="AK505" s="3">
        <v>-0.26600000000000001</v>
      </c>
      <c r="AL505" s="3">
        <f t="shared" si="377"/>
        <v>-0.10200000000000001</v>
      </c>
      <c r="AM505" s="3">
        <v>368.10682000000003</v>
      </c>
      <c r="AN505" s="3">
        <v>404.02904000000001</v>
      </c>
      <c r="AO505" s="3">
        <v>487.87488999999999</v>
      </c>
      <c r="AP505" s="3">
        <f t="shared" si="361"/>
        <v>1.3483300729451091</v>
      </c>
      <c r="AQ505" s="3">
        <v>14.430999999999999</v>
      </c>
      <c r="AR505" s="3">
        <v>4.0745233000000001</v>
      </c>
      <c r="AS505" s="3">
        <v>-132.80099999999999</v>
      </c>
      <c r="AT505" s="3">
        <v>-131.97</v>
      </c>
      <c r="AU505" s="3">
        <f t="shared" si="382"/>
        <v>-0.83099999999998886</v>
      </c>
      <c r="AV505" s="3">
        <v>-0.34100000000000003</v>
      </c>
      <c r="AW505" s="3">
        <v>-0.47499999999999998</v>
      </c>
      <c r="AX505" s="3">
        <f t="shared" si="383"/>
        <v>0.13399999999999995</v>
      </c>
      <c r="AY505" s="3">
        <v>2.9000000000000001E-2</v>
      </c>
      <c r="AZ505" s="3">
        <v>0.156</v>
      </c>
      <c r="BA505" s="3">
        <f t="shared" si="384"/>
        <v>-0.127</v>
      </c>
      <c r="BB505" s="3">
        <f t="shared" si="394"/>
        <v>0.156</v>
      </c>
      <c r="BC505" s="3">
        <f t="shared" si="394"/>
        <v>0.15949999999999998</v>
      </c>
      <c r="BD505" s="3">
        <f t="shared" si="385"/>
        <v>-3.4999999999999754E-3</v>
      </c>
      <c r="BE505" s="3">
        <f t="shared" si="395"/>
        <v>0.37000000000000005</v>
      </c>
      <c r="BF505" s="3">
        <f t="shared" si="395"/>
        <v>0.63100000000000001</v>
      </c>
      <c r="BG505" s="3">
        <f t="shared" si="386"/>
        <v>-0.26099999999999995</v>
      </c>
      <c r="BH505" s="3">
        <f t="shared" si="396"/>
        <v>-0.156</v>
      </c>
      <c r="BI505" s="3">
        <f t="shared" si="396"/>
        <v>-0.15949999999999998</v>
      </c>
      <c r="BJ505" s="3">
        <f t="shared" si="356"/>
        <v>3.4999999999999754E-3</v>
      </c>
      <c r="BK505" s="3">
        <f t="shared" si="353"/>
        <v>3.2886486486486483E-2</v>
      </c>
      <c r="BL505" s="3">
        <f t="shared" si="354"/>
        <v>2.0158676703645E-2</v>
      </c>
      <c r="BM505" s="3">
        <f t="shared" si="387"/>
        <v>1.2727809782841482E-2</v>
      </c>
      <c r="BN505" s="3">
        <v>4.7279999999999998</v>
      </c>
      <c r="BO505" s="3">
        <v>4.9340000000000002</v>
      </c>
      <c r="BP505" s="3">
        <f t="shared" si="388"/>
        <v>-0.20600000000000041</v>
      </c>
      <c r="BQ505" s="3">
        <v>-83302.89</v>
      </c>
      <c r="BR505" s="3">
        <v>-82779.224000000002</v>
      </c>
      <c r="BS505" s="3">
        <f t="shared" si="389"/>
        <v>-523.66599999999744</v>
      </c>
      <c r="BT505" s="3">
        <v>-83320.774999999994</v>
      </c>
      <c r="BU505" s="3">
        <v>-82796.997000000003</v>
      </c>
      <c r="BV505" s="3">
        <f t="shared" si="390"/>
        <v>-523.77799999999115</v>
      </c>
    </row>
    <row r="506" spans="1:74" x14ac:dyDescent="0.25">
      <c r="A506" t="s">
        <v>580</v>
      </c>
      <c r="B506" s="1" t="s">
        <v>646</v>
      </c>
      <c r="C506" s="1" t="s">
        <v>103</v>
      </c>
      <c r="D506" s="3">
        <v>6.54</v>
      </c>
      <c r="E506" s="3">
        <v>1.1000000000000001</v>
      </c>
      <c r="F506" s="3">
        <v>-439.64100000000002</v>
      </c>
      <c r="G506" s="3">
        <v>-442.56299999999999</v>
      </c>
      <c r="H506" s="3">
        <f t="shared" si="381"/>
        <v>-2.9219999999999686</v>
      </c>
      <c r="I506" s="3">
        <v>-0.28100000000000003</v>
      </c>
      <c r="J506" s="6">
        <v>-0.20499999999999999</v>
      </c>
      <c r="K506" s="3">
        <f t="shared" si="365"/>
        <v>7.600000000000004E-2</v>
      </c>
      <c r="L506" s="3">
        <v>0.122</v>
      </c>
      <c r="M506" s="6">
        <v>-1.7000000000000001E-2</v>
      </c>
      <c r="N506" s="3">
        <f t="shared" si="366"/>
        <v>-0.13900000000000001</v>
      </c>
      <c r="O506" s="3">
        <f t="shared" si="360"/>
        <v>7.9500000000000015E-2</v>
      </c>
      <c r="P506" s="3">
        <f t="shared" si="360"/>
        <v>0.11099999999999999</v>
      </c>
      <c r="Q506" s="3">
        <f t="shared" si="367"/>
        <v>3.1499999999999972E-2</v>
      </c>
      <c r="R506" s="3">
        <f t="shared" si="368"/>
        <v>0.40300000000000002</v>
      </c>
      <c r="S506" s="3">
        <f t="shared" si="369"/>
        <v>0.188</v>
      </c>
      <c r="T506" s="3">
        <f t="shared" si="370"/>
        <v>-0.21500000000000002</v>
      </c>
      <c r="U506" s="3">
        <f t="shared" si="371"/>
        <v>-7.9500000000000015E-2</v>
      </c>
      <c r="V506" s="3">
        <f t="shared" si="372"/>
        <v>-0.11099999999999999</v>
      </c>
      <c r="W506" s="3">
        <f t="shared" si="355"/>
        <v>-3.1499999999999972E-2</v>
      </c>
      <c r="X506" s="3">
        <f t="shared" si="351"/>
        <v>7.8415012406947912E-3</v>
      </c>
      <c r="Y506" s="3">
        <f t="shared" si="352"/>
        <v>3.2768617021276585E-2</v>
      </c>
      <c r="Z506" s="3">
        <f t="shared" si="373"/>
        <v>2.4927115780581793E-2</v>
      </c>
      <c r="AA506" s="3">
        <v>3.5649999999999999</v>
      </c>
      <c r="AB506" s="3">
        <v>3.7469999999999999</v>
      </c>
      <c r="AC506" s="3">
        <f t="shared" si="374"/>
        <v>0.18199999999999994</v>
      </c>
      <c r="AD506" s="3">
        <f>-439.4339*627.50956</f>
        <v>-275748.973238084</v>
      </c>
      <c r="AE506" s="3">
        <f>-442.367945*627.50956</f>
        <v>-277590.11452505417</v>
      </c>
      <c r="AF506" s="3">
        <f t="shared" si="375"/>
        <v>-1841.1412869701744</v>
      </c>
      <c r="AG506" s="3">
        <f>-439.478528*627.50956</f>
        <v>-275776.97773472767</v>
      </c>
      <c r="AH506" s="3">
        <f>-442.413439*627.50956</f>
        <v>-277618.6624449768</v>
      </c>
      <c r="AI506" s="3">
        <f t="shared" si="376"/>
        <v>-1841.6847102491301</v>
      </c>
      <c r="AJ506" s="3">
        <v>-0.33400000000000002</v>
      </c>
      <c r="AK506" s="3">
        <v>-0.313</v>
      </c>
      <c r="AL506" s="3">
        <f t="shared" si="377"/>
        <v>2.1000000000000019E-2</v>
      </c>
      <c r="AM506" s="3">
        <v>145.20104000000001</v>
      </c>
      <c r="AN506" s="3">
        <v>214.81443999999999</v>
      </c>
      <c r="AO506" s="3">
        <v>236.79674</v>
      </c>
      <c r="AP506" s="3">
        <f t="shared" si="361"/>
        <v>1.1607417598367062</v>
      </c>
      <c r="AQ506" s="3">
        <v>10.108000000000001</v>
      </c>
      <c r="AR506" s="3">
        <v>2.2916430000000001</v>
      </c>
      <c r="AS506" s="3">
        <v>-959.76900000000001</v>
      </c>
      <c r="AT506" s="3">
        <v>-958.05</v>
      </c>
      <c r="AU506" s="3">
        <f t="shared" si="382"/>
        <v>-1.7190000000000509</v>
      </c>
      <c r="AV506" s="3">
        <v>-0.317</v>
      </c>
      <c r="AW506" s="3">
        <v>-0.45</v>
      </c>
      <c r="AX506" s="3">
        <f t="shared" si="383"/>
        <v>0.13300000000000001</v>
      </c>
      <c r="AY506" s="3">
        <v>-2.4E-2</v>
      </c>
      <c r="AZ506" s="3">
        <v>0.13500000000000001</v>
      </c>
      <c r="BA506" s="3">
        <f t="shared" si="384"/>
        <v>-0.159</v>
      </c>
      <c r="BB506" s="3">
        <f t="shared" si="394"/>
        <v>0.17050000000000001</v>
      </c>
      <c r="BC506" s="3">
        <f t="shared" si="394"/>
        <v>0.1575</v>
      </c>
      <c r="BD506" s="3">
        <f t="shared" si="385"/>
        <v>1.3000000000000012E-2</v>
      </c>
      <c r="BE506" s="3">
        <f t="shared" si="395"/>
        <v>0.29299999999999998</v>
      </c>
      <c r="BF506" s="3">
        <f t="shared" si="395"/>
        <v>0.58499999999999996</v>
      </c>
      <c r="BG506" s="3">
        <f t="shared" si="386"/>
        <v>-0.29199999999999998</v>
      </c>
      <c r="BH506" s="3">
        <f t="shared" si="396"/>
        <v>-0.17050000000000001</v>
      </c>
      <c r="BI506" s="3">
        <f t="shared" si="396"/>
        <v>-0.1575</v>
      </c>
      <c r="BJ506" s="3">
        <f t="shared" si="356"/>
        <v>-1.3000000000000012E-2</v>
      </c>
      <c r="BK506" s="3">
        <f t="shared" si="353"/>
        <v>4.9607935153583631E-2</v>
      </c>
      <c r="BL506" s="3">
        <f t="shared" si="354"/>
        <v>2.120192307692308E-2</v>
      </c>
      <c r="BM506" s="3">
        <f t="shared" si="387"/>
        <v>2.8406012076660551E-2</v>
      </c>
      <c r="BN506" s="3">
        <v>2.2370000000000001</v>
      </c>
      <c r="BO506" s="3">
        <v>2.431</v>
      </c>
      <c r="BP506" s="3">
        <f t="shared" si="388"/>
        <v>-0.19399999999999995</v>
      </c>
      <c r="BQ506" s="3">
        <v>-602243.07700000005</v>
      </c>
      <c r="BR506" s="3">
        <v>-601163.24300000002</v>
      </c>
      <c r="BS506" s="3">
        <f t="shared" si="389"/>
        <v>-1079.8340000000317</v>
      </c>
      <c r="BT506" s="3">
        <v>-602262.36399999994</v>
      </c>
      <c r="BU506" s="3">
        <v>-601182.38500000001</v>
      </c>
      <c r="BV506" s="3">
        <f t="shared" si="390"/>
        <v>-1079.9789999999339</v>
      </c>
    </row>
    <row r="507" spans="1:74" x14ac:dyDescent="0.25">
      <c r="A507" t="s">
        <v>582</v>
      </c>
      <c r="B507" s="1" t="s">
        <v>646</v>
      </c>
      <c r="C507" s="1" t="s">
        <v>103</v>
      </c>
      <c r="D507" s="3">
        <v>6.57</v>
      </c>
      <c r="E507" s="3">
        <v>0.91</v>
      </c>
      <c r="F507" s="3">
        <v>-553.57799999999997</v>
      </c>
      <c r="G507" s="3">
        <v>-557.13499999999999</v>
      </c>
      <c r="H507" s="3">
        <f t="shared" si="381"/>
        <v>-3.5570000000000164</v>
      </c>
      <c r="I507" s="3">
        <v>-0.312</v>
      </c>
      <c r="J507" s="6">
        <v>-0.23</v>
      </c>
      <c r="K507" s="3">
        <f t="shared" si="365"/>
        <v>8.199999999999999E-2</v>
      </c>
      <c r="L507" s="3">
        <v>0.10100000000000001</v>
      </c>
      <c r="M507" s="6">
        <v>-4.2999999999999997E-2</v>
      </c>
      <c r="N507" s="3">
        <f t="shared" si="366"/>
        <v>-0.14400000000000002</v>
      </c>
      <c r="O507" s="3">
        <f t="shared" si="360"/>
        <v>0.1055</v>
      </c>
      <c r="P507" s="3">
        <f t="shared" si="360"/>
        <v>0.13650000000000001</v>
      </c>
      <c r="Q507" s="3">
        <f t="shared" si="367"/>
        <v>3.1000000000000014E-2</v>
      </c>
      <c r="R507" s="3">
        <f t="shared" si="368"/>
        <v>0.41300000000000003</v>
      </c>
      <c r="S507" s="3">
        <f t="shared" si="369"/>
        <v>0.187</v>
      </c>
      <c r="T507" s="3">
        <f t="shared" si="370"/>
        <v>-0.22600000000000003</v>
      </c>
      <c r="U507" s="3">
        <f t="shared" si="371"/>
        <v>-0.1055</v>
      </c>
      <c r="V507" s="3">
        <f t="shared" si="372"/>
        <v>-0.13650000000000001</v>
      </c>
      <c r="W507" s="3">
        <f t="shared" si="355"/>
        <v>-3.1000000000000014E-2</v>
      </c>
      <c r="X507" s="3">
        <f t="shared" si="351"/>
        <v>1.3474878934624696E-2</v>
      </c>
      <c r="Y507" s="3">
        <f t="shared" si="352"/>
        <v>4.9818850267379686E-2</v>
      </c>
      <c r="Z507" s="3">
        <f t="shared" si="373"/>
        <v>3.6343971332754993E-2</v>
      </c>
      <c r="AA507" s="3">
        <v>5.165</v>
      </c>
      <c r="AB507" s="3">
        <v>4.766</v>
      </c>
      <c r="AC507" s="3">
        <f t="shared" si="374"/>
        <v>-0.39900000000000002</v>
      </c>
      <c r="AD507" s="3">
        <f>-553.3351*627.50956</f>
        <v>-347223.06513355597</v>
      </c>
      <c r="AE507" s="3">
        <f>-556.906675*627.50956</f>
        <v>-349464.26259031292</v>
      </c>
      <c r="AF507" s="3">
        <f t="shared" si="375"/>
        <v>-2241.1974567569559</v>
      </c>
      <c r="AG507" s="3">
        <f>-553.390831*627.50956</f>
        <v>-347258.03686884436</v>
      </c>
      <c r="AH507" s="3">
        <f>-556.962739*627.50956</f>
        <v>-349499.44328628486</v>
      </c>
      <c r="AI507" s="3">
        <f t="shared" si="376"/>
        <v>-2241.4064174405066</v>
      </c>
      <c r="AJ507" s="3">
        <v>-0.60499999999999998</v>
      </c>
      <c r="AK507" s="3">
        <v>-0.67400000000000004</v>
      </c>
      <c r="AL507" s="3">
        <f t="shared" si="377"/>
        <v>-6.9000000000000061E-2</v>
      </c>
      <c r="AM507" s="3">
        <v>175.227</v>
      </c>
      <c r="AN507" s="3">
        <v>251.98949999999999</v>
      </c>
      <c r="AO507" s="3">
        <v>280.60509999999999</v>
      </c>
      <c r="AP507" s="3">
        <f t="shared" si="361"/>
        <v>1.2159284547880882</v>
      </c>
      <c r="AQ507" s="3">
        <v>12.271000000000001</v>
      </c>
      <c r="AR507" s="3">
        <v>2.9785319000000001</v>
      </c>
      <c r="AS507" s="3">
        <v>-959.76900000000001</v>
      </c>
      <c r="AT507" s="3">
        <v>-958.05</v>
      </c>
      <c r="AU507" s="3">
        <f t="shared" si="382"/>
        <v>-1.7190000000000509</v>
      </c>
      <c r="AV507" s="3">
        <v>-0.317</v>
      </c>
      <c r="AW507" s="3">
        <v>-0.45</v>
      </c>
      <c r="AX507" s="3">
        <f t="shared" si="383"/>
        <v>0.13300000000000001</v>
      </c>
      <c r="AY507" s="3">
        <v>-2.4E-2</v>
      </c>
      <c r="AZ507" s="3">
        <v>0.13500000000000001</v>
      </c>
      <c r="BA507" s="3">
        <f t="shared" si="384"/>
        <v>-0.159</v>
      </c>
      <c r="BB507" s="3">
        <f t="shared" si="394"/>
        <v>0.17050000000000001</v>
      </c>
      <c r="BC507" s="3">
        <f t="shared" si="394"/>
        <v>0.1575</v>
      </c>
      <c r="BD507" s="3">
        <f t="shared" si="385"/>
        <v>1.3000000000000012E-2</v>
      </c>
      <c r="BE507" s="3">
        <f t="shared" si="395"/>
        <v>0.29299999999999998</v>
      </c>
      <c r="BF507" s="3">
        <f t="shared" si="395"/>
        <v>0.58499999999999996</v>
      </c>
      <c r="BG507" s="3">
        <f t="shared" si="386"/>
        <v>-0.29199999999999998</v>
      </c>
      <c r="BH507" s="3">
        <f t="shared" si="396"/>
        <v>-0.17050000000000001</v>
      </c>
      <c r="BI507" s="3">
        <f t="shared" si="396"/>
        <v>-0.1575</v>
      </c>
      <c r="BJ507" s="3">
        <f t="shared" si="356"/>
        <v>-1.3000000000000012E-2</v>
      </c>
      <c r="BK507" s="3">
        <f t="shared" si="353"/>
        <v>4.9607935153583631E-2</v>
      </c>
      <c r="BL507" s="3">
        <f t="shared" si="354"/>
        <v>2.120192307692308E-2</v>
      </c>
      <c r="BM507" s="3">
        <f t="shared" si="387"/>
        <v>2.8406012076660551E-2</v>
      </c>
      <c r="BN507" s="3">
        <v>2.2370000000000001</v>
      </c>
      <c r="BO507" s="3">
        <v>2.431</v>
      </c>
      <c r="BP507" s="3">
        <f t="shared" si="388"/>
        <v>-0.19399999999999995</v>
      </c>
      <c r="BQ507" s="3">
        <v>-602243.07700000005</v>
      </c>
      <c r="BR507" s="3">
        <v>-601163.24300000002</v>
      </c>
      <c r="BS507" s="3">
        <f t="shared" si="389"/>
        <v>-1079.8340000000317</v>
      </c>
      <c r="BT507" s="3">
        <v>-602262.36399999994</v>
      </c>
      <c r="BU507" s="3">
        <v>-601182.38500000001</v>
      </c>
      <c r="BV507" s="3">
        <f t="shared" si="390"/>
        <v>-1079.9789999999339</v>
      </c>
    </row>
    <row r="508" spans="1:74" x14ac:dyDescent="0.25">
      <c r="A508" t="s">
        <v>581</v>
      </c>
      <c r="B508" s="1" t="s">
        <v>646</v>
      </c>
      <c r="C508" s="1" t="s">
        <v>99</v>
      </c>
      <c r="D508" s="3">
        <v>6.57</v>
      </c>
      <c r="E508" s="3">
        <v>0.93</v>
      </c>
      <c r="F508" s="3">
        <v>-676.22400000000005</v>
      </c>
      <c r="G508" s="3">
        <v>-679.40499999999997</v>
      </c>
      <c r="H508" s="3">
        <f t="shared" si="381"/>
        <v>-3.1809999999999263</v>
      </c>
      <c r="I508" s="3">
        <v>-0.32100000000000001</v>
      </c>
      <c r="J508" s="6">
        <v>-0.217</v>
      </c>
      <c r="K508" s="3">
        <f t="shared" si="365"/>
        <v>0.10400000000000001</v>
      </c>
      <c r="L508" s="3">
        <v>0.14000000000000001</v>
      </c>
      <c r="M508" s="6">
        <v>0.03</v>
      </c>
      <c r="N508" s="3">
        <f t="shared" si="366"/>
        <v>-0.11000000000000001</v>
      </c>
      <c r="O508" s="3">
        <f t="shared" si="360"/>
        <v>9.0499999999999997E-2</v>
      </c>
      <c r="P508" s="3">
        <f t="shared" si="360"/>
        <v>9.35E-2</v>
      </c>
      <c r="Q508" s="3">
        <f t="shared" si="367"/>
        <v>3.0000000000000027E-3</v>
      </c>
      <c r="R508" s="3">
        <f t="shared" si="368"/>
        <v>0.46100000000000002</v>
      </c>
      <c r="S508" s="3">
        <f t="shared" si="369"/>
        <v>0.247</v>
      </c>
      <c r="T508" s="3">
        <f t="shared" si="370"/>
        <v>-0.21400000000000002</v>
      </c>
      <c r="U508" s="3">
        <f t="shared" si="371"/>
        <v>-9.0499999999999997E-2</v>
      </c>
      <c r="V508" s="3">
        <f t="shared" si="372"/>
        <v>-9.35E-2</v>
      </c>
      <c r="W508" s="3">
        <f t="shared" si="355"/>
        <v>-3.0000000000000027E-3</v>
      </c>
      <c r="X508" s="3">
        <f t="shared" si="351"/>
        <v>8.883134490238611E-3</v>
      </c>
      <c r="Y508" s="3">
        <f t="shared" si="352"/>
        <v>1.7696862348178136E-2</v>
      </c>
      <c r="Z508" s="3">
        <f t="shared" si="373"/>
        <v>8.8137278579395253E-3</v>
      </c>
      <c r="AA508" s="3">
        <v>0.97499999999999998</v>
      </c>
      <c r="AB508" s="3">
        <v>1.25</v>
      </c>
      <c r="AC508" s="3">
        <f t="shared" si="374"/>
        <v>0.27500000000000002</v>
      </c>
      <c r="AD508" s="3">
        <f>-675.974687*627.50956</f>
        <v>-424180.5784105077</v>
      </c>
      <c r="AE508" s="3">
        <f>-679.168601*627.50956</f>
        <v>-426184.78997932549</v>
      </c>
      <c r="AF508" s="3">
        <f t="shared" si="375"/>
        <v>-2004.2115688177873</v>
      </c>
      <c r="AG508" s="3">
        <f>-676.027884*627.50956</f>
        <v>-424213.96003657102</v>
      </c>
      <c r="AH508" s="3">
        <f>-679.223134*627.50956</f>
        <v>-426219.00995816098</v>
      </c>
      <c r="AI508" s="3">
        <f t="shared" si="376"/>
        <v>-2005.0499215899617</v>
      </c>
      <c r="AJ508" s="3">
        <v>-0.32900000000000001</v>
      </c>
      <c r="AK508" s="3">
        <v>-0.42199999999999999</v>
      </c>
      <c r="AL508" s="3">
        <f t="shared" si="377"/>
        <v>-9.2999999999999972E-2</v>
      </c>
      <c r="AM508" s="3">
        <v>156.29750000000001</v>
      </c>
      <c r="AN508" s="3">
        <v>247.41463999999999</v>
      </c>
      <c r="AO508" s="3">
        <v>279.13600000000002</v>
      </c>
      <c r="AP508" s="3">
        <f t="shared" si="361"/>
        <v>1.1980385071095661</v>
      </c>
      <c r="AQ508" s="3">
        <v>10.69</v>
      </c>
      <c r="AR508" s="3">
        <v>2.4982671000000001</v>
      </c>
      <c r="AS508" s="3">
        <v>-132.80099999999999</v>
      </c>
      <c r="AT508" s="3">
        <v>-131.97</v>
      </c>
      <c r="AU508" s="3">
        <f t="shared" si="382"/>
        <v>-0.83099999999998886</v>
      </c>
      <c r="AV508" s="3">
        <v>-0.34100000000000003</v>
      </c>
      <c r="AW508" s="3">
        <v>-0.47499999999999998</v>
      </c>
      <c r="AX508" s="3">
        <f t="shared" si="383"/>
        <v>0.13399999999999995</v>
      </c>
      <c r="AY508" s="3">
        <v>2.9000000000000001E-2</v>
      </c>
      <c r="AZ508" s="3">
        <v>0.156</v>
      </c>
      <c r="BA508" s="3">
        <f t="shared" si="384"/>
        <v>-0.127</v>
      </c>
      <c r="BB508" s="3">
        <f t="shared" si="394"/>
        <v>0.156</v>
      </c>
      <c r="BC508" s="3">
        <f t="shared" si="394"/>
        <v>0.15949999999999998</v>
      </c>
      <c r="BD508" s="3">
        <f t="shared" si="385"/>
        <v>-3.4999999999999754E-3</v>
      </c>
      <c r="BE508" s="3">
        <f t="shared" si="395"/>
        <v>0.37000000000000005</v>
      </c>
      <c r="BF508" s="3">
        <f t="shared" si="395"/>
        <v>0.63100000000000001</v>
      </c>
      <c r="BG508" s="3">
        <f t="shared" si="386"/>
        <v>-0.26099999999999995</v>
      </c>
      <c r="BH508" s="3">
        <f t="shared" si="396"/>
        <v>-0.156</v>
      </c>
      <c r="BI508" s="3">
        <f t="shared" si="396"/>
        <v>-0.15949999999999998</v>
      </c>
      <c r="BJ508" s="3">
        <f t="shared" si="356"/>
        <v>3.4999999999999754E-3</v>
      </c>
      <c r="BK508" s="3">
        <f t="shared" si="353"/>
        <v>3.2886486486486483E-2</v>
      </c>
      <c r="BL508" s="3">
        <f t="shared" si="354"/>
        <v>2.0158676703645E-2</v>
      </c>
      <c r="BM508" s="3">
        <f t="shared" si="387"/>
        <v>1.2727809782841482E-2</v>
      </c>
      <c r="BN508" s="3">
        <v>4.7279999999999998</v>
      </c>
      <c r="BO508" s="3">
        <v>4.9340000000000002</v>
      </c>
      <c r="BP508" s="3">
        <f t="shared" si="388"/>
        <v>-0.20600000000000041</v>
      </c>
      <c r="BQ508" s="3">
        <v>-83302.89</v>
      </c>
      <c r="BR508" s="3">
        <v>-82779.224000000002</v>
      </c>
      <c r="BS508" s="3">
        <f t="shared" si="389"/>
        <v>-523.66599999999744</v>
      </c>
      <c r="BT508" s="3">
        <v>-83320.774999999994</v>
      </c>
      <c r="BU508" s="3">
        <v>-82796.997000000003</v>
      </c>
      <c r="BV508" s="3">
        <f t="shared" si="390"/>
        <v>-523.77799999999115</v>
      </c>
    </row>
    <row r="509" spans="1:74" x14ac:dyDescent="0.25">
      <c r="A509" t="s">
        <v>583</v>
      </c>
      <c r="B509" s="1" t="s">
        <v>646</v>
      </c>
      <c r="C509" s="1" t="s">
        <v>99</v>
      </c>
      <c r="D509" s="3">
        <v>6.72</v>
      </c>
      <c r="E509" s="3">
        <v>0.87</v>
      </c>
      <c r="F509" s="3">
        <v>-593.41399999999999</v>
      </c>
      <c r="G509" s="3">
        <v>-597.37900000000002</v>
      </c>
      <c r="H509" s="3">
        <f t="shared" si="381"/>
        <v>-3.9650000000000318</v>
      </c>
      <c r="I509" s="3">
        <v>-0.27200000000000002</v>
      </c>
      <c r="J509" s="6">
        <v>-0.19700000000000001</v>
      </c>
      <c r="K509" s="3">
        <f t="shared" si="365"/>
        <v>7.5000000000000011E-2</v>
      </c>
      <c r="L509" s="3">
        <v>5.6000000000000001E-2</v>
      </c>
      <c r="M509" s="6">
        <v>-7.9000000000000001E-2</v>
      </c>
      <c r="N509" s="3">
        <f t="shared" si="366"/>
        <v>-0.13500000000000001</v>
      </c>
      <c r="O509" s="3">
        <f t="shared" si="360"/>
        <v>0.10800000000000001</v>
      </c>
      <c r="P509" s="3">
        <f t="shared" si="360"/>
        <v>0.13800000000000001</v>
      </c>
      <c r="Q509" s="3">
        <f t="shared" si="367"/>
        <v>0.03</v>
      </c>
      <c r="R509" s="3">
        <f t="shared" si="368"/>
        <v>0.32800000000000001</v>
      </c>
      <c r="S509" s="3">
        <f t="shared" si="369"/>
        <v>0.11800000000000001</v>
      </c>
      <c r="T509" s="3">
        <f t="shared" si="370"/>
        <v>-0.21000000000000002</v>
      </c>
      <c r="U509" s="3">
        <f t="shared" si="371"/>
        <v>-0.10800000000000001</v>
      </c>
      <c r="V509" s="3">
        <f t="shared" si="372"/>
        <v>-0.13800000000000001</v>
      </c>
      <c r="W509" s="3">
        <f t="shared" si="355"/>
        <v>-0.03</v>
      </c>
      <c r="X509" s="3">
        <f t="shared" si="351"/>
        <v>1.7780487804878051E-2</v>
      </c>
      <c r="Y509" s="3">
        <f t="shared" si="352"/>
        <v>8.069491525423729E-2</v>
      </c>
      <c r="Z509" s="3">
        <f t="shared" si="373"/>
        <v>6.2914427449359239E-2</v>
      </c>
      <c r="AA509" s="3">
        <v>5</v>
      </c>
      <c r="AB509" s="3">
        <v>8.673</v>
      </c>
      <c r="AC509" s="3">
        <f t="shared" si="374"/>
        <v>3.673</v>
      </c>
      <c r="AD509" s="3">
        <f>-593.131715*627.50956</f>
        <v>-372195.82150169538</v>
      </c>
      <c r="AE509" s="3">
        <f>-597.112529*627.50956</f>
        <v>-374693.82034327724</v>
      </c>
      <c r="AF509" s="3">
        <f t="shared" si="375"/>
        <v>-2497.9988415818661</v>
      </c>
      <c r="AG509" s="3">
        <f>-593.186346*627.50956</f>
        <v>-372230.10297646769</v>
      </c>
      <c r="AH509" s="3">
        <f>-597.168886*627.50956</f>
        <v>-374729.18489955016</v>
      </c>
      <c r="AI509" s="3">
        <f t="shared" si="376"/>
        <v>-2499.0819230824709</v>
      </c>
      <c r="AJ509" s="3">
        <v>-0.255</v>
      </c>
      <c r="AK509" s="3">
        <v>-0.26800000000000002</v>
      </c>
      <c r="AL509" s="3">
        <f t="shared" si="377"/>
        <v>-1.3000000000000012E-2</v>
      </c>
      <c r="AM509" s="3">
        <v>197.2756</v>
      </c>
      <c r="AN509" s="3">
        <v>281.8236</v>
      </c>
      <c r="AO509" s="3">
        <v>321.01429999999999</v>
      </c>
      <c r="AP509" s="3">
        <f t="shared" si="361"/>
        <v>1.2432268736210539</v>
      </c>
      <c r="AQ509" s="3">
        <v>14.409000000000001</v>
      </c>
      <c r="AR509" s="3">
        <v>3.4540299999999999</v>
      </c>
      <c r="AS509" s="3">
        <v>-132.80099999999999</v>
      </c>
      <c r="AT509" s="3">
        <v>-131.97</v>
      </c>
      <c r="AU509" s="3">
        <f t="shared" si="382"/>
        <v>-0.83099999999998886</v>
      </c>
      <c r="AV509" s="3">
        <v>-0.34100000000000003</v>
      </c>
      <c r="AW509" s="3">
        <v>-0.47499999999999998</v>
      </c>
      <c r="AX509" s="3">
        <f t="shared" si="383"/>
        <v>0.13399999999999995</v>
      </c>
      <c r="AY509" s="3">
        <v>2.9000000000000001E-2</v>
      </c>
      <c r="AZ509" s="3">
        <v>0.156</v>
      </c>
      <c r="BA509" s="3">
        <f t="shared" si="384"/>
        <v>-0.127</v>
      </c>
      <c r="BB509" s="3">
        <f t="shared" si="394"/>
        <v>0.156</v>
      </c>
      <c r="BC509" s="3">
        <f t="shared" si="394"/>
        <v>0.15949999999999998</v>
      </c>
      <c r="BD509" s="3">
        <f t="shared" si="385"/>
        <v>-3.4999999999999754E-3</v>
      </c>
      <c r="BE509" s="3">
        <f t="shared" si="395"/>
        <v>0.37000000000000005</v>
      </c>
      <c r="BF509" s="3">
        <f t="shared" si="395"/>
        <v>0.63100000000000001</v>
      </c>
      <c r="BG509" s="3">
        <f t="shared" si="386"/>
        <v>-0.26099999999999995</v>
      </c>
      <c r="BH509" s="3">
        <f t="shared" si="396"/>
        <v>-0.156</v>
      </c>
      <c r="BI509" s="3">
        <f t="shared" si="396"/>
        <v>-0.15949999999999998</v>
      </c>
      <c r="BJ509" s="3">
        <f t="shared" si="356"/>
        <v>3.4999999999999754E-3</v>
      </c>
      <c r="BK509" s="3">
        <f t="shared" si="353"/>
        <v>3.2886486486486483E-2</v>
      </c>
      <c r="BL509" s="3">
        <f t="shared" si="354"/>
        <v>2.0158676703645E-2</v>
      </c>
      <c r="BM509" s="3">
        <f t="shared" si="387"/>
        <v>1.2727809782841482E-2</v>
      </c>
      <c r="BN509" s="3">
        <v>4.7279999999999998</v>
      </c>
      <c r="BO509" s="3">
        <v>4.9340000000000002</v>
      </c>
      <c r="BP509" s="3">
        <f t="shared" si="388"/>
        <v>-0.20600000000000041</v>
      </c>
      <c r="BQ509" s="3">
        <v>-83302.89</v>
      </c>
      <c r="BR509" s="3">
        <v>-82779.224000000002</v>
      </c>
      <c r="BS509" s="3">
        <f t="shared" si="389"/>
        <v>-523.66599999999744</v>
      </c>
      <c r="BT509" s="3">
        <v>-83320.774999999994</v>
      </c>
      <c r="BU509" s="3">
        <v>-82796.997000000003</v>
      </c>
      <c r="BV509" s="3">
        <f t="shared" si="390"/>
        <v>-523.77799999999115</v>
      </c>
    </row>
    <row r="510" spans="1:74" x14ac:dyDescent="0.25">
      <c r="A510" t="s">
        <v>584</v>
      </c>
      <c r="B510" s="1" t="s">
        <v>646</v>
      </c>
      <c r="C510" s="1" t="s">
        <v>103</v>
      </c>
      <c r="D510" s="3">
        <v>6.77</v>
      </c>
      <c r="E510" s="3">
        <v>0.88</v>
      </c>
      <c r="F510" s="3">
        <v>-1695.2629999999999</v>
      </c>
      <c r="G510" s="3">
        <v>-1702.1289999999999</v>
      </c>
      <c r="H510" s="3">
        <f t="shared" si="381"/>
        <v>-6.8659999999999854</v>
      </c>
      <c r="I510" s="3">
        <v>-0.29699999999999999</v>
      </c>
      <c r="J510" s="6">
        <v>-0.21099999999999999</v>
      </c>
      <c r="K510" s="3">
        <f t="shared" si="365"/>
        <v>8.5999999999999993E-2</v>
      </c>
      <c r="L510" s="3">
        <v>4.2999999999999997E-2</v>
      </c>
      <c r="M510" s="6">
        <v>-1.2E-2</v>
      </c>
      <c r="N510" s="3">
        <f t="shared" si="366"/>
        <v>-5.4999999999999993E-2</v>
      </c>
      <c r="O510" s="3">
        <f t="shared" si="360"/>
        <v>0.127</v>
      </c>
      <c r="P510" s="3">
        <f t="shared" si="360"/>
        <v>0.1115</v>
      </c>
      <c r="Q510" s="3">
        <f t="shared" si="367"/>
        <v>-1.55E-2</v>
      </c>
      <c r="R510" s="3">
        <f t="shared" si="368"/>
        <v>0.33999999999999997</v>
      </c>
      <c r="S510" s="3">
        <f t="shared" si="369"/>
        <v>0.19899999999999998</v>
      </c>
      <c r="T510" s="3">
        <f t="shared" si="370"/>
        <v>-0.14099999999999999</v>
      </c>
      <c r="U510" s="3">
        <f t="shared" si="371"/>
        <v>-0.127</v>
      </c>
      <c r="V510" s="3">
        <f t="shared" si="372"/>
        <v>-0.1115</v>
      </c>
      <c r="W510" s="3">
        <f t="shared" si="355"/>
        <v>1.55E-2</v>
      </c>
      <c r="X510" s="3">
        <f t="shared" si="351"/>
        <v>2.3719117647058828E-2</v>
      </c>
      <c r="Y510" s="3">
        <f t="shared" si="352"/>
        <v>3.1236809045226136E-2</v>
      </c>
      <c r="Z510" s="3">
        <f t="shared" si="373"/>
        <v>7.5176913981673081E-3</v>
      </c>
      <c r="AA510" s="3">
        <v>14.154999999999999</v>
      </c>
      <c r="AB510" s="3">
        <v>13.941000000000001</v>
      </c>
      <c r="AC510" s="3">
        <f t="shared" si="374"/>
        <v>-0.21399999999999864</v>
      </c>
      <c r="AD510" s="3">
        <f>-1694.870374*627.50956</f>
        <v>-1063547.3626457755</v>
      </c>
      <c r="AE510" s="3">
        <f>-1701.757968*627.50956</f>
        <v>-1067869.393726174</v>
      </c>
      <c r="AF510" s="3">
        <f t="shared" si="375"/>
        <v>-4322.0310803984758</v>
      </c>
      <c r="AG510" s="3">
        <f>-1694.943924*627.50956</f>
        <v>-1063593.5159739133</v>
      </c>
      <c r="AH510" s="3">
        <f>-1701.835622*627.50956</f>
        <v>-1067918.1223535463</v>
      </c>
      <c r="AI510" s="3">
        <f t="shared" si="376"/>
        <v>-4324.6063796330709</v>
      </c>
      <c r="AJ510" s="3">
        <v>-0.42699999999999999</v>
      </c>
      <c r="AK510" s="3">
        <v>-0.432</v>
      </c>
      <c r="AL510" s="3">
        <f t="shared" si="377"/>
        <v>-5.0000000000000044E-3</v>
      </c>
      <c r="AM510" s="3">
        <v>342.61739999999998</v>
      </c>
      <c r="AN510" s="3">
        <v>390.4024</v>
      </c>
      <c r="AO510" s="3">
        <v>507.10858999999999</v>
      </c>
      <c r="AP510" s="3">
        <f t="shared" si="361"/>
        <v>1.2696999946213934</v>
      </c>
      <c r="AQ510" s="3">
        <v>12.647</v>
      </c>
      <c r="AR510" s="3">
        <v>3.5993192000000001</v>
      </c>
      <c r="AS510" s="3">
        <v>-959.76900000000001</v>
      </c>
      <c r="AT510" s="3">
        <v>-958.05</v>
      </c>
      <c r="AU510" s="3">
        <f t="shared" si="382"/>
        <v>-1.7190000000000509</v>
      </c>
      <c r="AV510" s="3">
        <v>-0.317</v>
      </c>
      <c r="AW510" s="3">
        <v>-0.45</v>
      </c>
      <c r="AX510" s="3">
        <f t="shared" si="383"/>
        <v>0.13300000000000001</v>
      </c>
      <c r="AY510" s="3">
        <v>-2.4E-2</v>
      </c>
      <c r="AZ510" s="3">
        <v>0.13500000000000001</v>
      </c>
      <c r="BA510" s="3">
        <f t="shared" si="384"/>
        <v>-0.159</v>
      </c>
      <c r="BB510" s="3">
        <f t="shared" si="394"/>
        <v>0.17050000000000001</v>
      </c>
      <c r="BC510" s="3">
        <f t="shared" si="394"/>
        <v>0.1575</v>
      </c>
      <c r="BD510" s="3">
        <f t="shared" si="385"/>
        <v>1.3000000000000012E-2</v>
      </c>
      <c r="BE510" s="3">
        <f t="shared" si="395"/>
        <v>0.29299999999999998</v>
      </c>
      <c r="BF510" s="3">
        <f t="shared" si="395"/>
        <v>0.58499999999999996</v>
      </c>
      <c r="BG510" s="3">
        <f t="shared" si="386"/>
        <v>-0.29199999999999998</v>
      </c>
      <c r="BH510" s="3">
        <f t="shared" si="396"/>
        <v>-0.17050000000000001</v>
      </c>
      <c r="BI510" s="3">
        <f t="shared" si="396"/>
        <v>-0.1575</v>
      </c>
      <c r="BJ510" s="3">
        <f t="shared" si="356"/>
        <v>-1.3000000000000012E-2</v>
      </c>
      <c r="BK510" s="3">
        <f t="shared" si="353"/>
        <v>4.9607935153583631E-2</v>
      </c>
      <c r="BL510" s="3">
        <f t="shared" si="354"/>
        <v>2.120192307692308E-2</v>
      </c>
      <c r="BM510" s="3">
        <f t="shared" si="387"/>
        <v>2.8406012076660551E-2</v>
      </c>
      <c r="BN510" s="3">
        <v>2.2370000000000001</v>
      </c>
      <c r="BO510" s="3">
        <v>2.431</v>
      </c>
      <c r="BP510" s="3">
        <f t="shared" si="388"/>
        <v>-0.19399999999999995</v>
      </c>
      <c r="BQ510" s="3">
        <v>-602243.07700000005</v>
      </c>
      <c r="BR510" s="3">
        <v>-601163.24300000002</v>
      </c>
      <c r="BS510" s="3">
        <f t="shared" si="389"/>
        <v>-1079.8340000000317</v>
      </c>
      <c r="BT510" s="3">
        <v>-602262.36399999994</v>
      </c>
      <c r="BU510" s="3">
        <v>-601182.38500000001</v>
      </c>
      <c r="BV510" s="3">
        <f t="shared" si="390"/>
        <v>-1079.9789999999339</v>
      </c>
    </row>
    <row r="511" spans="1:74" x14ac:dyDescent="0.25">
      <c r="A511" t="s">
        <v>585</v>
      </c>
      <c r="B511" s="1" t="s">
        <v>646</v>
      </c>
      <c r="C511" s="1" t="s">
        <v>99</v>
      </c>
      <c r="D511" s="3">
        <v>6.83</v>
      </c>
      <c r="E511" s="3">
        <v>0.93</v>
      </c>
      <c r="F511" s="3">
        <v>-1150.644</v>
      </c>
      <c r="G511" s="3">
        <v>-1154.192</v>
      </c>
      <c r="H511" s="3">
        <f t="shared" si="381"/>
        <v>-3.5480000000000018</v>
      </c>
      <c r="I511" s="3">
        <v>-0.316</v>
      </c>
      <c r="J511" s="6">
        <v>-0.23</v>
      </c>
      <c r="K511" s="3">
        <f t="shared" si="365"/>
        <v>8.5999999999999993E-2</v>
      </c>
      <c r="L511" s="3">
        <v>2.7E-2</v>
      </c>
      <c r="M511" s="6">
        <v>-0.01</v>
      </c>
      <c r="N511" s="3">
        <f t="shared" si="366"/>
        <v>-3.6999999999999998E-2</v>
      </c>
      <c r="O511" s="3">
        <f t="shared" si="360"/>
        <v>0.14449999999999999</v>
      </c>
      <c r="P511" s="3">
        <f t="shared" si="360"/>
        <v>0.12000000000000001</v>
      </c>
      <c r="Q511" s="3">
        <f t="shared" si="367"/>
        <v>-2.449999999999998E-2</v>
      </c>
      <c r="R511" s="3">
        <f t="shared" si="368"/>
        <v>0.34300000000000003</v>
      </c>
      <c r="S511" s="3">
        <f t="shared" si="369"/>
        <v>0.22</v>
      </c>
      <c r="T511" s="3">
        <f t="shared" si="370"/>
        <v>-0.12300000000000003</v>
      </c>
      <c r="U511" s="3">
        <f t="shared" si="371"/>
        <v>-0.14449999999999999</v>
      </c>
      <c r="V511" s="3">
        <f t="shared" si="372"/>
        <v>-0.12000000000000001</v>
      </c>
      <c r="W511" s="3">
        <f t="shared" si="355"/>
        <v>2.449999999999998E-2</v>
      </c>
      <c r="X511" s="3">
        <f t="shared" si="351"/>
        <v>3.0437682215743431E-2</v>
      </c>
      <c r="Y511" s="3">
        <f t="shared" si="352"/>
        <v>3.2727272727272737E-2</v>
      </c>
      <c r="Z511" s="3">
        <f t="shared" si="373"/>
        <v>2.2895905115293061E-3</v>
      </c>
      <c r="AA511" s="3">
        <v>16.343</v>
      </c>
      <c r="AB511" s="3">
        <v>15.641</v>
      </c>
      <c r="AC511" s="3">
        <f t="shared" si="374"/>
        <v>-0.70199999999999996</v>
      </c>
      <c r="AD511" s="3">
        <f>-1150.556153*627.50956</f>
        <v>-721984.9853243226</v>
      </c>
      <c r="AE511" s="3">
        <f>-1154.109188*627.50956</f>
        <v>-724214.54875383712</v>
      </c>
      <c r="AF511" s="3">
        <f t="shared" si="375"/>
        <v>-2229.5634295145283</v>
      </c>
      <c r="AG511" s="3">
        <f>-1150.604884*627.50956</f>
        <v>-722015.56449269108</v>
      </c>
      <c r="AH511" s="3">
        <f>-1154.159561*627.50956</f>
        <v>-724246.1582929031</v>
      </c>
      <c r="AI511" s="3">
        <f t="shared" si="376"/>
        <v>-2230.5938002120238</v>
      </c>
      <c r="AJ511" s="3">
        <v>-0.46</v>
      </c>
      <c r="AK511" s="3">
        <v>0.114</v>
      </c>
      <c r="AL511" s="3">
        <f t="shared" si="377"/>
        <v>0.57400000000000007</v>
      </c>
      <c r="AM511" s="3">
        <v>173.97049999999999</v>
      </c>
      <c r="AN511" s="3">
        <v>186.71100000000001</v>
      </c>
      <c r="AO511" s="3">
        <v>199.06209999999999</v>
      </c>
      <c r="AP511" s="3">
        <f t="shared" si="361"/>
        <v>1.1326614887968474</v>
      </c>
      <c r="AQ511" s="3">
        <v>8.4779999999999998</v>
      </c>
      <c r="AR511" s="3">
        <v>2.2730939999999999</v>
      </c>
      <c r="AS511" s="3">
        <v>-132.80099999999999</v>
      </c>
      <c r="AT511" s="3">
        <v>-131.97</v>
      </c>
      <c r="AU511" s="3">
        <f t="shared" si="382"/>
        <v>-0.83099999999998886</v>
      </c>
      <c r="AV511" s="3">
        <v>-0.34100000000000003</v>
      </c>
      <c r="AW511" s="3">
        <v>-0.47499999999999998</v>
      </c>
      <c r="AX511" s="3">
        <f t="shared" si="383"/>
        <v>0.13399999999999995</v>
      </c>
      <c r="AY511" s="3">
        <v>2.9000000000000001E-2</v>
      </c>
      <c r="AZ511" s="3">
        <v>0.156</v>
      </c>
      <c r="BA511" s="3">
        <f t="shared" si="384"/>
        <v>-0.127</v>
      </c>
      <c r="BB511" s="3">
        <f t="shared" si="394"/>
        <v>0.156</v>
      </c>
      <c r="BC511" s="3">
        <f t="shared" si="394"/>
        <v>0.15949999999999998</v>
      </c>
      <c r="BD511" s="3">
        <f t="shared" si="385"/>
        <v>-3.4999999999999754E-3</v>
      </c>
      <c r="BE511" s="3">
        <f t="shared" si="395"/>
        <v>0.37000000000000005</v>
      </c>
      <c r="BF511" s="3">
        <f t="shared" si="395"/>
        <v>0.63100000000000001</v>
      </c>
      <c r="BG511" s="3">
        <f t="shared" si="386"/>
        <v>-0.26099999999999995</v>
      </c>
      <c r="BH511" s="3">
        <f t="shared" si="396"/>
        <v>-0.156</v>
      </c>
      <c r="BI511" s="3">
        <f t="shared" si="396"/>
        <v>-0.15949999999999998</v>
      </c>
      <c r="BJ511" s="3">
        <f t="shared" si="356"/>
        <v>3.4999999999999754E-3</v>
      </c>
      <c r="BK511" s="3">
        <f t="shared" si="353"/>
        <v>3.2886486486486483E-2</v>
      </c>
      <c r="BL511" s="3">
        <f t="shared" si="354"/>
        <v>2.0158676703645E-2</v>
      </c>
      <c r="BM511" s="3">
        <f t="shared" si="387"/>
        <v>1.2727809782841482E-2</v>
      </c>
      <c r="BN511" s="3">
        <v>4.7279999999999998</v>
      </c>
      <c r="BO511" s="3">
        <v>4.9340000000000002</v>
      </c>
      <c r="BP511" s="3">
        <f t="shared" si="388"/>
        <v>-0.20600000000000041</v>
      </c>
      <c r="BQ511" s="3">
        <v>-83302.89</v>
      </c>
      <c r="BR511" s="3">
        <v>-82779.224000000002</v>
      </c>
      <c r="BS511" s="3">
        <f t="shared" si="389"/>
        <v>-523.66599999999744</v>
      </c>
      <c r="BT511" s="3">
        <v>-83320.774999999994</v>
      </c>
      <c r="BU511" s="3">
        <v>-82796.997000000003</v>
      </c>
      <c r="BV511" s="3">
        <f t="shared" si="390"/>
        <v>-523.77799999999115</v>
      </c>
    </row>
    <row r="512" spans="1:74" x14ac:dyDescent="0.25">
      <c r="A512" t="s">
        <v>586</v>
      </c>
      <c r="B512" s="1" t="s">
        <v>646</v>
      </c>
      <c r="C512" s="1" t="s">
        <v>99</v>
      </c>
      <c r="D512" s="3">
        <v>6.91</v>
      </c>
      <c r="E512" s="3">
        <v>1.1000000000000001</v>
      </c>
      <c r="F512" s="3">
        <v>-400.60700000000003</v>
      </c>
      <c r="G512" s="3">
        <v>-403.24700000000001</v>
      </c>
      <c r="H512" s="3">
        <f t="shared" si="381"/>
        <v>-2.6399999999999864</v>
      </c>
      <c r="I512" s="3">
        <v>-0.28499999999999998</v>
      </c>
      <c r="J512" s="6">
        <v>-0.20899999999999999</v>
      </c>
      <c r="K512" s="3">
        <f t="shared" si="365"/>
        <v>7.5999999999999984E-2</v>
      </c>
      <c r="L512" s="3">
        <v>0.122</v>
      </c>
      <c r="M512" s="6">
        <v>-1.7999999999999999E-2</v>
      </c>
      <c r="N512" s="3">
        <f t="shared" si="366"/>
        <v>-0.13999999999999999</v>
      </c>
      <c r="O512" s="3">
        <f t="shared" si="360"/>
        <v>8.1499999999999989E-2</v>
      </c>
      <c r="P512" s="3">
        <f t="shared" si="360"/>
        <v>0.11349999999999999</v>
      </c>
      <c r="Q512" s="3">
        <f t="shared" si="367"/>
        <v>3.2000000000000001E-2</v>
      </c>
      <c r="R512" s="3">
        <f t="shared" si="368"/>
        <v>0.40699999999999997</v>
      </c>
      <c r="S512" s="3">
        <f t="shared" si="369"/>
        <v>0.191</v>
      </c>
      <c r="T512" s="3">
        <f t="shared" si="370"/>
        <v>-0.21599999999999997</v>
      </c>
      <c r="U512" s="3">
        <f t="shared" si="371"/>
        <v>-8.1499999999999989E-2</v>
      </c>
      <c r="V512" s="3">
        <f t="shared" si="372"/>
        <v>-0.11349999999999999</v>
      </c>
      <c r="W512" s="3">
        <f t="shared" si="355"/>
        <v>-3.2000000000000001E-2</v>
      </c>
      <c r="X512" s="3">
        <f t="shared" si="351"/>
        <v>8.1600122850122823E-3</v>
      </c>
      <c r="Y512" s="3">
        <f t="shared" si="352"/>
        <v>3.3723167539267011E-2</v>
      </c>
      <c r="Z512" s="3">
        <f t="shared" si="373"/>
        <v>2.5563155254254729E-2</v>
      </c>
      <c r="AA512" s="3">
        <v>3.4039999999999999</v>
      </c>
      <c r="AB512" s="3">
        <v>3.613</v>
      </c>
      <c r="AC512" s="3">
        <f t="shared" si="374"/>
        <v>0.20900000000000007</v>
      </c>
      <c r="AD512" s="3">
        <f>-400.431479*627.50956</f>
        <v>-251274.58119743923</v>
      </c>
      <c r="AE512" s="3">
        <f>-403.081725*627.50956</f>
        <v>-252937.63589879099</v>
      </c>
      <c r="AF512" s="3">
        <f t="shared" si="375"/>
        <v>-1663.0547013517644</v>
      </c>
      <c r="AG512" s="3">
        <f>-400.472063*627.50956</f>
        <v>-251300.04804542227</v>
      </c>
      <c r="AH512" s="3">
        <f>-403.123243*627.50956</f>
        <v>-252963.68884070308</v>
      </c>
      <c r="AI512" s="3">
        <f t="shared" si="376"/>
        <v>-1663.6407952808077</v>
      </c>
      <c r="AJ512" s="3">
        <v>-0.53200000000000003</v>
      </c>
      <c r="AK512" s="3">
        <v>-0.60799999999999998</v>
      </c>
      <c r="AL512" s="3">
        <f t="shared" si="377"/>
        <v>-7.5999999999999956E-2</v>
      </c>
      <c r="AM512" s="3">
        <v>131.17446000000001</v>
      </c>
      <c r="AN512" s="3">
        <v>198.0651</v>
      </c>
      <c r="AO512" s="3">
        <v>210.34129999999999</v>
      </c>
      <c r="AP512" s="3">
        <f t="shared" ref="AP512:AP559" si="397">(AN512/(4*3.14*POWER(((3*AO512)/(4*3.14)),2/3)))</f>
        <v>1.1581928302674684</v>
      </c>
      <c r="AQ512" s="3">
        <v>10.132</v>
      </c>
      <c r="AR512" s="3">
        <v>2.2145655999999998</v>
      </c>
      <c r="AS512" s="3">
        <v>-132.80099999999999</v>
      </c>
      <c r="AT512" s="3">
        <v>-131.97</v>
      </c>
      <c r="AU512" s="3">
        <f t="shared" si="382"/>
        <v>-0.83099999999998886</v>
      </c>
      <c r="AV512" s="3">
        <v>-0.34100000000000003</v>
      </c>
      <c r="AW512" s="3">
        <v>-0.47499999999999998</v>
      </c>
      <c r="AX512" s="3">
        <f t="shared" si="383"/>
        <v>0.13399999999999995</v>
      </c>
      <c r="AY512" s="3">
        <v>2.9000000000000001E-2</v>
      </c>
      <c r="AZ512" s="3">
        <v>0.156</v>
      </c>
      <c r="BA512" s="3">
        <f t="shared" si="384"/>
        <v>-0.127</v>
      </c>
      <c r="BB512" s="3">
        <f t="shared" si="394"/>
        <v>0.156</v>
      </c>
      <c r="BC512" s="3">
        <f t="shared" si="394"/>
        <v>0.15949999999999998</v>
      </c>
      <c r="BD512" s="3">
        <f t="shared" si="385"/>
        <v>-3.4999999999999754E-3</v>
      </c>
      <c r="BE512" s="3">
        <f t="shared" si="395"/>
        <v>0.37000000000000005</v>
      </c>
      <c r="BF512" s="3">
        <f t="shared" si="395"/>
        <v>0.63100000000000001</v>
      </c>
      <c r="BG512" s="3">
        <f t="shared" si="386"/>
        <v>-0.26099999999999995</v>
      </c>
      <c r="BH512" s="3">
        <f t="shared" si="396"/>
        <v>-0.156</v>
      </c>
      <c r="BI512" s="3">
        <f t="shared" si="396"/>
        <v>-0.15949999999999998</v>
      </c>
      <c r="BJ512" s="3">
        <f t="shared" si="356"/>
        <v>3.4999999999999754E-3</v>
      </c>
      <c r="BK512" s="3">
        <f t="shared" si="353"/>
        <v>3.2886486486486483E-2</v>
      </c>
      <c r="BL512" s="3">
        <f t="shared" si="354"/>
        <v>2.0158676703645E-2</v>
      </c>
      <c r="BM512" s="3">
        <f t="shared" si="387"/>
        <v>1.2727809782841482E-2</v>
      </c>
      <c r="BN512" s="3">
        <v>4.7279999999999998</v>
      </c>
      <c r="BO512" s="3">
        <v>4.9340000000000002</v>
      </c>
      <c r="BP512" s="3">
        <f t="shared" si="388"/>
        <v>-0.20600000000000041</v>
      </c>
      <c r="BQ512" s="3">
        <v>-83302.89</v>
      </c>
      <c r="BR512" s="3">
        <v>-82779.224000000002</v>
      </c>
      <c r="BS512" s="3">
        <f t="shared" si="389"/>
        <v>-523.66599999999744</v>
      </c>
      <c r="BT512" s="3">
        <v>-83320.774999999994</v>
      </c>
      <c r="BU512" s="3">
        <v>-82796.997000000003</v>
      </c>
      <c r="BV512" s="3">
        <f t="shared" si="390"/>
        <v>-523.77799999999115</v>
      </c>
    </row>
    <row r="513" spans="1:74" x14ac:dyDescent="0.25">
      <c r="A513" t="s">
        <v>424</v>
      </c>
      <c r="B513" s="1" t="s">
        <v>646</v>
      </c>
      <c r="C513" s="1" t="s">
        <v>103</v>
      </c>
      <c r="D513" s="3">
        <v>6.98</v>
      </c>
      <c r="E513" s="3">
        <v>0.85</v>
      </c>
      <c r="F513" s="3">
        <v>-227.15100000000001</v>
      </c>
      <c r="G513" s="3">
        <v>-228.649</v>
      </c>
      <c r="H513" s="3">
        <f t="shared" si="381"/>
        <v>-1.4979999999999905</v>
      </c>
      <c r="I513" s="3">
        <v>-0.33700000000000002</v>
      </c>
      <c r="J513" s="6">
        <v>-0.218</v>
      </c>
      <c r="K513" s="3">
        <f t="shared" si="365"/>
        <v>0.11900000000000002</v>
      </c>
      <c r="L513" s="3">
        <v>0.156</v>
      </c>
      <c r="M513" s="6">
        <v>2E-3</v>
      </c>
      <c r="N513" s="3">
        <f t="shared" si="366"/>
        <v>-0.154</v>
      </c>
      <c r="O513" s="3">
        <f t="shared" si="360"/>
        <v>9.0500000000000011E-2</v>
      </c>
      <c r="P513" s="3">
        <f t="shared" si="360"/>
        <v>0.108</v>
      </c>
      <c r="Q513" s="3">
        <f t="shared" si="367"/>
        <v>1.7499999999999988E-2</v>
      </c>
      <c r="R513" s="3">
        <f t="shared" si="368"/>
        <v>0.49299999999999999</v>
      </c>
      <c r="S513" s="3">
        <f t="shared" si="369"/>
        <v>0.22</v>
      </c>
      <c r="T513" s="3">
        <f t="shared" si="370"/>
        <v>-0.27300000000000002</v>
      </c>
      <c r="U513" s="3">
        <f t="shared" si="371"/>
        <v>-9.0500000000000011E-2</v>
      </c>
      <c r="V513" s="3">
        <f t="shared" si="372"/>
        <v>-0.108</v>
      </c>
      <c r="W513" s="3">
        <f t="shared" si="355"/>
        <v>-1.7499999999999988E-2</v>
      </c>
      <c r="X513" s="3">
        <f t="shared" si="351"/>
        <v>8.306541582150103E-3</v>
      </c>
      <c r="Y513" s="3">
        <f t="shared" si="352"/>
        <v>2.6509090909090906E-2</v>
      </c>
      <c r="Z513" s="3">
        <f t="shared" si="373"/>
        <v>1.8202549326940803E-2</v>
      </c>
      <c r="AA513" s="3">
        <v>2.3090000000000002</v>
      </c>
      <c r="AB513" s="3">
        <v>2.4</v>
      </c>
      <c r="AC513" s="3">
        <f t="shared" si="374"/>
        <v>9.0999999999999748E-2</v>
      </c>
      <c r="AD513" s="3">
        <f>-227.023473*627.50956</f>
        <v>-142459.39965190188</v>
      </c>
      <c r="AE513" s="3">
        <f>-228.528735*627.50956</f>
        <v>-143403.9659472066</v>
      </c>
      <c r="AF513" s="3">
        <f t="shared" si="375"/>
        <v>-944.566295304714</v>
      </c>
      <c r="AG513" s="3">
        <f>-227.058492*627.50956</f>
        <v>-142481.37440918351</v>
      </c>
      <c r="AH513" s="3">
        <f>-228.564486*627.50956</f>
        <v>-143426.40004148614</v>
      </c>
      <c r="AI513" s="3">
        <f t="shared" si="376"/>
        <v>-945.02563230262604</v>
      </c>
      <c r="AJ513" s="3">
        <v>-0.29399999999999998</v>
      </c>
      <c r="AK513" s="3">
        <v>-0.39400000000000002</v>
      </c>
      <c r="AL513" s="3">
        <f t="shared" si="377"/>
        <v>-0.10000000000000003</v>
      </c>
      <c r="AM513" s="3">
        <v>72.109020000000001</v>
      </c>
      <c r="AN513" s="3">
        <v>140.708</v>
      </c>
      <c r="AO513" s="3">
        <v>136.57939999999999</v>
      </c>
      <c r="AP513" s="3">
        <f t="shared" si="397"/>
        <v>1.0972812044352362</v>
      </c>
      <c r="AQ513" s="3">
        <v>7.6559999999999997</v>
      </c>
      <c r="AR513" s="3">
        <v>1.5276133999999999</v>
      </c>
      <c r="AS513" s="3">
        <v>-959.76900000000001</v>
      </c>
      <c r="AT513" s="3">
        <v>-958.05</v>
      </c>
      <c r="AU513" s="3">
        <f t="shared" si="382"/>
        <v>-1.7190000000000509</v>
      </c>
      <c r="AV513" s="3">
        <v>-0.317</v>
      </c>
      <c r="AW513" s="3">
        <v>-0.45</v>
      </c>
      <c r="AX513" s="3">
        <f t="shared" si="383"/>
        <v>0.13300000000000001</v>
      </c>
      <c r="AY513" s="3">
        <v>-2.4E-2</v>
      </c>
      <c r="AZ513" s="3">
        <v>0.13500000000000001</v>
      </c>
      <c r="BA513" s="3">
        <f t="shared" si="384"/>
        <v>-0.159</v>
      </c>
      <c r="BB513" s="3">
        <f t="shared" si="394"/>
        <v>0.17050000000000001</v>
      </c>
      <c r="BC513" s="3">
        <f t="shared" si="394"/>
        <v>0.1575</v>
      </c>
      <c r="BD513" s="3">
        <f t="shared" si="385"/>
        <v>1.3000000000000012E-2</v>
      </c>
      <c r="BE513" s="3">
        <f t="shared" si="395"/>
        <v>0.29299999999999998</v>
      </c>
      <c r="BF513" s="3">
        <f t="shared" si="395"/>
        <v>0.58499999999999996</v>
      </c>
      <c r="BG513" s="3">
        <f t="shared" si="386"/>
        <v>-0.29199999999999998</v>
      </c>
      <c r="BH513" s="3">
        <f t="shared" si="396"/>
        <v>-0.17050000000000001</v>
      </c>
      <c r="BI513" s="3">
        <f t="shared" si="396"/>
        <v>-0.1575</v>
      </c>
      <c r="BJ513" s="3">
        <f t="shared" si="356"/>
        <v>-1.3000000000000012E-2</v>
      </c>
      <c r="BK513" s="3">
        <f t="shared" si="353"/>
        <v>4.9607935153583631E-2</v>
      </c>
      <c r="BL513" s="3">
        <f t="shared" si="354"/>
        <v>2.120192307692308E-2</v>
      </c>
      <c r="BM513" s="3">
        <f t="shared" si="387"/>
        <v>2.8406012076660551E-2</v>
      </c>
      <c r="BN513" s="3">
        <v>2.2370000000000001</v>
      </c>
      <c r="BO513" s="3">
        <v>2.431</v>
      </c>
      <c r="BP513" s="3">
        <f t="shared" si="388"/>
        <v>-0.19399999999999995</v>
      </c>
      <c r="BQ513" s="3">
        <v>-602243.07700000005</v>
      </c>
      <c r="BR513" s="3">
        <v>-601163.24300000002</v>
      </c>
      <c r="BS513" s="3">
        <f t="shared" si="389"/>
        <v>-1079.8340000000317</v>
      </c>
      <c r="BT513" s="3">
        <v>-602262.36399999994</v>
      </c>
      <c r="BU513" s="3">
        <v>-601182.38500000001</v>
      </c>
      <c r="BV513" s="3">
        <f t="shared" si="390"/>
        <v>-1079.9789999999339</v>
      </c>
    </row>
    <row r="514" spans="1:74" x14ac:dyDescent="0.25">
      <c r="A514" t="s">
        <v>587</v>
      </c>
      <c r="B514" s="1" t="s">
        <v>646</v>
      </c>
      <c r="C514" s="1" t="s">
        <v>99</v>
      </c>
      <c r="D514" s="3">
        <v>6.98</v>
      </c>
      <c r="E514" s="3">
        <v>0.93</v>
      </c>
      <c r="F514" s="3">
        <v>-1275.383</v>
      </c>
      <c r="G514" s="3">
        <v>-1281.8309999999999</v>
      </c>
      <c r="H514" s="3">
        <f t="shared" si="381"/>
        <v>-6.4479999999998654</v>
      </c>
      <c r="I514" s="3">
        <v>-0.29399999999999998</v>
      </c>
      <c r="J514" s="6">
        <v>-0.20899999999999999</v>
      </c>
      <c r="K514" s="3">
        <f t="shared" si="365"/>
        <v>8.4999999999999992E-2</v>
      </c>
      <c r="L514" s="3">
        <v>4.2999999999999997E-2</v>
      </c>
      <c r="M514" s="6">
        <v>-4.0000000000000001E-3</v>
      </c>
      <c r="N514" s="3">
        <f t="shared" si="366"/>
        <v>-4.7E-2</v>
      </c>
      <c r="O514" s="3">
        <f t="shared" si="360"/>
        <v>0.1255</v>
      </c>
      <c r="P514" s="3">
        <f t="shared" si="360"/>
        <v>0.1065</v>
      </c>
      <c r="Q514" s="3">
        <f t="shared" si="367"/>
        <v>-1.9000000000000003E-2</v>
      </c>
      <c r="R514" s="3">
        <f t="shared" si="368"/>
        <v>0.33699999999999997</v>
      </c>
      <c r="S514" s="3">
        <f t="shared" si="369"/>
        <v>0.20499999999999999</v>
      </c>
      <c r="T514" s="3">
        <f t="shared" si="370"/>
        <v>-0.13199999999999998</v>
      </c>
      <c r="U514" s="3">
        <f t="shared" si="371"/>
        <v>-0.1255</v>
      </c>
      <c r="V514" s="3">
        <f t="shared" si="372"/>
        <v>-0.1065</v>
      </c>
      <c r="W514" s="3">
        <f t="shared" si="355"/>
        <v>1.9000000000000003E-2</v>
      </c>
      <c r="X514" s="3">
        <f t="shared" ref="X514:X577" si="398">(U514*U514)/(2*R514)</f>
        <v>2.3368323442136501E-2</v>
      </c>
      <c r="Y514" s="3">
        <f t="shared" ref="Y514:Y577" si="399">(V514*V514)/(2*S514)</f>
        <v>2.7664024390243905E-2</v>
      </c>
      <c r="Z514" s="3">
        <f t="shared" si="373"/>
        <v>4.2957009481074046E-3</v>
      </c>
      <c r="AA514" s="3">
        <v>12.438000000000001</v>
      </c>
      <c r="AB514" s="3">
        <v>12.409000000000001</v>
      </c>
      <c r="AC514" s="3">
        <f t="shared" si="374"/>
        <v>-2.8999999999999915E-2</v>
      </c>
      <c r="AD514" s="3">
        <f>-1274.951104*627.50956</f>
        <v>-800044.0062925542</v>
      </c>
      <c r="AE514" s="3">
        <f>-1281.422658*627.50956</f>
        <v>-804104.96829561039</v>
      </c>
      <c r="AF514" s="3">
        <f t="shared" si="375"/>
        <v>-4060.9620030561928</v>
      </c>
      <c r="AG514" s="3">
        <f>-1275.026606*627.50956</f>
        <v>-800091.38451935328</v>
      </c>
      <c r="AH514" s="3">
        <f>-1281.500882*627.50956</f>
        <v>-804154.05460343196</v>
      </c>
      <c r="AI514" s="3">
        <f t="shared" si="376"/>
        <v>-4062.6700840786798</v>
      </c>
      <c r="AJ514" s="3">
        <v>-0.42299999999999999</v>
      </c>
      <c r="AK514" s="3">
        <v>-0.42799999999999999</v>
      </c>
      <c r="AL514" s="3">
        <f t="shared" si="377"/>
        <v>-5.0000000000000044E-3</v>
      </c>
      <c r="AM514" s="3">
        <v>322.19889999999998</v>
      </c>
      <c r="AN514" s="3">
        <v>396.80270000000002</v>
      </c>
      <c r="AO514" s="3">
        <v>516.29100000000005</v>
      </c>
      <c r="AP514" s="3">
        <f t="shared" si="397"/>
        <v>1.2751683728459293</v>
      </c>
      <c r="AQ514" s="3">
        <v>13.199</v>
      </c>
      <c r="AR514" s="3">
        <v>3.4127000000000001</v>
      </c>
      <c r="AS514" s="3">
        <v>-132.80099999999999</v>
      </c>
      <c r="AT514" s="3">
        <v>-131.97</v>
      </c>
      <c r="AU514" s="3">
        <f t="shared" si="382"/>
        <v>-0.83099999999998886</v>
      </c>
      <c r="AV514" s="3">
        <v>-0.34100000000000003</v>
      </c>
      <c r="AW514" s="3">
        <v>-0.47499999999999998</v>
      </c>
      <c r="AX514" s="3">
        <f t="shared" si="383"/>
        <v>0.13399999999999995</v>
      </c>
      <c r="AY514" s="3">
        <v>2.9000000000000001E-2</v>
      </c>
      <c r="AZ514" s="3">
        <v>0.156</v>
      </c>
      <c r="BA514" s="3">
        <f t="shared" si="384"/>
        <v>-0.127</v>
      </c>
      <c r="BB514" s="3">
        <f t="shared" si="394"/>
        <v>0.156</v>
      </c>
      <c r="BC514" s="3">
        <f t="shared" si="394"/>
        <v>0.15949999999999998</v>
      </c>
      <c r="BD514" s="3">
        <f t="shared" si="385"/>
        <v>-3.4999999999999754E-3</v>
      </c>
      <c r="BE514" s="3">
        <f t="shared" si="395"/>
        <v>0.37000000000000005</v>
      </c>
      <c r="BF514" s="3">
        <f t="shared" si="395"/>
        <v>0.63100000000000001</v>
      </c>
      <c r="BG514" s="3">
        <f t="shared" si="386"/>
        <v>-0.26099999999999995</v>
      </c>
      <c r="BH514" s="3">
        <f t="shared" si="396"/>
        <v>-0.156</v>
      </c>
      <c r="BI514" s="3">
        <f t="shared" si="396"/>
        <v>-0.15949999999999998</v>
      </c>
      <c r="BJ514" s="3">
        <f t="shared" si="356"/>
        <v>3.4999999999999754E-3</v>
      </c>
      <c r="BK514" s="3">
        <f t="shared" ref="BK514:BK577" si="400">(BH514*BH514)/(2*BE514)</f>
        <v>3.2886486486486483E-2</v>
      </c>
      <c r="BL514" s="3">
        <f t="shared" ref="BL514:BL577" si="401">(BI514*BI514)/(2*BF514)</f>
        <v>2.0158676703645E-2</v>
      </c>
      <c r="BM514" s="3">
        <f t="shared" si="387"/>
        <v>1.2727809782841482E-2</v>
      </c>
      <c r="BN514" s="3">
        <v>4.7279999999999998</v>
      </c>
      <c r="BO514" s="3">
        <v>4.9340000000000002</v>
      </c>
      <c r="BP514" s="3">
        <f t="shared" si="388"/>
        <v>-0.20600000000000041</v>
      </c>
      <c r="BQ514" s="3">
        <v>-83302.89</v>
      </c>
      <c r="BR514" s="3">
        <v>-82779.224000000002</v>
      </c>
      <c r="BS514" s="3">
        <f t="shared" si="389"/>
        <v>-523.66599999999744</v>
      </c>
      <c r="BT514" s="3">
        <v>-83320.774999999994</v>
      </c>
      <c r="BU514" s="3">
        <v>-82796.997000000003</v>
      </c>
      <c r="BV514" s="3">
        <f t="shared" si="390"/>
        <v>-523.77799999999115</v>
      </c>
    </row>
    <row r="515" spans="1:74" x14ac:dyDescent="0.25">
      <c r="A515" t="s">
        <v>588</v>
      </c>
      <c r="B515" s="1" t="s">
        <v>646</v>
      </c>
      <c r="C515" s="1" t="s">
        <v>99</v>
      </c>
      <c r="D515" s="3">
        <v>7.06</v>
      </c>
      <c r="E515" s="3">
        <v>0.85</v>
      </c>
      <c r="F515" s="3">
        <v>-628.44200000000001</v>
      </c>
      <c r="G515" s="3">
        <v>-632.36199999999997</v>
      </c>
      <c r="H515" s="3">
        <f t="shared" si="381"/>
        <v>-3.9199999999999591</v>
      </c>
      <c r="I515" s="3">
        <v>-0.30299999999999999</v>
      </c>
      <c r="J515" s="6">
        <v>-0.221</v>
      </c>
      <c r="K515" s="3">
        <f t="shared" si="365"/>
        <v>8.199999999999999E-2</v>
      </c>
      <c r="L515" s="3">
        <v>0.105</v>
      </c>
      <c r="M515" s="6">
        <v>-4.1000000000000002E-2</v>
      </c>
      <c r="N515" s="3">
        <f t="shared" si="366"/>
        <v>-0.14599999999999999</v>
      </c>
      <c r="O515" s="3">
        <f t="shared" si="360"/>
        <v>9.9000000000000005E-2</v>
      </c>
      <c r="P515" s="3">
        <f t="shared" si="360"/>
        <v>0.13100000000000001</v>
      </c>
      <c r="Q515" s="3">
        <f t="shared" si="367"/>
        <v>3.2000000000000001E-2</v>
      </c>
      <c r="R515" s="3">
        <f t="shared" si="368"/>
        <v>0.40799999999999997</v>
      </c>
      <c r="S515" s="3">
        <f t="shared" si="369"/>
        <v>0.18</v>
      </c>
      <c r="T515" s="3">
        <f t="shared" si="370"/>
        <v>-0.22799999999999998</v>
      </c>
      <c r="U515" s="3">
        <f t="shared" si="371"/>
        <v>-9.9000000000000005E-2</v>
      </c>
      <c r="V515" s="3">
        <f t="shared" si="372"/>
        <v>-0.13100000000000001</v>
      </c>
      <c r="W515" s="3">
        <f t="shared" ref="W515:W578" si="402">(V515-U515)</f>
        <v>-3.2000000000000001E-2</v>
      </c>
      <c r="X515" s="3">
        <f t="shared" si="398"/>
        <v>1.2011029411764707E-2</v>
      </c>
      <c r="Y515" s="3">
        <f t="shared" si="399"/>
        <v>4.7669444444444452E-2</v>
      </c>
      <c r="Z515" s="3">
        <f t="shared" si="373"/>
        <v>3.5658415032679747E-2</v>
      </c>
      <c r="AA515" s="3">
        <v>6.4290000000000003</v>
      </c>
      <c r="AB515" s="3">
        <v>6.2149999999999999</v>
      </c>
      <c r="AC515" s="3">
        <f t="shared" si="374"/>
        <v>-0.21400000000000041</v>
      </c>
      <c r="AD515" s="3">
        <f>-628.193465*627.50956</f>
        <v>-394197.40481702535</v>
      </c>
      <c r="AE515" s="3">
        <f>-632.127542*627.50956</f>
        <v>-396666.07574430149</v>
      </c>
      <c r="AF515" s="3">
        <f t="shared" si="375"/>
        <v>-2468.6709272761364</v>
      </c>
      <c r="AG515" s="3">
        <f>-628.248392*627.50956</f>
        <v>-394231.87203462748</v>
      </c>
      <c r="AH515" s="3">
        <f>-632.183465*627.50956</f>
        <v>-396701.16796142532</v>
      </c>
      <c r="AI515" s="3">
        <f t="shared" si="376"/>
        <v>-2469.295926797844</v>
      </c>
      <c r="AJ515" s="3">
        <v>-0.61</v>
      </c>
      <c r="AK515" s="3">
        <v>-0.67600000000000005</v>
      </c>
      <c r="AL515" s="3">
        <f t="shared" si="377"/>
        <v>-6.6000000000000059E-2</v>
      </c>
      <c r="AM515" s="3">
        <v>191.22641999999999</v>
      </c>
      <c r="AN515" s="3">
        <v>259.23430000000002</v>
      </c>
      <c r="AO515" s="3">
        <v>291.75299999999999</v>
      </c>
      <c r="AP515" s="3">
        <f t="shared" si="397"/>
        <v>1.2188161318858468</v>
      </c>
      <c r="AQ515" s="3">
        <v>12.391</v>
      </c>
      <c r="AR515" s="3">
        <v>2.9798460000000002</v>
      </c>
      <c r="AS515" s="3">
        <v>-132.80099999999999</v>
      </c>
      <c r="AT515" s="3">
        <v>-131.97</v>
      </c>
      <c r="AU515" s="3">
        <f t="shared" si="382"/>
        <v>-0.83099999999998886</v>
      </c>
      <c r="AV515" s="3">
        <v>-0.34100000000000003</v>
      </c>
      <c r="AW515" s="3">
        <v>-0.47499999999999998</v>
      </c>
      <c r="AX515" s="3">
        <f t="shared" si="383"/>
        <v>0.13399999999999995</v>
      </c>
      <c r="AY515" s="3">
        <v>2.9000000000000001E-2</v>
      </c>
      <c r="AZ515" s="3">
        <v>0.156</v>
      </c>
      <c r="BA515" s="3">
        <f t="shared" si="384"/>
        <v>-0.127</v>
      </c>
      <c r="BB515" s="3">
        <f t="shared" ref="BB515:BC526" si="403">-(AV515+AY515)/2</f>
        <v>0.156</v>
      </c>
      <c r="BC515" s="3">
        <f t="shared" si="403"/>
        <v>0.15949999999999998</v>
      </c>
      <c r="BD515" s="3">
        <f t="shared" si="385"/>
        <v>-3.4999999999999754E-3</v>
      </c>
      <c r="BE515" s="3">
        <f t="shared" ref="BE515:BF526" si="404">AY515-AV515</f>
        <v>0.37000000000000005</v>
      </c>
      <c r="BF515" s="3">
        <f t="shared" si="404"/>
        <v>0.63100000000000001</v>
      </c>
      <c r="BG515" s="3">
        <f t="shared" si="386"/>
        <v>-0.26099999999999995</v>
      </c>
      <c r="BH515" s="3">
        <f t="shared" ref="BH515:BI526" si="405">(AV515+AY515)/2</f>
        <v>-0.156</v>
      </c>
      <c r="BI515" s="3">
        <f t="shared" si="405"/>
        <v>-0.15949999999999998</v>
      </c>
      <c r="BJ515" s="3">
        <f t="shared" ref="BJ515:BJ578" si="406">(BH515-BI515)</f>
        <v>3.4999999999999754E-3</v>
      </c>
      <c r="BK515" s="3">
        <f t="shared" si="400"/>
        <v>3.2886486486486483E-2</v>
      </c>
      <c r="BL515" s="3">
        <f t="shared" si="401"/>
        <v>2.0158676703645E-2</v>
      </c>
      <c r="BM515" s="3">
        <f t="shared" si="387"/>
        <v>1.2727809782841482E-2</v>
      </c>
      <c r="BN515" s="3">
        <v>4.7279999999999998</v>
      </c>
      <c r="BO515" s="3">
        <v>4.9340000000000002</v>
      </c>
      <c r="BP515" s="3">
        <f t="shared" si="388"/>
        <v>-0.20600000000000041</v>
      </c>
      <c r="BQ515" s="3">
        <v>-83302.89</v>
      </c>
      <c r="BR515" s="3">
        <v>-82779.224000000002</v>
      </c>
      <c r="BS515" s="3">
        <f t="shared" si="389"/>
        <v>-523.66599999999744</v>
      </c>
      <c r="BT515" s="3">
        <v>-83320.774999999994</v>
      </c>
      <c r="BU515" s="3">
        <v>-82796.997000000003</v>
      </c>
      <c r="BV515" s="3">
        <f t="shared" si="390"/>
        <v>-523.77799999999115</v>
      </c>
    </row>
    <row r="516" spans="1:74" x14ac:dyDescent="0.25">
      <c r="A516" t="s">
        <v>589</v>
      </c>
      <c r="B516" s="1" t="s">
        <v>646</v>
      </c>
      <c r="C516" s="1" t="s">
        <v>99</v>
      </c>
      <c r="D516" s="3">
        <v>7.06</v>
      </c>
      <c r="E516" s="3">
        <v>0.87</v>
      </c>
      <c r="F516" s="3">
        <v>-400.90100000000001</v>
      </c>
      <c r="G516" s="3">
        <v>-403.46100000000001</v>
      </c>
      <c r="H516" s="3">
        <f t="shared" si="381"/>
        <v>-2.5600000000000023</v>
      </c>
      <c r="I516" s="3">
        <v>-0.32700000000000001</v>
      </c>
      <c r="J516" s="6">
        <v>-0.218</v>
      </c>
      <c r="K516" s="3">
        <f t="shared" si="365"/>
        <v>0.10900000000000001</v>
      </c>
      <c r="L516" s="3">
        <v>0.15</v>
      </c>
      <c r="M516" s="6">
        <v>-8.0000000000000002E-3</v>
      </c>
      <c r="N516" s="3">
        <f t="shared" si="366"/>
        <v>-0.158</v>
      </c>
      <c r="O516" s="3">
        <f t="shared" si="360"/>
        <v>8.8500000000000009E-2</v>
      </c>
      <c r="P516" s="3">
        <f t="shared" si="360"/>
        <v>0.113</v>
      </c>
      <c r="Q516" s="3">
        <f t="shared" si="367"/>
        <v>2.4499999999999994E-2</v>
      </c>
      <c r="R516" s="3">
        <f t="shared" si="368"/>
        <v>0.47699999999999998</v>
      </c>
      <c r="S516" s="3">
        <f t="shared" si="369"/>
        <v>0.21</v>
      </c>
      <c r="T516" s="3">
        <f t="shared" si="370"/>
        <v>-0.26700000000000002</v>
      </c>
      <c r="U516" s="3">
        <f t="shared" si="371"/>
        <v>-8.8500000000000009E-2</v>
      </c>
      <c r="V516" s="3">
        <f t="shared" si="372"/>
        <v>-0.113</v>
      </c>
      <c r="W516" s="3">
        <f t="shared" si="402"/>
        <v>-2.4499999999999994E-2</v>
      </c>
      <c r="X516" s="3">
        <f t="shared" si="398"/>
        <v>8.2099056603773621E-3</v>
      </c>
      <c r="Y516" s="3">
        <f t="shared" si="399"/>
        <v>3.0402380952380955E-2</v>
      </c>
      <c r="Z516" s="3">
        <f t="shared" si="373"/>
        <v>2.2192475292003591E-2</v>
      </c>
      <c r="AA516" s="3">
        <v>4.915</v>
      </c>
      <c r="AB516" s="3">
        <v>4.4080000000000004</v>
      </c>
      <c r="AC516" s="3">
        <f t="shared" si="374"/>
        <v>-0.50699999999999967</v>
      </c>
      <c r="AD516" s="3">
        <f>-400.70813*627.50956</f>
        <v>-251448.18234472277</v>
      </c>
      <c r="AE516" s="3">
        <f>-403.279482*627.50956</f>
        <v>-253061.73030684789</v>
      </c>
      <c r="AF516" s="3">
        <f t="shared" si="375"/>
        <v>-1613.5479621251288</v>
      </c>
      <c r="AG516" s="3">
        <f>-400.75228*627.50956</f>
        <v>-251475.88689179678</v>
      </c>
      <c r="AH516" s="3">
        <f>-403.324598*627.50956</f>
        <v>-253090.04102815685</v>
      </c>
      <c r="AI516" s="3">
        <f t="shared" si="376"/>
        <v>-1614.15413636007</v>
      </c>
      <c r="AJ516" s="3">
        <v>-0.60899999999999999</v>
      </c>
      <c r="AK516" s="3">
        <v>-0.67400000000000004</v>
      </c>
      <c r="AL516" s="3">
        <f t="shared" si="377"/>
        <v>-6.5000000000000058E-2</v>
      </c>
      <c r="AM516" s="3">
        <v>125.16834</v>
      </c>
      <c r="AN516" s="3">
        <v>191.93489</v>
      </c>
      <c r="AO516" s="3">
        <v>206.85817</v>
      </c>
      <c r="AP516" s="3">
        <f t="shared" si="397"/>
        <v>1.1349100093892184</v>
      </c>
      <c r="AQ516" s="3">
        <v>9.68</v>
      </c>
      <c r="AR516" s="3">
        <v>2.3024439000000001</v>
      </c>
      <c r="AS516" s="3">
        <v>-132.80099999999999</v>
      </c>
      <c r="AT516" s="3">
        <v>-131.97</v>
      </c>
      <c r="AU516" s="3">
        <f t="shared" si="382"/>
        <v>-0.83099999999998886</v>
      </c>
      <c r="AV516" s="3">
        <v>-0.34100000000000003</v>
      </c>
      <c r="AW516" s="3">
        <v>-0.47499999999999998</v>
      </c>
      <c r="AX516" s="3">
        <f t="shared" si="383"/>
        <v>0.13399999999999995</v>
      </c>
      <c r="AY516" s="3">
        <v>2.9000000000000001E-2</v>
      </c>
      <c r="AZ516" s="3">
        <v>0.156</v>
      </c>
      <c r="BA516" s="3">
        <f t="shared" si="384"/>
        <v>-0.127</v>
      </c>
      <c r="BB516" s="3">
        <f t="shared" si="403"/>
        <v>0.156</v>
      </c>
      <c r="BC516" s="3">
        <f t="shared" si="403"/>
        <v>0.15949999999999998</v>
      </c>
      <c r="BD516" s="3">
        <f t="shared" si="385"/>
        <v>-3.4999999999999754E-3</v>
      </c>
      <c r="BE516" s="3">
        <f t="shared" si="404"/>
        <v>0.37000000000000005</v>
      </c>
      <c r="BF516" s="3">
        <f t="shared" si="404"/>
        <v>0.63100000000000001</v>
      </c>
      <c r="BG516" s="3">
        <f t="shared" si="386"/>
        <v>-0.26099999999999995</v>
      </c>
      <c r="BH516" s="3">
        <f t="shared" si="405"/>
        <v>-0.156</v>
      </c>
      <c r="BI516" s="3">
        <f t="shared" si="405"/>
        <v>-0.15949999999999998</v>
      </c>
      <c r="BJ516" s="3">
        <f t="shared" si="406"/>
        <v>3.4999999999999754E-3</v>
      </c>
      <c r="BK516" s="3">
        <f t="shared" si="400"/>
        <v>3.2886486486486483E-2</v>
      </c>
      <c r="BL516" s="3">
        <f t="shared" si="401"/>
        <v>2.0158676703645E-2</v>
      </c>
      <c r="BM516" s="3">
        <f t="shared" si="387"/>
        <v>1.2727809782841482E-2</v>
      </c>
      <c r="BN516" s="3">
        <v>4.7279999999999998</v>
      </c>
      <c r="BO516" s="3">
        <v>4.9340000000000002</v>
      </c>
      <c r="BP516" s="3">
        <f t="shared" si="388"/>
        <v>-0.20600000000000041</v>
      </c>
      <c r="BQ516" s="3">
        <v>-83302.89</v>
      </c>
      <c r="BR516" s="3">
        <v>-82779.224000000002</v>
      </c>
      <c r="BS516" s="3">
        <f t="shared" si="389"/>
        <v>-523.66599999999744</v>
      </c>
      <c r="BT516" s="3">
        <v>-83320.774999999994</v>
      </c>
      <c r="BU516" s="3">
        <v>-82796.997000000003</v>
      </c>
      <c r="BV516" s="3">
        <f t="shared" si="390"/>
        <v>-523.77799999999115</v>
      </c>
    </row>
    <row r="517" spans="1:74" x14ac:dyDescent="0.25">
      <c r="A517" t="s">
        <v>590</v>
      </c>
      <c r="B517" s="1" t="s">
        <v>646</v>
      </c>
      <c r="C517" s="1" t="s">
        <v>99</v>
      </c>
      <c r="D517" s="3">
        <v>7.15</v>
      </c>
      <c r="E517" s="3">
        <v>0.77</v>
      </c>
      <c r="F517" s="3">
        <v>-1251.425</v>
      </c>
      <c r="G517" s="3">
        <v>-1258.8530000000001</v>
      </c>
      <c r="H517" s="3">
        <f t="shared" si="381"/>
        <v>-7.428000000000111</v>
      </c>
      <c r="I517" s="3">
        <v>-0.29499999999999998</v>
      </c>
      <c r="J517" s="6">
        <v>-0.193</v>
      </c>
      <c r="K517" s="3">
        <f t="shared" si="365"/>
        <v>0.10199999999999998</v>
      </c>
      <c r="L517" s="3">
        <v>3.5999999999999997E-2</v>
      </c>
      <c r="M517" s="6">
        <v>-1.6E-2</v>
      </c>
      <c r="N517" s="3">
        <f t="shared" si="366"/>
        <v>-5.1999999999999998E-2</v>
      </c>
      <c r="O517" s="3">
        <f t="shared" si="360"/>
        <v>0.1295</v>
      </c>
      <c r="P517" s="3">
        <f t="shared" si="360"/>
        <v>0.10450000000000001</v>
      </c>
      <c r="Q517" s="3">
        <f t="shared" si="367"/>
        <v>-2.4999999999999994E-2</v>
      </c>
      <c r="R517" s="3">
        <f t="shared" si="368"/>
        <v>0.33099999999999996</v>
      </c>
      <c r="S517" s="3">
        <f t="shared" si="369"/>
        <v>0.17699999999999999</v>
      </c>
      <c r="T517" s="3">
        <f t="shared" si="370"/>
        <v>-0.15399999999999997</v>
      </c>
      <c r="U517" s="3">
        <f t="shared" si="371"/>
        <v>-0.1295</v>
      </c>
      <c r="V517" s="3">
        <f t="shared" si="372"/>
        <v>-0.10450000000000001</v>
      </c>
      <c r="W517" s="3">
        <f t="shared" si="402"/>
        <v>2.4999999999999994E-2</v>
      </c>
      <c r="X517" s="3">
        <f t="shared" si="398"/>
        <v>2.5332703927492452E-2</v>
      </c>
      <c r="Y517" s="3">
        <f t="shared" si="399"/>
        <v>3.0848163841807913E-2</v>
      </c>
      <c r="Z517" s="3">
        <f t="shared" si="373"/>
        <v>5.5154599143154605E-3</v>
      </c>
      <c r="AA517" s="3">
        <v>30.992999999999999</v>
      </c>
      <c r="AB517" s="3">
        <v>30.882999999999999</v>
      </c>
      <c r="AC517" s="3">
        <f t="shared" si="374"/>
        <v>-0.10999999999999943</v>
      </c>
      <c r="AD517" s="3">
        <f>-1250.980206*627.50956</f>
        <v>-785002.03863576928</v>
      </c>
      <c r="AE517" s="3">
        <f>-1258.43351*627.50956</f>
        <v>-789679.05814935558</v>
      </c>
      <c r="AF517" s="3">
        <f t="shared" si="375"/>
        <v>-4677.0195135863032</v>
      </c>
      <c r="AG517" s="3">
        <f>-1251.064462*627.50956</f>
        <v>-785054.91008125676</v>
      </c>
      <c r="AH517" s="3">
        <f>-1258.520708*627.50956</f>
        <v>-789733.77572796843</v>
      </c>
      <c r="AI517" s="3">
        <f t="shared" si="376"/>
        <v>-4678.8656467116671</v>
      </c>
      <c r="AJ517" s="3">
        <v>-0.67700000000000005</v>
      </c>
      <c r="AK517" s="3">
        <v>-0.70799999999999996</v>
      </c>
      <c r="AL517" s="3">
        <f t="shared" si="377"/>
        <v>-3.0999999999999917E-2</v>
      </c>
      <c r="AM517" s="3">
        <v>370.14262000000002</v>
      </c>
      <c r="AN517" s="3">
        <v>435.36349999999999</v>
      </c>
      <c r="AO517" s="3">
        <v>554.27782999999999</v>
      </c>
      <c r="AP517" s="3">
        <f t="shared" si="397"/>
        <v>1.334411043659224</v>
      </c>
      <c r="AQ517" s="3">
        <v>15.145</v>
      </c>
      <c r="AR517" s="3">
        <v>3.8938378</v>
      </c>
      <c r="AS517" s="3">
        <v>-132.80099999999999</v>
      </c>
      <c r="AT517" s="3">
        <v>-131.97</v>
      </c>
      <c r="AU517" s="3">
        <f t="shared" si="382"/>
        <v>-0.83099999999998886</v>
      </c>
      <c r="AV517" s="3">
        <v>-0.34100000000000003</v>
      </c>
      <c r="AW517" s="3">
        <v>-0.47499999999999998</v>
      </c>
      <c r="AX517" s="3">
        <f t="shared" si="383"/>
        <v>0.13399999999999995</v>
      </c>
      <c r="AY517" s="3">
        <v>2.9000000000000001E-2</v>
      </c>
      <c r="AZ517" s="3">
        <v>0.156</v>
      </c>
      <c r="BA517" s="3">
        <f t="shared" si="384"/>
        <v>-0.127</v>
      </c>
      <c r="BB517" s="3">
        <f t="shared" si="403"/>
        <v>0.156</v>
      </c>
      <c r="BC517" s="3">
        <f t="shared" si="403"/>
        <v>0.15949999999999998</v>
      </c>
      <c r="BD517" s="3">
        <f t="shared" si="385"/>
        <v>-3.4999999999999754E-3</v>
      </c>
      <c r="BE517" s="3">
        <f t="shared" si="404"/>
        <v>0.37000000000000005</v>
      </c>
      <c r="BF517" s="3">
        <f t="shared" si="404"/>
        <v>0.63100000000000001</v>
      </c>
      <c r="BG517" s="3">
        <f t="shared" si="386"/>
        <v>-0.26099999999999995</v>
      </c>
      <c r="BH517" s="3">
        <f t="shared" si="405"/>
        <v>-0.156</v>
      </c>
      <c r="BI517" s="3">
        <f t="shared" si="405"/>
        <v>-0.15949999999999998</v>
      </c>
      <c r="BJ517" s="3">
        <f t="shared" si="406"/>
        <v>3.4999999999999754E-3</v>
      </c>
      <c r="BK517" s="3">
        <f t="shared" si="400"/>
        <v>3.2886486486486483E-2</v>
      </c>
      <c r="BL517" s="3">
        <f t="shared" si="401"/>
        <v>2.0158676703645E-2</v>
      </c>
      <c r="BM517" s="3">
        <f t="shared" si="387"/>
        <v>1.2727809782841482E-2</v>
      </c>
      <c r="BN517" s="3">
        <v>4.7279999999999998</v>
      </c>
      <c r="BO517" s="3">
        <v>4.9340000000000002</v>
      </c>
      <c r="BP517" s="3">
        <f t="shared" si="388"/>
        <v>-0.20600000000000041</v>
      </c>
      <c r="BQ517" s="3">
        <v>-83302.89</v>
      </c>
      <c r="BR517" s="3">
        <v>-82779.224000000002</v>
      </c>
      <c r="BS517" s="3">
        <f t="shared" si="389"/>
        <v>-523.66599999999744</v>
      </c>
      <c r="BT517" s="3">
        <v>-83320.774999999994</v>
      </c>
      <c r="BU517" s="3">
        <v>-82796.997000000003</v>
      </c>
      <c r="BV517" s="3">
        <f t="shared" si="390"/>
        <v>-523.77799999999115</v>
      </c>
    </row>
    <row r="518" spans="1:74" x14ac:dyDescent="0.25">
      <c r="A518" t="s">
        <v>591</v>
      </c>
      <c r="B518" s="1" t="s">
        <v>646</v>
      </c>
      <c r="C518" s="1" t="s">
        <v>103</v>
      </c>
      <c r="D518" s="3">
        <v>7.17</v>
      </c>
      <c r="E518" s="3">
        <v>0.83</v>
      </c>
      <c r="F518" s="3">
        <v>-581.01599999999996</v>
      </c>
      <c r="G518" s="3">
        <v>-584.46400000000006</v>
      </c>
      <c r="H518" s="3">
        <f t="shared" si="381"/>
        <v>-3.4480000000000928</v>
      </c>
      <c r="I518" s="3">
        <v>-0.29699999999999999</v>
      </c>
      <c r="J518" s="6">
        <v>-0.22500000000000001</v>
      </c>
      <c r="K518" s="3">
        <f t="shared" si="365"/>
        <v>7.1999999999999981E-2</v>
      </c>
      <c r="L518" s="3">
        <v>4.8000000000000001E-2</v>
      </c>
      <c r="M518" s="6">
        <v>-9.9000000000000005E-2</v>
      </c>
      <c r="N518" s="3">
        <f t="shared" si="366"/>
        <v>-0.14700000000000002</v>
      </c>
      <c r="O518" s="3">
        <f t="shared" si="360"/>
        <v>0.1245</v>
      </c>
      <c r="P518" s="3">
        <f t="shared" si="360"/>
        <v>0.16200000000000001</v>
      </c>
      <c r="Q518" s="3">
        <f t="shared" si="367"/>
        <v>3.7500000000000006E-2</v>
      </c>
      <c r="R518" s="3">
        <f t="shared" si="368"/>
        <v>0.34499999999999997</v>
      </c>
      <c r="S518" s="3">
        <f t="shared" si="369"/>
        <v>0.126</v>
      </c>
      <c r="T518" s="3">
        <f t="shared" si="370"/>
        <v>-0.21899999999999997</v>
      </c>
      <c r="U518" s="3">
        <f t="shared" si="371"/>
        <v>-0.1245</v>
      </c>
      <c r="V518" s="3">
        <f t="shared" si="372"/>
        <v>-0.16200000000000001</v>
      </c>
      <c r="W518" s="3">
        <f t="shared" si="402"/>
        <v>-3.7500000000000006E-2</v>
      </c>
      <c r="X518" s="3">
        <f t="shared" si="398"/>
        <v>2.2464130434782612E-2</v>
      </c>
      <c r="Y518" s="3">
        <f t="shared" si="399"/>
        <v>0.10414285714285715</v>
      </c>
      <c r="Z518" s="3">
        <f t="shared" si="373"/>
        <v>8.1678726708074537E-2</v>
      </c>
      <c r="AA518" s="3">
        <v>7.15</v>
      </c>
      <c r="AB518" s="3">
        <v>7.2119999999999997</v>
      </c>
      <c r="AC518" s="3">
        <f t="shared" si="374"/>
        <v>6.1999999999999389E-2</v>
      </c>
      <c r="AD518" s="3">
        <f>-580.880972*627.50956</f>
        <v>-364508.36315209232</v>
      </c>
      <c r="AE518" s="3">
        <f>-584.336582*627.50956</f>
        <v>-366676.79146272392</v>
      </c>
      <c r="AF518" s="3">
        <f t="shared" si="375"/>
        <v>-2168.4283106315997</v>
      </c>
      <c r="AG518" s="3">
        <f>-580.927248*627.50956</f>
        <v>-364537.40178449085</v>
      </c>
      <c r="AH518" s="3">
        <f>-584.383804*627.50956</f>
        <v>-366706.42371916625</v>
      </c>
      <c r="AI518" s="3">
        <f t="shared" si="376"/>
        <v>-2169.021934675402</v>
      </c>
      <c r="AJ518" s="3">
        <v>-0.26200000000000001</v>
      </c>
      <c r="AK518" s="3">
        <v>-0.19500000000000001</v>
      </c>
      <c r="AL518" s="3">
        <f t="shared" si="377"/>
        <v>6.7000000000000004E-2</v>
      </c>
      <c r="AM518" s="3">
        <v>163.1335</v>
      </c>
      <c r="AN518" s="3">
        <v>196.87889999999999</v>
      </c>
      <c r="AO518" s="3">
        <v>205.3586</v>
      </c>
      <c r="AP518" s="3">
        <f t="shared" si="397"/>
        <v>1.1698042494151979</v>
      </c>
      <c r="AQ518" s="3">
        <v>11.286</v>
      </c>
      <c r="AR518" s="3">
        <v>2.8087179999999998</v>
      </c>
      <c r="AS518" s="3">
        <v>-959.76900000000001</v>
      </c>
      <c r="AT518" s="3">
        <v>-958.05</v>
      </c>
      <c r="AU518" s="3">
        <f t="shared" si="382"/>
        <v>-1.7190000000000509</v>
      </c>
      <c r="AV518" s="3">
        <v>-0.317</v>
      </c>
      <c r="AW518" s="3">
        <v>-0.45</v>
      </c>
      <c r="AX518" s="3">
        <f t="shared" si="383"/>
        <v>0.13300000000000001</v>
      </c>
      <c r="AY518" s="3">
        <v>-2.4E-2</v>
      </c>
      <c r="AZ518" s="3">
        <v>0.13500000000000001</v>
      </c>
      <c r="BA518" s="3">
        <f t="shared" si="384"/>
        <v>-0.159</v>
      </c>
      <c r="BB518" s="3">
        <f t="shared" si="403"/>
        <v>0.17050000000000001</v>
      </c>
      <c r="BC518" s="3">
        <f t="shared" si="403"/>
        <v>0.1575</v>
      </c>
      <c r="BD518" s="3">
        <f t="shared" si="385"/>
        <v>1.3000000000000012E-2</v>
      </c>
      <c r="BE518" s="3">
        <f t="shared" si="404"/>
        <v>0.29299999999999998</v>
      </c>
      <c r="BF518" s="3">
        <f t="shared" si="404"/>
        <v>0.58499999999999996</v>
      </c>
      <c r="BG518" s="3">
        <f t="shared" si="386"/>
        <v>-0.29199999999999998</v>
      </c>
      <c r="BH518" s="3">
        <f t="shared" si="405"/>
        <v>-0.17050000000000001</v>
      </c>
      <c r="BI518" s="3">
        <f t="shared" si="405"/>
        <v>-0.1575</v>
      </c>
      <c r="BJ518" s="3">
        <f t="shared" si="406"/>
        <v>-1.3000000000000012E-2</v>
      </c>
      <c r="BK518" s="3">
        <f t="shared" si="400"/>
        <v>4.9607935153583631E-2</v>
      </c>
      <c r="BL518" s="3">
        <f t="shared" si="401"/>
        <v>2.120192307692308E-2</v>
      </c>
      <c r="BM518" s="3">
        <f t="shared" si="387"/>
        <v>2.8406012076660551E-2</v>
      </c>
      <c r="BN518" s="3">
        <v>2.2370000000000001</v>
      </c>
      <c r="BO518" s="3">
        <v>2.431</v>
      </c>
      <c r="BP518" s="3">
        <f t="shared" si="388"/>
        <v>-0.19399999999999995</v>
      </c>
      <c r="BQ518" s="3">
        <v>-602243.07700000005</v>
      </c>
      <c r="BR518" s="3">
        <v>-601163.24300000002</v>
      </c>
      <c r="BS518" s="3">
        <f t="shared" si="389"/>
        <v>-1079.8340000000317</v>
      </c>
      <c r="BT518" s="3">
        <v>-602262.36399999994</v>
      </c>
      <c r="BU518" s="3">
        <v>-601182.38500000001</v>
      </c>
      <c r="BV518" s="3">
        <f t="shared" si="390"/>
        <v>-1079.9789999999339</v>
      </c>
    </row>
    <row r="519" spans="1:74" x14ac:dyDescent="0.25">
      <c r="A519" t="s">
        <v>592</v>
      </c>
      <c r="B519" s="1" t="s">
        <v>646</v>
      </c>
      <c r="C519" s="1" t="s">
        <v>99</v>
      </c>
      <c r="D519" s="3">
        <v>7.2</v>
      </c>
      <c r="E519" s="3">
        <v>1.1399999999999999</v>
      </c>
      <c r="F519" s="3">
        <v>-993.21500000000003</v>
      </c>
      <c r="G519" s="3">
        <v>-999.69</v>
      </c>
      <c r="H519" s="3">
        <f t="shared" si="381"/>
        <v>-6.4750000000000227</v>
      </c>
      <c r="I519" s="3">
        <v>-0.27900000000000003</v>
      </c>
      <c r="J519" s="6">
        <v>-0.193</v>
      </c>
      <c r="K519" s="3">
        <f t="shared" si="365"/>
        <v>8.6000000000000021E-2</v>
      </c>
      <c r="L519" s="3">
        <v>0.111</v>
      </c>
      <c r="M519" s="6">
        <v>-0.03</v>
      </c>
      <c r="N519" s="3">
        <f t="shared" si="366"/>
        <v>-0.14100000000000001</v>
      </c>
      <c r="O519" s="3">
        <f t="shared" si="360"/>
        <v>8.4000000000000019E-2</v>
      </c>
      <c r="P519" s="3">
        <f t="shared" si="360"/>
        <v>0.1115</v>
      </c>
      <c r="Q519" s="3">
        <f t="shared" si="367"/>
        <v>2.7499999999999983E-2</v>
      </c>
      <c r="R519" s="3">
        <f t="shared" si="368"/>
        <v>0.39</v>
      </c>
      <c r="S519" s="3">
        <f t="shared" si="369"/>
        <v>0.16300000000000001</v>
      </c>
      <c r="T519" s="3">
        <f t="shared" si="370"/>
        <v>-0.22700000000000001</v>
      </c>
      <c r="U519" s="3">
        <f t="shared" si="371"/>
        <v>-8.4000000000000019E-2</v>
      </c>
      <c r="V519" s="3">
        <f t="shared" si="372"/>
        <v>-0.1115</v>
      </c>
      <c r="W519" s="3">
        <f t="shared" si="402"/>
        <v>-2.7499999999999983E-2</v>
      </c>
      <c r="X519" s="3">
        <f t="shared" si="398"/>
        <v>9.0461538461538496E-3</v>
      </c>
      <c r="Y519" s="3">
        <f t="shared" si="399"/>
        <v>3.813573619631902E-2</v>
      </c>
      <c r="Z519" s="3">
        <f t="shared" si="373"/>
        <v>2.908958235016517E-2</v>
      </c>
      <c r="AA519" s="3">
        <v>5.3330000000000002</v>
      </c>
      <c r="AB519" s="3">
        <v>5.4580000000000002</v>
      </c>
      <c r="AC519" s="3">
        <f t="shared" si="374"/>
        <v>0.125</v>
      </c>
      <c r="AD519" s="3">
        <f>-992.761062*627.50956</f>
        <v>-622967.05720075266</v>
      </c>
      <c r="AE519" s="3">
        <f>-999.261771*627.50956</f>
        <v>-627046.31424503075</v>
      </c>
      <c r="AF519" s="3">
        <f t="shared" si="375"/>
        <v>-4079.2570442780852</v>
      </c>
      <c r="AG519" s="3">
        <f>-992.837097*627.50956</f>
        <v>-623014.76989014726</v>
      </c>
      <c r="AH519" s="3">
        <f>-999.341015*627.50956</f>
        <v>-627096.0406126033</v>
      </c>
      <c r="AI519" s="3">
        <f t="shared" si="376"/>
        <v>-4081.2707224560436</v>
      </c>
      <c r="AJ519" s="3">
        <v>-0.53300000000000003</v>
      </c>
      <c r="AK519" s="3">
        <v>-0.60099999999999998</v>
      </c>
      <c r="AL519" s="3">
        <f t="shared" si="377"/>
        <v>-6.7999999999999949E-2</v>
      </c>
      <c r="AM519" s="3">
        <v>320.42806000000002</v>
      </c>
      <c r="AN519" s="3">
        <v>403.23473999999999</v>
      </c>
      <c r="AO519" s="3">
        <v>497.24770000000001</v>
      </c>
      <c r="AP519" s="3">
        <f t="shared" si="397"/>
        <v>1.3287156063334691</v>
      </c>
      <c r="AQ519" s="3">
        <v>14.952</v>
      </c>
      <c r="AR519" s="3">
        <v>3.9359730000000002</v>
      </c>
      <c r="AS519" s="3">
        <v>-132.80099999999999</v>
      </c>
      <c r="AT519" s="3">
        <v>-131.97</v>
      </c>
      <c r="AU519" s="3">
        <f t="shared" si="382"/>
        <v>-0.83099999999998886</v>
      </c>
      <c r="AV519" s="3">
        <v>-0.34100000000000003</v>
      </c>
      <c r="AW519" s="3">
        <v>-0.47499999999999998</v>
      </c>
      <c r="AX519" s="3">
        <f t="shared" si="383"/>
        <v>0.13399999999999995</v>
      </c>
      <c r="AY519" s="3">
        <v>2.9000000000000001E-2</v>
      </c>
      <c r="AZ519" s="3">
        <v>0.156</v>
      </c>
      <c r="BA519" s="3">
        <f t="shared" si="384"/>
        <v>-0.127</v>
      </c>
      <c r="BB519" s="3">
        <f t="shared" si="403"/>
        <v>0.156</v>
      </c>
      <c r="BC519" s="3">
        <f t="shared" si="403"/>
        <v>0.15949999999999998</v>
      </c>
      <c r="BD519" s="3">
        <f t="shared" si="385"/>
        <v>-3.4999999999999754E-3</v>
      </c>
      <c r="BE519" s="3">
        <f t="shared" si="404"/>
        <v>0.37000000000000005</v>
      </c>
      <c r="BF519" s="3">
        <f t="shared" si="404"/>
        <v>0.63100000000000001</v>
      </c>
      <c r="BG519" s="3">
        <f t="shared" si="386"/>
        <v>-0.26099999999999995</v>
      </c>
      <c r="BH519" s="3">
        <f t="shared" si="405"/>
        <v>-0.156</v>
      </c>
      <c r="BI519" s="3">
        <f t="shared" si="405"/>
        <v>-0.15949999999999998</v>
      </c>
      <c r="BJ519" s="3">
        <f t="shared" si="406"/>
        <v>3.4999999999999754E-3</v>
      </c>
      <c r="BK519" s="3">
        <f t="shared" si="400"/>
        <v>3.2886486486486483E-2</v>
      </c>
      <c r="BL519" s="3">
        <f t="shared" si="401"/>
        <v>2.0158676703645E-2</v>
      </c>
      <c r="BM519" s="3">
        <f t="shared" si="387"/>
        <v>1.2727809782841482E-2</v>
      </c>
      <c r="BN519" s="3">
        <v>4.7279999999999998</v>
      </c>
      <c r="BO519" s="3">
        <v>4.9340000000000002</v>
      </c>
      <c r="BP519" s="3">
        <f t="shared" si="388"/>
        <v>-0.20600000000000041</v>
      </c>
      <c r="BQ519" s="3">
        <v>-83302.89</v>
      </c>
      <c r="BR519" s="3">
        <v>-82779.224000000002</v>
      </c>
      <c r="BS519" s="3">
        <f t="shared" si="389"/>
        <v>-523.66599999999744</v>
      </c>
      <c r="BT519" s="3">
        <v>-83320.774999999994</v>
      </c>
      <c r="BU519" s="3">
        <v>-82796.997000000003</v>
      </c>
      <c r="BV519" s="3">
        <f t="shared" si="390"/>
        <v>-523.77799999999115</v>
      </c>
    </row>
    <row r="520" spans="1:74" x14ac:dyDescent="0.25">
      <c r="A520" t="s">
        <v>593</v>
      </c>
      <c r="B520" s="1" t="s">
        <v>646</v>
      </c>
      <c r="C520" s="1" t="s">
        <v>103</v>
      </c>
      <c r="D520" s="3">
        <v>7.22</v>
      </c>
      <c r="E520" s="3">
        <v>1</v>
      </c>
      <c r="F520" s="3">
        <v>-710.88499999999999</v>
      </c>
      <c r="G520" s="3">
        <v>-714.10900000000004</v>
      </c>
      <c r="H520" s="3">
        <f t="shared" si="381"/>
        <v>-3.2240000000000464</v>
      </c>
      <c r="I520" s="3">
        <v>-0.30299999999999999</v>
      </c>
      <c r="J520" s="6">
        <v>-0.21</v>
      </c>
      <c r="K520" s="3">
        <f t="shared" si="365"/>
        <v>9.2999999999999999E-2</v>
      </c>
      <c r="L520" s="3">
        <v>0.14000000000000001</v>
      </c>
      <c r="M520" s="6">
        <v>1.9E-2</v>
      </c>
      <c r="N520" s="3">
        <f t="shared" si="366"/>
        <v>-0.12100000000000001</v>
      </c>
      <c r="O520" s="3">
        <f t="shared" si="360"/>
        <v>8.1499999999999989E-2</v>
      </c>
      <c r="P520" s="3">
        <f t="shared" si="360"/>
        <v>9.5500000000000002E-2</v>
      </c>
      <c r="Q520" s="3">
        <f t="shared" si="367"/>
        <v>1.4000000000000012E-2</v>
      </c>
      <c r="R520" s="3">
        <f t="shared" si="368"/>
        <v>0.443</v>
      </c>
      <c r="S520" s="3">
        <f t="shared" si="369"/>
        <v>0.22899999999999998</v>
      </c>
      <c r="T520" s="3">
        <f t="shared" si="370"/>
        <v>-0.21400000000000002</v>
      </c>
      <c r="U520" s="3">
        <f t="shared" si="371"/>
        <v>-8.1499999999999989E-2</v>
      </c>
      <c r="V520" s="3">
        <f t="shared" si="372"/>
        <v>-9.5500000000000002E-2</v>
      </c>
      <c r="W520" s="3">
        <f t="shared" si="402"/>
        <v>-1.4000000000000012E-2</v>
      </c>
      <c r="X520" s="3">
        <f t="shared" si="398"/>
        <v>7.4968961625282143E-3</v>
      </c>
      <c r="Y520" s="3">
        <f t="shared" si="399"/>
        <v>1.9913209606986899E-2</v>
      </c>
      <c r="Z520" s="3">
        <f t="shared" si="373"/>
        <v>1.2416313444458685E-2</v>
      </c>
      <c r="AA520" s="3">
        <v>2.5369999999999999</v>
      </c>
      <c r="AB520" s="3">
        <v>2.794</v>
      </c>
      <c r="AC520" s="3">
        <f t="shared" si="374"/>
        <v>0.25700000000000012</v>
      </c>
      <c r="AD520" s="3">
        <f>-710.686184*627.50956</f>
        <v>-445962.37461991905</v>
      </c>
      <c r="AE520" s="3">
        <f>-713.92058*627.50956</f>
        <v>-447991.98903074476</v>
      </c>
      <c r="AF520" s="3">
        <f t="shared" si="375"/>
        <v>-2029.614410825714</v>
      </c>
      <c r="AG520" s="3">
        <f>-710.73785*627.50956</f>
        <v>-445994.79552884598</v>
      </c>
      <c r="AH520" s="3">
        <f>-713.973176*627.50956</f>
        <v>-448024.9935235625</v>
      </c>
      <c r="AI520" s="3">
        <f t="shared" si="376"/>
        <v>-2030.1979947165237</v>
      </c>
      <c r="AJ520" s="3">
        <v>-0.442</v>
      </c>
      <c r="AK520" s="3">
        <v>-0.41199999999999998</v>
      </c>
      <c r="AL520" s="3">
        <f t="shared" si="377"/>
        <v>3.0000000000000027E-2</v>
      </c>
      <c r="AM520" s="3">
        <v>156.25448</v>
      </c>
      <c r="AN520" s="3">
        <v>228.02503999999999</v>
      </c>
      <c r="AO520" s="3">
        <v>250.91475</v>
      </c>
      <c r="AP520" s="3">
        <f t="shared" si="397"/>
        <v>1.1854621612212837</v>
      </c>
      <c r="AQ520" s="3">
        <v>10.537000000000001</v>
      </c>
      <c r="AR520" s="3">
        <v>2.4202579000000002</v>
      </c>
      <c r="AS520" s="3">
        <v>-959.76900000000001</v>
      </c>
      <c r="AT520" s="3">
        <v>-958.05</v>
      </c>
      <c r="AU520" s="3">
        <f t="shared" si="382"/>
        <v>-1.7190000000000509</v>
      </c>
      <c r="AV520" s="3">
        <v>-0.317</v>
      </c>
      <c r="AW520" s="3">
        <v>-0.45</v>
      </c>
      <c r="AX520" s="3">
        <f t="shared" si="383"/>
        <v>0.13300000000000001</v>
      </c>
      <c r="AY520" s="3">
        <v>-2.4E-2</v>
      </c>
      <c r="AZ520" s="3">
        <v>0.13500000000000001</v>
      </c>
      <c r="BA520" s="3">
        <f t="shared" si="384"/>
        <v>-0.159</v>
      </c>
      <c r="BB520" s="3">
        <f t="shared" si="403"/>
        <v>0.17050000000000001</v>
      </c>
      <c r="BC520" s="3">
        <f t="shared" si="403"/>
        <v>0.1575</v>
      </c>
      <c r="BD520" s="3">
        <f t="shared" si="385"/>
        <v>1.3000000000000012E-2</v>
      </c>
      <c r="BE520" s="3">
        <f t="shared" si="404"/>
        <v>0.29299999999999998</v>
      </c>
      <c r="BF520" s="3">
        <f t="shared" si="404"/>
        <v>0.58499999999999996</v>
      </c>
      <c r="BG520" s="3">
        <f t="shared" si="386"/>
        <v>-0.29199999999999998</v>
      </c>
      <c r="BH520" s="3">
        <f t="shared" si="405"/>
        <v>-0.17050000000000001</v>
      </c>
      <c r="BI520" s="3">
        <f t="shared" si="405"/>
        <v>-0.1575</v>
      </c>
      <c r="BJ520" s="3">
        <f t="shared" si="406"/>
        <v>-1.3000000000000012E-2</v>
      </c>
      <c r="BK520" s="3">
        <f t="shared" si="400"/>
        <v>4.9607935153583631E-2</v>
      </c>
      <c r="BL520" s="3">
        <f t="shared" si="401"/>
        <v>2.120192307692308E-2</v>
      </c>
      <c r="BM520" s="3">
        <f t="shared" si="387"/>
        <v>2.8406012076660551E-2</v>
      </c>
      <c r="BN520" s="3">
        <v>2.2370000000000001</v>
      </c>
      <c r="BO520" s="3">
        <v>2.431</v>
      </c>
      <c r="BP520" s="3">
        <f t="shared" si="388"/>
        <v>-0.19399999999999995</v>
      </c>
      <c r="BQ520" s="3">
        <v>-602243.07700000005</v>
      </c>
      <c r="BR520" s="3">
        <v>-601163.24300000002</v>
      </c>
      <c r="BS520" s="3">
        <f t="shared" si="389"/>
        <v>-1079.8340000000317</v>
      </c>
      <c r="BT520" s="3">
        <v>-602262.36399999994</v>
      </c>
      <c r="BU520" s="3">
        <v>-601182.38500000001</v>
      </c>
      <c r="BV520" s="3">
        <f t="shared" si="390"/>
        <v>-1079.9789999999339</v>
      </c>
    </row>
    <row r="521" spans="1:74" x14ac:dyDescent="0.25">
      <c r="A521" t="s">
        <v>594</v>
      </c>
      <c r="B521" s="1" t="s">
        <v>646</v>
      </c>
      <c r="C521" s="1" t="s">
        <v>99</v>
      </c>
      <c r="D521" s="3">
        <v>7.22</v>
      </c>
      <c r="E521" s="3">
        <v>1.1000000000000001</v>
      </c>
      <c r="F521" s="3">
        <v>-416.60300000000001</v>
      </c>
      <c r="G521" s="3">
        <v>-419.28899999999999</v>
      </c>
      <c r="H521" s="3">
        <f t="shared" si="381"/>
        <v>-2.6859999999999786</v>
      </c>
      <c r="I521" s="3">
        <v>-0.27800000000000002</v>
      </c>
      <c r="J521" s="6">
        <v>-0.19400000000000001</v>
      </c>
      <c r="K521" s="3">
        <f t="shared" si="365"/>
        <v>8.4000000000000019E-2</v>
      </c>
      <c r="L521" s="3">
        <v>0.11799999999999999</v>
      </c>
      <c r="M521" s="6">
        <v>-1.7999999999999999E-2</v>
      </c>
      <c r="N521" s="3">
        <f t="shared" si="366"/>
        <v>-0.13599999999999998</v>
      </c>
      <c r="O521" s="3">
        <f t="shared" si="360"/>
        <v>8.0000000000000016E-2</v>
      </c>
      <c r="P521" s="3">
        <f t="shared" si="360"/>
        <v>0.106</v>
      </c>
      <c r="Q521" s="3">
        <f t="shared" si="367"/>
        <v>2.5999999999999981E-2</v>
      </c>
      <c r="R521" s="3">
        <f t="shared" si="368"/>
        <v>0.39600000000000002</v>
      </c>
      <c r="S521" s="3">
        <f t="shared" si="369"/>
        <v>0.17600000000000002</v>
      </c>
      <c r="T521" s="3">
        <f t="shared" si="370"/>
        <v>-0.22</v>
      </c>
      <c r="U521" s="3">
        <f t="shared" si="371"/>
        <v>-8.0000000000000016E-2</v>
      </c>
      <c r="V521" s="3">
        <f t="shared" si="372"/>
        <v>-0.106</v>
      </c>
      <c r="W521" s="3">
        <f t="shared" si="402"/>
        <v>-2.5999999999999981E-2</v>
      </c>
      <c r="X521" s="3">
        <f t="shared" si="398"/>
        <v>8.0808080808080843E-3</v>
      </c>
      <c r="Y521" s="3">
        <f t="shared" si="399"/>
        <v>3.1920454545454544E-2</v>
      </c>
      <c r="Z521" s="3">
        <f t="shared" si="373"/>
        <v>2.3839646464646459E-2</v>
      </c>
      <c r="AA521" s="3">
        <v>2.617</v>
      </c>
      <c r="AB521" s="3">
        <v>2.2650000000000001</v>
      </c>
      <c r="AC521" s="3">
        <f t="shared" si="374"/>
        <v>-0.35199999999999987</v>
      </c>
      <c r="AD521" s="3">
        <f>-416.438843*627.50956</f>
        <v>-261319.35513783907</v>
      </c>
      <c r="AE521" s="3">
        <f>-419.134829*627.50956</f>
        <v>-263011.11212646525</v>
      </c>
      <c r="AF521" s="3">
        <f t="shared" si="375"/>
        <v>-1691.7569886261772</v>
      </c>
      <c r="AG521" s="3">
        <f>-416.478894*627.50956</f>
        <v>-261344.48752322665</v>
      </c>
      <c r="AH521" s="3">
        <f>-419.175636*627.50956</f>
        <v>-263036.71890908014</v>
      </c>
      <c r="AI521" s="3">
        <f t="shared" si="376"/>
        <v>-1692.2313858534908</v>
      </c>
      <c r="AJ521" s="3">
        <v>-0.33400000000000002</v>
      </c>
      <c r="AK521" s="3">
        <v>-0.32</v>
      </c>
      <c r="AL521" s="3">
        <f t="shared" si="377"/>
        <v>1.4000000000000012E-2</v>
      </c>
      <c r="AM521" s="3">
        <v>132.16252</v>
      </c>
      <c r="AN521" s="3">
        <v>189.20058</v>
      </c>
      <c r="AO521" s="3">
        <v>199.99074999999999</v>
      </c>
      <c r="AP521" s="3">
        <f t="shared" si="397"/>
        <v>1.1442084246102713</v>
      </c>
      <c r="AQ521" s="3">
        <v>10.099</v>
      </c>
      <c r="AR521" s="3">
        <v>2.1850990000000001</v>
      </c>
      <c r="AS521" s="3">
        <v>-132.80099999999999</v>
      </c>
      <c r="AT521" s="3">
        <v>-131.97</v>
      </c>
      <c r="AU521" s="3">
        <f t="shared" si="382"/>
        <v>-0.83099999999998886</v>
      </c>
      <c r="AV521" s="3">
        <v>-0.34100000000000003</v>
      </c>
      <c r="AW521" s="3">
        <v>-0.47499999999999998</v>
      </c>
      <c r="AX521" s="3">
        <f t="shared" si="383"/>
        <v>0.13399999999999995</v>
      </c>
      <c r="AY521" s="3">
        <v>2.9000000000000001E-2</v>
      </c>
      <c r="AZ521" s="3">
        <v>0.156</v>
      </c>
      <c r="BA521" s="3">
        <f t="shared" si="384"/>
        <v>-0.127</v>
      </c>
      <c r="BB521" s="3">
        <f t="shared" si="403"/>
        <v>0.156</v>
      </c>
      <c r="BC521" s="3">
        <f t="shared" si="403"/>
        <v>0.15949999999999998</v>
      </c>
      <c r="BD521" s="3">
        <f t="shared" si="385"/>
        <v>-3.4999999999999754E-3</v>
      </c>
      <c r="BE521" s="3">
        <f t="shared" si="404"/>
        <v>0.37000000000000005</v>
      </c>
      <c r="BF521" s="3">
        <f t="shared" si="404"/>
        <v>0.63100000000000001</v>
      </c>
      <c r="BG521" s="3">
        <f t="shared" si="386"/>
        <v>-0.26099999999999995</v>
      </c>
      <c r="BH521" s="3">
        <f t="shared" si="405"/>
        <v>-0.156</v>
      </c>
      <c r="BI521" s="3">
        <f t="shared" si="405"/>
        <v>-0.15949999999999998</v>
      </c>
      <c r="BJ521" s="3">
        <f t="shared" si="406"/>
        <v>3.4999999999999754E-3</v>
      </c>
      <c r="BK521" s="3">
        <f t="shared" si="400"/>
        <v>3.2886486486486483E-2</v>
      </c>
      <c r="BL521" s="3">
        <f t="shared" si="401"/>
        <v>2.0158676703645E-2</v>
      </c>
      <c r="BM521" s="3">
        <f t="shared" si="387"/>
        <v>1.2727809782841482E-2</v>
      </c>
      <c r="BN521" s="3">
        <v>4.7279999999999998</v>
      </c>
      <c r="BO521" s="3">
        <v>4.9340000000000002</v>
      </c>
      <c r="BP521" s="3">
        <f t="shared" si="388"/>
        <v>-0.20600000000000041</v>
      </c>
      <c r="BQ521" s="3">
        <v>-83302.89</v>
      </c>
      <c r="BR521" s="3">
        <v>-82779.224000000002</v>
      </c>
      <c r="BS521" s="3">
        <f t="shared" si="389"/>
        <v>-523.66599999999744</v>
      </c>
      <c r="BT521" s="3">
        <v>-83320.774999999994</v>
      </c>
      <c r="BU521" s="3">
        <v>-82796.997000000003</v>
      </c>
      <c r="BV521" s="3">
        <f t="shared" si="390"/>
        <v>-523.77799999999115</v>
      </c>
    </row>
    <row r="522" spans="1:74" x14ac:dyDescent="0.25">
      <c r="A522" t="s">
        <v>595</v>
      </c>
      <c r="B522" s="1" t="s">
        <v>646</v>
      </c>
      <c r="C522" s="1" t="s">
        <v>99</v>
      </c>
      <c r="D522" s="3">
        <v>7.22</v>
      </c>
      <c r="E522" s="3">
        <v>1.1000000000000001</v>
      </c>
      <c r="F522" s="3">
        <v>-439.65199999999999</v>
      </c>
      <c r="G522" s="3">
        <v>-442.57400000000001</v>
      </c>
      <c r="H522" s="3">
        <f t="shared" si="381"/>
        <v>-2.9220000000000255</v>
      </c>
      <c r="I522" s="3">
        <v>-0.28299999999999997</v>
      </c>
      <c r="J522" s="6">
        <v>-0.20799999999999999</v>
      </c>
      <c r="K522" s="3">
        <f t="shared" si="365"/>
        <v>7.4999999999999983E-2</v>
      </c>
      <c r="L522" s="3">
        <v>0.123</v>
      </c>
      <c r="M522" s="6">
        <v>-1.6E-2</v>
      </c>
      <c r="N522" s="3">
        <f t="shared" si="366"/>
        <v>-0.13900000000000001</v>
      </c>
      <c r="O522" s="3">
        <f t="shared" si="360"/>
        <v>7.9999999999999988E-2</v>
      </c>
      <c r="P522" s="3">
        <f t="shared" si="360"/>
        <v>0.11199999999999999</v>
      </c>
      <c r="Q522" s="3">
        <f t="shared" si="367"/>
        <v>3.2000000000000001E-2</v>
      </c>
      <c r="R522" s="3">
        <f t="shared" si="368"/>
        <v>0.40599999999999997</v>
      </c>
      <c r="S522" s="3">
        <f t="shared" si="369"/>
        <v>0.192</v>
      </c>
      <c r="T522" s="3">
        <f t="shared" si="370"/>
        <v>-0.21399999999999997</v>
      </c>
      <c r="U522" s="3">
        <f t="shared" si="371"/>
        <v>-7.9999999999999988E-2</v>
      </c>
      <c r="V522" s="3">
        <f t="shared" si="372"/>
        <v>-0.11199999999999999</v>
      </c>
      <c r="W522" s="3">
        <f t="shared" si="402"/>
        <v>-3.2000000000000001E-2</v>
      </c>
      <c r="X522" s="3">
        <f t="shared" si="398"/>
        <v>7.881773399014776E-3</v>
      </c>
      <c r="Y522" s="3">
        <f t="shared" si="399"/>
        <v>3.2666666666666663E-2</v>
      </c>
      <c r="Z522" s="3">
        <f t="shared" si="373"/>
        <v>2.4784893267651889E-2</v>
      </c>
      <c r="AA522" s="3">
        <v>3.0430000000000001</v>
      </c>
      <c r="AB522" s="3">
        <v>3.2160000000000002</v>
      </c>
      <c r="AC522" s="3">
        <f t="shared" si="374"/>
        <v>0.17300000000000004</v>
      </c>
      <c r="AD522" s="3">
        <f>-439.445619*627.50956</f>
        <v>-275756.32702261762</v>
      </c>
      <c r="AE522" s="3">
        <f>-442.379155*627.50956</f>
        <v>-277597.1489072218</v>
      </c>
      <c r="AF522" s="3">
        <f t="shared" si="375"/>
        <v>-1840.8218846041709</v>
      </c>
      <c r="AG522" s="3">
        <f>-439.49044*627.50956</f>
        <v>-275784.45262860635</v>
      </c>
      <c r="AH522" s="3">
        <f>-442.425102*627.50956</f>
        <v>-277625.9810889751</v>
      </c>
      <c r="AI522" s="3">
        <f t="shared" si="376"/>
        <v>-1841.5284603687469</v>
      </c>
      <c r="AJ522" s="3">
        <v>-0.53200000000000003</v>
      </c>
      <c r="AK522" s="3">
        <v>-0.60699999999999998</v>
      </c>
      <c r="AL522" s="3">
        <f t="shared" si="377"/>
        <v>-7.4999999999999956E-2</v>
      </c>
      <c r="AM522" s="3">
        <v>145.20104000000001</v>
      </c>
      <c r="AN522" s="3">
        <v>220.30249000000001</v>
      </c>
      <c r="AO522" s="3">
        <v>238.32642999999999</v>
      </c>
      <c r="AP522" s="3">
        <f t="shared" si="397"/>
        <v>1.1852970891876975</v>
      </c>
      <c r="AQ522" s="3">
        <v>11.116</v>
      </c>
      <c r="AR522" s="3">
        <v>2.4664158</v>
      </c>
      <c r="AS522" s="3">
        <v>-132.80099999999999</v>
      </c>
      <c r="AT522" s="3">
        <v>-131.97</v>
      </c>
      <c r="AU522" s="3">
        <f t="shared" si="382"/>
        <v>-0.83099999999998886</v>
      </c>
      <c r="AV522" s="3">
        <v>-0.34100000000000003</v>
      </c>
      <c r="AW522" s="3">
        <v>-0.47499999999999998</v>
      </c>
      <c r="AX522" s="3">
        <f t="shared" si="383"/>
        <v>0.13399999999999995</v>
      </c>
      <c r="AY522" s="3">
        <v>2.9000000000000001E-2</v>
      </c>
      <c r="AZ522" s="3">
        <v>0.156</v>
      </c>
      <c r="BA522" s="3">
        <f t="shared" si="384"/>
        <v>-0.127</v>
      </c>
      <c r="BB522" s="3">
        <f t="shared" si="403"/>
        <v>0.156</v>
      </c>
      <c r="BC522" s="3">
        <f t="shared" si="403"/>
        <v>0.15949999999999998</v>
      </c>
      <c r="BD522" s="3">
        <f t="shared" si="385"/>
        <v>-3.4999999999999754E-3</v>
      </c>
      <c r="BE522" s="3">
        <f t="shared" si="404"/>
        <v>0.37000000000000005</v>
      </c>
      <c r="BF522" s="3">
        <f t="shared" si="404"/>
        <v>0.63100000000000001</v>
      </c>
      <c r="BG522" s="3">
        <f t="shared" si="386"/>
        <v>-0.26099999999999995</v>
      </c>
      <c r="BH522" s="3">
        <f t="shared" si="405"/>
        <v>-0.156</v>
      </c>
      <c r="BI522" s="3">
        <f t="shared" si="405"/>
        <v>-0.15949999999999998</v>
      </c>
      <c r="BJ522" s="3">
        <f t="shared" si="406"/>
        <v>3.4999999999999754E-3</v>
      </c>
      <c r="BK522" s="3">
        <f t="shared" si="400"/>
        <v>3.2886486486486483E-2</v>
      </c>
      <c r="BL522" s="3">
        <f t="shared" si="401"/>
        <v>2.0158676703645E-2</v>
      </c>
      <c r="BM522" s="3">
        <f t="shared" si="387"/>
        <v>1.2727809782841482E-2</v>
      </c>
      <c r="BN522" s="3">
        <v>4.7279999999999998</v>
      </c>
      <c r="BO522" s="3">
        <v>4.9340000000000002</v>
      </c>
      <c r="BP522" s="3">
        <f t="shared" si="388"/>
        <v>-0.20600000000000041</v>
      </c>
      <c r="BQ522" s="3">
        <v>-83302.89</v>
      </c>
      <c r="BR522" s="3">
        <v>-82779.224000000002</v>
      </c>
      <c r="BS522" s="3">
        <f t="shared" si="389"/>
        <v>-523.66599999999744</v>
      </c>
      <c r="BT522" s="3">
        <v>-83320.774999999994</v>
      </c>
      <c r="BU522" s="3">
        <v>-82796.997000000003</v>
      </c>
      <c r="BV522" s="3">
        <f t="shared" si="390"/>
        <v>-523.77799999999115</v>
      </c>
    </row>
    <row r="523" spans="1:74" x14ac:dyDescent="0.25">
      <c r="A523" t="s">
        <v>596</v>
      </c>
      <c r="B523" s="1" t="s">
        <v>646</v>
      </c>
      <c r="C523" s="1" t="s">
        <v>99</v>
      </c>
      <c r="D523" s="3">
        <v>7.26</v>
      </c>
      <c r="E523" s="3">
        <v>1.1000000000000001</v>
      </c>
      <c r="F523" s="3">
        <v>-514.51499999999999</v>
      </c>
      <c r="G523" s="3">
        <v>-517.79899999999998</v>
      </c>
      <c r="H523" s="3">
        <f t="shared" si="381"/>
        <v>-3.2839999999999918</v>
      </c>
      <c r="I523" s="3">
        <v>-0.28599999999999998</v>
      </c>
      <c r="J523" s="6">
        <v>-0.20300000000000001</v>
      </c>
      <c r="K523" s="3">
        <f t="shared" si="365"/>
        <v>8.2999999999999963E-2</v>
      </c>
      <c r="L523" s="3">
        <v>0.11700000000000001</v>
      </c>
      <c r="M523" s="6">
        <v>-0.02</v>
      </c>
      <c r="N523" s="3">
        <f t="shared" si="366"/>
        <v>-0.13700000000000001</v>
      </c>
      <c r="O523" s="3">
        <f t="shared" si="360"/>
        <v>8.4499999999999992E-2</v>
      </c>
      <c r="P523" s="3">
        <f t="shared" si="360"/>
        <v>0.1115</v>
      </c>
      <c r="Q523" s="3">
        <f t="shared" si="367"/>
        <v>2.700000000000001E-2</v>
      </c>
      <c r="R523" s="3">
        <f t="shared" si="368"/>
        <v>0.40299999999999997</v>
      </c>
      <c r="S523" s="3">
        <f t="shared" si="369"/>
        <v>0.18300000000000002</v>
      </c>
      <c r="T523" s="3">
        <f t="shared" si="370"/>
        <v>-0.21999999999999995</v>
      </c>
      <c r="U523" s="3">
        <f t="shared" si="371"/>
        <v>-8.4499999999999992E-2</v>
      </c>
      <c r="V523" s="3">
        <f t="shared" si="372"/>
        <v>-0.1115</v>
      </c>
      <c r="W523" s="3">
        <f t="shared" si="402"/>
        <v>-2.700000000000001E-2</v>
      </c>
      <c r="X523" s="3">
        <f t="shared" si="398"/>
        <v>8.8588709677419348E-3</v>
      </c>
      <c r="Y523" s="3">
        <f t="shared" si="399"/>
        <v>3.3967896174863385E-2</v>
      </c>
      <c r="Z523" s="3">
        <f t="shared" si="373"/>
        <v>2.5109025207121452E-2</v>
      </c>
      <c r="AA523" s="3">
        <v>4.0880000000000001</v>
      </c>
      <c r="AB523" s="3">
        <v>3.919</v>
      </c>
      <c r="AC523" s="3">
        <f t="shared" si="374"/>
        <v>-0.16900000000000004</v>
      </c>
      <c r="AD523" s="3">
        <f>-514.302086*627.50956</f>
        <v>-322729.47569294216</v>
      </c>
      <c r="AE523" s="3">
        <f>-517.598857*627.50956</f>
        <v>-324798.23101257288</v>
      </c>
      <c r="AF523" s="3">
        <f t="shared" si="375"/>
        <v>-2068.7553196307272</v>
      </c>
      <c r="AG523" s="3">
        <f>-514.349073*627.50956</f>
        <v>-322758.96048463782</v>
      </c>
      <c r="AH523" s="3">
        <f>-517.646763*627.50956</f>
        <v>-324828.29248555424</v>
      </c>
      <c r="AI523" s="3">
        <f t="shared" si="376"/>
        <v>-2069.3320009164163</v>
      </c>
      <c r="AJ523" s="3">
        <v>-0.53300000000000003</v>
      </c>
      <c r="AK523" s="3">
        <v>-0.60799999999999998</v>
      </c>
      <c r="AL523" s="3">
        <f t="shared" si="377"/>
        <v>-7.4999999999999956E-2</v>
      </c>
      <c r="AM523" s="3">
        <v>161.20043999999999</v>
      </c>
      <c r="AN523" s="3">
        <v>230.08529999999999</v>
      </c>
      <c r="AO523" s="3">
        <v>249.1206</v>
      </c>
      <c r="AP523" s="3">
        <f t="shared" si="397"/>
        <v>1.2019093923934354</v>
      </c>
      <c r="AQ523" s="3">
        <v>12.254</v>
      </c>
      <c r="AR523" s="3">
        <v>2.6952199999999999</v>
      </c>
      <c r="AS523" s="3">
        <v>-132.80099999999999</v>
      </c>
      <c r="AT523" s="3">
        <v>-131.97</v>
      </c>
      <c r="AU523" s="3">
        <f t="shared" si="382"/>
        <v>-0.83099999999998886</v>
      </c>
      <c r="AV523" s="3">
        <v>-0.34100000000000003</v>
      </c>
      <c r="AW523" s="3">
        <v>-0.47499999999999998</v>
      </c>
      <c r="AX523" s="3">
        <f t="shared" si="383"/>
        <v>0.13399999999999995</v>
      </c>
      <c r="AY523" s="3">
        <v>2.9000000000000001E-2</v>
      </c>
      <c r="AZ523" s="3">
        <v>0.156</v>
      </c>
      <c r="BA523" s="3">
        <f t="shared" si="384"/>
        <v>-0.127</v>
      </c>
      <c r="BB523" s="3">
        <f t="shared" si="403"/>
        <v>0.156</v>
      </c>
      <c r="BC523" s="3">
        <f t="shared" si="403"/>
        <v>0.15949999999999998</v>
      </c>
      <c r="BD523" s="3">
        <f t="shared" si="385"/>
        <v>-3.4999999999999754E-3</v>
      </c>
      <c r="BE523" s="3">
        <f t="shared" si="404"/>
        <v>0.37000000000000005</v>
      </c>
      <c r="BF523" s="3">
        <f t="shared" si="404"/>
        <v>0.63100000000000001</v>
      </c>
      <c r="BG523" s="3">
        <f t="shared" si="386"/>
        <v>-0.26099999999999995</v>
      </c>
      <c r="BH523" s="3">
        <f t="shared" si="405"/>
        <v>-0.156</v>
      </c>
      <c r="BI523" s="3">
        <f t="shared" si="405"/>
        <v>-0.15949999999999998</v>
      </c>
      <c r="BJ523" s="3">
        <f t="shared" si="406"/>
        <v>3.4999999999999754E-3</v>
      </c>
      <c r="BK523" s="3">
        <f t="shared" si="400"/>
        <v>3.2886486486486483E-2</v>
      </c>
      <c r="BL523" s="3">
        <f t="shared" si="401"/>
        <v>2.0158676703645E-2</v>
      </c>
      <c r="BM523" s="3">
        <f t="shared" si="387"/>
        <v>1.2727809782841482E-2</v>
      </c>
      <c r="BN523" s="3">
        <v>4.7279999999999998</v>
      </c>
      <c r="BO523" s="3">
        <v>4.9340000000000002</v>
      </c>
      <c r="BP523" s="3">
        <f t="shared" si="388"/>
        <v>-0.20600000000000041</v>
      </c>
      <c r="BQ523" s="3">
        <v>-83302.89</v>
      </c>
      <c r="BR523" s="3">
        <v>-82779.224000000002</v>
      </c>
      <c r="BS523" s="3">
        <f t="shared" si="389"/>
        <v>-523.66599999999744</v>
      </c>
      <c r="BT523" s="3">
        <v>-83320.774999999994</v>
      </c>
      <c r="BU523" s="3">
        <v>-82796.997000000003</v>
      </c>
      <c r="BV523" s="3">
        <f t="shared" si="390"/>
        <v>-523.77799999999115</v>
      </c>
    </row>
    <row r="524" spans="1:74" x14ac:dyDescent="0.25">
      <c r="A524" t="s">
        <v>597</v>
      </c>
      <c r="B524" s="1" t="s">
        <v>646</v>
      </c>
      <c r="C524" s="1" t="s">
        <v>99</v>
      </c>
      <c r="D524" s="3">
        <v>7.32</v>
      </c>
      <c r="E524" s="3">
        <v>0.9</v>
      </c>
      <c r="F524" s="3">
        <v>-1587.2239999999999</v>
      </c>
      <c r="G524" s="3">
        <v>-1591.7349999999999</v>
      </c>
      <c r="H524" s="3">
        <f t="shared" si="381"/>
        <v>-4.5109999999999673</v>
      </c>
      <c r="I524" s="3">
        <v>-0.318</v>
      </c>
      <c r="J524" s="6">
        <v>-0.22900000000000001</v>
      </c>
      <c r="K524" s="3">
        <f t="shared" si="365"/>
        <v>8.8999999999999996E-2</v>
      </c>
      <c r="L524" s="3">
        <v>2.8000000000000001E-2</v>
      </c>
      <c r="M524" s="6">
        <v>-1.4E-2</v>
      </c>
      <c r="N524" s="3">
        <f t="shared" si="366"/>
        <v>-4.2000000000000003E-2</v>
      </c>
      <c r="O524" s="3">
        <f t="shared" si="360"/>
        <v>0.14499999999999999</v>
      </c>
      <c r="P524" s="3">
        <f t="shared" si="360"/>
        <v>0.12150000000000001</v>
      </c>
      <c r="Q524" s="3">
        <f t="shared" si="367"/>
        <v>-2.3499999999999979E-2</v>
      </c>
      <c r="R524" s="3">
        <f t="shared" si="368"/>
        <v>0.34600000000000003</v>
      </c>
      <c r="S524" s="3">
        <f t="shared" si="369"/>
        <v>0.215</v>
      </c>
      <c r="T524" s="3">
        <f t="shared" si="370"/>
        <v>-0.13100000000000003</v>
      </c>
      <c r="U524" s="3">
        <f t="shared" si="371"/>
        <v>-0.14499999999999999</v>
      </c>
      <c r="V524" s="3">
        <f t="shared" si="372"/>
        <v>-0.12150000000000001</v>
      </c>
      <c r="W524" s="3">
        <f t="shared" si="402"/>
        <v>2.3499999999999979E-2</v>
      </c>
      <c r="X524" s="3">
        <f t="shared" si="398"/>
        <v>3.038294797687861E-2</v>
      </c>
      <c r="Y524" s="3">
        <f t="shared" si="399"/>
        <v>3.433081395348838E-2</v>
      </c>
      <c r="Z524" s="3">
        <f t="shared" si="373"/>
        <v>3.9478659766097705E-3</v>
      </c>
      <c r="AA524" s="3">
        <v>16.629000000000001</v>
      </c>
      <c r="AB524" s="3">
        <v>15.321999999999999</v>
      </c>
      <c r="AC524" s="3">
        <f t="shared" si="374"/>
        <v>-1.3070000000000022</v>
      </c>
      <c r="AD524" s="3">
        <f>-1587.102513*627.50956</f>
        <v>-995921.99960752425</v>
      </c>
      <c r="AE524" s="3">
        <f>-1591.620353*627.50956</f>
        <v>-998756.98739807459</v>
      </c>
      <c r="AF524" s="3">
        <f t="shared" si="375"/>
        <v>-2834.9877905503381</v>
      </c>
      <c r="AG524" s="3">
        <f>-1587.158441*627.50956</f>
        <v>-995957.09496219596</v>
      </c>
      <c r="AH524" s="3">
        <f>-1591.676293*627.50956</f>
        <v>-998792.09028286103</v>
      </c>
      <c r="AI524" s="3">
        <f t="shared" si="376"/>
        <v>-2834.995320665068</v>
      </c>
      <c r="AJ524" s="3">
        <v>-0.35299999999999998</v>
      </c>
      <c r="AK524" s="3">
        <v>-0.38700000000000001</v>
      </c>
      <c r="AL524" s="3">
        <f t="shared" si="377"/>
        <v>-3.400000000000003E-2</v>
      </c>
      <c r="AM524" s="3">
        <v>220.06209999999999</v>
      </c>
      <c r="AN524" s="3">
        <v>223.3546</v>
      </c>
      <c r="AO524" s="3">
        <v>252.37746000000001</v>
      </c>
      <c r="AP524" s="3">
        <f t="shared" si="397"/>
        <v>1.156690427532659</v>
      </c>
      <c r="AQ524" s="3">
        <v>9.6129999999999995</v>
      </c>
      <c r="AR524" s="3">
        <v>2.45669</v>
      </c>
      <c r="AS524" s="3">
        <v>-132.80099999999999</v>
      </c>
      <c r="AT524" s="3">
        <v>-131.97</v>
      </c>
      <c r="AU524" s="3">
        <f t="shared" si="382"/>
        <v>-0.83099999999998886</v>
      </c>
      <c r="AV524" s="3">
        <v>-0.34100000000000003</v>
      </c>
      <c r="AW524" s="3">
        <v>-0.47499999999999998</v>
      </c>
      <c r="AX524" s="3">
        <f t="shared" si="383"/>
        <v>0.13399999999999995</v>
      </c>
      <c r="AY524" s="3">
        <v>2.9000000000000001E-2</v>
      </c>
      <c r="AZ524" s="3">
        <v>0.156</v>
      </c>
      <c r="BA524" s="3">
        <f t="shared" si="384"/>
        <v>-0.127</v>
      </c>
      <c r="BB524" s="3">
        <f t="shared" si="403"/>
        <v>0.156</v>
      </c>
      <c r="BC524" s="3">
        <f t="shared" si="403"/>
        <v>0.15949999999999998</v>
      </c>
      <c r="BD524" s="3">
        <f t="shared" si="385"/>
        <v>-3.4999999999999754E-3</v>
      </c>
      <c r="BE524" s="3">
        <f t="shared" si="404"/>
        <v>0.37000000000000005</v>
      </c>
      <c r="BF524" s="3">
        <f t="shared" si="404"/>
        <v>0.63100000000000001</v>
      </c>
      <c r="BG524" s="3">
        <f t="shared" si="386"/>
        <v>-0.26099999999999995</v>
      </c>
      <c r="BH524" s="3">
        <f t="shared" si="405"/>
        <v>-0.156</v>
      </c>
      <c r="BI524" s="3">
        <f t="shared" si="405"/>
        <v>-0.15949999999999998</v>
      </c>
      <c r="BJ524" s="3">
        <f t="shared" si="406"/>
        <v>3.4999999999999754E-3</v>
      </c>
      <c r="BK524" s="3">
        <f t="shared" si="400"/>
        <v>3.2886486486486483E-2</v>
      </c>
      <c r="BL524" s="3">
        <f t="shared" si="401"/>
        <v>2.0158676703645E-2</v>
      </c>
      <c r="BM524" s="3">
        <f t="shared" si="387"/>
        <v>1.2727809782841482E-2</v>
      </c>
      <c r="BN524" s="3">
        <v>4.7279999999999998</v>
      </c>
      <c r="BO524" s="3">
        <v>4.9340000000000002</v>
      </c>
      <c r="BP524" s="3">
        <f t="shared" si="388"/>
        <v>-0.20600000000000041</v>
      </c>
      <c r="BQ524" s="3">
        <v>-83302.89</v>
      </c>
      <c r="BR524" s="3">
        <v>-82779.224000000002</v>
      </c>
      <c r="BS524" s="3">
        <f t="shared" si="389"/>
        <v>-523.66599999999744</v>
      </c>
      <c r="BT524" s="3">
        <v>-83320.774999999994</v>
      </c>
      <c r="BU524" s="3">
        <v>-82796.997000000003</v>
      </c>
      <c r="BV524" s="3">
        <f t="shared" si="390"/>
        <v>-523.77799999999115</v>
      </c>
    </row>
    <row r="525" spans="1:74" x14ac:dyDescent="0.25">
      <c r="A525" t="s">
        <v>623</v>
      </c>
      <c r="B525" s="1" t="s">
        <v>646</v>
      </c>
      <c r="C525" s="1" t="s">
        <v>99</v>
      </c>
      <c r="D525" s="3">
        <v>7.51</v>
      </c>
      <c r="E525" s="3">
        <v>0.87</v>
      </c>
      <c r="F525" s="3">
        <v>-1350.248</v>
      </c>
      <c r="G525" s="3">
        <v>-1357.058</v>
      </c>
      <c r="H525" s="3">
        <f t="shared" si="381"/>
        <v>-6.8099999999999454</v>
      </c>
      <c r="I525" s="3">
        <v>-0.28799999999999998</v>
      </c>
      <c r="J525" s="6">
        <v>-0.20599999999999999</v>
      </c>
      <c r="K525" s="3">
        <f t="shared" si="365"/>
        <v>8.199999999999999E-2</v>
      </c>
      <c r="L525" s="3">
        <v>4.2999999999999997E-2</v>
      </c>
      <c r="M525" s="6">
        <v>-4.0000000000000001E-3</v>
      </c>
      <c r="N525" s="3">
        <f t="shared" si="366"/>
        <v>-4.7E-2</v>
      </c>
      <c r="O525" s="3">
        <f t="shared" ref="O525:P588" si="407">-(I525+L525)/2</f>
        <v>0.1225</v>
      </c>
      <c r="P525" s="3">
        <f t="shared" si="407"/>
        <v>0.105</v>
      </c>
      <c r="Q525" s="3">
        <f t="shared" si="367"/>
        <v>-1.7500000000000002E-2</v>
      </c>
      <c r="R525" s="3">
        <f t="shared" si="368"/>
        <v>0.33099999999999996</v>
      </c>
      <c r="S525" s="3">
        <f t="shared" si="369"/>
        <v>0.20199999999999999</v>
      </c>
      <c r="T525" s="3">
        <f t="shared" si="370"/>
        <v>-0.12899999999999998</v>
      </c>
      <c r="U525" s="3">
        <f t="shared" si="371"/>
        <v>-0.1225</v>
      </c>
      <c r="V525" s="3">
        <f t="shared" si="372"/>
        <v>-0.105</v>
      </c>
      <c r="W525" s="3">
        <f t="shared" si="402"/>
        <v>1.7500000000000002E-2</v>
      </c>
      <c r="X525" s="3">
        <f t="shared" si="398"/>
        <v>2.2668051359516616E-2</v>
      </c>
      <c r="Y525" s="3">
        <f t="shared" si="399"/>
        <v>2.7289603960396036E-2</v>
      </c>
      <c r="Z525" s="3">
        <f t="shared" si="373"/>
        <v>4.6215526008794201E-3</v>
      </c>
      <c r="AA525" s="3">
        <v>11.117000000000001</v>
      </c>
      <c r="AB525" s="3">
        <v>11.12</v>
      </c>
      <c r="AC525" s="3">
        <f t="shared" si="374"/>
        <v>2.9999999999983373E-3</v>
      </c>
      <c r="AD525" s="3">
        <f>-1349.809489*627.50956</f>
        <v>-847018.35852621484</v>
      </c>
      <c r="AE525" s="3">
        <f>-1356.644457*627.50956</f>
        <v>-851307.36628850899</v>
      </c>
      <c r="AF525" s="3">
        <f t="shared" si="375"/>
        <v>-4289.0077622941462</v>
      </c>
      <c r="AG525" s="3">
        <f>-1349.885832*627.50956</f>
        <v>-847066.26448855386</v>
      </c>
      <c r="AH525" s="3">
        <f>-1356.724186*627.50956</f>
        <v>-851357.39699821803</v>
      </c>
      <c r="AI525" s="3">
        <f t="shared" si="376"/>
        <v>-4291.1325096641667</v>
      </c>
      <c r="AJ525" s="3">
        <v>-0.42299999999999999</v>
      </c>
      <c r="AK525" s="3">
        <v>-0.42899999999999999</v>
      </c>
      <c r="AL525" s="3">
        <f t="shared" si="377"/>
        <v>-6.0000000000000053E-3</v>
      </c>
      <c r="AM525" s="3">
        <v>338.19835999999998</v>
      </c>
      <c r="AN525" s="3">
        <v>406.702</v>
      </c>
      <c r="AO525" s="3">
        <v>527.3433</v>
      </c>
      <c r="AP525" s="3">
        <f t="shared" si="397"/>
        <v>1.2886549216607266</v>
      </c>
      <c r="AQ525" s="3">
        <v>14.061999999999999</v>
      </c>
      <c r="AR525" s="3">
        <v>3.5837794000000001</v>
      </c>
      <c r="AS525" s="3">
        <v>-132.80099999999999</v>
      </c>
      <c r="AT525" s="3">
        <v>-131.97</v>
      </c>
      <c r="AU525" s="3">
        <f t="shared" si="382"/>
        <v>-0.83099999999998886</v>
      </c>
      <c r="AV525" s="3">
        <v>-0.34100000000000003</v>
      </c>
      <c r="AW525" s="3">
        <v>-0.47499999999999998</v>
      </c>
      <c r="AX525" s="3">
        <f t="shared" si="383"/>
        <v>0.13399999999999995</v>
      </c>
      <c r="AY525" s="3">
        <v>2.9000000000000001E-2</v>
      </c>
      <c r="AZ525" s="3">
        <v>0.156</v>
      </c>
      <c r="BA525" s="3">
        <f t="shared" si="384"/>
        <v>-0.127</v>
      </c>
      <c r="BB525" s="3">
        <f t="shared" si="403"/>
        <v>0.156</v>
      </c>
      <c r="BC525" s="3">
        <f t="shared" si="403"/>
        <v>0.15949999999999998</v>
      </c>
      <c r="BD525" s="3">
        <f t="shared" si="385"/>
        <v>-3.4999999999999754E-3</v>
      </c>
      <c r="BE525" s="3">
        <f t="shared" si="404"/>
        <v>0.37000000000000005</v>
      </c>
      <c r="BF525" s="3">
        <f t="shared" si="404"/>
        <v>0.63100000000000001</v>
      </c>
      <c r="BG525" s="3">
        <f t="shared" si="386"/>
        <v>-0.26099999999999995</v>
      </c>
      <c r="BH525" s="3">
        <f t="shared" si="405"/>
        <v>-0.156</v>
      </c>
      <c r="BI525" s="3">
        <f t="shared" si="405"/>
        <v>-0.15949999999999998</v>
      </c>
      <c r="BJ525" s="3">
        <f t="shared" si="406"/>
        <v>3.4999999999999754E-3</v>
      </c>
      <c r="BK525" s="3">
        <f t="shared" si="400"/>
        <v>3.2886486486486483E-2</v>
      </c>
      <c r="BL525" s="3">
        <f t="shared" si="401"/>
        <v>2.0158676703645E-2</v>
      </c>
      <c r="BM525" s="3">
        <f t="shared" si="387"/>
        <v>1.2727809782841482E-2</v>
      </c>
      <c r="BN525" s="3">
        <v>4.7279999999999998</v>
      </c>
      <c r="BO525" s="3">
        <v>4.9340000000000002</v>
      </c>
      <c r="BP525" s="3">
        <f t="shared" si="388"/>
        <v>-0.20600000000000041</v>
      </c>
      <c r="BQ525" s="3">
        <v>-83302.89</v>
      </c>
      <c r="BR525" s="3">
        <v>-82779.224000000002</v>
      </c>
      <c r="BS525" s="3">
        <f t="shared" si="389"/>
        <v>-523.66599999999744</v>
      </c>
      <c r="BT525" s="3">
        <v>-83320.774999999994</v>
      </c>
      <c r="BU525" s="3">
        <v>-82796.997000000003</v>
      </c>
      <c r="BV525" s="3">
        <f t="shared" si="390"/>
        <v>-523.77799999999115</v>
      </c>
    </row>
    <row r="526" spans="1:74" x14ac:dyDescent="0.25">
      <c r="A526" t="s">
        <v>598</v>
      </c>
      <c r="B526" s="1" t="s">
        <v>646</v>
      </c>
      <c r="C526" s="1" t="s">
        <v>103</v>
      </c>
      <c r="D526" s="3">
        <v>7.66</v>
      </c>
      <c r="E526" s="3">
        <v>0.8</v>
      </c>
      <c r="F526" s="3">
        <v>-469.24599999999998</v>
      </c>
      <c r="G526" s="3">
        <v>-472.17200000000003</v>
      </c>
      <c r="H526" s="3">
        <f t="shared" si="381"/>
        <v>-2.9260000000000446</v>
      </c>
      <c r="I526" s="3">
        <v>-0.29099999999999998</v>
      </c>
      <c r="J526" s="6">
        <v>-0.22</v>
      </c>
      <c r="K526" s="3">
        <f t="shared" si="365"/>
        <v>7.099999999999998E-2</v>
      </c>
      <c r="L526" s="3">
        <v>7.2999999999999995E-2</v>
      </c>
      <c r="M526" s="6">
        <v>-7.0000000000000007E-2</v>
      </c>
      <c r="N526" s="3">
        <f t="shared" si="366"/>
        <v>-0.14300000000000002</v>
      </c>
      <c r="O526" s="3">
        <f t="shared" si="407"/>
        <v>0.10899999999999999</v>
      </c>
      <c r="P526" s="3">
        <f t="shared" si="407"/>
        <v>0.14500000000000002</v>
      </c>
      <c r="Q526" s="3">
        <f t="shared" si="367"/>
        <v>3.6000000000000032E-2</v>
      </c>
      <c r="R526" s="3">
        <f t="shared" si="368"/>
        <v>0.36399999999999999</v>
      </c>
      <c r="S526" s="3">
        <f t="shared" si="369"/>
        <v>0.15</v>
      </c>
      <c r="T526" s="3">
        <f t="shared" si="370"/>
        <v>-0.214</v>
      </c>
      <c r="U526" s="3">
        <f t="shared" si="371"/>
        <v>-0.10899999999999999</v>
      </c>
      <c r="V526" s="3">
        <f t="shared" si="372"/>
        <v>-0.14500000000000002</v>
      </c>
      <c r="W526" s="3">
        <f t="shared" si="402"/>
        <v>-3.6000000000000032E-2</v>
      </c>
      <c r="X526" s="3">
        <f t="shared" si="398"/>
        <v>1.6320054945054941E-2</v>
      </c>
      <c r="Y526" s="3">
        <f t="shared" si="399"/>
        <v>7.0083333333333359E-2</v>
      </c>
      <c r="Z526" s="3">
        <f t="shared" si="373"/>
        <v>5.3763278388278421E-2</v>
      </c>
      <c r="AA526" s="3">
        <v>6.63</v>
      </c>
      <c r="AB526" s="3">
        <v>6.5730000000000004</v>
      </c>
      <c r="AC526" s="3">
        <f t="shared" si="374"/>
        <v>-5.6999999999999496E-2</v>
      </c>
      <c r="AD526" s="3">
        <f>-469.116146*627.50956</f>
        <v>-294374.86636535573</v>
      </c>
      <c r="AE526" s="3">
        <f>-472.049*627.50956</f>
        <v>-296215.26028843998</v>
      </c>
      <c r="AF526" s="3">
        <f t="shared" si="375"/>
        <v>-1840.3939230842516</v>
      </c>
      <c r="AG526" s="3">
        <f>-469.159923*627.50956</f>
        <v>-294402.33685136389</v>
      </c>
      <c r="AH526" s="3">
        <f>-472.093781*627.50956</f>
        <v>-296243.36079404631</v>
      </c>
      <c r="AI526" s="3">
        <f t="shared" si="376"/>
        <v>-1841.0239426824264</v>
      </c>
      <c r="AJ526" s="3">
        <v>-0.25600000000000001</v>
      </c>
      <c r="AK526" s="3">
        <v>-0.19900000000000001</v>
      </c>
      <c r="AL526" s="3">
        <f t="shared" si="377"/>
        <v>5.6999999999999995E-2</v>
      </c>
      <c r="AM526" s="3">
        <v>143.1454</v>
      </c>
      <c r="AN526" s="3">
        <v>195.04821999999999</v>
      </c>
      <c r="AO526" s="3">
        <v>201.12323000000001</v>
      </c>
      <c r="AP526" s="3">
        <f t="shared" si="397"/>
        <v>1.1751404755025603</v>
      </c>
      <c r="AQ526" s="3">
        <v>11.528</v>
      </c>
      <c r="AR526" s="3">
        <v>2.7193356</v>
      </c>
      <c r="AS526" s="3">
        <v>-959.76900000000001</v>
      </c>
      <c r="AT526" s="3">
        <v>-958.05</v>
      </c>
      <c r="AU526" s="3">
        <f t="shared" si="382"/>
        <v>-1.7190000000000509</v>
      </c>
      <c r="AV526" s="3">
        <v>-0.317</v>
      </c>
      <c r="AW526" s="3">
        <v>-0.45</v>
      </c>
      <c r="AX526" s="3">
        <f t="shared" si="383"/>
        <v>0.13300000000000001</v>
      </c>
      <c r="AY526" s="3">
        <v>-2.4E-2</v>
      </c>
      <c r="AZ526" s="3">
        <v>0.13500000000000001</v>
      </c>
      <c r="BA526" s="3">
        <f t="shared" si="384"/>
        <v>-0.159</v>
      </c>
      <c r="BB526" s="3">
        <f t="shared" si="403"/>
        <v>0.17050000000000001</v>
      </c>
      <c r="BC526" s="3">
        <f t="shared" si="403"/>
        <v>0.1575</v>
      </c>
      <c r="BD526" s="3">
        <f t="shared" si="385"/>
        <v>1.3000000000000012E-2</v>
      </c>
      <c r="BE526" s="3">
        <f t="shared" si="404"/>
        <v>0.29299999999999998</v>
      </c>
      <c r="BF526" s="3">
        <f t="shared" si="404"/>
        <v>0.58499999999999996</v>
      </c>
      <c r="BG526" s="3">
        <f t="shared" si="386"/>
        <v>-0.29199999999999998</v>
      </c>
      <c r="BH526" s="3">
        <f t="shared" si="405"/>
        <v>-0.17050000000000001</v>
      </c>
      <c r="BI526" s="3">
        <f t="shared" si="405"/>
        <v>-0.1575</v>
      </c>
      <c r="BJ526" s="3">
        <f t="shared" si="406"/>
        <v>-1.3000000000000012E-2</v>
      </c>
      <c r="BK526" s="3">
        <f t="shared" si="400"/>
        <v>4.9607935153583631E-2</v>
      </c>
      <c r="BL526" s="3">
        <f t="shared" si="401"/>
        <v>2.120192307692308E-2</v>
      </c>
      <c r="BM526" s="3">
        <f t="shared" si="387"/>
        <v>2.8406012076660551E-2</v>
      </c>
      <c r="BN526" s="3">
        <v>2.2370000000000001</v>
      </c>
      <c r="BO526" s="3">
        <v>2.431</v>
      </c>
      <c r="BP526" s="3">
        <f t="shared" si="388"/>
        <v>-0.19399999999999995</v>
      </c>
      <c r="BQ526" s="3">
        <v>-602243.07700000005</v>
      </c>
      <c r="BR526" s="3">
        <v>-601163.24300000002</v>
      </c>
      <c r="BS526" s="3">
        <f t="shared" si="389"/>
        <v>-1079.8340000000317</v>
      </c>
      <c r="BT526" s="3">
        <v>-602262.36399999994</v>
      </c>
      <c r="BU526" s="3">
        <v>-601182.38500000001</v>
      </c>
      <c r="BV526" s="3">
        <f t="shared" si="390"/>
        <v>-1079.9789999999339</v>
      </c>
    </row>
    <row r="527" spans="1:74" x14ac:dyDescent="0.25">
      <c r="A527" t="s">
        <v>599</v>
      </c>
      <c r="B527" s="1" t="s">
        <v>646</v>
      </c>
      <c r="C527" s="1" t="s">
        <v>99</v>
      </c>
      <c r="D527" s="3">
        <v>7.79</v>
      </c>
      <c r="E527" s="3">
        <v>1.06</v>
      </c>
      <c r="F527" s="3">
        <v>-747.27599999999995</v>
      </c>
      <c r="G527" s="3">
        <v>-752.27300000000002</v>
      </c>
      <c r="H527" s="3">
        <f t="shared" si="381"/>
        <v>-4.9970000000000709</v>
      </c>
      <c r="I527" s="3">
        <v>-0.26700000000000002</v>
      </c>
      <c r="J527" s="6">
        <v>-0.19</v>
      </c>
      <c r="K527" s="3">
        <f t="shared" si="365"/>
        <v>7.7000000000000013E-2</v>
      </c>
      <c r="L527" s="3">
        <v>5.6000000000000001E-2</v>
      </c>
      <c r="M527" s="6">
        <v>-7.8E-2</v>
      </c>
      <c r="N527" s="3">
        <f t="shared" si="366"/>
        <v>-0.13400000000000001</v>
      </c>
      <c r="O527" s="3">
        <f t="shared" si="407"/>
        <v>0.10550000000000001</v>
      </c>
      <c r="P527" s="3">
        <f t="shared" si="407"/>
        <v>0.13400000000000001</v>
      </c>
      <c r="Q527" s="3">
        <f t="shared" si="367"/>
        <v>2.8499999999999998E-2</v>
      </c>
      <c r="R527" s="3">
        <f t="shared" si="368"/>
        <v>0.32300000000000001</v>
      </c>
      <c r="S527" s="3">
        <f t="shared" si="369"/>
        <v>0.112</v>
      </c>
      <c r="T527" s="3">
        <f t="shared" si="370"/>
        <v>-0.21100000000000002</v>
      </c>
      <c r="U527" s="3">
        <f t="shared" si="371"/>
        <v>-0.10550000000000001</v>
      </c>
      <c r="V527" s="3">
        <f t="shared" si="372"/>
        <v>-0.13400000000000001</v>
      </c>
      <c r="W527" s="3">
        <f t="shared" si="402"/>
        <v>-2.8499999999999998E-2</v>
      </c>
      <c r="X527" s="3">
        <f t="shared" si="398"/>
        <v>1.7229489164086693E-2</v>
      </c>
      <c r="Y527" s="3">
        <f t="shared" si="399"/>
        <v>8.0160714285714293E-2</v>
      </c>
      <c r="Z527" s="3">
        <f t="shared" si="373"/>
        <v>6.2931225121627604E-2</v>
      </c>
      <c r="AA527" s="3">
        <v>4.9080000000000004</v>
      </c>
      <c r="AB527" s="3">
        <v>9.4779999999999998</v>
      </c>
      <c r="AC527" s="3">
        <f t="shared" si="374"/>
        <v>4.5699999999999994</v>
      </c>
      <c r="AD527" s="3">
        <f>-746.914484*627.50956</f>
        <v>-468695.97921246703</v>
      </c>
      <c r="AE527" s="3">
        <f>-751.932477*627.50956</f>
        <v>-471844.81779198005</v>
      </c>
      <c r="AF527" s="3">
        <f t="shared" si="375"/>
        <v>-3148.8385795130162</v>
      </c>
      <c r="AG527" s="3">
        <f>-746.972247*627.50956</f>
        <v>-468732.22604718129</v>
      </c>
      <c r="AH527" s="3">
        <f>-751.992165*627.50956</f>
        <v>-471882.27258259739</v>
      </c>
      <c r="AI527" s="3">
        <f t="shared" si="376"/>
        <v>-3150.0465354160988</v>
      </c>
      <c r="AJ527" s="3">
        <v>-0.33200000000000002</v>
      </c>
      <c r="AK527" s="3">
        <v>-0.375</v>
      </c>
      <c r="AL527" s="3">
        <f t="shared" si="377"/>
        <v>-4.2999999999999983E-2</v>
      </c>
      <c r="AM527" s="3">
        <v>249.35015999999999</v>
      </c>
      <c r="AN527" s="3">
        <v>325.38260000000002</v>
      </c>
      <c r="AO527" s="3">
        <v>390.85950000000003</v>
      </c>
      <c r="AP527" s="3">
        <f t="shared" si="397"/>
        <v>1.2588379510324612</v>
      </c>
      <c r="AQ527" s="3">
        <v>14.336</v>
      </c>
      <c r="AR527" s="3">
        <v>3.5641145999999999</v>
      </c>
      <c r="AS527" s="3">
        <v>-132.80099999999999</v>
      </c>
      <c r="AT527" s="3">
        <v>-131.97</v>
      </c>
      <c r="AU527" s="3">
        <f t="shared" si="382"/>
        <v>-0.83099999999998886</v>
      </c>
      <c r="AV527" s="3">
        <v>-0.34100000000000003</v>
      </c>
      <c r="AW527" s="3">
        <v>-0.47499999999999998</v>
      </c>
      <c r="AX527" s="3">
        <f t="shared" si="383"/>
        <v>0.13399999999999995</v>
      </c>
      <c r="AY527" s="3">
        <v>2.9000000000000001E-2</v>
      </c>
      <c r="AZ527" s="3">
        <v>0.156</v>
      </c>
      <c r="BA527" s="3">
        <f t="shared" si="384"/>
        <v>-0.127</v>
      </c>
      <c r="BB527" s="3">
        <f t="shared" ref="BB527:BC535" si="408">-(AV527+AY527)/2</f>
        <v>0.156</v>
      </c>
      <c r="BC527" s="3">
        <f t="shared" si="408"/>
        <v>0.15949999999999998</v>
      </c>
      <c r="BD527" s="3">
        <f t="shared" si="385"/>
        <v>-3.4999999999999754E-3</v>
      </c>
      <c r="BE527" s="3">
        <f t="shared" ref="BE527:BF535" si="409">AY527-AV527</f>
        <v>0.37000000000000005</v>
      </c>
      <c r="BF527" s="3">
        <f t="shared" si="409"/>
        <v>0.63100000000000001</v>
      </c>
      <c r="BG527" s="3">
        <f t="shared" si="386"/>
        <v>-0.26099999999999995</v>
      </c>
      <c r="BH527" s="3">
        <f t="shared" ref="BH527:BI535" si="410">(AV527+AY527)/2</f>
        <v>-0.156</v>
      </c>
      <c r="BI527" s="3">
        <f t="shared" si="410"/>
        <v>-0.15949999999999998</v>
      </c>
      <c r="BJ527" s="3">
        <f t="shared" si="406"/>
        <v>3.4999999999999754E-3</v>
      </c>
      <c r="BK527" s="3">
        <f t="shared" si="400"/>
        <v>3.2886486486486483E-2</v>
      </c>
      <c r="BL527" s="3">
        <f t="shared" si="401"/>
        <v>2.0158676703645E-2</v>
      </c>
      <c r="BM527" s="3">
        <f t="shared" si="387"/>
        <v>1.2727809782841482E-2</v>
      </c>
      <c r="BN527" s="3">
        <v>4.7279999999999998</v>
      </c>
      <c r="BO527" s="3">
        <v>4.9340000000000002</v>
      </c>
      <c r="BP527" s="3">
        <f t="shared" si="388"/>
        <v>-0.20600000000000041</v>
      </c>
      <c r="BQ527" s="3">
        <v>-83302.89</v>
      </c>
      <c r="BR527" s="3">
        <v>-82779.224000000002</v>
      </c>
      <c r="BS527" s="3">
        <f t="shared" si="389"/>
        <v>-523.66599999999744</v>
      </c>
      <c r="BT527" s="3">
        <v>-83320.774999999994</v>
      </c>
      <c r="BU527" s="3">
        <v>-82796.997000000003</v>
      </c>
      <c r="BV527" s="3">
        <f t="shared" si="390"/>
        <v>-523.77799999999115</v>
      </c>
    </row>
    <row r="528" spans="1:74" x14ac:dyDescent="0.25">
      <c r="A528" t="s">
        <v>411</v>
      </c>
      <c r="B528" s="1" t="s">
        <v>646</v>
      </c>
      <c r="C528" s="1" t="s">
        <v>103</v>
      </c>
      <c r="D528" s="3">
        <v>7.84</v>
      </c>
      <c r="E528" s="3">
        <v>0.89</v>
      </c>
      <c r="F528" s="3">
        <v>-304.07499999999999</v>
      </c>
      <c r="G528" s="3">
        <v>-306.08800000000002</v>
      </c>
      <c r="H528" s="3">
        <f t="shared" si="381"/>
        <v>-2.0130000000000337</v>
      </c>
      <c r="I528" s="3">
        <v>-0.32900000000000001</v>
      </c>
      <c r="J528" s="6">
        <v>-0.21</v>
      </c>
      <c r="K528" s="3">
        <f t="shared" si="365"/>
        <v>0.11900000000000002</v>
      </c>
      <c r="L528" s="3">
        <v>0.154</v>
      </c>
      <c r="M528" s="6">
        <v>6.0000000000000001E-3</v>
      </c>
      <c r="N528" s="3">
        <f t="shared" si="366"/>
        <v>-0.14799999999999999</v>
      </c>
      <c r="O528" s="3">
        <f t="shared" si="407"/>
        <v>8.7500000000000008E-2</v>
      </c>
      <c r="P528" s="3">
        <f t="shared" si="407"/>
        <v>0.10199999999999999</v>
      </c>
      <c r="Q528" s="3">
        <f t="shared" si="367"/>
        <v>1.4499999999999985E-2</v>
      </c>
      <c r="R528" s="3">
        <f t="shared" si="368"/>
        <v>0.48299999999999998</v>
      </c>
      <c r="S528" s="3">
        <f t="shared" si="369"/>
        <v>0.216</v>
      </c>
      <c r="T528" s="3">
        <f t="shared" si="370"/>
        <v>-0.26700000000000002</v>
      </c>
      <c r="U528" s="3">
        <f t="shared" si="371"/>
        <v>-8.7500000000000008E-2</v>
      </c>
      <c r="V528" s="3">
        <f t="shared" si="372"/>
        <v>-0.10199999999999999</v>
      </c>
      <c r="W528" s="3">
        <f t="shared" si="402"/>
        <v>-1.4499999999999985E-2</v>
      </c>
      <c r="X528" s="3">
        <f t="shared" si="398"/>
        <v>7.9257246376811617E-3</v>
      </c>
      <c r="Y528" s="3">
        <f t="shared" si="399"/>
        <v>2.4083333333333328E-2</v>
      </c>
      <c r="Z528" s="3">
        <f t="shared" si="373"/>
        <v>1.6157608695652165E-2</v>
      </c>
      <c r="AA528" s="3">
        <v>2.4489999999999998</v>
      </c>
      <c r="AB528" s="3">
        <v>2.8620000000000001</v>
      </c>
      <c r="AC528" s="3">
        <f t="shared" si="374"/>
        <v>0.41300000000000026</v>
      </c>
      <c r="AD528" s="3">
        <f>-303.907397*627.50956</f>
        <v>-190704.79697221532</v>
      </c>
      <c r="AE528" s="3">
        <f>-305.93093*627.50956</f>
        <v>-191974.58327469078</v>
      </c>
      <c r="AF528" s="3">
        <f t="shared" si="375"/>
        <v>-1269.7863024754624</v>
      </c>
      <c r="AG528" s="3">
        <f>-303.94538*627.50956</f>
        <v>-190728.63166783279</v>
      </c>
      <c r="AH528" s="3">
        <f>-305.969694*627.50956</f>
        <v>-191998.90805527463</v>
      </c>
      <c r="AI528" s="3">
        <f t="shared" si="376"/>
        <v>-1270.2763874418451</v>
      </c>
      <c r="AJ528" s="3">
        <v>-0.33100000000000002</v>
      </c>
      <c r="AK528" s="3">
        <v>-0.214</v>
      </c>
      <c r="AL528" s="3">
        <f t="shared" si="377"/>
        <v>0.11700000000000002</v>
      </c>
      <c r="AM528" s="3">
        <v>98.146299999999997</v>
      </c>
      <c r="AN528" s="3">
        <v>167.02080000000001</v>
      </c>
      <c r="AO528" s="3">
        <v>173.3485</v>
      </c>
      <c r="AP528" s="3">
        <f t="shared" si="397"/>
        <v>1.1110828681992302</v>
      </c>
      <c r="AQ528" s="3">
        <v>8.8829999999999991</v>
      </c>
      <c r="AR528" s="3">
        <v>1.8240080000000001</v>
      </c>
      <c r="AS528" s="3">
        <v>-959.76900000000001</v>
      </c>
      <c r="AT528" s="3">
        <v>-958.05</v>
      </c>
      <c r="AU528" s="3">
        <f t="shared" si="382"/>
        <v>-1.7190000000000509</v>
      </c>
      <c r="AV528" s="3">
        <v>-0.317</v>
      </c>
      <c r="AW528" s="3">
        <v>-0.45</v>
      </c>
      <c r="AX528" s="3">
        <f t="shared" si="383"/>
        <v>0.13300000000000001</v>
      </c>
      <c r="AY528" s="3">
        <v>-2.4E-2</v>
      </c>
      <c r="AZ528" s="3">
        <v>0.13500000000000001</v>
      </c>
      <c r="BA528" s="3">
        <f t="shared" si="384"/>
        <v>-0.159</v>
      </c>
      <c r="BB528" s="3">
        <f t="shared" si="408"/>
        <v>0.17050000000000001</v>
      </c>
      <c r="BC528" s="3">
        <f t="shared" si="408"/>
        <v>0.1575</v>
      </c>
      <c r="BD528" s="3">
        <f t="shared" si="385"/>
        <v>1.3000000000000012E-2</v>
      </c>
      <c r="BE528" s="3">
        <f t="shared" si="409"/>
        <v>0.29299999999999998</v>
      </c>
      <c r="BF528" s="3">
        <f t="shared" si="409"/>
        <v>0.58499999999999996</v>
      </c>
      <c r="BG528" s="3">
        <f t="shared" si="386"/>
        <v>-0.29199999999999998</v>
      </c>
      <c r="BH528" s="3">
        <f t="shared" si="410"/>
        <v>-0.17050000000000001</v>
      </c>
      <c r="BI528" s="3">
        <f t="shared" si="410"/>
        <v>-0.1575</v>
      </c>
      <c r="BJ528" s="3">
        <f t="shared" si="406"/>
        <v>-1.3000000000000012E-2</v>
      </c>
      <c r="BK528" s="3">
        <f t="shared" si="400"/>
        <v>4.9607935153583631E-2</v>
      </c>
      <c r="BL528" s="3">
        <f t="shared" si="401"/>
        <v>2.120192307692308E-2</v>
      </c>
      <c r="BM528" s="3">
        <f t="shared" si="387"/>
        <v>2.8406012076660551E-2</v>
      </c>
      <c r="BN528" s="3">
        <v>2.2370000000000001</v>
      </c>
      <c r="BO528" s="3">
        <v>2.431</v>
      </c>
      <c r="BP528" s="3">
        <f t="shared" si="388"/>
        <v>-0.19399999999999995</v>
      </c>
      <c r="BQ528" s="3">
        <v>-602243.07700000005</v>
      </c>
      <c r="BR528" s="3">
        <v>-601163.24300000002</v>
      </c>
      <c r="BS528" s="3">
        <f t="shared" si="389"/>
        <v>-1079.8340000000317</v>
      </c>
      <c r="BT528" s="3">
        <v>-602262.36399999994</v>
      </c>
      <c r="BU528" s="3">
        <v>-601182.38500000001</v>
      </c>
      <c r="BV528" s="3">
        <f t="shared" si="390"/>
        <v>-1079.9789999999339</v>
      </c>
    </row>
    <row r="529" spans="1:74" x14ac:dyDescent="0.25">
      <c r="A529" t="s">
        <v>600</v>
      </c>
      <c r="B529" s="1" t="s">
        <v>646</v>
      </c>
      <c r="C529" s="1" t="s">
        <v>99</v>
      </c>
      <c r="D529" s="3">
        <v>7.92</v>
      </c>
      <c r="E529" s="3">
        <v>1.07</v>
      </c>
      <c r="F529" s="3">
        <v>-1070.1279999999999</v>
      </c>
      <c r="G529" s="3">
        <v>-1077.1189999999999</v>
      </c>
      <c r="H529" s="3">
        <f t="shared" si="381"/>
        <v>-6.9909999999999854</v>
      </c>
      <c r="I529" s="3">
        <v>-0.28100000000000003</v>
      </c>
      <c r="J529" s="6">
        <v>-0.193</v>
      </c>
      <c r="K529" s="3">
        <f t="shared" si="365"/>
        <v>8.8000000000000023E-2</v>
      </c>
      <c r="L529" s="3">
        <v>0.109</v>
      </c>
      <c r="M529" s="6">
        <v>-3.1E-2</v>
      </c>
      <c r="N529" s="3">
        <f t="shared" si="366"/>
        <v>-0.14000000000000001</v>
      </c>
      <c r="O529" s="3">
        <f t="shared" si="407"/>
        <v>8.6000000000000021E-2</v>
      </c>
      <c r="P529" s="3">
        <f t="shared" si="407"/>
        <v>0.112</v>
      </c>
      <c r="Q529" s="3">
        <f t="shared" si="367"/>
        <v>2.5999999999999981E-2</v>
      </c>
      <c r="R529" s="3">
        <f t="shared" si="368"/>
        <v>0.39</v>
      </c>
      <c r="S529" s="3">
        <f t="shared" si="369"/>
        <v>0.16200000000000001</v>
      </c>
      <c r="T529" s="3">
        <f t="shared" si="370"/>
        <v>-0.22800000000000001</v>
      </c>
      <c r="U529" s="3">
        <f t="shared" si="371"/>
        <v>-8.6000000000000021E-2</v>
      </c>
      <c r="V529" s="3">
        <f t="shared" si="372"/>
        <v>-0.112</v>
      </c>
      <c r="W529" s="3">
        <f t="shared" si="402"/>
        <v>-2.5999999999999981E-2</v>
      </c>
      <c r="X529" s="3">
        <f t="shared" si="398"/>
        <v>9.4820512820512851E-3</v>
      </c>
      <c r="Y529" s="3">
        <f t="shared" si="399"/>
        <v>3.8716049382716056E-2</v>
      </c>
      <c r="Z529" s="3">
        <f t="shared" si="373"/>
        <v>2.9233998100664772E-2</v>
      </c>
      <c r="AA529" s="3">
        <v>5.4370000000000003</v>
      </c>
      <c r="AB529" s="3">
        <v>5.5510000000000002</v>
      </c>
      <c r="AC529" s="3">
        <f t="shared" si="374"/>
        <v>0.11399999999999988</v>
      </c>
      <c r="AD529" s="3">
        <f>-1069.633469*627.50956</f>
        <v>-671205.22749346367</v>
      </c>
      <c r="AE529" s="3">
        <f>-1076.653942*627.50956</f>
        <v>-675610.64141668542</v>
      </c>
      <c r="AF529" s="3">
        <f t="shared" si="375"/>
        <v>-4405.4139232217567</v>
      </c>
      <c r="AG529" s="3">
        <f>-1069.710456*627.50956</f>
        <v>-671253.53757195931</v>
      </c>
      <c r="AH529" s="3">
        <f>-1076.733897*627.50956</f>
        <v>-675660.81394355535</v>
      </c>
      <c r="AI529" s="3">
        <f t="shared" si="376"/>
        <v>-4407.2763715960318</v>
      </c>
      <c r="AJ529" s="3">
        <v>-0.34</v>
      </c>
      <c r="AK529" s="3">
        <v>-0.41299999999999998</v>
      </c>
      <c r="AL529" s="3">
        <f t="shared" si="377"/>
        <v>-7.2999999999999954E-2</v>
      </c>
      <c r="AM529" s="3">
        <v>346.46534000000003</v>
      </c>
      <c r="AN529" s="3">
        <v>424.09050000000002</v>
      </c>
      <c r="AO529" s="3">
        <v>531.56470000000002</v>
      </c>
      <c r="AP529" s="3">
        <f t="shared" si="397"/>
        <v>1.3366275423744471</v>
      </c>
      <c r="AQ529" s="3">
        <v>15.005000000000001</v>
      </c>
      <c r="AR529" s="3">
        <v>4.0191486999999997</v>
      </c>
      <c r="AS529" s="3">
        <v>-132.80099999999999</v>
      </c>
      <c r="AT529" s="3">
        <v>-131.97</v>
      </c>
      <c r="AU529" s="3">
        <f t="shared" si="382"/>
        <v>-0.83099999999998886</v>
      </c>
      <c r="AV529" s="3">
        <v>-0.34100000000000003</v>
      </c>
      <c r="AW529" s="3">
        <v>-0.47499999999999998</v>
      </c>
      <c r="AX529" s="3">
        <f t="shared" si="383"/>
        <v>0.13399999999999995</v>
      </c>
      <c r="AY529" s="3">
        <v>2.9000000000000001E-2</v>
      </c>
      <c r="AZ529" s="3">
        <v>0.156</v>
      </c>
      <c r="BA529" s="3">
        <f t="shared" si="384"/>
        <v>-0.127</v>
      </c>
      <c r="BB529" s="3">
        <f t="shared" si="408"/>
        <v>0.156</v>
      </c>
      <c r="BC529" s="3">
        <f t="shared" si="408"/>
        <v>0.15949999999999998</v>
      </c>
      <c r="BD529" s="3">
        <f t="shared" si="385"/>
        <v>-3.4999999999999754E-3</v>
      </c>
      <c r="BE529" s="3">
        <f t="shared" si="409"/>
        <v>0.37000000000000005</v>
      </c>
      <c r="BF529" s="3">
        <f t="shared" si="409"/>
        <v>0.63100000000000001</v>
      </c>
      <c r="BG529" s="3">
        <f t="shared" si="386"/>
        <v>-0.26099999999999995</v>
      </c>
      <c r="BH529" s="3">
        <f t="shared" si="410"/>
        <v>-0.156</v>
      </c>
      <c r="BI529" s="3">
        <f t="shared" si="410"/>
        <v>-0.15949999999999998</v>
      </c>
      <c r="BJ529" s="3">
        <f t="shared" si="406"/>
        <v>3.4999999999999754E-3</v>
      </c>
      <c r="BK529" s="3">
        <f t="shared" si="400"/>
        <v>3.2886486486486483E-2</v>
      </c>
      <c r="BL529" s="3">
        <f t="shared" si="401"/>
        <v>2.0158676703645E-2</v>
      </c>
      <c r="BM529" s="3">
        <f t="shared" si="387"/>
        <v>1.2727809782841482E-2</v>
      </c>
      <c r="BN529" s="3">
        <v>4.7279999999999998</v>
      </c>
      <c r="BO529" s="3">
        <v>4.9340000000000002</v>
      </c>
      <c r="BP529" s="3">
        <f t="shared" si="388"/>
        <v>-0.20600000000000041</v>
      </c>
      <c r="BQ529" s="3">
        <v>-83302.89</v>
      </c>
      <c r="BR529" s="3">
        <v>-82779.224000000002</v>
      </c>
      <c r="BS529" s="3">
        <f t="shared" si="389"/>
        <v>-523.66599999999744</v>
      </c>
      <c r="BT529" s="3">
        <v>-83320.774999999994</v>
      </c>
      <c r="BU529" s="3">
        <v>-82796.997000000003</v>
      </c>
      <c r="BV529" s="3">
        <f t="shared" si="390"/>
        <v>-523.77799999999115</v>
      </c>
    </row>
    <row r="530" spans="1:74" x14ac:dyDescent="0.25">
      <c r="A530" t="s">
        <v>601</v>
      </c>
      <c r="B530" s="1" t="s">
        <v>646</v>
      </c>
      <c r="C530" s="1" t="s">
        <v>103</v>
      </c>
      <c r="D530" s="3">
        <v>7.98</v>
      </c>
      <c r="E530" s="3">
        <v>0.71</v>
      </c>
      <c r="F530" s="3">
        <v>-40.209000000000003</v>
      </c>
      <c r="G530" s="3">
        <v>-40.533999999999999</v>
      </c>
      <c r="H530" s="3">
        <f t="shared" si="381"/>
        <v>-0.32499999999999574</v>
      </c>
      <c r="I530" s="3">
        <v>-0.54600000000000004</v>
      </c>
      <c r="J530" s="6">
        <v>-0.39400000000000002</v>
      </c>
      <c r="K530" s="3">
        <f t="shared" si="365"/>
        <v>0.15200000000000002</v>
      </c>
      <c r="L530" s="3">
        <v>0.16300000000000001</v>
      </c>
      <c r="M530" s="6">
        <v>5.5E-2</v>
      </c>
      <c r="N530" s="3">
        <f t="shared" si="366"/>
        <v>-0.10800000000000001</v>
      </c>
      <c r="O530" s="3">
        <f t="shared" si="407"/>
        <v>0.1915</v>
      </c>
      <c r="P530" s="3">
        <f t="shared" si="407"/>
        <v>0.16950000000000001</v>
      </c>
      <c r="Q530" s="3">
        <f t="shared" si="367"/>
        <v>-2.1999999999999992E-2</v>
      </c>
      <c r="R530" s="3">
        <f t="shared" si="368"/>
        <v>0.70900000000000007</v>
      </c>
      <c r="S530" s="3">
        <f t="shared" si="369"/>
        <v>0.44900000000000001</v>
      </c>
      <c r="T530" s="3">
        <f t="shared" si="370"/>
        <v>-0.26000000000000006</v>
      </c>
      <c r="U530" s="3">
        <f t="shared" si="371"/>
        <v>-0.1915</v>
      </c>
      <c r="V530" s="3">
        <f t="shared" si="372"/>
        <v>-0.16950000000000001</v>
      </c>
      <c r="W530" s="3">
        <f t="shared" si="402"/>
        <v>2.1999999999999992E-2</v>
      </c>
      <c r="X530" s="3">
        <f t="shared" si="398"/>
        <v>2.5861953455571227E-2</v>
      </c>
      <c r="Y530" s="3">
        <f t="shared" si="399"/>
        <v>3.1993596881959914E-2</v>
      </c>
      <c r="Z530" s="3">
        <f t="shared" si="373"/>
        <v>6.1316434263886874E-3</v>
      </c>
      <c r="AA530" s="3">
        <v>0</v>
      </c>
      <c r="AB530" s="3">
        <v>0</v>
      </c>
      <c r="AC530" s="3">
        <f t="shared" si="374"/>
        <v>0</v>
      </c>
      <c r="AD530" s="3">
        <f>-40.158543*627.50956</f>
        <v>-25199.869648171079</v>
      </c>
      <c r="AE530" s="3">
        <f>-40.48565*627.50956</f>
        <v>-25405.132417813998</v>
      </c>
      <c r="AF530" s="3">
        <f t="shared" si="375"/>
        <v>-205.26276964291901</v>
      </c>
      <c r="AG530" s="3">
        <f>-40.179641*627.50956</f>
        <v>-25213.108844867955</v>
      </c>
      <c r="AH530" s="3">
        <f>-40.506782*627.50956</f>
        <v>-25418.392949835918</v>
      </c>
      <c r="AI530" s="3">
        <f t="shared" si="376"/>
        <v>-205.28410496796278</v>
      </c>
      <c r="AJ530" s="3">
        <v>-0.7</v>
      </c>
      <c r="AK530" s="3">
        <v>-0.79600000000000004</v>
      </c>
      <c r="AL530" s="3">
        <f t="shared" si="377"/>
        <v>-9.6000000000000085E-2</v>
      </c>
      <c r="AM530" s="3">
        <v>16.042459999999998</v>
      </c>
      <c r="AN530" s="3">
        <v>70.844830000000002</v>
      </c>
      <c r="AO530" s="3">
        <v>54.280200000000001</v>
      </c>
      <c r="AP530" s="3">
        <f t="shared" si="397"/>
        <v>1.0220445344118938</v>
      </c>
      <c r="AQ530" s="3">
        <v>4.181</v>
      </c>
      <c r="AR530" s="3">
        <v>0.54674599999999995</v>
      </c>
      <c r="AS530" s="3">
        <v>-959.76900000000001</v>
      </c>
      <c r="AT530" s="3">
        <v>-958.05</v>
      </c>
      <c r="AU530" s="3">
        <f t="shared" si="382"/>
        <v>-1.7190000000000509</v>
      </c>
      <c r="AV530" s="3">
        <v>-0.317</v>
      </c>
      <c r="AW530" s="3">
        <v>-0.45</v>
      </c>
      <c r="AX530" s="3">
        <f t="shared" si="383"/>
        <v>0.13300000000000001</v>
      </c>
      <c r="AY530" s="3">
        <v>-2.4E-2</v>
      </c>
      <c r="AZ530" s="3">
        <v>0.13500000000000001</v>
      </c>
      <c r="BA530" s="3">
        <f t="shared" si="384"/>
        <v>-0.159</v>
      </c>
      <c r="BB530" s="3">
        <f t="shared" si="408"/>
        <v>0.17050000000000001</v>
      </c>
      <c r="BC530" s="3">
        <f t="shared" si="408"/>
        <v>0.1575</v>
      </c>
      <c r="BD530" s="3">
        <f t="shared" si="385"/>
        <v>1.3000000000000012E-2</v>
      </c>
      <c r="BE530" s="3">
        <f t="shared" si="409"/>
        <v>0.29299999999999998</v>
      </c>
      <c r="BF530" s="3">
        <f t="shared" si="409"/>
        <v>0.58499999999999996</v>
      </c>
      <c r="BG530" s="3">
        <f t="shared" si="386"/>
        <v>-0.29199999999999998</v>
      </c>
      <c r="BH530" s="3">
        <f t="shared" si="410"/>
        <v>-0.17050000000000001</v>
      </c>
      <c r="BI530" s="3">
        <f t="shared" si="410"/>
        <v>-0.1575</v>
      </c>
      <c r="BJ530" s="3">
        <f t="shared" si="406"/>
        <v>-1.3000000000000012E-2</v>
      </c>
      <c r="BK530" s="3">
        <f t="shared" si="400"/>
        <v>4.9607935153583631E-2</v>
      </c>
      <c r="BL530" s="3">
        <f t="shared" si="401"/>
        <v>2.120192307692308E-2</v>
      </c>
      <c r="BM530" s="3">
        <f t="shared" si="387"/>
        <v>2.8406012076660551E-2</v>
      </c>
      <c r="BN530" s="3">
        <v>2.2370000000000001</v>
      </c>
      <c r="BO530" s="3">
        <v>2.431</v>
      </c>
      <c r="BP530" s="3">
        <f t="shared" si="388"/>
        <v>-0.19399999999999995</v>
      </c>
      <c r="BQ530" s="3">
        <v>-602243.07700000005</v>
      </c>
      <c r="BR530" s="3">
        <v>-601163.24300000002</v>
      </c>
      <c r="BS530" s="3">
        <f t="shared" si="389"/>
        <v>-1079.8340000000317</v>
      </c>
      <c r="BT530" s="3">
        <v>-602262.36399999994</v>
      </c>
      <c r="BU530" s="3">
        <v>-601182.38500000001</v>
      </c>
      <c r="BV530" s="3">
        <f t="shared" si="390"/>
        <v>-1079.9789999999339</v>
      </c>
    </row>
    <row r="531" spans="1:74" x14ac:dyDescent="0.25">
      <c r="A531" t="s">
        <v>602</v>
      </c>
      <c r="B531" s="1" t="s">
        <v>646</v>
      </c>
      <c r="C531" s="1" t="s">
        <v>99</v>
      </c>
      <c r="D531" s="3">
        <v>8.01</v>
      </c>
      <c r="E531" s="3">
        <v>0.96</v>
      </c>
      <c r="F531" s="3">
        <v>-286.96499999999997</v>
      </c>
      <c r="G531" s="3">
        <v>-288.89100000000002</v>
      </c>
      <c r="H531" s="3">
        <f t="shared" si="381"/>
        <v>-1.9260000000000446</v>
      </c>
      <c r="I531" s="3">
        <v>-0.28499999999999998</v>
      </c>
      <c r="J531" s="6">
        <v>-0.2</v>
      </c>
      <c r="K531" s="3">
        <f t="shared" si="365"/>
        <v>8.4999999999999964E-2</v>
      </c>
      <c r="L531" s="3">
        <v>0.157</v>
      </c>
      <c r="M531" s="6">
        <v>3.3000000000000002E-2</v>
      </c>
      <c r="N531" s="3">
        <f t="shared" si="366"/>
        <v>-0.124</v>
      </c>
      <c r="O531" s="3">
        <f t="shared" si="407"/>
        <v>6.3999999999999987E-2</v>
      </c>
      <c r="P531" s="3">
        <f t="shared" si="407"/>
        <v>8.3500000000000005E-2</v>
      </c>
      <c r="Q531" s="3">
        <f t="shared" si="367"/>
        <v>1.9500000000000017E-2</v>
      </c>
      <c r="R531" s="3">
        <f t="shared" si="368"/>
        <v>0.44199999999999995</v>
      </c>
      <c r="S531" s="3">
        <f t="shared" si="369"/>
        <v>0.23300000000000001</v>
      </c>
      <c r="T531" s="3">
        <f t="shared" si="370"/>
        <v>-0.20899999999999994</v>
      </c>
      <c r="U531" s="3">
        <f t="shared" si="371"/>
        <v>-6.3999999999999987E-2</v>
      </c>
      <c r="V531" s="3">
        <f t="shared" si="372"/>
        <v>-8.3500000000000005E-2</v>
      </c>
      <c r="W531" s="3">
        <f t="shared" si="402"/>
        <v>-1.9500000000000017E-2</v>
      </c>
      <c r="X531" s="3">
        <f t="shared" si="398"/>
        <v>4.6334841628959261E-3</v>
      </c>
      <c r="Y531" s="3">
        <f t="shared" si="399"/>
        <v>1.4961909871244636E-2</v>
      </c>
      <c r="Z531" s="3">
        <f t="shared" si="373"/>
        <v>1.032842570834871E-2</v>
      </c>
      <c r="AA531" s="3">
        <v>2.8</v>
      </c>
      <c r="AB531" s="3">
        <v>2.754</v>
      </c>
      <c r="AC531" s="3">
        <f t="shared" si="374"/>
        <v>-4.5999999999999819E-2</v>
      </c>
      <c r="AD531" s="3">
        <f>-286.810871*627.50956</f>
        <v>-179976.56346442676</v>
      </c>
      <c r="AE531" s="3">
        <f>-288.745651*627.50956</f>
        <v>-181190.65641092355</v>
      </c>
      <c r="AF531" s="3">
        <f t="shared" si="375"/>
        <v>-1214.0929464967921</v>
      </c>
      <c r="AG531" s="3">
        <f>-286.849465*627.50956</f>
        <v>-180000.7815683854</v>
      </c>
      <c r="AH531" s="3">
        <f>-288.785167*627.50956</f>
        <v>-181215.4530786965</v>
      </c>
      <c r="AI531" s="3">
        <f t="shared" si="376"/>
        <v>-1214.6715103111055</v>
      </c>
      <c r="AJ531" s="3">
        <v>-0.31900000000000001</v>
      </c>
      <c r="AK531" s="3">
        <v>-0.316</v>
      </c>
      <c r="AL531" s="3">
        <f t="shared" si="377"/>
        <v>3.0000000000000027E-3</v>
      </c>
      <c r="AM531" s="3">
        <v>95.142359999999996</v>
      </c>
      <c r="AN531" s="3">
        <v>170.5607</v>
      </c>
      <c r="AO531" s="3">
        <v>172.25445999999999</v>
      </c>
      <c r="AP531" s="3">
        <f t="shared" si="397"/>
        <v>1.1394307522163913</v>
      </c>
      <c r="AQ531" s="3">
        <v>8.9149999999999991</v>
      </c>
      <c r="AR531" s="3">
        <v>1.8589747000000001</v>
      </c>
      <c r="AS531" s="3">
        <v>-132.80099999999999</v>
      </c>
      <c r="AT531" s="3">
        <v>-131.97</v>
      </c>
      <c r="AU531" s="3">
        <f t="shared" si="382"/>
        <v>-0.83099999999998886</v>
      </c>
      <c r="AV531" s="3">
        <v>-0.34100000000000003</v>
      </c>
      <c r="AW531" s="3">
        <v>-0.47499999999999998</v>
      </c>
      <c r="AX531" s="3">
        <f t="shared" si="383"/>
        <v>0.13399999999999995</v>
      </c>
      <c r="AY531" s="3">
        <v>2.9000000000000001E-2</v>
      </c>
      <c r="AZ531" s="3">
        <v>0.156</v>
      </c>
      <c r="BA531" s="3">
        <f t="shared" si="384"/>
        <v>-0.127</v>
      </c>
      <c r="BB531" s="3">
        <f t="shared" si="408"/>
        <v>0.156</v>
      </c>
      <c r="BC531" s="3">
        <f t="shared" si="408"/>
        <v>0.15949999999999998</v>
      </c>
      <c r="BD531" s="3">
        <f t="shared" si="385"/>
        <v>-3.4999999999999754E-3</v>
      </c>
      <c r="BE531" s="3">
        <f t="shared" si="409"/>
        <v>0.37000000000000005</v>
      </c>
      <c r="BF531" s="3">
        <f t="shared" si="409"/>
        <v>0.63100000000000001</v>
      </c>
      <c r="BG531" s="3">
        <f t="shared" si="386"/>
        <v>-0.26099999999999995</v>
      </c>
      <c r="BH531" s="3">
        <f t="shared" si="410"/>
        <v>-0.156</v>
      </c>
      <c r="BI531" s="3">
        <f t="shared" si="410"/>
        <v>-0.15949999999999998</v>
      </c>
      <c r="BJ531" s="3">
        <f t="shared" si="406"/>
        <v>3.4999999999999754E-3</v>
      </c>
      <c r="BK531" s="3">
        <f t="shared" si="400"/>
        <v>3.2886486486486483E-2</v>
      </c>
      <c r="BL531" s="3">
        <f t="shared" si="401"/>
        <v>2.0158676703645E-2</v>
      </c>
      <c r="BM531" s="3">
        <f t="shared" si="387"/>
        <v>1.2727809782841482E-2</v>
      </c>
      <c r="BN531" s="3">
        <v>4.7279999999999998</v>
      </c>
      <c r="BO531" s="3">
        <v>4.9340000000000002</v>
      </c>
      <c r="BP531" s="3">
        <f t="shared" si="388"/>
        <v>-0.20600000000000041</v>
      </c>
      <c r="BQ531" s="3">
        <v>-83302.89</v>
      </c>
      <c r="BR531" s="3">
        <v>-82779.224000000002</v>
      </c>
      <c r="BS531" s="3">
        <f t="shared" si="389"/>
        <v>-523.66599999999744</v>
      </c>
      <c r="BT531" s="3">
        <v>-83320.774999999994</v>
      </c>
      <c r="BU531" s="3">
        <v>-82796.997000000003</v>
      </c>
      <c r="BV531" s="3">
        <f t="shared" si="390"/>
        <v>-523.77799999999115</v>
      </c>
    </row>
    <row r="532" spans="1:74" x14ac:dyDescent="0.25">
      <c r="A532" t="s">
        <v>603</v>
      </c>
      <c r="B532" s="1" t="s">
        <v>646</v>
      </c>
      <c r="C532" s="1" t="s">
        <v>99</v>
      </c>
      <c r="D532" s="3">
        <v>8.1300000000000008</v>
      </c>
      <c r="E532" s="3">
        <v>0.85</v>
      </c>
      <c r="F532" s="3">
        <v>-1249.393</v>
      </c>
      <c r="G532" s="3">
        <v>-1256.6669999999999</v>
      </c>
      <c r="H532" s="3">
        <f t="shared" si="381"/>
        <v>-7.2739999999998872</v>
      </c>
      <c r="I532" s="3">
        <v>-0.28699999999999998</v>
      </c>
      <c r="J532" s="6">
        <v>-0.20200000000000001</v>
      </c>
      <c r="K532" s="3">
        <f t="shared" si="365"/>
        <v>8.4999999999999964E-2</v>
      </c>
      <c r="L532" s="3">
        <v>4.2999999999999997E-2</v>
      </c>
      <c r="M532" s="6">
        <v>-2.1999999999999999E-2</v>
      </c>
      <c r="N532" s="3">
        <f t="shared" si="366"/>
        <v>-6.5000000000000002E-2</v>
      </c>
      <c r="O532" s="3">
        <f t="shared" si="407"/>
        <v>0.122</v>
      </c>
      <c r="P532" s="3">
        <f t="shared" si="407"/>
        <v>0.112</v>
      </c>
      <c r="Q532" s="3">
        <f t="shared" si="367"/>
        <v>-9.999999999999995E-3</v>
      </c>
      <c r="R532" s="3">
        <f t="shared" si="368"/>
        <v>0.32999999999999996</v>
      </c>
      <c r="S532" s="3">
        <f t="shared" si="369"/>
        <v>0.18000000000000002</v>
      </c>
      <c r="T532" s="3">
        <f t="shared" si="370"/>
        <v>-0.14999999999999994</v>
      </c>
      <c r="U532" s="3">
        <f t="shared" si="371"/>
        <v>-0.122</v>
      </c>
      <c r="V532" s="3">
        <f t="shared" si="372"/>
        <v>-0.112</v>
      </c>
      <c r="W532" s="3">
        <f t="shared" si="402"/>
        <v>9.999999999999995E-3</v>
      </c>
      <c r="X532" s="3">
        <f t="shared" si="398"/>
        <v>2.2551515151515152E-2</v>
      </c>
      <c r="Y532" s="3">
        <f t="shared" si="399"/>
        <v>3.4844444444444442E-2</v>
      </c>
      <c r="Z532" s="3">
        <f t="shared" si="373"/>
        <v>1.229292929292929E-2</v>
      </c>
      <c r="AA532" s="3">
        <v>14.984999999999999</v>
      </c>
      <c r="AB532" s="3">
        <v>14.78</v>
      </c>
      <c r="AC532" s="3">
        <f t="shared" si="374"/>
        <v>-0.20500000000000007</v>
      </c>
      <c r="AD532" s="3">
        <f>-1248.979293*627.50956</f>
        <v>-783746.44659954112</v>
      </c>
      <c r="AE532" s="3">
        <f>-1256.277765*627.50956</f>
        <v>-788326.30755293334</v>
      </c>
      <c r="AF532" s="3">
        <f t="shared" si="375"/>
        <v>-4579.8609533922281</v>
      </c>
      <c r="AG532" s="3">
        <f>-1249.059008*627.50956</f>
        <v>-783796.46852411644</v>
      </c>
      <c r="AH532" s="3">
        <f>-1256.360998*627.50956</f>
        <v>-788378.53705614095</v>
      </c>
      <c r="AI532" s="3">
        <f t="shared" si="376"/>
        <v>-4582.0685320245102</v>
      </c>
      <c r="AJ532" s="3">
        <v>0.104</v>
      </c>
      <c r="AK532" s="3">
        <v>6.6000000000000003E-2</v>
      </c>
      <c r="AL532" s="3">
        <f t="shared" si="377"/>
        <v>-3.7999999999999992E-2</v>
      </c>
      <c r="AM532" s="3">
        <v>360.10473999999999</v>
      </c>
      <c r="AN532" s="3">
        <v>400.8408</v>
      </c>
      <c r="AO532" s="3">
        <v>510.63864000000001</v>
      </c>
      <c r="AP532" s="3">
        <f t="shared" si="397"/>
        <v>1.2976336152988444</v>
      </c>
      <c r="AQ532" s="3">
        <v>13.343999999999999</v>
      </c>
      <c r="AR532" s="3">
        <v>3.8180016000000001</v>
      </c>
      <c r="AS532" s="3">
        <v>-132.80099999999999</v>
      </c>
      <c r="AT532" s="3">
        <v>-131.97</v>
      </c>
      <c r="AU532" s="3">
        <f t="shared" si="382"/>
        <v>-0.83099999999998886</v>
      </c>
      <c r="AV532" s="3">
        <v>-0.34100000000000003</v>
      </c>
      <c r="AW532" s="3">
        <v>-0.47499999999999998</v>
      </c>
      <c r="AX532" s="3">
        <f t="shared" si="383"/>
        <v>0.13399999999999995</v>
      </c>
      <c r="AY532" s="3">
        <v>2.9000000000000001E-2</v>
      </c>
      <c r="AZ532" s="3">
        <v>0.156</v>
      </c>
      <c r="BA532" s="3">
        <f t="shared" si="384"/>
        <v>-0.127</v>
      </c>
      <c r="BB532" s="3">
        <f t="shared" si="408"/>
        <v>0.156</v>
      </c>
      <c r="BC532" s="3">
        <f t="shared" si="408"/>
        <v>0.15949999999999998</v>
      </c>
      <c r="BD532" s="3">
        <f t="shared" si="385"/>
        <v>-3.4999999999999754E-3</v>
      </c>
      <c r="BE532" s="3">
        <f t="shared" si="409"/>
        <v>0.37000000000000005</v>
      </c>
      <c r="BF532" s="3">
        <f t="shared" si="409"/>
        <v>0.63100000000000001</v>
      </c>
      <c r="BG532" s="3">
        <f t="shared" si="386"/>
        <v>-0.26099999999999995</v>
      </c>
      <c r="BH532" s="3">
        <f t="shared" si="410"/>
        <v>-0.156</v>
      </c>
      <c r="BI532" s="3">
        <f t="shared" si="410"/>
        <v>-0.15949999999999998</v>
      </c>
      <c r="BJ532" s="3">
        <f t="shared" si="406"/>
        <v>3.4999999999999754E-3</v>
      </c>
      <c r="BK532" s="3">
        <f t="shared" si="400"/>
        <v>3.2886486486486483E-2</v>
      </c>
      <c r="BL532" s="3">
        <f t="shared" si="401"/>
        <v>2.0158676703645E-2</v>
      </c>
      <c r="BM532" s="3">
        <f t="shared" si="387"/>
        <v>1.2727809782841482E-2</v>
      </c>
      <c r="BN532" s="3">
        <v>4.7279999999999998</v>
      </c>
      <c r="BO532" s="3">
        <v>4.9340000000000002</v>
      </c>
      <c r="BP532" s="3">
        <f t="shared" si="388"/>
        <v>-0.20600000000000041</v>
      </c>
      <c r="BQ532" s="3">
        <v>-83302.89</v>
      </c>
      <c r="BR532" s="3">
        <v>-82779.224000000002</v>
      </c>
      <c r="BS532" s="3">
        <f t="shared" si="389"/>
        <v>-523.66599999999744</v>
      </c>
      <c r="BT532" s="3">
        <v>-83320.774999999994</v>
      </c>
      <c r="BU532" s="3">
        <v>-82796.997000000003</v>
      </c>
      <c r="BV532" s="3">
        <f t="shared" si="390"/>
        <v>-523.77799999999115</v>
      </c>
    </row>
    <row r="533" spans="1:74" x14ac:dyDescent="0.25">
      <c r="A533" t="s">
        <v>604</v>
      </c>
      <c r="B533" s="1" t="s">
        <v>646</v>
      </c>
      <c r="C533" s="1" t="s">
        <v>103</v>
      </c>
      <c r="D533" s="3">
        <v>8.16</v>
      </c>
      <c r="E533" s="3">
        <v>0.67</v>
      </c>
      <c r="F533" s="3">
        <v>-2766.7530000000002</v>
      </c>
      <c r="G533" s="3">
        <v>-2779.5030000000002</v>
      </c>
      <c r="H533" s="3">
        <f t="shared" si="381"/>
        <v>-12.75</v>
      </c>
      <c r="I533" s="3">
        <v>-0.32500000000000001</v>
      </c>
      <c r="J533" s="6">
        <v>-0.218</v>
      </c>
      <c r="K533" s="3">
        <f t="shared" si="365"/>
        <v>0.10700000000000001</v>
      </c>
      <c r="L533" s="3">
        <v>6.8000000000000005E-2</v>
      </c>
      <c r="M533" s="6">
        <v>-6.8000000000000005E-2</v>
      </c>
      <c r="N533" s="3">
        <f t="shared" si="366"/>
        <v>-0.13600000000000001</v>
      </c>
      <c r="O533" s="3">
        <f t="shared" si="407"/>
        <v>0.1285</v>
      </c>
      <c r="P533" s="3">
        <f t="shared" si="407"/>
        <v>0.14300000000000002</v>
      </c>
      <c r="Q533" s="3">
        <f t="shared" si="367"/>
        <v>1.4500000000000013E-2</v>
      </c>
      <c r="R533" s="3">
        <f t="shared" si="368"/>
        <v>0.39300000000000002</v>
      </c>
      <c r="S533" s="3">
        <f t="shared" si="369"/>
        <v>0.15</v>
      </c>
      <c r="T533" s="3">
        <f t="shared" si="370"/>
        <v>-0.24300000000000002</v>
      </c>
      <c r="U533" s="3">
        <f t="shared" si="371"/>
        <v>-0.1285</v>
      </c>
      <c r="V533" s="3">
        <f t="shared" si="372"/>
        <v>-0.14300000000000002</v>
      </c>
      <c r="W533" s="3">
        <f t="shared" si="402"/>
        <v>-1.4500000000000013E-2</v>
      </c>
      <c r="X533" s="3">
        <f t="shared" si="398"/>
        <v>2.1007951653944017E-2</v>
      </c>
      <c r="Y533" s="3">
        <f t="shared" si="399"/>
        <v>6.8163333333333354E-2</v>
      </c>
      <c r="Z533" s="3">
        <f t="shared" si="373"/>
        <v>4.7155381679389333E-2</v>
      </c>
      <c r="AA533" s="3">
        <v>2.9079999999999999</v>
      </c>
      <c r="AB533" s="3">
        <v>2.6179999999999999</v>
      </c>
      <c r="AC533" s="3">
        <f t="shared" si="374"/>
        <v>-0.29000000000000004</v>
      </c>
      <c r="AD533" s="3">
        <f>-2766.460761*627.50956</f>
        <v>-1735980.5748923749</v>
      </c>
      <c r="AE533" s="3">
        <f>-2779.229093*627.50956</f>
        <v>-1743992.8252876289</v>
      </c>
      <c r="AF533" s="3">
        <f t="shared" si="375"/>
        <v>-8012.2503952539992</v>
      </c>
      <c r="AG533" s="3">
        <f>-2766.565153*627.50956</f>
        <v>-1736046.0818703626</v>
      </c>
      <c r="AH533" s="3">
        <f>-2779.338758*627.50956</f>
        <v>-1744061.6411235263</v>
      </c>
      <c r="AI533" s="3">
        <f t="shared" si="376"/>
        <v>-8015.5592531636357</v>
      </c>
      <c r="AJ533" s="3">
        <v>-0.38500000000000001</v>
      </c>
      <c r="AK533" s="3">
        <v>-0.41299999999999998</v>
      </c>
      <c r="AL533" s="3">
        <f t="shared" si="377"/>
        <v>-2.7999999999999969E-2</v>
      </c>
      <c r="AM533" s="3">
        <v>614.33540000000005</v>
      </c>
      <c r="AN533" s="3">
        <v>449.6404</v>
      </c>
      <c r="AO533" s="3">
        <v>545.9837</v>
      </c>
      <c r="AP533" s="3">
        <f t="shared" si="397"/>
        <v>1.392092705103761</v>
      </c>
      <c r="AQ533" s="3">
        <v>13.75</v>
      </c>
      <c r="AR533" s="3">
        <v>4.0511780000000002</v>
      </c>
      <c r="AS533" s="3">
        <v>-959.76900000000001</v>
      </c>
      <c r="AT533" s="3">
        <v>-958.05</v>
      </c>
      <c r="AU533" s="3">
        <f t="shared" ref="AU533:AU568" si="411">AS533-AT533</f>
        <v>-1.7190000000000509</v>
      </c>
      <c r="AV533" s="3">
        <v>-0.317</v>
      </c>
      <c r="AW533" s="3">
        <v>-0.45</v>
      </c>
      <c r="AX533" s="3">
        <f t="shared" ref="AX533:AX568" si="412">AV533-AW533</f>
        <v>0.13300000000000001</v>
      </c>
      <c r="AY533" s="3">
        <v>-2.4E-2</v>
      </c>
      <c r="AZ533" s="3">
        <v>0.13500000000000001</v>
      </c>
      <c r="BA533" s="3">
        <f t="shared" ref="BA533:BA568" si="413">AY533-AZ533</f>
        <v>-0.159</v>
      </c>
      <c r="BB533" s="3">
        <f t="shared" si="408"/>
        <v>0.17050000000000001</v>
      </c>
      <c r="BC533" s="3">
        <f t="shared" si="408"/>
        <v>0.1575</v>
      </c>
      <c r="BD533" s="3">
        <f t="shared" ref="BD533:BD568" si="414">BB533-BC533</f>
        <v>1.3000000000000012E-2</v>
      </c>
      <c r="BE533" s="3">
        <f t="shared" si="409"/>
        <v>0.29299999999999998</v>
      </c>
      <c r="BF533" s="3">
        <f t="shared" si="409"/>
        <v>0.58499999999999996</v>
      </c>
      <c r="BG533" s="3">
        <f t="shared" ref="BG533:BG568" si="415">BE533-BF533</f>
        <v>-0.29199999999999998</v>
      </c>
      <c r="BH533" s="3">
        <f t="shared" si="410"/>
        <v>-0.17050000000000001</v>
      </c>
      <c r="BI533" s="3">
        <f t="shared" si="410"/>
        <v>-0.1575</v>
      </c>
      <c r="BJ533" s="3">
        <f t="shared" si="406"/>
        <v>-1.3000000000000012E-2</v>
      </c>
      <c r="BK533" s="3">
        <f t="shared" si="400"/>
        <v>4.9607935153583631E-2</v>
      </c>
      <c r="BL533" s="3">
        <f t="shared" si="401"/>
        <v>2.120192307692308E-2</v>
      </c>
      <c r="BM533" s="3">
        <f t="shared" ref="BM533:BM568" si="416">BK533-BL533</f>
        <v>2.8406012076660551E-2</v>
      </c>
      <c r="BN533" s="3">
        <v>2.2370000000000001</v>
      </c>
      <c r="BO533" s="3">
        <v>2.431</v>
      </c>
      <c r="BP533" s="3">
        <f t="shared" ref="BP533:BP568" si="417">BN533-BO533</f>
        <v>-0.19399999999999995</v>
      </c>
      <c r="BQ533" s="3">
        <v>-602243.07700000005</v>
      </c>
      <c r="BR533" s="3">
        <v>-601163.24300000002</v>
      </c>
      <c r="BS533" s="3">
        <f t="shared" ref="BS533:BS568" si="418">BQ533-BR533</f>
        <v>-1079.8340000000317</v>
      </c>
      <c r="BT533" s="3">
        <v>-602262.36399999994</v>
      </c>
      <c r="BU533" s="3">
        <v>-601182.38500000001</v>
      </c>
      <c r="BV533" s="3">
        <f t="shared" ref="BV533:BV568" si="419">BT533-BU533</f>
        <v>-1079.9789999999339</v>
      </c>
    </row>
    <row r="534" spans="1:74" x14ac:dyDescent="0.25">
      <c r="A534" t="s">
        <v>605</v>
      </c>
      <c r="B534" s="1" t="s">
        <v>646</v>
      </c>
      <c r="C534" s="1" t="s">
        <v>99</v>
      </c>
      <c r="D534" s="3">
        <v>8.23</v>
      </c>
      <c r="E534" s="3">
        <v>0.81</v>
      </c>
      <c r="F534" s="3">
        <v>-864.72699999999998</v>
      </c>
      <c r="G534" s="3">
        <v>-868.98500000000001</v>
      </c>
      <c r="H534" s="3">
        <f t="shared" si="381"/>
        <v>-4.2580000000000382</v>
      </c>
      <c r="I534" s="3">
        <v>-0.32800000000000001</v>
      </c>
      <c r="J534" s="6">
        <v>-0.23200000000000001</v>
      </c>
      <c r="K534" s="3">
        <f t="shared" si="365"/>
        <v>9.6000000000000002E-2</v>
      </c>
      <c r="L534" s="3">
        <v>0.125</v>
      </c>
      <c r="M534" s="6">
        <v>-1.7000000000000001E-2</v>
      </c>
      <c r="N534" s="3">
        <f t="shared" si="366"/>
        <v>-0.14200000000000002</v>
      </c>
      <c r="O534" s="3">
        <f t="shared" si="407"/>
        <v>0.10150000000000001</v>
      </c>
      <c r="P534" s="3">
        <f t="shared" si="407"/>
        <v>0.1245</v>
      </c>
      <c r="Q534" s="3">
        <f t="shared" si="367"/>
        <v>2.2999999999999993E-2</v>
      </c>
      <c r="R534" s="3">
        <f t="shared" si="368"/>
        <v>0.45300000000000001</v>
      </c>
      <c r="S534" s="3">
        <f t="shared" si="369"/>
        <v>0.21500000000000002</v>
      </c>
      <c r="T534" s="3">
        <f t="shared" si="370"/>
        <v>-0.23799999999999999</v>
      </c>
      <c r="U534" s="3">
        <f t="shared" si="371"/>
        <v>-0.10150000000000001</v>
      </c>
      <c r="V534" s="3">
        <f t="shared" si="372"/>
        <v>-0.1245</v>
      </c>
      <c r="W534" s="3">
        <f t="shared" si="402"/>
        <v>-2.2999999999999993E-2</v>
      </c>
      <c r="X534" s="3">
        <f t="shared" si="398"/>
        <v>1.1371136865342163E-2</v>
      </c>
      <c r="Y534" s="3">
        <f t="shared" si="399"/>
        <v>3.6047093023255809E-2</v>
      </c>
      <c r="Z534" s="3">
        <f t="shared" si="373"/>
        <v>2.4675956157913646E-2</v>
      </c>
      <c r="AA534" s="3">
        <v>2.9550000000000001</v>
      </c>
      <c r="AB534" s="3">
        <v>3.06</v>
      </c>
      <c r="AC534" s="3">
        <f t="shared" si="374"/>
        <v>0.10499999999999998</v>
      </c>
      <c r="AD534" s="3">
        <f>-864.452769*627.50956</f>
        <v>-542452.37671597162</v>
      </c>
      <c r="AE534" s="3">
        <f>-868.726*627.50956</f>
        <v>-545133.87002055999</v>
      </c>
      <c r="AF534" s="3">
        <f t="shared" si="375"/>
        <v>-2681.4933045883663</v>
      </c>
      <c r="AG534" s="3">
        <f>-864.514813*627.50956</f>
        <v>-542491.30991911225</v>
      </c>
      <c r="AH534" s="3">
        <f>-868.788765*627.50956</f>
        <v>-545173.25565809337</v>
      </c>
      <c r="AI534" s="3">
        <f t="shared" si="376"/>
        <v>-2681.9457389811287</v>
      </c>
      <c r="AJ534" s="3">
        <v>-0.57299999999999995</v>
      </c>
      <c r="AK534" s="3">
        <v>-0.56000000000000005</v>
      </c>
      <c r="AL534" s="3">
        <f t="shared" si="377"/>
        <v>1.2999999999999901E-2</v>
      </c>
      <c r="AM534" s="3">
        <v>208.32903999999999</v>
      </c>
      <c r="AN534" s="3">
        <v>293.99040000000002</v>
      </c>
      <c r="AO534" s="3">
        <v>337.09766000000002</v>
      </c>
      <c r="AP534" s="3">
        <f t="shared" si="397"/>
        <v>1.2553127530840931</v>
      </c>
      <c r="AQ534" s="3">
        <v>12.122</v>
      </c>
      <c r="AR534" s="3">
        <v>2.9293281599999998</v>
      </c>
      <c r="AS534" s="3">
        <v>-132.80099999999999</v>
      </c>
      <c r="AT534" s="3">
        <v>-131.97</v>
      </c>
      <c r="AU534" s="3">
        <f t="shared" si="411"/>
        <v>-0.83099999999998886</v>
      </c>
      <c r="AV534" s="3">
        <v>-0.34100000000000003</v>
      </c>
      <c r="AW534" s="3">
        <v>-0.47499999999999998</v>
      </c>
      <c r="AX534" s="3">
        <f t="shared" si="412"/>
        <v>0.13399999999999995</v>
      </c>
      <c r="AY534" s="3">
        <v>2.9000000000000001E-2</v>
      </c>
      <c r="AZ534" s="3">
        <v>0.156</v>
      </c>
      <c r="BA534" s="3">
        <f t="shared" si="413"/>
        <v>-0.127</v>
      </c>
      <c r="BB534" s="3">
        <f t="shared" si="408"/>
        <v>0.156</v>
      </c>
      <c r="BC534" s="3">
        <f t="shared" si="408"/>
        <v>0.15949999999999998</v>
      </c>
      <c r="BD534" s="3">
        <f t="shared" si="414"/>
        <v>-3.4999999999999754E-3</v>
      </c>
      <c r="BE534" s="3">
        <f t="shared" si="409"/>
        <v>0.37000000000000005</v>
      </c>
      <c r="BF534" s="3">
        <f t="shared" si="409"/>
        <v>0.63100000000000001</v>
      </c>
      <c r="BG534" s="3">
        <f t="shared" si="415"/>
        <v>-0.26099999999999995</v>
      </c>
      <c r="BH534" s="3">
        <f t="shared" si="410"/>
        <v>-0.156</v>
      </c>
      <c r="BI534" s="3">
        <f t="shared" si="410"/>
        <v>-0.15949999999999998</v>
      </c>
      <c r="BJ534" s="3">
        <f t="shared" si="406"/>
        <v>3.4999999999999754E-3</v>
      </c>
      <c r="BK534" s="3">
        <f t="shared" si="400"/>
        <v>3.2886486486486483E-2</v>
      </c>
      <c r="BL534" s="3">
        <f t="shared" si="401"/>
        <v>2.0158676703645E-2</v>
      </c>
      <c r="BM534" s="3">
        <f t="shared" si="416"/>
        <v>1.2727809782841482E-2</v>
      </c>
      <c r="BN534" s="3">
        <v>4.7279999999999998</v>
      </c>
      <c r="BO534" s="3">
        <v>4.9340000000000002</v>
      </c>
      <c r="BP534" s="3">
        <f t="shared" si="417"/>
        <v>-0.20600000000000041</v>
      </c>
      <c r="BQ534" s="3">
        <v>-83302.89</v>
      </c>
      <c r="BR534" s="3">
        <v>-82779.224000000002</v>
      </c>
      <c r="BS534" s="3">
        <f t="shared" si="418"/>
        <v>-523.66599999999744</v>
      </c>
      <c r="BT534" s="3">
        <v>-83320.774999999994</v>
      </c>
      <c r="BU534" s="3">
        <v>-82796.997000000003</v>
      </c>
      <c r="BV534" s="3">
        <f t="shared" si="419"/>
        <v>-523.77799999999115</v>
      </c>
    </row>
    <row r="535" spans="1:74" x14ac:dyDescent="0.25">
      <c r="A535" t="s">
        <v>606</v>
      </c>
      <c r="B535" s="1" t="s">
        <v>646</v>
      </c>
      <c r="C535" s="1" t="s">
        <v>99</v>
      </c>
      <c r="D535" s="3">
        <v>8.52</v>
      </c>
      <c r="E535" s="3">
        <v>0.8</v>
      </c>
      <c r="F535" s="3">
        <v>-628.73800000000006</v>
      </c>
      <c r="G535" s="3">
        <v>-632.58100000000002</v>
      </c>
      <c r="H535" s="3">
        <f t="shared" si="381"/>
        <v>-3.8429999999999609</v>
      </c>
      <c r="I535" s="3">
        <v>-0.31900000000000001</v>
      </c>
      <c r="J535" s="6">
        <v>-0.216</v>
      </c>
      <c r="K535" s="3">
        <f t="shared" si="365"/>
        <v>0.10300000000000001</v>
      </c>
      <c r="L535" s="3">
        <v>0.127</v>
      </c>
      <c r="M535" s="6">
        <v>-2.5999999999999999E-2</v>
      </c>
      <c r="N535" s="3">
        <f t="shared" si="366"/>
        <v>-0.153</v>
      </c>
      <c r="O535" s="3">
        <f t="shared" si="407"/>
        <v>9.6000000000000002E-2</v>
      </c>
      <c r="P535" s="3">
        <f t="shared" si="407"/>
        <v>0.121</v>
      </c>
      <c r="Q535" s="3">
        <f t="shared" si="367"/>
        <v>2.4999999999999994E-2</v>
      </c>
      <c r="R535" s="3">
        <f t="shared" si="368"/>
        <v>0.44600000000000001</v>
      </c>
      <c r="S535" s="3">
        <f t="shared" si="369"/>
        <v>0.19</v>
      </c>
      <c r="T535" s="3">
        <f t="shared" si="370"/>
        <v>-0.25600000000000001</v>
      </c>
      <c r="U535" s="3">
        <f t="shared" si="371"/>
        <v>-9.6000000000000002E-2</v>
      </c>
      <c r="V535" s="3">
        <f t="shared" si="372"/>
        <v>-0.121</v>
      </c>
      <c r="W535" s="3">
        <f t="shared" si="402"/>
        <v>-2.4999999999999994E-2</v>
      </c>
      <c r="X535" s="3">
        <f t="shared" si="398"/>
        <v>1.0331838565022422E-2</v>
      </c>
      <c r="Y535" s="3">
        <f t="shared" si="399"/>
        <v>3.8528947368421052E-2</v>
      </c>
      <c r="Z535" s="3">
        <f t="shared" si="373"/>
        <v>2.8197108803398631E-2</v>
      </c>
      <c r="AA535" s="3">
        <v>4.7910000000000004</v>
      </c>
      <c r="AB535" s="3">
        <v>5.1020000000000003</v>
      </c>
      <c r="AC535" s="3">
        <f t="shared" si="374"/>
        <v>0.31099999999999994</v>
      </c>
      <c r="AD535" s="3">
        <f>-628.468472*627.50956</f>
        <v>-394369.97433859232</v>
      </c>
      <c r="AE535" s="3">
        <f>-632.327596*627.50956</f>
        <v>-396791.61154181772</v>
      </c>
      <c r="AF535" s="3">
        <f t="shared" si="375"/>
        <v>-2421.6372032254003</v>
      </c>
      <c r="AG535" s="3">
        <f>-628.522269*627.50956</f>
        <v>-394403.73247039167</v>
      </c>
      <c r="AH535" s="3">
        <f>-632.382704*627.50956</f>
        <v>-396826.19233865023</v>
      </c>
      <c r="AI535" s="3">
        <f t="shared" si="376"/>
        <v>-2422.4598682585638</v>
      </c>
      <c r="AJ535" s="3">
        <v>-0.51300000000000001</v>
      </c>
      <c r="AK535" s="3">
        <v>-0.46</v>
      </c>
      <c r="AL535" s="3">
        <f t="shared" si="377"/>
        <v>5.2999999999999992E-2</v>
      </c>
      <c r="AM535" s="3">
        <v>185.22030000000001</v>
      </c>
      <c r="AN535" s="3">
        <v>259.81040000000002</v>
      </c>
      <c r="AO535" s="3">
        <v>285.68957</v>
      </c>
      <c r="AP535" s="3">
        <f t="shared" si="397"/>
        <v>1.238747787112261</v>
      </c>
      <c r="AQ535" s="3">
        <v>12.826000000000001</v>
      </c>
      <c r="AR535" s="3">
        <v>3.22593</v>
      </c>
      <c r="AS535" s="3">
        <v>-132.80099999999999</v>
      </c>
      <c r="AT535" s="3">
        <v>-131.97</v>
      </c>
      <c r="AU535" s="3">
        <f t="shared" si="411"/>
        <v>-0.83099999999998886</v>
      </c>
      <c r="AV535" s="3">
        <v>-0.34100000000000003</v>
      </c>
      <c r="AW535" s="3">
        <v>-0.47499999999999998</v>
      </c>
      <c r="AX535" s="3">
        <f t="shared" si="412"/>
        <v>0.13399999999999995</v>
      </c>
      <c r="AY535" s="3">
        <v>2.9000000000000001E-2</v>
      </c>
      <c r="AZ535" s="3">
        <v>0.156</v>
      </c>
      <c r="BA535" s="3">
        <f t="shared" si="413"/>
        <v>-0.127</v>
      </c>
      <c r="BB535" s="3">
        <f t="shared" si="408"/>
        <v>0.156</v>
      </c>
      <c r="BC535" s="3">
        <f t="shared" si="408"/>
        <v>0.15949999999999998</v>
      </c>
      <c r="BD535" s="3">
        <f t="shared" si="414"/>
        <v>-3.4999999999999754E-3</v>
      </c>
      <c r="BE535" s="3">
        <f t="shared" si="409"/>
        <v>0.37000000000000005</v>
      </c>
      <c r="BF535" s="3">
        <f t="shared" si="409"/>
        <v>0.63100000000000001</v>
      </c>
      <c r="BG535" s="3">
        <f t="shared" si="415"/>
        <v>-0.26099999999999995</v>
      </c>
      <c r="BH535" s="3">
        <f t="shared" si="410"/>
        <v>-0.156</v>
      </c>
      <c r="BI535" s="3">
        <f t="shared" si="410"/>
        <v>-0.15949999999999998</v>
      </c>
      <c r="BJ535" s="3">
        <f t="shared" si="406"/>
        <v>3.4999999999999754E-3</v>
      </c>
      <c r="BK535" s="3">
        <f t="shared" si="400"/>
        <v>3.2886486486486483E-2</v>
      </c>
      <c r="BL535" s="3">
        <f t="shared" si="401"/>
        <v>2.0158676703645E-2</v>
      </c>
      <c r="BM535" s="3">
        <f t="shared" si="416"/>
        <v>1.2727809782841482E-2</v>
      </c>
      <c r="BN535" s="3">
        <v>4.7279999999999998</v>
      </c>
      <c r="BO535" s="3">
        <v>4.9340000000000002</v>
      </c>
      <c r="BP535" s="3">
        <f t="shared" si="417"/>
        <v>-0.20600000000000041</v>
      </c>
      <c r="BQ535" s="3">
        <v>-83302.89</v>
      </c>
      <c r="BR535" s="3">
        <v>-82779.224000000002</v>
      </c>
      <c r="BS535" s="3">
        <f t="shared" si="418"/>
        <v>-523.66599999999744</v>
      </c>
      <c r="BT535" s="3">
        <v>-83320.774999999994</v>
      </c>
      <c r="BU535" s="3">
        <v>-82796.997000000003</v>
      </c>
      <c r="BV535" s="3">
        <f t="shared" si="419"/>
        <v>-523.77799999999115</v>
      </c>
    </row>
    <row r="536" spans="1:74" x14ac:dyDescent="0.25">
      <c r="A536" t="s">
        <v>607</v>
      </c>
      <c r="B536" s="1" t="s">
        <v>646</v>
      </c>
      <c r="C536" s="1" t="s">
        <v>99</v>
      </c>
      <c r="D536" s="3">
        <v>8.69</v>
      </c>
      <c r="E536" s="3">
        <v>1.07</v>
      </c>
      <c r="F536" s="3">
        <v>-325.99900000000002</v>
      </c>
      <c r="G536" s="3">
        <v>-328.20699999999999</v>
      </c>
      <c r="H536" s="3">
        <f t="shared" si="381"/>
        <v>-2.20799999999997</v>
      </c>
      <c r="I536" s="3">
        <v>-0.28299999999999997</v>
      </c>
      <c r="J536" s="6">
        <v>-0.19900000000000001</v>
      </c>
      <c r="K536" s="3">
        <f t="shared" si="365"/>
        <v>8.3999999999999964E-2</v>
      </c>
      <c r="L536" s="3">
        <v>0.153</v>
      </c>
      <c r="M536" s="6">
        <v>3.4000000000000002E-2</v>
      </c>
      <c r="N536" s="3">
        <f t="shared" si="366"/>
        <v>-0.11899999999999999</v>
      </c>
      <c r="O536" s="3">
        <f t="shared" si="407"/>
        <v>6.4999999999999988E-2</v>
      </c>
      <c r="P536" s="3">
        <f t="shared" si="407"/>
        <v>8.2500000000000004E-2</v>
      </c>
      <c r="Q536" s="3">
        <f t="shared" si="367"/>
        <v>1.7500000000000016E-2</v>
      </c>
      <c r="R536" s="3">
        <f t="shared" si="368"/>
        <v>0.43599999999999994</v>
      </c>
      <c r="S536" s="3">
        <f t="shared" si="369"/>
        <v>0.23300000000000001</v>
      </c>
      <c r="T536" s="3">
        <f t="shared" si="370"/>
        <v>-0.20299999999999993</v>
      </c>
      <c r="U536" s="3">
        <f t="shared" si="371"/>
        <v>-6.4999999999999988E-2</v>
      </c>
      <c r="V536" s="3">
        <f t="shared" si="372"/>
        <v>-8.2500000000000004E-2</v>
      </c>
      <c r="W536" s="3">
        <f t="shared" si="402"/>
        <v>-1.7500000000000016E-2</v>
      </c>
      <c r="X536" s="3">
        <f t="shared" si="398"/>
        <v>4.8451834862385315E-3</v>
      </c>
      <c r="Y536" s="3">
        <f t="shared" si="399"/>
        <v>1.4605686695278971E-2</v>
      </c>
      <c r="Z536" s="3">
        <f t="shared" si="373"/>
        <v>9.7605032090404397E-3</v>
      </c>
      <c r="AA536" s="3">
        <v>3.0859999999999999</v>
      </c>
      <c r="AB536" s="3">
        <v>3.0379999999999998</v>
      </c>
      <c r="AC536" s="3">
        <f t="shared" si="374"/>
        <v>-4.8000000000000043E-2</v>
      </c>
      <c r="AD536" s="3">
        <f>-325.813482*627.50956</f>
        <v>-204451.07473188793</v>
      </c>
      <c r="AE536" s="3">
        <f>-328.032096*627.50956</f>
        <v>-205843.27622683777</v>
      </c>
      <c r="AF536" s="3">
        <f t="shared" si="375"/>
        <v>-1392.2014949498407</v>
      </c>
      <c r="AG536" s="3">
        <f>-325.855589*627.50956</f>
        <v>-204477.49727693084</v>
      </c>
      <c r="AH536" s="3">
        <f>-328.074977*627.50956</f>
        <v>-205870.18446428012</v>
      </c>
      <c r="AI536" s="3">
        <f t="shared" si="376"/>
        <v>-1392.6871873492782</v>
      </c>
      <c r="AJ536" s="3">
        <v>-0.316</v>
      </c>
      <c r="AK536" s="3">
        <v>-0.313</v>
      </c>
      <c r="AL536" s="3">
        <f t="shared" si="377"/>
        <v>3.0000000000000027E-3</v>
      </c>
      <c r="AM536" s="3">
        <v>109.16889999999999</v>
      </c>
      <c r="AN536" s="3">
        <v>185.89400000000001</v>
      </c>
      <c r="AO536" s="3">
        <v>198.26660000000001</v>
      </c>
      <c r="AP536" s="3">
        <f t="shared" si="397"/>
        <v>1.130719677658433</v>
      </c>
      <c r="AQ536" s="3">
        <v>8.8810000000000002</v>
      </c>
      <c r="AR536" s="3">
        <v>1.9244000000000001</v>
      </c>
      <c r="AS536" s="3">
        <v>-132.80099999999999</v>
      </c>
      <c r="AT536" s="3">
        <v>-131.97</v>
      </c>
      <c r="AU536" s="3">
        <f t="shared" si="411"/>
        <v>-0.83099999999998886</v>
      </c>
      <c r="AV536" s="3">
        <v>-0.34100000000000003</v>
      </c>
      <c r="AW536" s="3">
        <v>-0.47499999999999998</v>
      </c>
      <c r="AX536" s="3">
        <f t="shared" si="412"/>
        <v>0.13399999999999995</v>
      </c>
      <c r="AY536" s="3">
        <v>2.9000000000000001E-2</v>
      </c>
      <c r="AZ536" s="3">
        <v>0.156</v>
      </c>
      <c r="BA536" s="3">
        <f t="shared" si="413"/>
        <v>-0.127</v>
      </c>
      <c r="BB536" s="3">
        <f t="shared" ref="BB536:BC548" si="420">-(AV536+AY536)/2</f>
        <v>0.156</v>
      </c>
      <c r="BC536" s="3">
        <f t="shared" si="420"/>
        <v>0.15949999999999998</v>
      </c>
      <c r="BD536" s="3">
        <f t="shared" si="414"/>
        <v>-3.4999999999999754E-3</v>
      </c>
      <c r="BE536" s="3">
        <f t="shared" ref="BE536:BF548" si="421">AY536-AV536</f>
        <v>0.37000000000000005</v>
      </c>
      <c r="BF536" s="3">
        <f t="shared" si="421"/>
        <v>0.63100000000000001</v>
      </c>
      <c r="BG536" s="3">
        <f t="shared" si="415"/>
        <v>-0.26099999999999995</v>
      </c>
      <c r="BH536" s="3">
        <f t="shared" ref="BH536:BI548" si="422">(AV536+AY536)/2</f>
        <v>-0.156</v>
      </c>
      <c r="BI536" s="3">
        <f t="shared" si="422"/>
        <v>-0.15949999999999998</v>
      </c>
      <c r="BJ536" s="3">
        <f t="shared" si="406"/>
        <v>3.4999999999999754E-3</v>
      </c>
      <c r="BK536" s="3">
        <f t="shared" si="400"/>
        <v>3.2886486486486483E-2</v>
      </c>
      <c r="BL536" s="3">
        <f t="shared" si="401"/>
        <v>2.0158676703645E-2</v>
      </c>
      <c r="BM536" s="3">
        <f t="shared" si="416"/>
        <v>1.2727809782841482E-2</v>
      </c>
      <c r="BN536" s="3">
        <v>4.7279999999999998</v>
      </c>
      <c r="BO536" s="3">
        <v>4.9340000000000002</v>
      </c>
      <c r="BP536" s="3">
        <f t="shared" si="417"/>
        <v>-0.20600000000000041</v>
      </c>
      <c r="BQ536" s="3">
        <v>-83302.89</v>
      </c>
      <c r="BR536" s="3">
        <v>-82779.224000000002</v>
      </c>
      <c r="BS536" s="3">
        <f t="shared" si="418"/>
        <v>-523.66599999999744</v>
      </c>
      <c r="BT536" s="3">
        <v>-83320.774999999994</v>
      </c>
      <c r="BU536" s="3">
        <v>-82796.997000000003</v>
      </c>
      <c r="BV536" s="3">
        <f t="shared" si="419"/>
        <v>-523.77799999999115</v>
      </c>
    </row>
    <row r="537" spans="1:74" x14ac:dyDescent="0.25">
      <c r="A537" t="s">
        <v>608</v>
      </c>
      <c r="B537" s="1" t="s">
        <v>646</v>
      </c>
      <c r="C537" s="1" t="s">
        <v>99</v>
      </c>
      <c r="D537" s="3">
        <v>8.7100000000000009</v>
      </c>
      <c r="E537" s="3">
        <v>0.8</v>
      </c>
      <c r="F537" s="3">
        <v>-1434.4570000000001</v>
      </c>
      <c r="G537" s="3">
        <v>-1442.3209999999999</v>
      </c>
      <c r="H537" s="3">
        <f t="shared" si="381"/>
        <v>-7.8639999999998054</v>
      </c>
      <c r="I537" s="3">
        <v>-0.32100000000000001</v>
      </c>
      <c r="J537" s="6">
        <v>-0.21</v>
      </c>
      <c r="K537" s="3">
        <f t="shared" si="365"/>
        <v>0.11100000000000002</v>
      </c>
      <c r="L537" s="3">
        <v>4.2000000000000003E-2</v>
      </c>
      <c r="M537" s="6">
        <v>-0.04</v>
      </c>
      <c r="N537" s="3">
        <f t="shared" si="366"/>
        <v>-8.2000000000000003E-2</v>
      </c>
      <c r="O537" s="3">
        <f t="shared" si="407"/>
        <v>0.13950000000000001</v>
      </c>
      <c r="P537" s="3">
        <f t="shared" si="407"/>
        <v>0.125</v>
      </c>
      <c r="Q537" s="3">
        <f t="shared" si="367"/>
        <v>-1.4500000000000013E-2</v>
      </c>
      <c r="R537" s="3">
        <f t="shared" si="368"/>
        <v>0.36299999999999999</v>
      </c>
      <c r="S537" s="3">
        <f t="shared" si="369"/>
        <v>0.16999999999999998</v>
      </c>
      <c r="T537" s="3">
        <f t="shared" si="370"/>
        <v>-0.193</v>
      </c>
      <c r="U537" s="3">
        <f t="shared" si="371"/>
        <v>-0.13950000000000001</v>
      </c>
      <c r="V537" s="3">
        <f t="shared" si="372"/>
        <v>-0.125</v>
      </c>
      <c r="W537" s="3">
        <f t="shared" si="402"/>
        <v>1.4500000000000013E-2</v>
      </c>
      <c r="X537" s="3">
        <f t="shared" si="398"/>
        <v>2.6804752066115711E-2</v>
      </c>
      <c r="Y537" s="3">
        <f t="shared" si="399"/>
        <v>4.595588235294118E-2</v>
      </c>
      <c r="Z537" s="3">
        <f t="shared" si="373"/>
        <v>1.9151130286825468E-2</v>
      </c>
      <c r="AA537" s="3">
        <v>15.598000000000001</v>
      </c>
      <c r="AB537" s="3">
        <v>15.602</v>
      </c>
      <c r="AC537" s="3">
        <f t="shared" si="374"/>
        <v>3.9999999999995595E-3</v>
      </c>
      <c r="AD537" s="3">
        <f>-1434.055034*627.50956</f>
        <v>-899883.24340112496</v>
      </c>
      <c r="AE537" s="3">
        <f>-1441.942226*627.50956</f>
        <v>-904832.53178268042</v>
      </c>
      <c r="AF537" s="3">
        <f t="shared" si="375"/>
        <v>-4949.2883815554669</v>
      </c>
      <c r="AG537" s="3">
        <f>-1434.139006*627.50956</f>
        <v>-899935.93663389736</v>
      </c>
      <c r="AH537" s="3">
        <f>-1442.028141*627.50956</f>
        <v>-904886.44426652789</v>
      </c>
      <c r="AI537" s="3">
        <f t="shared" si="376"/>
        <v>-4950.507632630528</v>
      </c>
      <c r="AJ537" s="3">
        <v>-0.69499999999999995</v>
      </c>
      <c r="AK537" s="3">
        <v>-0.72499999999999998</v>
      </c>
      <c r="AL537" s="3">
        <f t="shared" si="377"/>
        <v>-3.0000000000000027E-2</v>
      </c>
      <c r="AM537" s="3">
        <v>388.08190000000002</v>
      </c>
      <c r="AN537" s="3">
        <v>394.63099999999997</v>
      </c>
      <c r="AO537" s="3">
        <v>506.49709999999999</v>
      </c>
      <c r="AP537" s="3">
        <f t="shared" si="397"/>
        <v>1.2844854021353267</v>
      </c>
      <c r="AQ537" s="3">
        <v>12.737</v>
      </c>
      <c r="AR537" s="3">
        <v>3.6844570000000001</v>
      </c>
      <c r="AS537" s="3">
        <v>-132.80099999999999</v>
      </c>
      <c r="AT537" s="3">
        <v>-131.97</v>
      </c>
      <c r="AU537" s="3">
        <f t="shared" si="411"/>
        <v>-0.83099999999998886</v>
      </c>
      <c r="AV537" s="3">
        <v>-0.34100000000000003</v>
      </c>
      <c r="AW537" s="3">
        <v>-0.47499999999999998</v>
      </c>
      <c r="AX537" s="3">
        <f t="shared" si="412"/>
        <v>0.13399999999999995</v>
      </c>
      <c r="AY537" s="3">
        <v>2.9000000000000001E-2</v>
      </c>
      <c r="AZ537" s="3">
        <v>0.156</v>
      </c>
      <c r="BA537" s="3">
        <f t="shared" si="413"/>
        <v>-0.127</v>
      </c>
      <c r="BB537" s="3">
        <f t="shared" si="420"/>
        <v>0.156</v>
      </c>
      <c r="BC537" s="3">
        <f t="shared" si="420"/>
        <v>0.15949999999999998</v>
      </c>
      <c r="BD537" s="3">
        <f t="shared" si="414"/>
        <v>-3.4999999999999754E-3</v>
      </c>
      <c r="BE537" s="3">
        <f t="shared" si="421"/>
        <v>0.37000000000000005</v>
      </c>
      <c r="BF537" s="3">
        <f t="shared" si="421"/>
        <v>0.63100000000000001</v>
      </c>
      <c r="BG537" s="3">
        <f t="shared" si="415"/>
        <v>-0.26099999999999995</v>
      </c>
      <c r="BH537" s="3">
        <f t="shared" si="422"/>
        <v>-0.156</v>
      </c>
      <c r="BI537" s="3">
        <f t="shared" si="422"/>
        <v>-0.15949999999999998</v>
      </c>
      <c r="BJ537" s="3">
        <f t="shared" si="406"/>
        <v>3.4999999999999754E-3</v>
      </c>
      <c r="BK537" s="3">
        <f t="shared" si="400"/>
        <v>3.2886486486486483E-2</v>
      </c>
      <c r="BL537" s="3">
        <f t="shared" si="401"/>
        <v>2.0158676703645E-2</v>
      </c>
      <c r="BM537" s="3">
        <f t="shared" si="416"/>
        <v>1.2727809782841482E-2</v>
      </c>
      <c r="BN537" s="3">
        <v>4.7279999999999998</v>
      </c>
      <c r="BO537" s="3">
        <v>4.9340000000000002</v>
      </c>
      <c r="BP537" s="3">
        <f t="shared" si="417"/>
        <v>-0.20600000000000041</v>
      </c>
      <c r="BQ537" s="3">
        <v>-83302.89</v>
      </c>
      <c r="BR537" s="3">
        <v>-82779.224000000002</v>
      </c>
      <c r="BS537" s="3">
        <f t="shared" si="418"/>
        <v>-523.66599999999744</v>
      </c>
      <c r="BT537" s="3">
        <v>-83320.774999999994</v>
      </c>
      <c r="BU537" s="3">
        <v>-82796.997000000003</v>
      </c>
      <c r="BV537" s="3">
        <f t="shared" si="419"/>
        <v>-523.77799999999115</v>
      </c>
    </row>
    <row r="538" spans="1:74" x14ac:dyDescent="0.25">
      <c r="A538" t="s">
        <v>609</v>
      </c>
      <c r="B538" s="1" t="s">
        <v>646</v>
      </c>
      <c r="C538" s="1" t="s">
        <v>99</v>
      </c>
      <c r="D538" s="3">
        <v>8.7799999999999994</v>
      </c>
      <c r="E538" s="3">
        <v>0.83</v>
      </c>
      <c r="F538" s="3">
        <v>-822.16300000000001</v>
      </c>
      <c r="G538" s="3">
        <v>-827.51400000000001</v>
      </c>
      <c r="H538" s="3">
        <f t="shared" si="381"/>
        <v>-5.3509999999999991</v>
      </c>
      <c r="I538" s="3">
        <v>-0.28899999999999998</v>
      </c>
      <c r="J538" s="6">
        <v>-0.19800000000000001</v>
      </c>
      <c r="K538" s="3">
        <f t="shared" si="365"/>
        <v>9.099999999999997E-2</v>
      </c>
      <c r="L538" s="3">
        <v>0.1</v>
      </c>
      <c r="M538" s="6">
        <v>-4.2999999999999997E-2</v>
      </c>
      <c r="N538" s="3">
        <f t="shared" si="366"/>
        <v>-0.14300000000000002</v>
      </c>
      <c r="O538" s="3">
        <f t="shared" si="407"/>
        <v>9.4499999999999987E-2</v>
      </c>
      <c r="P538" s="3">
        <f t="shared" si="407"/>
        <v>0.1205</v>
      </c>
      <c r="Q538" s="3">
        <f t="shared" si="367"/>
        <v>2.6000000000000009E-2</v>
      </c>
      <c r="R538" s="3">
        <f t="shared" si="368"/>
        <v>0.38900000000000001</v>
      </c>
      <c r="S538" s="3">
        <f t="shared" si="369"/>
        <v>0.15500000000000003</v>
      </c>
      <c r="T538" s="3">
        <f t="shared" si="370"/>
        <v>-0.23399999999999999</v>
      </c>
      <c r="U538" s="3">
        <f t="shared" si="371"/>
        <v>-9.4499999999999987E-2</v>
      </c>
      <c r="V538" s="3">
        <f t="shared" si="372"/>
        <v>-0.1205</v>
      </c>
      <c r="W538" s="3">
        <f t="shared" si="402"/>
        <v>-2.6000000000000009E-2</v>
      </c>
      <c r="X538" s="3">
        <f t="shared" si="398"/>
        <v>1.1478470437017991E-2</v>
      </c>
      <c r="Y538" s="3">
        <f t="shared" si="399"/>
        <v>4.6839516129032248E-2</v>
      </c>
      <c r="Z538" s="3">
        <f t="shared" si="373"/>
        <v>3.5361045692014259E-2</v>
      </c>
      <c r="AA538" s="3">
        <v>1.0880000000000001</v>
      </c>
      <c r="AB538" s="3">
        <v>1.4890000000000001</v>
      </c>
      <c r="AC538" s="3">
        <f t="shared" si="374"/>
        <v>0.40100000000000002</v>
      </c>
      <c r="AD538" s="3">
        <f>-821.794529*627.50956</f>
        <v>-515683.9233031972</v>
      </c>
      <c r="AE538" s="3">
        <f>-827.168039*627.50956</f>
        <v>-519055.85219895281</v>
      </c>
      <c r="AF538" s="3">
        <f t="shared" si="375"/>
        <v>-3371.9288957556128</v>
      </c>
      <c r="AG538" s="3">
        <f>-821.856027*627.50956</f>
        <v>-515722.51388611813</v>
      </c>
      <c r="AH538" s="3">
        <f>-827.231269*627.50956</f>
        <v>-519095.5296284316</v>
      </c>
      <c r="AI538" s="3">
        <f t="shared" si="376"/>
        <v>-3373.015742313466</v>
      </c>
      <c r="AJ538" s="3">
        <v>-0.28299999999999997</v>
      </c>
      <c r="AK538" s="3">
        <v>-0.29499999999999998</v>
      </c>
      <c r="AL538" s="3">
        <f t="shared" si="377"/>
        <v>-1.2000000000000011E-2</v>
      </c>
      <c r="AM538" s="3">
        <v>265.34949999999998</v>
      </c>
      <c r="AN538" s="3">
        <v>339.95600000000002</v>
      </c>
      <c r="AO538" s="3">
        <v>409.43979999999999</v>
      </c>
      <c r="AP538" s="3">
        <f t="shared" si="397"/>
        <v>1.2751226397869195</v>
      </c>
      <c r="AQ538" s="3">
        <v>13.324999999999999</v>
      </c>
      <c r="AR538" s="3">
        <v>3.3991180000000001</v>
      </c>
      <c r="AS538" s="3">
        <v>-132.80099999999999</v>
      </c>
      <c r="AT538" s="3">
        <v>-131.97</v>
      </c>
      <c r="AU538" s="3">
        <f t="shared" si="411"/>
        <v>-0.83099999999998886</v>
      </c>
      <c r="AV538" s="3">
        <v>-0.34100000000000003</v>
      </c>
      <c r="AW538" s="3">
        <v>-0.47499999999999998</v>
      </c>
      <c r="AX538" s="3">
        <f t="shared" si="412"/>
        <v>0.13399999999999995</v>
      </c>
      <c r="AY538" s="3">
        <v>2.9000000000000001E-2</v>
      </c>
      <c r="AZ538" s="3">
        <v>0.156</v>
      </c>
      <c r="BA538" s="3">
        <f t="shared" si="413"/>
        <v>-0.127</v>
      </c>
      <c r="BB538" s="3">
        <f t="shared" si="420"/>
        <v>0.156</v>
      </c>
      <c r="BC538" s="3">
        <f t="shared" si="420"/>
        <v>0.15949999999999998</v>
      </c>
      <c r="BD538" s="3">
        <f t="shared" si="414"/>
        <v>-3.4999999999999754E-3</v>
      </c>
      <c r="BE538" s="3">
        <f t="shared" si="421"/>
        <v>0.37000000000000005</v>
      </c>
      <c r="BF538" s="3">
        <f t="shared" si="421"/>
        <v>0.63100000000000001</v>
      </c>
      <c r="BG538" s="3">
        <f t="shared" si="415"/>
        <v>-0.26099999999999995</v>
      </c>
      <c r="BH538" s="3">
        <f t="shared" si="422"/>
        <v>-0.156</v>
      </c>
      <c r="BI538" s="3">
        <f t="shared" si="422"/>
        <v>-0.15949999999999998</v>
      </c>
      <c r="BJ538" s="3">
        <f t="shared" si="406"/>
        <v>3.4999999999999754E-3</v>
      </c>
      <c r="BK538" s="3">
        <f t="shared" si="400"/>
        <v>3.2886486486486483E-2</v>
      </c>
      <c r="BL538" s="3">
        <f t="shared" si="401"/>
        <v>2.0158676703645E-2</v>
      </c>
      <c r="BM538" s="3">
        <f t="shared" si="416"/>
        <v>1.2727809782841482E-2</v>
      </c>
      <c r="BN538" s="3">
        <v>4.7279999999999998</v>
      </c>
      <c r="BO538" s="3">
        <v>4.9340000000000002</v>
      </c>
      <c r="BP538" s="3">
        <f t="shared" si="417"/>
        <v>-0.20600000000000041</v>
      </c>
      <c r="BQ538" s="3">
        <v>-83302.89</v>
      </c>
      <c r="BR538" s="3">
        <v>-82779.224000000002</v>
      </c>
      <c r="BS538" s="3">
        <f t="shared" si="418"/>
        <v>-523.66599999999744</v>
      </c>
      <c r="BT538" s="3">
        <v>-83320.774999999994</v>
      </c>
      <c r="BU538" s="3">
        <v>-82796.997000000003</v>
      </c>
      <c r="BV538" s="3">
        <f t="shared" si="419"/>
        <v>-523.77799999999115</v>
      </c>
    </row>
    <row r="539" spans="1:74" x14ac:dyDescent="0.25">
      <c r="A539" t="s">
        <v>610</v>
      </c>
      <c r="B539" s="1" t="s">
        <v>646</v>
      </c>
      <c r="C539" s="1" t="s">
        <v>103</v>
      </c>
      <c r="D539" s="3">
        <v>8.8699999999999992</v>
      </c>
      <c r="E539" s="3">
        <v>0.82</v>
      </c>
      <c r="F539" s="3">
        <v>-2949.27</v>
      </c>
      <c r="G539" s="3">
        <v>-2953.444</v>
      </c>
      <c r="H539" s="3">
        <f t="shared" si="381"/>
        <v>-4.1739999999999782</v>
      </c>
      <c r="I539" s="3">
        <v>-0.28399999999999997</v>
      </c>
      <c r="J539" s="6">
        <v>-0.21</v>
      </c>
      <c r="K539" s="3">
        <f t="shared" si="365"/>
        <v>7.3999999999999982E-2</v>
      </c>
      <c r="L539" s="3">
        <v>9.9000000000000005E-2</v>
      </c>
      <c r="M539" s="6">
        <v>-6.4000000000000001E-2</v>
      </c>
      <c r="N539" s="3">
        <f t="shared" si="366"/>
        <v>-0.16300000000000001</v>
      </c>
      <c r="O539" s="3">
        <f t="shared" si="407"/>
        <v>9.2499999999999985E-2</v>
      </c>
      <c r="P539" s="3">
        <f t="shared" si="407"/>
        <v>0.13700000000000001</v>
      </c>
      <c r="Q539" s="3">
        <f t="shared" si="367"/>
        <v>4.4500000000000026E-2</v>
      </c>
      <c r="R539" s="3">
        <f t="shared" si="368"/>
        <v>0.38300000000000001</v>
      </c>
      <c r="S539" s="3">
        <f t="shared" si="369"/>
        <v>0.14599999999999999</v>
      </c>
      <c r="T539" s="3">
        <f t="shared" si="370"/>
        <v>-0.23700000000000002</v>
      </c>
      <c r="U539" s="3">
        <f t="shared" si="371"/>
        <v>-9.2499999999999985E-2</v>
      </c>
      <c r="V539" s="3">
        <f t="shared" si="372"/>
        <v>-0.13700000000000001</v>
      </c>
      <c r="W539" s="3">
        <f t="shared" si="402"/>
        <v>-4.4500000000000026E-2</v>
      </c>
      <c r="X539" s="3">
        <f t="shared" si="398"/>
        <v>1.1170039164490858E-2</v>
      </c>
      <c r="Y539" s="3">
        <f t="shared" si="399"/>
        <v>6.4277397260273997E-2</v>
      </c>
      <c r="Z539" s="3">
        <f t="shared" si="373"/>
        <v>5.3107358095783139E-2</v>
      </c>
      <c r="AA539" s="3">
        <v>2.8079999999999998</v>
      </c>
      <c r="AB539" s="3">
        <v>2.6459999999999999</v>
      </c>
      <c r="AC539" s="3">
        <f t="shared" si="374"/>
        <v>-0.16199999999999992</v>
      </c>
      <c r="AD539" s="3">
        <f>-2949.149983*627.50956</f>
        <v>-1850619.8082063373</v>
      </c>
      <c r="AE539" s="3">
        <f>-2953.329916*627.50956</f>
        <v>-1853242.756123997</v>
      </c>
      <c r="AF539" s="3">
        <f t="shared" si="375"/>
        <v>-2622.947917659767</v>
      </c>
      <c r="AG539" s="3">
        <f>-2949.194484*627.50956</f>
        <v>-1850647.7330092669</v>
      </c>
      <c r="AH539" s="3">
        <f>-2953.375223*627.50956</f>
        <v>-1853271.1866996319</v>
      </c>
      <c r="AI539" s="3">
        <f t="shared" si="376"/>
        <v>-2623.4536903649569</v>
      </c>
      <c r="AJ539" s="3">
        <v>-0.23899999999999999</v>
      </c>
      <c r="AK539" s="3">
        <v>-0.19900000000000001</v>
      </c>
      <c r="AL539" s="3">
        <f t="shared" si="377"/>
        <v>3.999999999999998E-2</v>
      </c>
      <c r="AM539" s="3">
        <v>197.03200000000001</v>
      </c>
      <c r="AN539" s="3">
        <v>196.18960000000001</v>
      </c>
      <c r="AO539" s="3">
        <v>204.7578</v>
      </c>
      <c r="AP539" s="3">
        <f t="shared" si="397"/>
        <v>1.1679877709819879</v>
      </c>
      <c r="AQ539" s="3">
        <v>11.18</v>
      </c>
      <c r="AR539" s="3">
        <v>2.8253887</v>
      </c>
      <c r="AS539" s="3">
        <v>-959.76900000000001</v>
      </c>
      <c r="AT539" s="3">
        <v>-958.05</v>
      </c>
      <c r="AU539" s="3">
        <f t="shared" si="411"/>
        <v>-1.7190000000000509</v>
      </c>
      <c r="AV539" s="3">
        <v>-0.317</v>
      </c>
      <c r="AW539" s="3">
        <v>-0.45</v>
      </c>
      <c r="AX539" s="3">
        <f t="shared" si="412"/>
        <v>0.13300000000000001</v>
      </c>
      <c r="AY539" s="3">
        <v>-2.4E-2</v>
      </c>
      <c r="AZ539" s="3">
        <v>0.13500000000000001</v>
      </c>
      <c r="BA539" s="3">
        <f t="shared" si="413"/>
        <v>-0.159</v>
      </c>
      <c r="BB539" s="3">
        <f t="shared" si="420"/>
        <v>0.17050000000000001</v>
      </c>
      <c r="BC539" s="3">
        <f t="shared" si="420"/>
        <v>0.1575</v>
      </c>
      <c r="BD539" s="3">
        <f t="shared" si="414"/>
        <v>1.3000000000000012E-2</v>
      </c>
      <c r="BE539" s="3">
        <f t="shared" si="421"/>
        <v>0.29299999999999998</v>
      </c>
      <c r="BF539" s="3">
        <f t="shared" si="421"/>
        <v>0.58499999999999996</v>
      </c>
      <c r="BG539" s="3">
        <f t="shared" si="415"/>
        <v>-0.29199999999999998</v>
      </c>
      <c r="BH539" s="3">
        <f t="shared" si="422"/>
        <v>-0.17050000000000001</v>
      </c>
      <c r="BI539" s="3">
        <f t="shared" si="422"/>
        <v>-0.1575</v>
      </c>
      <c r="BJ539" s="3">
        <f t="shared" si="406"/>
        <v>-1.3000000000000012E-2</v>
      </c>
      <c r="BK539" s="3">
        <f t="shared" si="400"/>
        <v>4.9607935153583631E-2</v>
      </c>
      <c r="BL539" s="3">
        <f t="shared" si="401"/>
        <v>2.120192307692308E-2</v>
      </c>
      <c r="BM539" s="3">
        <f t="shared" si="416"/>
        <v>2.8406012076660551E-2</v>
      </c>
      <c r="BN539" s="3">
        <v>2.2370000000000001</v>
      </c>
      <c r="BO539" s="3">
        <v>2.431</v>
      </c>
      <c r="BP539" s="3">
        <f t="shared" si="417"/>
        <v>-0.19399999999999995</v>
      </c>
      <c r="BQ539" s="3">
        <v>-602243.07700000005</v>
      </c>
      <c r="BR539" s="3">
        <v>-601163.24300000002</v>
      </c>
      <c r="BS539" s="3">
        <f t="shared" si="418"/>
        <v>-1079.8340000000317</v>
      </c>
      <c r="BT539" s="3">
        <v>-602262.36399999994</v>
      </c>
      <c r="BU539" s="3">
        <v>-601182.38500000001</v>
      </c>
      <c r="BV539" s="3">
        <f t="shared" si="419"/>
        <v>-1079.9789999999339</v>
      </c>
    </row>
    <row r="540" spans="1:74" x14ac:dyDescent="0.25">
      <c r="A540" t="s">
        <v>611</v>
      </c>
      <c r="B540" s="1" t="s">
        <v>646</v>
      </c>
      <c r="C540" s="1" t="s">
        <v>99</v>
      </c>
      <c r="D540" s="3">
        <v>8.92</v>
      </c>
      <c r="E540" s="3">
        <v>0.7</v>
      </c>
      <c r="F540" s="3">
        <v>-915.72699999999998</v>
      </c>
      <c r="G540" s="3">
        <v>-921.72699999999998</v>
      </c>
      <c r="H540" s="3">
        <f t="shared" si="381"/>
        <v>-6</v>
      </c>
      <c r="I540" s="3">
        <v>-0.29699999999999999</v>
      </c>
      <c r="J540" s="6">
        <v>-0.20100000000000001</v>
      </c>
      <c r="K540" s="3">
        <f t="shared" si="365"/>
        <v>9.5999999999999974E-2</v>
      </c>
      <c r="L540" s="3">
        <v>4.2000000000000003E-2</v>
      </c>
      <c r="M540" s="6">
        <v>-3.0000000000000001E-3</v>
      </c>
      <c r="N540" s="3">
        <f t="shared" si="366"/>
        <v>-4.5000000000000005E-2</v>
      </c>
      <c r="O540" s="3">
        <f t="shared" si="407"/>
        <v>0.1275</v>
      </c>
      <c r="P540" s="3">
        <f t="shared" si="407"/>
        <v>0.10200000000000001</v>
      </c>
      <c r="Q540" s="3">
        <f t="shared" si="367"/>
        <v>-2.5499999999999995E-2</v>
      </c>
      <c r="R540" s="3">
        <f t="shared" si="368"/>
        <v>0.33899999999999997</v>
      </c>
      <c r="S540" s="3">
        <f t="shared" si="369"/>
        <v>0.19800000000000001</v>
      </c>
      <c r="T540" s="3">
        <f t="shared" si="370"/>
        <v>-0.14099999999999996</v>
      </c>
      <c r="U540" s="3">
        <f t="shared" si="371"/>
        <v>-0.1275</v>
      </c>
      <c r="V540" s="3">
        <f t="shared" si="372"/>
        <v>-0.10200000000000001</v>
      </c>
      <c r="W540" s="3">
        <f t="shared" si="402"/>
        <v>2.5499999999999995E-2</v>
      </c>
      <c r="X540" s="3">
        <f t="shared" si="398"/>
        <v>2.3976769911504426E-2</v>
      </c>
      <c r="Y540" s="3">
        <f t="shared" si="399"/>
        <v>2.6272727272727277E-2</v>
      </c>
      <c r="Z540" s="3">
        <f t="shared" si="373"/>
        <v>2.2959573612228515E-3</v>
      </c>
      <c r="AA540" s="3">
        <v>14.532999999999999</v>
      </c>
      <c r="AB540" s="3">
        <v>14.657999999999999</v>
      </c>
      <c r="AC540" s="3">
        <f t="shared" si="374"/>
        <v>0.125</v>
      </c>
      <c r="AD540" s="3">
        <f>-915.290429*627.50956</f>
        <v>-574353.49437400117</v>
      </c>
      <c r="AE540" s="3">
        <f>-921.315309*627.50956</f>
        <v>-578134.16417185403</v>
      </c>
      <c r="AF540" s="3">
        <f t="shared" si="375"/>
        <v>-3780.6697978528682</v>
      </c>
      <c r="AG540" s="3">
        <f>-915.362288*627.50956</f>
        <v>-574398.58658347325</v>
      </c>
      <c r="AH540" s="3">
        <f>-921.390206*627.50956</f>
        <v>-578181.16275536933</v>
      </c>
      <c r="AI540" s="3">
        <f t="shared" si="376"/>
        <v>-3782.5761718960712</v>
      </c>
      <c r="AJ540" s="3">
        <v>-0.67900000000000005</v>
      </c>
      <c r="AK540" s="3">
        <v>-0.70899999999999996</v>
      </c>
      <c r="AL540" s="3">
        <f t="shared" si="377"/>
        <v>-2.9999999999999916E-2</v>
      </c>
      <c r="AM540" s="3">
        <v>302.14465999999999</v>
      </c>
      <c r="AN540" s="3">
        <v>380.59</v>
      </c>
      <c r="AO540" s="3">
        <v>501.83589999999998</v>
      </c>
      <c r="AP540" s="3">
        <f t="shared" si="397"/>
        <v>1.2464422811889864</v>
      </c>
      <c r="AQ540" s="3">
        <v>12.875</v>
      </c>
      <c r="AR540" s="3">
        <v>3.289285</v>
      </c>
      <c r="AS540" s="3">
        <v>-132.80099999999999</v>
      </c>
      <c r="AT540" s="3">
        <v>-131.97</v>
      </c>
      <c r="AU540" s="3">
        <f t="shared" si="411"/>
        <v>-0.83099999999998886</v>
      </c>
      <c r="AV540" s="3">
        <v>-0.34100000000000003</v>
      </c>
      <c r="AW540" s="3">
        <v>-0.47499999999999998</v>
      </c>
      <c r="AX540" s="3">
        <f t="shared" si="412"/>
        <v>0.13399999999999995</v>
      </c>
      <c r="AY540" s="3">
        <v>2.9000000000000001E-2</v>
      </c>
      <c r="AZ540" s="3">
        <v>0.156</v>
      </c>
      <c r="BA540" s="3">
        <f t="shared" si="413"/>
        <v>-0.127</v>
      </c>
      <c r="BB540" s="3">
        <f t="shared" si="420"/>
        <v>0.156</v>
      </c>
      <c r="BC540" s="3">
        <f t="shared" si="420"/>
        <v>0.15949999999999998</v>
      </c>
      <c r="BD540" s="3">
        <f t="shared" si="414"/>
        <v>-3.4999999999999754E-3</v>
      </c>
      <c r="BE540" s="3">
        <f t="shared" si="421"/>
        <v>0.37000000000000005</v>
      </c>
      <c r="BF540" s="3">
        <f t="shared" si="421"/>
        <v>0.63100000000000001</v>
      </c>
      <c r="BG540" s="3">
        <f t="shared" si="415"/>
        <v>-0.26099999999999995</v>
      </c>
      <c r="BH540" s="3">
        <f t="shared" si="422"/>
        <v>-0.156</v>
      </c>
      <c r="BI540" s="3">
        <f t="shared" si="422"/>
        <v>-0.15949999999999998</v>
      </c>
      <c r="BJ540" s="3">
        <f t="shared" si="406"/>
        <v>3.4999999999999754E-3</v>
      </c>
      <c r="BK540" s="3">
        <f t="shared" si="400"/>
        <v>3.2886486486486483E-2</v>
      </c>
      <c r="BL540" s="3">
        <f t="shared" si="401"/>
        <v>2.0158676703645E-2</v>
      </c>
      <c r="BM540" s="3">
        <f t="shared" si="416"/>
        <v>1.2727809782841482E-2</v>
      </c>
      <c r="BN540" s="3">
        <v>4.7279999999999998</v>
      </c>
      <c r="BO540" s="3">
        <v>4.9340000000000002</v>
      </c>
      <c r="BP540" s="3">
        <f t="shared" si="417"/>
        <v>-0.20600000000000041</v>
      </c>
      <c r="BQ540" s="3">
        <v>-83302.89</v>
      </c>
      <c r="BR540" s="3">
        <v>-82779.224000000002</v>
      </c>
      <c r="BS540" s="3">
        <f t="shared" si="418"/>
        <v>-523.66599999999744</v>
      </c>
      <c r="BT540" s="3">
        <v>-83320.774999999994</v>
      </c>
      <c r="BU540" s="3">
        <v>-82796.997000000003</v>
      </c>
      <c r="BV540" s="3">
        <f t="shared" si="419"/>
        <v>-523.77799999999115</v>
      </c>
    </row>
    <row r="541" spans="1:74" x14ac:dyDescent="0.25">
      <c r="A541" t="s">
        <v>612</v>
      </c>
      <c r="B541" s="1" t="s">
        <v>646</v>
      </c>
      <c r="C541" s="1" t="s">
        <v>103</v>
      </c>
      <c r="D541" s="3">
        <v>8.9700000000000006</v>
      </c>
      <c r="E541" s="3">
        <v>0.75</v>
      </c>
      <c r="F541" s="3">
        <v>-555.17100000000005</v>
      </c>
      <c r="G541" s="3">
        <v>-557.53599999999994</v>
      </c>
      <c r="H541" s="3">
        <f t="shared" si="381"/>
        <v>-2.3649999999998954</v>
      </c>
      <c r="I541" s="3">
        <v>-0.315</v>
      </c>
      <c r="J541" s="6">
        <v>-0.22</v>
      </c>
      <c r="K541" s="3">
        <f t="shared" si="365"/>
        <v>9.5000000000000001E-2</v>
      </c>
      <c r="L541" s="3">
        <v>0.14000000000000001</v>
      </c>
      <c r="M541" s="6">
        <v>-4.2000000000000003E-2</v>
      </c>
      <c r="N541" s="3">
        <f t="shared" si="366"/>
        <v>-0.18200000000000002</v>
      </c>
      <c r="O541" s="3">
        <f t="shared" si="407"/>
        <v>8.7499999999999994E-2</v>
      </c>
      <c r="P541" s="3">
        <f t="shared" si="407"/>
        <v>0.13100000000000001</v>
      </c>
      <c r="Q541" s="3">
        <f t="shared" si="367"/>
        <v>4.3500000000000011E-2</v>
      </c>
      <c r="R541" s="3">
        <f t="shared" si="368"/>
        <v>0.45500000000000002</v>
      </c>
      <c r="S541" s="3">
        <f t="shared" si="369"/>
        <v>0.17799999999999999</v>
      </c>
      <c r="T541" s="3">
        <f t="shared" si="370"/>
        <v>-0.27700000000000002</v>
      </c>
      <c r="U541" s="3">
        <f t="shared" si="371"/>
        <v>-8.7499999999999994E-2</v>
      </c>
      <c r="V541" s="3">
        <f t="shared" si="372"/>
        <v>-0.13100000000000001</v>
      </c>
      <c r="W541" s="3">
        <f t="shared" si="402"/>
        <v>-4.3500000000000011E-2</v>
      </c>
      <c r="X541" s="3">
        <f t="shared" si="398"/>
        <v>8.4134615384615363E-3</v>
      </c>
      <c r="Y541" s="3">
        <f t="shared" si="399"/>
        <v>4.8205056179775288E-2</v>
      </c>
      <c r="Z541" s="3">
        <f t="shared" si="373"/>
        <v>3.9791594641313752E-2</v>
      </c>
      <c r="AA541" s="3">
        <v>1.607</v>
      </c>
      <c r="AB541" s="3">
        <v>2.4409999999999998</v>
      </c>
      <c r="AC541" s="3">
        <f t="shared" si="374"/>
        <v>0.83399999999999985</v>
      </c>
      <c r="AD541" s="3">
        <f>-555.018179*627.50956</f>
        <v>-348279.21329629124</v>
      </c>
      <c r="AE541" s="3">
        <f>-557.390683*627.50956</f>
        <v>-349767.98223742942</v>
      </c>
      <c r="AF541" s="3">
        <f t="shared" si="375"/>
        <v>-1488.7689411381725</v>
      </c>
      <c r="AG541" s="3">
        <f>-555.064813*627.50956</f>
        <v>-348308.47657711222</v>
      </c>
      <c r="AH541" s="3">
        <f>-557.438941*627.50956</f>
        <v>-349798.26459377597</v>
      </c>
      <c r="AI541" s="3">
        <f t="shared" si="376"/>
        <v>-1489.7880166637478</v>
      </c>
      <c r="AJ541" s="3">
        <v>-0.72399999999999998</v>
      </c>
      <c r="AK541" s="3">
        <v>-0.64500000000000002</v>
      </c>
      <c r="AL541" s="3">
        <f t="shared" si="377"/>
        <v>7.8999999999999959E-2</v>
      </c>
      <c r="AM541" s="3">
        <v>114.221</v>
      </c>
      <c r="AN541" s="3">
        <v>190.44739999999999</v>
      </c>
      <c r="AO541" s="3">
        <v>201.5187</v>
      </c>
      <c r="AP541" s="3">
        <f t="shared" si="397"/>
        <v>1.1459194648176445</v>
      </c>
      <c r="AQ541" s="3">
        <v>8.6709999999999994</v>
      </c>
      <c r="AR541" s="3">
        <v>2.0361099999999999</v>
      </c>
      <c r="AS541" s="3">
        <v>-959.76900000000001</v>
      </c>
      <c r="AT541" s="3">
        <v>-958.05</v>
      </c>
      <c r="AU541" s="3">
        <f t="shared" si="411"/>
        <v>-1.7190000000000509</v>
      </c>
      <c r="AV541" s="3">
        <v>-0.317</v>
      </c>
      <c r="AW541" s="3">
        <v>-0.45</v>
      </c>
      <c r="AX541" s="3">
        <f t="shared" si="412"/>
        <v>0.13300000000000001</v>
      </c>
      <c r="AY541" s="3">
        <v>-2.4E-2</v>
      </c>
      <c r="AZ541" s="3">
        <v>0.13500000000000001</v>
      </c>
      <c r="BA541" s="3">
        <f t="shared" si="413"/>
        <v>-0.159</v>
      </c>
      <c r="BB541" s="3">
        <f t="shared" si="420"/>
        <v>0.17050000000000001</v>
      </c>
      <c r="BC541" s="3">
        <f t="shared" si="420"/>
        <v>0.1575</v>
      </c>
      <c r="BD541" s="3">
        <f t="shared" si="414"/>
        <v>1.3000000000000012E-2</v>
      </c>
      <c r="BE541" s="3">
        <f t="shared" si="421"/>
        <v>0.29299999999999998</v>
      </c>
      <c r="BF541" s="3">
        <f t="shared" si="421"/>
        <v>0.58499999999999996</v>
      </c>
      <c r="BG541" s="3">
        <f t="shared" si="415"/>
        <v>-0.29199999999999998</v>
      </c>
      <c r="BH541" s="3">
        <f t="shared" si="422"/>
        <v>-0.17050000000000001</v>
      </c>
      <c r="BI541" s="3">
        <f t="shared" si="422"/>
        <v>-0.1575</v>
      </c>
      <c r="BJ541" s="3">
        <f t="shared" si="406"/>
        <v>-1.3000000000000012E-2</v>
      </c>
      <c r="BK541" s="3">
        <f t="shared" si="400"/>
        <v>4.9607935153583631E-2</v>
      </c>
      <c r="BL541" s="3">
        <f t="shared" si="401"/>
        <v>2.120192307692308E-2</v>
      </c>
      <c r="BM541" s="3">
        <f t="shared" si="416"/>
        <v>2.8406012076660551E-2</v>
      </c>
      <c r="BN541" s="3">
        <v>2.2370000000000001</v>
      </c>
      <c r="BO541" s="3">
        <v>2.431</v>
      </c>
      <c r="BP541" s="3">
        <f t="shared" si="417"/>
        <v>-0.19399999999999995</v>
      </c>
      <c r="BQ541" s="3">
        <v>-602243.07700000005</v>
      </c>
      <c r="BR541" s="3">
        <v>-601163.24300000002</v>
      </c>
      <c r="BS541" s="3">
        <f t="shared" si="418"/>
        <v>-1079.8340000000317</v>
      </c>
      <c r="BT541" s="3">
        <v>-602262.36399999994</v>
      </c>
      <c r="BU541" s="3">
        <v>-601182.38500000001</v>
      </c>
      <c r="BV541" s="3">
        <f t="shared" si="419"/>
        <v>-1079.9789999999339</v>
      </c>
    </row>
    <row r="542" spans="1:74" x14ac:dyDescent="0.25">
      <c r="A542" t="s">
        <v>613</v>
      </c>
      <c r="B542" s="1" t="s">
        <v>646</v>
      </c>
      <c r="C542" s="1" t="s">
        <v>103</v>
      </c>
      <c r="D542" s="3">
        <v>9</v>
      </c>
      <c r="E542" s="3">
        <v>0.98</v>
      </c>
      <c r="F542" s="3">
        <v>-752.25800000000004</v>
      </c>
      <c r="G542" s="3">
        <v>-755.84699999999998</v>
      </c>
      <c r="H542" s="3">
        <f t="shared" si="381"/>
        <v>-3.5889999999999418</v>
      </c>
      <c r="I542" s="3">
        <v>-0.31</v>
      </c>
      <c r="J542" s="6">
        <v>-0.20499999999999999</v>
      </c>
      <c r="K542" s="3">
        <f t="shared" ref="K542:K605" si="423">J542-I542</f>
        <v>0.10500000000000001</v>
      </c>
      <c r="L542" s="3">
        <v>0.13700000000000001</v>
      </c>
      <c r="M542" s="6">
        <v>2.5000000000000001E-2</v>
      </c>
      <c r="N542" s="3">
        <f t="shared" ref="N542:N605" si="424">M542-L542</f>
        <v>-0.11200000000000002</v>
      </c>
      <c r="O542" s="3">
        <f t="shared" si="407"/>
        <v>8.6499999999999994E-2</v>
      </c>
      <c r="P542" s="3">
        <f t="shared" si="407"/>
        <v>0.09</v>
      </c>
      <c r="Q542" s="3">
        <f t="shared" ref="Q542:Q605" si="425">P542-O542</f>
        <v>3.5000000000000031E-3</v>
      </c>
      <c r="R542" s="3">
        <f t="shared" ref="R542:R605" si="426">L542-I542</f>
        <v>0.44700000000000001</v>
      </c>
      <c r="S542" s="3">
        <f t="shared" ref="S542:S605" si="427">M542-J542</f>
        <v>0.22999999999999998</v>
      </c>
      <c r="T542" s="3">
        <f t="shared" ref="T542:T605" si="428">S542-R542</f>
        <v>-0.21700000000000003</v>
      </c>
      <c r="U542" s="3">
        <f t="shared" ref="U542:U605" si="429">(I542+L542)/2</f>
        <v>-8.6499999999999994E-2</v>
      </c>
      <c r="V542" s="3">
        <f t="shared" ref="V542:V605" si="430">(J542+M542)/2</f>
        <v>-0.09</v>
      </c>
      <c r="W542" s="3">
        <f t="shared" si="402"/>
        <v>-3.5000000000000031E-3</v>
      </c>
      <c r="X542" s="3">
        <f t="shared" si="398"/>
        <v>8.3694071588366874E-3</v>
      </c>
      <c r="Y542" s="3">
        <f t="shared" si="399"/>
        <v>1.7608695652173913E-2</v>
      </c>
      <c r="Z542" s="3">
        <f t="shared" ref="Z542:Z605" si="431">Y542-X542</f>
        <v>9.2392884933372253E-3</v>
      </c>
      <c r="AA542" s="3">
        <v>3.0249999999999999</v>
      </c>
      <c r="AB542" s="3">
        <v>3.0840000000000001</v>
      </c>
      <c r="AC542" s="3">
        <f t="shared" ref="AC542:AC605" si="432">AB542-AA542</f>
        <v>5.9000000000000163E-2</v>
      </c>
      <c r="AD542" s="3">
        <f>-751.980399*627.50956</f>
        <v>-471874.88930511446</v>
      </c>
      <c r="AE542" s="3">
        <f>-755.584092*627.50956</f>
        <v>-474136.24111391953</v>
      </c>
      <c r="AF542" s="3">
        <f t="shared" ref="AF542:AF605" si="433">AE542-AD542</f>
        <v>-2261.3518088050769</v>
      </c>
      <c r="AG542" s="3">
        <f>-752.03945*627.50956</f>
        <v>-471911.94437214197</v>
      </c>
      <c r="AH542" s="3">
        <f>-755.645142*627.50956</f>
        <v>-474174.55057255749</v>
      </c>
      <c r="AI542" s="3">
        <f t="shared" ref="AI542:AI605" si="434">AH542-AG542</f>
        <v>-2262.6062004155247</v>
      </c>
      <c r="AJ542" s="3">
        <v>-0.50900000000000001</v>
      </c>
      <c r="AK542" s="3">
        <v>-0.59</v>
      </c>
      <c r="AL542" s="3">
        <f t="shared" ref="AL542:AL605" si="435">AK542-AJ542</f>
        <v>-8.0999999999999961E-2</v>
      </c>
      <c r="AM542" s="3">
        <v>174.31280000000001</v>
      </c>
      <c r="AN542" s="3">
        <v>258.24700000000001</v>
      </c>
      <c r="AO542" s="3">
        <v>306.53500000000003</v>
      </c>
      <c r="AP542" s="3">
        <f t="shared" si="397"/>
        <v>1.1748196160877913</v>
      </c>
      <c r="AQ542" s="3">
        <v>10.47</v>
      </c>
      <c r="AR542" s="3">
        <v>2.4530599999999998</v>
      </c>
      <c r="AS542" s="3">
        <v>-959.76900000000001</v>
      </c>
      <c r="AT542" s="3">
        <v>-958.05</v>
      </c>
      <c r="AU542" s="3">
        <f t="shared" si="411"/>
        <v>-1.7190000000000509</v>
      </c>
      <c r="AV542" s="3">
        <v>-0.317</v>
      </c>
      <c r="AW542" s="3">
        <v>-0.45</v>
      </c>
      <c r="AX542" s="3">
        <f t="shared" si="412"/>
        <v>0.13300000000000001</v>
      </c>
      <c r="AY542" s="3">
        <v>-2.4E-2</v>
      </c>
      <c r="AZ542" s="3">
        <v>0.13500000000000001</v>
      </c>
      <c r="BA542" s="3">
        <f t="shared" si="413"/>
        <v>-0.159</v>
      </c>
      <c r="BB542" s="3">
        <f t="shared" si="420"/>
        <v>0.17050000000000001</v>
      </c>
      <c r="BC542" s="3">
        <f t="shared" si="420"/>
        <v>0.1575</v>
      </c>
      <c r="BD542" s="3">
        <f t="shared" si="414"/>
        <v>1.3000000000000012E-2</v>
      </c>
      <c r="BE542" s="3">
        <f t="shared" si="421"/>
        <v>0.29299999999999998</v>
      </c>
      <c r="BF542" s="3">
        <f t="shared" si="421"/>
        <v>0.58499999999999996</v>
      </c>
      <c r="BG542" s="3">
        <f t="shared" si="415"/>
        <v>-0.29199999999999998</v>
      </c>
      <c r="BH542" s="3">
        <f t="shared" si="422"/>
        <v>-0.17050000000000001</v>
      </c>
      <c r="BI542" s="3">
        <f t="shared" si="422"/>
        <v>-0.1575</v>
      </c>
      <c r="BJ542" s="3">
        <f t="shared" si="406"/>
        <v>-1.3000000000000012E-2</v>
      </c>
      <c r="BK542" s="3">
        <f t="shared" si="400"/>
        <v>4.9607935153583631E-2</v>
      </c>
      <c r="BL542" s="3">
        <f t="shared" si="401"/>
        <v>2.120192307692308E-2</v>
      </c>
      <c r="BM542" s="3">
        <f t="shared" si="416"/>
        <v>2.8406012076660551E-2</v>
      </c>
      <c r="BN542" s="3">
        <v>2.2370000000000001</v>
      </c>
      <c r="BO542" s="3">
        <v>2.431</v>
      </c>
      <c r="BP542" s="3">
        <f t="shared" si="417"/>
        <v>-0.19399999999999995</v>
      </c>
      <c r="BQ542" s="3">
        <v>-602243.07700000005</v>
      </c>
      <c r="BR542" s="3">
        <v>-601163.24300000002</v>
      </c>
      <c r="BS542" s="3">
        <f t="shared" si="418"/>
        <v>-1079.8340000000317</v>
      </c>
      <c r="BT542" s="3">
        <v>-602262.36399999994</v>
      </c>
      <c r="BU542" s="3">
        <v>-601182.38500000001</v>
      </c>
      <c r="BV542" s="3">
        <f t="shared" si="419"/>
        <v>-1079.9789999999339</v>
      </c>
    </row>
    <row r="543" spans="1:74" x14ac:dyDescent="0.25">
      <c r="A543" t="s">
        <v>614</v>
      </c>
      <c r="B543" s="1" t="s">
        <v>646</v>
      </c>
      <c r="C543" s="1" t="s">
        <v>99</v>
      </c>
      <c r="D543" s="3">
        <v>9.11</v>
      </c>
      <c r="E543" s="3">
        <v>0.88</v>
      </c>
      <c r="F543" s="3">
        <v>-752.25900000000001</v>
      </c>
      <c r="G543" s="3">
        <v>-755.84799999999996</v>
      </c>
      <c r="H543" s="3">
        <f t="shared" ref="H543:H606" si="436">G543-F543</f>
        <v>-3.5889999999999418</v>
      </c>
      <c r="I543" s="3">
        <v>-0.312</v>
      </c>
      <c r="J543" s="6">
        <v>-0.20599999999999999</v>
      </c>
      <c r="K543" s="3">
        <f t="shared" si="423"/>
        <v>0.10600000000000001</v>
      </c>
      <c r="L543" s="3">
        <v>0.13700000000000001</v>
      </c>
      <c r="M543" s="6">
        <v>2.5000000000000001E-2</v>
      </c>
      <c r="N543" s="3">
        <f t="shared" si="424"/>
        <v>-0.11200000000000002</v>
      </c>
      <c r="O543" s="3">
        <f t="shared" si="407"/>
        <v>8.7499999999999994E-2</v>
      </c>
      <c r="P543" s="3">
        <f t="shared" si="407"/>
        <v>9.0499999999999997E-2</v>
      </c>
      <c r="Q543" s="3">
        <f t="shared" si="425"/>
        <v>3.0000000000000027E-3</v>
      </c>
      <c r="R543" s="3">
        <f t="shared" si="426"/>
        <v>0.44900000000000001</v>
      </c>
      <c r="S543" s="3">
        <f t="shared" si="427"/>
        <v>0.23099999999999998</v>
      </c>
      <c r="T543" s="3">
        <f t="shared" si="428"/>
        <v>-0.21800000000000003</v>
      </c>
      <c r="U543" s="3">
        <f t="shared" si="429"/>
        <v>-8.7499999999999994E-2</v>
      </c>
      <c r="V543" s="3">
        <f t="shared" si="430"/>
        <v>-9.0499999999999997E-2</v>
      </c>
      <c r="W543" s="3">
        <f t="shared" si="402"/>
        <v>-3.0000000000000027E-3</v>
      </c>
      <c r="X543" s="3">
        <f t="shared" si="398"/>
        <v>8.5258908685968814E-3</v>
      </c>
      <c r="Y543" s="3">
        <f t="shared" si="399"/>
        <v>1.7727813852813853E-2</v>
      </c>
      <c r="Z543" s="3">
        <f t="shared" si="431"/>
        <v>9.2019229842169713E-3</v>
      </c>
      <c r="AA543" s="3">
        <v>3.177</v>
      </c>
      <c r="AB543" s="3">
        <v>3.242</v>
      </c>
      <c r="AC543" s="3">
        <f t="shared" si="432"/>
        <v>6.4999999999999947E-2</v>
      </c>
      <c r="AD543" s="3">
        <f>-751.981408999999*627.50956</f>
        <v>-471875.52308976935</v>
      </c>
      <c r="AE543" s="3">
        <f>-755.585016*627.50956</f>
        <v>-474136.82093275292</v>
      </c>
      <c r="AF543" s="3">
        <f t="shared" si="433"/>
        <v>-2261.2978429835639</v>
      </c>
      <c r="AG543" s="3">
        <f>-752.040507*627.50956</f>
        <v>-471912.60764974693</v>
      </c>
      <c r="AH543" s="3">
        <f>-755.646163*627.50956</f>
        <v>-474175.19125981827</v>
      </c>
      <c r="AI543" s="3">
        <f t="shared" si="434"/>
        <v>-2262.583610071335</v>
      </c>
      <c r="AJ543" s="3">
        <v>-0.51</v>
      </c>
      <c r="AK543" s="3">
        <v>-0.59099999999999997</v>
      </c>
      <c r="AL543" s="3">
        <f t="shared" si="435"/>
        <v>-8.0999999999999961E-2</v>
      </c>
      <c r="AM543" s="3">
        <v>174.31280000000001</v>
      </c>
      <c r="AN543" s="3">
        <v>258.21080000000001</v>
      </c>
      <c r="AO543" s="3">
        <v>306.53019999999998</v>
      </c>
      <c r="AP543" s="3">
        <f t="shared" si="397"/>
        <v>1.1746671974102518</v>
      </c>
      <c r="AQ543" s="3">
        <v>10.468999999999999</v>
      </c>
      <c r="AR543" s="3">
        <v>2.4531000000000001</v>
      </c>
      <c r="AS543" s="3">
        <v>-132.80099999999999</v>
      </c>
      <c r="AT543" s="3">
        <v>-131.97</v>
      </c>
      <c r="AU543" s="3">
        <f t="shared" si="411"/>
        <v>-0.83099999999998886</v>
      </c>
      <c r="AV543" s="3">
        <v>-0.34100000000000003</v>
      </c>
      <c r="AW543" s="3">
        <v>-0.47499999999999998</v>
      </c>
      <c r="AX543" s="3">
        <f t="shared" si="412"/>
        <v>0.13399999999999995</v>
      </c>
      <c r="AY543" s="3">
        <v>2.9000000000000001E-2</v>
      </c>
      <c r="AZ543" s="3">
        <v>0.156</v>
      </c>
      <c r="BA543" s="3">
        <f t="shared" si="413"/>
        <v>-0.127</v>
      </c>
      <c r="BB543" s="3">
        <f t="shared" si="420"/>
        <v>0.156</v>
      </c>
      <c r="BC543" s="3">
        <f t="shared" si="420"/>
        <v>0.15949999999999998</v>
      </c>
      <c r="BD543" s="3">
        <f t="shared" si="414"/>
        <v>-3.4999999999999754E-3</v>
      </c>
      <c r="BE543" s="3">
        <f t="shared" si="421"/>
        <v>0.37000000000000005</v>
      </c>
      <c r="BF543" s="3">
        <f t="shared" si="421"/>
        <v>0.63100000000000001</v>
      </c>
      <c r="BG543" s="3">
        <f t="shared" si="415"/>
        <v>-0.26099999999999995</v>
      </c>
      <c r="BH543" s="3">
        <f t="shared" si="422"/>
        <v>-0.156</v>
      </c>
      <c r="BI543" s="3">
        <f t="shared" si="422"/>
        <v>-0.15949999999999998</v>
      </c>
      <c r="BJ543" s="3">
        <f t="shared" si="406"/>
        <v>3.4999999999999754E-3</v>
      </c>
      <c r="BK543" s="3">
        <f t="shared" si="400"/>
        <v>3.2886486486486483E-2</v>
      </c>
      <c r="BL543" s="3">
        <f t="shared" si="401"/>
        <v>2.0158676703645E-2</v>
      </c>
      <c r="BM543" s="3">
        <f t="shared" si="416"/>
        <v>1.2727809782841482E-2</v>
      </c>
      <c r="BN543" s="3">
        <v>4.7279999999999998</v>
      </c>
      <c r="BO543" s="3">
        <v>4.9340000000000002</v>
      </c>
      <c r="BP543" s="3">
        <f t="shared" si="417"/>
        <v>-0.20600000000000041</v>
      </c>
      <c r="BQ543" s="3">
        <v>-83302.89</v>
      </c>
      <c r="BR543" s="3">
        <v>-82779.224000000002</v>
      </c>
      <c r="BS543" s="3">
        <f t="shared" si="418"/>
        <v>-523.66599999999744</v>
      </c>
      <c r="BT543" s="3">
        <v>-83320.774999999994</v>
      </c>
      <c r="BU543" s="3">
        <v>-82796.997000000003</v>
      </c>
      <c r="BV543" s="3">
        <f t="shared" si="419"/>
        <v>-523.77799999999115</v>
      </c>
    </row>
    <row r="544" spans="1:74" x14ac:dyDescent="0.25">
      <c r="A544" t="s">
        <v>616</v>
      </c>
      <c r="B544" s="1" t="s">
        <v>646</v>
      </c>
      <c r="C544" s="1" t="s">
        <v>103</v>
      </c>
      <c r="D544" s="3">
        <v>9.35</v>
      </c>
      <c r="E544" s="3">
        <v>0.83</v>
      </c>
      <c r="F544" s="3">
        <v>-377.48599999999999</v>
      </c>
      <c r="G544" s="3">
        <v>-379.90100000000001</v>
      </c>
      <c r="H544" s="3">
        <f t="shared" si="436"/>
        <v>-2.4150000000000205</v>
      </c>
      <c r="I544" s="3">
        <v>-0.28000000000000003</v>
      </c>
      <c r="J544" s="6">
        <v>-0.20699999999999999</v>
      </c>
      <c r="K544" s="3">
        <f t="shared" si="423"/>
        <v>7.3000000000000037E-2</v>
      </c>
      <c r="L544" s="3">
        <v>0.109</v>
      </c>
      <c r="M544" s="6">
        <v>-6.0999999999999999E-2</v>
      </c>
      <c r="N544" s="3">
        <f t="shared" si="424"/>
        <v>-0.16999999999999998</v>
      </c>
      <c r="O544" s="3">
        <f t="shared" si="407"/>
        <v>8.550000000000002E-2</v>
      </c>
      <c r="P544" s="3">
        <f t="shared" si="407"/>
        <v>0.13400000000000001</v>
      </c>
      <c r="Q544" s="3">
        <f t="shared" si="425"/>
        <v>4.8499999999999988E-2</v>
      </c>
      <c r="R544" s="3">
        <f t="shared" si="426"/>
        <v>0.38900000000000001</v>
      </c>
      <c r="S544" s="3">
        <f t="shared" si="427"/>
        <v>0.14599999999999999</v>
      </c>
      <c r="T544" s="3">
        <f t="shared" si="428"/>
        <v>-0.24300000000000002</v>
      </c>
      <c r="U544" s="3">
        <f t="shared" si="429"/>
        <v>-8.550000000000002E-2</v>
      </c>
      <c r="V544" s="3">
        <f t="shared" si="430"/>
        <v>-0.13400000000000001</v>
      </c>
      <c r="W544" s="3">
        <f t="shared" si="402"/>
        <v>-4.8499999999999988E-2</v>
      </c>
      <c r="X544" s="3">
        <f t="shared" si="398"/>
        <v>9.3962082262210832E-3</v>
      </c>
      <c r="Y544" s="3">
        <f t="shared" si="399"/>
        <v>6.1493150684931525E-2</v>
      </c>
      <c r="Z544" s="3">
        <f t="shared" si="431"/>
        <v>5.2096942458710438E-2</v>
      </c>
      <c r="AA544" s="3">
        <v>1.3460000000000001</v>
      </c>
      <c r="AB544" s="3">
        <v>1.5940000000000001</v>
      </c>
      <c r="AC544" s="3">
        <f t="shared" si="432"/>
        <v>0.248</v>
      </c>
      <c r="AD544" s="3">
        <f>-377.356704*627.50956</f>
        <v>-236794.9392900902</v>
      </c>
      <c r="AE544" s="3">
        <f>-379.77844*627.50956</f>
        <v>-238314.60178188639</v>
      </c>
      <c r="AF544" s="3">
        <f t="shared" si="433"/>
        <v>-1519.662491796189</v>
      </c>
      <c r="AG544" s="3">
        <f>-377.39642*627.50956</f>
        <v>-236819.86145977516</v>
      </c>
      <c r="AH544" s="3">
        <f>-379.818878*627.50956</f>
        <v>-238339.97701347366</v>
      </c>
      <c r="AI544" s="3">
        <f t="shared" si="434"/>
        <v>-1520.1155536985025</v>
      </c>
      <c r="AJ544" s="3">
        <v>-0.23200000000000001</v>
      </c>
      <c r="AK544" s="3">
        <v>-0.222</v>
      </c>
      <c r="AL544" s="3">
        <f t="shared" si="435"/>
        <v>1.0000000000000009E-2</v>
      </c>
      <c r="AM544" s="3">
        <v>118.13590000000001</v>
      </c>
      <c r="AN544" s="3">
        <v>174.87620000000001</v>
      </c>
      <c r="AO544" s="3">
        <v>178.82980000000001</v>
      </c>
      <c r="AP544" s="3">
        <f t="shared" si="397"/>
        <v>1.1394450798904334</v>
      </c>
      <c r="AQ544" s="3">
        <v>9.74</v>
      </c>
      <c r="AR544" s="3">
        <v>2.2379199999999999</v>
      </c>
      <c r="AS544" s="3">
        <v>-959.76900000000001</v>
      </c>
      <c r="AT544" s="3">
        <v>-958.05</v>
      </c>
      <c r="AU544" s="3">
        <f t="shared" si="411"/>
        <v>-1.7190000000000509</v>
      </c>
      <c r="AV544" s="3">
        <v>-0.317</v>
      </c>
      <c r="AW544" s="3">
        <v>-0.45</v>
      </c>
      <c r="AX544" s="3">
        <f t="shared" si="412"/>
        <v>0.13300000000000001</v>
      </c>
      <c r="AY544" s="3">
        <v>-2.4E-2</v>
      </c>
      <c r="AZ544" s="3">
        <v>0.13500000000000001</v>
      </c>
      <c r="BA544" s="3">
        <f t="shared" si="413"/>
        <v>-0.159</v>
      </c>
      <c r="BB544" s="3">
        <f t="shared" si="420"/>
        <v>0.17050000000000001</v>
      </c>
      <c r="BC544" s="3">
        <f t="shared" si="420"/>
        <v>0.1575</v>
      </c>
      <c r="BD544" s="3">
        <f t="shared" si="414"/>
        <v>1.3000000000000012E-2</v>
      </c>
      <c r="BE544" s="3">
        <f t="shared" si="421"/>
        <v>0.29299999999999998</v>
      </c>
      <c r="BF544" s="3">
        <f t="shared" si="421"/>
        <v>0.58499999999999996</v>
      </c>
      <c r="BG544" s="3">
        <f t="shared" si="415"/>
        <v>-0.29199999999999998</v>
      </c>
      <c r="BH544" s="3">
        <f t="shared" si="422"/>
        <v>-0.17050000000000001</v>
      </c>
      <c r="BI544" s="3">
        <f t="shared" si="422"/>
        <v>-0.1575</v>
      </c>
      <c r="BJ544" s="3">
        <f t="shared" si="406"/>
        <v>-1.3000000000000012E-2</v>
      </c>
      <c r="BK544" s="3">
        <f t="shared" si="400"/>
        <v>4.9607935153583631E-2</v>
      </c>
      <c r="BL544" s="3">
        <f t="shared" si="401"/>
        <v>2.120192307692308E-2</v>
      </c>
      <c r="BM544" s="3">
        <f t="shared" si="416"/>
        <v>2.8406012076660551E-2</v>
      </c>
      <c r="BN544" s="3">
        <v>2.2370000000000001</v>
      </c>
      <c r="BO544" s="3">
        <v>2.431</v>
      </c>
      <c r="BP544" s="3">
        <f t="shared" si="417"/>
        <v>-0.19399999999999995</v>
      </c>
      <c r="BQ544" s="3">
        <v>-602243.07700000005</v>
      </c>
      <c r="BR544" s="3">
        <v>-601163.24300000002</v>
      </c>
      <c r="BS544" s="3">
        <f t="shared" si="418"/>
        <v>-1079.8340000000317</v>
      </c>
      <c r="BT544" s="3">
        <v>-602262.36399999994</v>
      </c>
      <c r="BU544" s="3">
        <v>-601182.38500000001</v>
      </c>
      <c r="BV544" s="3">
        <f t="shared" si="419"/>
        <v>-1079.9789999999339</v>
      </c>
    </row>
    <row r="545" spans="1:74" x14ac:dyDescent="0.25">
      <c r="A545" t="s">
        <v>615</v>
      </c>
      <c r="B545" s="1" t="s">
        <v>646</v>
      </c>
      <c r="C545" s="1" t="s">
        <v>103</v>
      </c>
      <c r="D545" s="3">
        <v>9.43</v>
      </c>
      <c r="E545" s="3">
        <v>0.8</v>
      </c>
      <c r="F545" s="3">
        <v>-476.94499999999999</v>
      </c>
      <c r="G545" s="3">
        <v>-479.91199999999998</v>
      </c>
      <c r="H545" s="3">
        <f t="shared" si="436"/>
        <v>-2.9669999999999845</v>
      </c>
      <c r="I545" s="3">
        <v>-0.311</v>
      </c>
      <c r="J545" s="6">
        <v>-0.21299999999999999</v>
      </c>
      <c r="K545" s="3">
        <f t="shared" si="423"/>
        <v>9.8000000000000004E-2</v>
      </c>
      <c r="L545" s="3">
        <v>0.13600000000000001</v>
      </c>
      <c r="M545" s="6">
        <v>-0.02</v>
      </c>
      <c r="N545" s="3">
        <f t="shared" si="424"/>
        <v>-0.156</v>
      </c>
      <c r="O545" s="3">
        <f t="shared" si="407"/>
        <v>8.7499999999999994E-2</v>
      </c>
      <c r="P545" s="3">
        <f t="shared" si="407"/>
        <v>0.11649999999999999</v>
      </c>
      <c r="Q545" s="3">
        <f t="shared" si="425"/>
        <v>2.8999999999999998E-2</v>
      </c>
      <c r="R545" s="3">
        <f t="shared" si="426"/>
        <v>0.44700000000000001</v>
      </c>
      <c r="S545" s="3">
        <f t="shared" si="427"/>
        <v>0.193</v>
      </c>
      <c r="T545" s="3">
        <f t="shared" si="428"/>
        <v>-0.254</v>
      </c>
      <c r="U545" s="3">
        <f t="shared" si="429"/>
        <v>-8.7499999999999994E-2</v>
      </c>
      <c r="V545" s="3">
        <f t="shared" si="430"/>
        <v>-0.11649999999999999</v>
      </c>
      <c r="W545" s="3">
        <f t="shared" si="402"/>
        <v>-2.8999999999999998E-2</v>
      </c>
      <c r="X545" s="3">
        <f t="shared" si="398"/>
        <v>8.5640380313199097E-3</v>
      </c>
      <c r="Y545" s="3">
        <f t="shared" si="399"/>
        <v>3.5161269430051809E-2</v>
      </c>
      <c r="Z545" s="3">
        <f t="shared" si="431"/>
        <v>2.6597231398731901E-2</v>
      </c>
      <c r="AA545" s="3">
        <v>6.4790000000000001</v>
      </c>
      <c r="AB545" s="3">
        <v>6.7</v>
      </c>
      <c r="AC545" s="3">
        <f t="shared" si="432"/>
        <v>0.22100000000000009</v>
      </c>
      <c r="AD545" s="3">
        <f>-476.722428*627.50956</f>
        <v>-299147.88103641162</v>
      </c>
      <c r="AE545" s="3">
        <f>-479.702985*627.50956</f>
        <v>-301018.2090480366</v>
      </c>
      <c r="AF545" s="3">
        <f t="shared" si="433"/>
        <v>-1870.3280116249807</v>
      </c>
      <c r="AG545" s="3">
        <f>-476.773322*627.50956</f>
        <v>-299179.81750795833</v>
      </c>
      <c r="AH545" s="3">
        <f>-479.755502*627.50956</f>
        <v>-301051.1639675991</v>
      </c>
      <c r="AI545" s="3">
        <f t="shared" si="434"/>
        <v>-1871.3464596407721</v>
      </c>
      <c r="AJ545" s="3">
        <v>-0.53900000000000003</v>
      </c>
      <c r="AK545" s="3">
        <v>-0.58499999999999996</v>
      </c>
      <c r="AL545" s="3">
        <f t="shared" si="435"/>
        <v>-4.599999999999993E-2</v>
      </c>
      <c r="AM545" s="3">
        <v>143.18360000000001</v>
      </c>
      <c r="AN545" s="3">
        <v>229.3383</v>
      </c>
      <c r="AO545" s="3">
        <v>240.25219999999999</v>
      </c>
      <c r="AP545" s="3">
        <f t="shared" si="397"/>
        <v>1.2273100499546117</v>
      </c>
      <c r="AQ545" s="3">
        <v>11.629</v>
      </c>
      <c r="AR545" s="3">
        <v>2.7199499999999999</v>
      </c>
      <c r="AS545" s="3">
        <v>-959.76900000000001</v>
      </c>
      <c r="AT545" s="3">
        <v>-958.05</v>
      </c>
      <c r="AU545" s="3">
        <f t="shared" si="411"/>
        <v>-1.7190000000000509</v>
      </c>
      <c r="AV545" s="3">
        <v>-0.317</v>
      </c>
      <c r="AW545" s="3">
        <v>-0.45</v>
      </c>
      <c r="AX545" s="3">
        <f t="shared" si="412"/>
        <v>0.13300000000000001</v>
      </c>
      <c r="AY545" s="3">
        <v>-2.4E-2</v>
      </c>
      <c r="AZ545" s="3">
        <v>0.13500000000000001</v>
      </c>
      <c r="BA545" s="3">
        <f t="shared" si="413"/>
        <v>-0.159</v>
      </c>
      <c r="BB545" s="3">
        <f t="shared" si="420"/>
        <v>0.17050000000000001</v>
      </c>
      <c r="BC545" s="3">
        <f t="shared" si="420"/>
        <v>0.1575</v>
      </c>
      <c r="BD545" s="3">
        <f t="shared" si="414"/>
        <v>1.3000000000000012E-2</v>
      </c>
      <c r="BE545" s="3">
        <f t="shared" si="421"/>
        <v>0.29299999999999998</v>
      </c>
      <c r="BF545" s="3">
        <f t="shared" si="421"/>
        <v>0.58499999999999996</v>
      </c>
      <c r="BG545" s="3">
        <f t="shared" si="415"/>
        <v>-0.29199999999999998</v>
      </c>
      <c r="BH545" s="3">
        <f t="shared" si="422"/>
        <v>-0.17050000000000001</v>
      </c>
      <c r="BI545" s="3">
        <f t="shared" si="422"/>
        <v>-0.1575</v>
      </c>
      <c r="BJ545" s="3">
        <f t="shared" si="406"/>
        <v>-1.3000000000000012E-2</v>
      </c>
      <c r="BK545" s="3">
        <f t="shared" si="400"/>
        <v>4.9607935153583631E-2</v>
      </c>
      <c r="BL545" s="3">
        <f t="shared" si="401"/>
        <v>2.120192307692308E-2</v>
      </c>
      <c r="BM545" s="3">
        <f t="shared" si="416"/>
        <v>2.8406012076660551E-2</v>
      </c>
      <c r="BN545" s="3">
        <v>2.2370000000000001</v>
      </c>
      <c r="BO545" s="3">
        <v>2.431</v>
      </c>
      <c r="BP545" s="3">
        <f t="shared" si="417"/>
        <v>-0.19399999999999995</v>
      </c>
      <c r="BQ545" s="3">
        <v>-602243.07700000005</v>
      </c>
      <c r="BR545" s="3">
        <v>-601163.24300000002</v>
      </c>
      <c r="BS545" s="3">
        <f t="shared" si="418"/>
        <v>-1079.8340000000317</v>
      </c>
      <c r="BT545" s="3">
        <v>-602262.36399999994</v>
      </c>
      <c r="BU545" s="3">
        <v>-601182.38500000001</v>
      </c>
      <c r="BV545" s="3">
        <f t="shared" si="419"/>
        <v>-1079.9789999999339</v>
      </c>
    </row>
    <row r="546" spans="1:74" x14ac:dyDescent="0.25">
      <c r="A546" t="s">
        <v>617</v>
      </c>
      <c r="B546" s="1" t="s">
        <v>646</v>
      </c>
      <c r="C546" s="1" t="s">
        <v>103</v>
      </c>
      <c r="D546" s="3">
        <v>9.81</v>
      </c>
      <c r="E546" s="3">
        <v>0.81</v>
      </c>
      <c r="F546" s="3">
        <v>-383.98899999999998</v>
      </c>
      <c r="G546" s="3">
        <v>-386.39299999999997</v>
      </c>
      <c r="H546" s="3">
        <f t="shared" si="436"/>
        <v>-2.4039999999999964</v>
      </c>
      <c r="I546" s="3">
        <v>-0.32900000000000001</v>
      </c>
      <c r="J546" s="6">
        <v>-0.221</v>
      </c>
      <c r="K546" s="3">
        <f t="shared" si="423"/>
        <v>0.10800000000000001</v>
      </c>
      <c r="L546" s="3">
        <v>0.151</v>
      </c>
      <c r="M546" s="6">
        <v>0.04</v>
      </c>
      <c r="N546" s="3">
        <f t="shared" si="424"/>
        <v>-0.11099999999999999</v>
      </c>
      <c r="O546" s="3">
        <f t="shared" si="407"/>
        <v>8.900000000000001E-2</v>
      </c>
      <c r="P546" s="3">
        <f t="shared" si="407"/>
        <v>9.0499999999999997E-2</v>
      </c>
      <c r="Q546" s="3">
        <f t="shared" si="425"/>
        <v>1.4999999999999875E-3</v>
      </c>
      <c r="R546" s="3">
        <f t="shared" si="426"/>
        <v>0.48</v>
      </c>
      <c r="S546" s="3">
        <f t="shared" si="427"/>
        <v>0.26100000000000001</v>
      </c>
      <c r="T546" s="3">
        <f t="shared" si="428"/>
        <v>-0.21899999999999997</v>
      </c>
      <c r="U546" s="3">
        <f t="shared" si="429"/>
        <v>-8.900000000000001E-2</v>
      </c>
      <c r="V546" s="3">
        <f t="shared" si="430"/>
        <v>-9.0499999999999997E-2</v>
      </c>
      <c r="W546" s="3">
        <f t="shared" si="402"/>
        <v>-1.4999999999999875E-3</v>
      </c>
      <c r="X546" s="3">
        <f t="shared" si="398"/>
        <v>8.2510416666666687E-3</v>
      </c>
      <c r="Y546" s="3">
        <f t="shared" si="399"/>
        <v>1.5690134099616858E-2</v>
      </c>
      <c r="Z546" s="3">
        <f t="shared" si="431"/>
        <v>7.4390924329501892E-3</v>
      </c>
      <c r="AA546" s="3">
        <v>2.782</v>
      </c>
      <c r="AB546" s="3">
        <v>2.6819999999999999</v>
      </c>
      <c r="AC546" s="3">
        <f t="shared" si="432"/>
        <v>-0.10000000000000009</v>
      </c>
      <c r="AD546" s="3">
        <f>-383.792776*627.50956</f>
        <v>-240833.63599893855</v>
      </c>
      <c r="AE546" s="3">
        <f>-386.20857*627.50956</f>
        <v>-242349.5698289292</v>
      </c>
      <c r="AF546" s="3">
        <f t="shared" si="433"/>
        <v>-1515.9338299906522</v>
      </c>
      <c r="AG546" s="3">
        <f>-383.838129*627.50956</f>
        <v>-240862.09544001322</v>
      </c>
      <c r="AH546" s="3">
        <f>-386.255107*627.50956</f>
        <v>-242378.77224132291</v>
      </c>
      <c r="AI546" s="3">
        <f t="shared" si="434"/>
        <v>-1516.676801309688</v>
      </c>
      <c r="AJ546" s="3">
        <v>-0.624</v>
      </c>
      <c r="AK546" s="3">
        <v>-0.6</v>
      </c>
      <c r="AL546" s="3">
        <f t="shared" si="435"/>
        <v>2.4000000000000021E-2</v>
      </c>
      <c r="AM546" s="3">
        <v>116.15819999999999</v>
      </c>
      <c r="AN546" s="3">
        <v>200.12180000000001</v>
      </c>
      <c r="AO546" s="3">
        <v>206.9957</v>
      </c>
      <c r="AP546" s="3">
        <f t="shared" si="397"/>
        <v>1.1827949683708481</v>
      </c>
      <c r="AQ546" s="3">
        <v>9.3170000000000002</v>
      </c>
      <c r="AR546" s="3">
        <v>2.1357680000000001</v>
      </c>
      <c r="AS546" s="3">
        <v>-959.76900000000001</v>
      </c>
      <c r="AT546" s="3">
        <v>-958.05</v>
      </c>
      <c r="AU546" s="3">
        <f t="shared" si="411"/>
        <v>-1.7190000000000509</v>
      </c>
      <c r="AV546" s="3">
        <v>-0.317</v>
      </c>
      <c r="AW546" s="3">
        <v>-0.45</v>
      </c>
      <c r="AX546" s="3">
        <f t="shared" si="412"/>
        <v>0.13300000000000001</v>
      </c>
      <c r="AY546" s="3">
        <v>-2.4E-2</v>
      </c>
      <c r="AZ546" s="3">
        <v>0.13500000000000001</v>
      </c>
      <c r="BA546" s="3">
        <f t="shared" si="413"/>
        <v>-0.159</v>
      </c>
      <c r="BB546" s="3">
        <f t="shared" si="420"/>
        <v>0.17050000000000001</v>
      </c>
      <c r="BC546" s="3">
        <f t="shared" si="420"/>
        <v>0.1575</v>
      </c>
      <c r="BD546" s="3">
        <f t="shared" si="414"/>
        <v>1.3000000000000012E-2</v>
      </c>
      <c r="BE546" s="3">
        <f t="shared" si="421"/>
        <v>0.29299999999999998</v>
      </c>
      <c r="BF546" s="3">
        <f t="shared" si="421"/>
        <v>0.58499999999999996</v>
      </c>
      <c r="BG546" s="3">
        <f t="shared" si="415"/>
        <v>-0.29199999999999998</v>
      </c>
      <c r="BH546" s="3">
        <f t="shared" si="422"/>
        <v>-0.17050000000000001</v>
      </c>
      <c r="BI546" s="3">
        <f t="shared" si="422"/>
        <v>-0.1575</v>
      </c>
      <c r="BJ546" s="3">
        <f t="shared" si="406"/>
        <v>-1.3000000000000012E-2</v>
      </c>
      <c r="BK546" s="3">
        <f t="shared" si="400"/>
        <v>4.9607935153583631E-2</v>
      </c>
      <c r="BL546" s="3">
        <f t="shared" si="401"/>
        <v>2.120192307692308E-2</v>
      </c>
      <c r="BM546" s="3">
        <f t="shared" si="416"/>
        <v>2.8406012076660551E-2</v>
      </c>
      <c r="BN546" s="3">
        <v>2.2370000000000001</v>
      </c>
      <c r="BO546" s="3">
        <v>2.431</v>
      </c>
      <c r="BP546" s="3">
        <f t="shared" si="417"/>
        <v>-0.19399999999999995</v>
      </c>
      <c r="BQ546" s="3">
        <v>-602243.07700000005</v>
      </c>
      <c r="BR546" s="3">
        <v>-601163.24300000002</v>
      </c>
      <c r="BS546" s="3">
        <f t="shared" si="418"/>
        <v>-1079.8340000000317</v>
      </c>
      <c r="BT546" s="3">
        <v>-602262.36399999994</v>
      </c>
      <c r="BU546" s="3">
        <v>-601182.38500000001</v>
      </c>
      <c r="BV546" s="3">
        <f t="shared" si="419"/>
        <v>-1079.9789999999339</v>
      </c>
    </row>
    <row r="547" spans="1:74" x14ac:dyDescent="0.25">
      <c r="A547" t="s">
        <v>618</v>
      </c>
      <c r="B547" s="1" t="s">
        <v>646</v>
      </c>
      <c r="C547" s="1" t="s">
        <v>99</v>
      </c>
      <c r="D547" s="3">
        <v>9.94</v>
      </c>
      <c r="E547" s="3">
        <v>0.86</v>
      </c>
      <c r="F547" s="3">
        <v>-786.33900000000006</v>
      </c>
      <c r="G547" s="3">
        <v>-791.61199999999997</v>
      </c>
      <c r="H547" s="3">
        <f t="shared" si="436"/>
        <v>-5.2729999999999109</v>
      </c>
      <c r="I547" s="3">
        <v>-0.28699999999999998</v>
      </c>
      <c r="J547" s="6">
        <v>-0.19500000000000001</v>
      </c>
      <c r="K547" s="3">
        <f t="shared" si="423"/>
        <v>9.1999999999999971E-2</v>
      </c>
      <c r="L547" s="3">
        <v>0.10100000000000001</v>
      </c>
      <c r="M547" s="6">
        <v>-4.2000000000000003E-2</v>
      </c>
      <c r="N547" s="3">
        <f t="shared" si="424"/>
        <v>-0.14300000000000002</v>
      </c>
      <c r="O547" s="3">
        <f t="shared" si="407"/>
        <v>9.2999999999999985E-2</v>
      </c>
      <c r="P547" s="3">
        <f t="shared" si="407"/>
        <v>0.11850000000000001</v>
      </c>
      <c r="Q547" s="3">
        <f t="shared" si="425"/>
        <v>2.5500000000000023E-2</v>
      </c>
      <c r="R547" s="3">
        <f t="shared" si="426"/>
        <v>0.38800000000000001</v>
      </c>
      <c r="S547" s="3">
        <f t="shared" si="427"/>
        <v>0.153</v>
      </c>
      <c r="T547" s="3">
        <f t="shared" si="428"/>
        <v>-0.23500000000000001</v>
      </c>
      <c r="U547" s="3">
        <f t="shared" si="429"/>
        <v>-9.2999999999999985E-2</v>
      </c>
      <c r="V547" s="3">
        <f t="shared" si="430"/>
        <v>-0.11850000000000001</v>
      </c>
      <c r="W547" s="3">
        <f t="shared" si="402"/>
        <v>-2.5500000000000023E-2</v>
      </c>
      <c r="X547" s="3">
        <f t="shared" si="398"/>
        <v>1.1145618556701027E-2</v>
      </c>
      <c r="Y547" s="3">
        <f t="shared" si="399"/>
        <v>4.5889705882352951E-2</v>
      </c>
      <c r="Z547" s="3">
        <f t="shared" si="431"/>
        <v>3.4744087325651922E-2</v>
      </c>
      <c r="AA547" s="3">
        <v>1.631</v>
      </c>
      <c r="AB547" s="3">
        <v>2.82</v>
      </c>
      <c r="AC547" s="3">
        <f t="shared" si="432"/>
        <v>1.1889999999999998</v>
      </c>
      <c r="AD547" s="3">
        <f>-785.946164*627.50956</f>
        <v>-493188.73155532777</v>
      </c>
      <c r="AE547" s="3">
        <f>-791.242015*627.50956</f>
        <v>-496511.92868616339</v>
      </c>
      <c r="AF547" s="3">
        <f t="shared" si="433"/>
        <v>-3323.1971308356151</v>
      </c>
      <c r="AG547" s="3">
        <f>-786.007973*627.50956</f>
        <v>-493227.51729372184</v>
      </c>
      <c r="AH547" s="3">
        <f>-791.305603*627.50956</f>
        <v>-496551.83076406468</v>
      </c>
      <c r="AI547" s="3">
        <f t="shared" si="434"/>
        <v>-3324.3134703428368</v>
      </c>
      <c r="AJ547" s="3">
        <v>-0.28699999999999998</v>
      </c>
      <c r="AK547" s="3">
        <v>-0.30099999999999999</v>
      </c>
      <c r="AL547" s="3">
        <f t="shared" si="435"/>
        <v>-1.4000000000000012E-2</v>
      </c>
      <c r="AM547" s="3">
        <v>263.37670000000003</v>
      </c>
      <c r="AN547" s="3">
        <v>349.13749999999999</v>
      </c>
      <c r="AO547" s="3">
        <v>424.78859999999997</v>
      </c>
      <c r="AP547" s="3">
        <f t="shared" si="397"/>
        <v>1.2778225446395191</v>
      </c>
      <c r="AQ547" s="3">
        <v>13.907</v>
      </c>
      <c r="AR547" s="3">
        <v>3.39927</v>
      </c>
      <c r="AS547" s="3">
        <v>-132.80099999999999</v>
      </c>
      <c r="AT547" s="3">
        <v>-131.97</v>
      </c>
      <c r="AU547" s="3">
        <f t="shared" si="411"/>
        <v>-0.83099999999998886</v>
      </c>
      <c r="AV547" s="3">
        <v>-0.34100000000000003</v>
      </c>
      <c r="AW547" s="3">
        <v>-0.47499999999999998</v>
      </c>
      <c r="AX547" s="3">
        <f t="shared" si="412"/>
        <v>0.13399999999999995</v>
      </c>
      <c r="AY547" s="3">
        <v>2.9000000000000001E-2</v>
      </c>
      <c r="AZ547" s="3">
        <v>0.156</v>
      </c>
      <c r="BA547" s="3">
        <f t="shared" si="413"/>
        <v>-0.127</v>
      </c>
      <c r="BB547" s="3">
        <f t="shared" si="420"/>
        <v>0.156</v>
      </c>
      <c r="BC547" s="3">
        <f t="shared" si="420"/>
        <v>0.15949999999999998</v>
      </c>
      <c r="BD547" s="3">
        <f t="shared" si="414"/>
        <v>-3.4999999999999754E-3</v>
      </c>
      <c r="BE547" s="3">
        <f t="shared" si="421"/>
        <v>0.37000000000000005</v>
      </c>
      <c r="BF547" s="3">
        <f t="shared" si="421"/>
        <v>0.63100000000000001</v>
      </c>
      <c r="BG547" s="3">
        <f t="shared" si="415"/>
        <v>-0.26099999999999995</v>
      </c>
      <c r="BH547" s="3">
        <f t="shared" si="422"/>
        <v>-0.156</v>
      </c>
      <c r="BI547" s="3">
        <f t="shared" si="422"/>
        <v>-0.15949999999999998</v>
      </c>
      <c r="BJ547" s="3">
        <f t="shared" si="406"/>
        <v>3.4999999999999754E-3</v>
      </c>
      <c r="BK547" s="3">
        <f t="shared" si="400"/>
        <v>3.2886486486486483E-2</v>
      </c>
      <c r="BL547" s="3">
        <f t="shared" si="401"/>
        <v>2.0158676703645E-2</v>
      </c>
      <c r="BM547" s="3">
        <f t="shared" si="416"/>
        <v>1.2727809782841482E-2</v>
      </c>
      <c r="BN547" s="3">
        <v>4.7279999999999998</v>
      </c>
      <c r="BO547" s="3">
        <v>4.9340000000000002</v>
      </c>
      <c r="BP547" s="3">
        <f t="shared" si="417"/>
        <v>-0.20600000000000041</v>
      </c>
      <c r="BQ547" s="3">
        <v>-83302.89</v>
      </c>
      <c r="BR547" s="3">
        <v>-82779.224000000002</v>
      </c>
      <c r="BS547" s="3">
        <f t="shared" si="418"/>
        <v>-523.66599999999744</v>
      </c>
      <c r="BT547" s="3">
        <v>-83320.774999999994</v>
      </c>
      <c r="BU547" s="3">
        <v>-82796.997000000003</v>
      </c>
      <c r="BV547" s="3">
        <f t="shared" si="419"/>
        <v>-523.77799999999115</v>
      </c>
    </row>
    <row r="548" spans="1:74" x14ac:dyDescent="0.25">
      <c r="A548" t="s">
        <v>619</v>
      </c>
      <c r="B548" s="1" t="s">
        <v>646</v>
      </c>
      <c r="C548" s="1" t="s">
        <v>103</v>
      </c>
      <c r="D548" s="3">
        <v>9.9600000000000009</v>
      </c>
      <c r="E548" s="3">
        <v>0.79</v>
      </c>
      <c r="F548" s="3">
        <v>-592.56799999999998</v>
      </c>
      <c r="G548" s="3">
        <v>-596.40499999999997</v>
      </c>
      <c r="H548" s="3">
        <f t="shared" si="436"/>
        <v>-3.8369999999999891</v>
      </c>
      <c r="I548" s="3">
        <v>-0.311</v>
      </c>
      <c r="J548" s="6">
        <v>-0.21299999999999999</v>
      </c>
      <c r="K548" s="3">
        <f t="shared" si="423"/>
        <v>9.8000000000000004E-2</v>
      </c>
      <c r="L548" s="3">
        <v>0.113</v>
      </c>
      <c r="M548" s="6">
        <v>-3.1E-2</v>
      </c>
      <c r="N548" s="3">
        <f t="shared" si="424"/>
        <v>-0.14400000000000002</v>
      </c>
      <c r="O548" s="3">
        <f t="shared" si="407"/>
        <v>9.9000000000000005E-2</v>
      </c>
      <c r="P548" s="3">
        <f t="shared" si="407"/>
        <v>0.122</v>
      </c>
      <c r="Q548" s="3">
        <f t="shared" si="425"/>
        <v>2.2999999999999993E-2</v>
      </c>
      <c r="R548" s="3">
        <f t="shared" si="426"/>
        <v>0.42399999999999999</v>
      </c>
      <c r="S548" s="3">
        <f t="shared" si="427"/>
        <v>0.182</v>
      </c>
      <c r="T548" s="3">
        <f t="shared" si="428"/>
        <v>-0.24199999999999999</v>
      </c>
      <c r="U548" s="3">
        <f t="shared" si="429"/>
        <v>-9.9000000000000005E-2</v>
      </c>
      <c r="V548" s="3">
        <f t="shared" si="430"/>
        <v>-0.122</v>
      </c>
      <c r="W548" s="3">
        <f t="shared" si="402"/>
        <v>-2.2999999999999993E-2</v>
      </c>
      <c r="X548" s="3">
        <f t="shared" si="398"/>
        <v>1.1557783018867925E-2</v>
      </c>
      <c r="Y548" s="3">
        <f t="shared" si="399"/>
        <v>4.0890109890109889E-2</v>
      </c>
      <c r="Z548" s="3">
        <f t="shared" si="431"/>
        <v>2.9332326871241966E-2</v>
      </c>
      <c r="AA548" s="3">
        <v>1.0449999999999999</v>
      </c>
      <c r="AB548" s="3">
        <v>0.89800000000000002</v>
      </c>
      <c r="AC548" s="3">
        <f t="shared" si="432"/>
        <v>-0.14699999999999991</v>
      </c>
      <c r="AD548" s="3">
        <f>-592.290671*627.50956</f>
        <v>-371668.05835131474</v>
      </c>
      <c r="AE548" s="3">
        <f>-596.143879*627.50956</f>
        <v>-374085.9832079832</v>
      </c>
      <c r="AF548" s="3">
        <f t="shared" si="433"/>
        <v>-2417.9248566684546</v>
      </c>
      <c r="AG548" s="3">
        <f>-592.340638*627.50956</f>
        <v>-371699.4131214993</v>
      </c>
      <c r="AH548" s="3">
        <f>-596.195077*627.50956</f>
        <v>-374118.11044243607</v>
      </c>
      <c r="AI548" s="3">
        <f t="shared" si="434"/>
        <v>-2418.6973209367716</v>
      </c>
      <c r="AJ548" s="3">
        <v>-0.44400000000000001</v>
      </c>
      <c r="AK548" s="3">
        <v>-0.46899999999999997</v>
      </c>
      <c r="AL548" s="3">
        <f t="shared" si="435"/>
        <v>-2.4999999999999967E-2</v>
      </c>
      <c r="AM548" s="3">
        <v>189.25360000000001</v>
      </c>
      <c r="AN548" s="3">
        <v>258.42410000000001</v>
      </c>
      <c r="AO548" s="3">
        <v>299.80619999999999</v>
      </c>
      <c r="AP548" s="3">
        <f t="shared" si="397"/>
        <v>1.1931504873126841</v>
      </c>
      <c r="AQ548" s="3">
        <v>11.811999999999999</v>
      </c>
      <c r="AR548" s="3">
        <v>2.8276729999999999</v>
      </c>
      <c r="AS548" s="3">
        <v>-959.76900000000001</v>
      </c>
      <c r="AT548" s="3">
        <v>-958.05</v>
      </c>
      <c r="AU548" s="3">
        <f t="shared" si="411"/>
        <v>-1.7190000000000509</v>
      </c>
      <c r="AV548" s="3">
        <v>-0.317</v>
      </c>
      <c r="AW548" s="3">
        <v>-0.45</v>
      </c>
      <c r="AX548" s="3">
        <f t="shared" si="412"/>
        <v>0.13300000000000001</v>
      </c>
      <c r="AY548" s="3">
        <v>-2.4E-2</v>
      </c>
      <c r="AZ548" s="3">
        <v>0.13500000000000001</v>
      </c>
      <c r="BA548" s="3">
        <f t="shared" si="413"/>
        <v>-0.159</v>
      </c>
      <c r="BB548" s="3">
        <f t="shared" si="420"/>
        <v>0.17050000000000001</v>
      </c>
      <c r="BC548" s="3">
        <f t="shared" si="420"/>
        <v>0.1575</v>
      </c>
      <c r="BD548" s="3">
        <f t="shared" si="414"/>
        <v>1.3000000000000012E-2</v>
      </c>
      <c r="BE548" s="3">
        <f t="shared" si="421"/>
        <v>0.29299999999999998</v>
      </c>
      <c r="BF548" s="3">
        <f t="shared" si="421"/>
        <v>0.58499999999999996</v>
      </c>
      <c r="BG548" s="3">
        <f t="shared" si="415"/>
        <v>-0.29199999999999998</v>
      </c>
      <c r="BH548" s="3">
        <f t="shared" si="422"/>
        <v>-0.17050000000000001</v>
      </c>
      <c r="BI548" s="3">
        <f t="shared" si="422"/>
        <v>-0.1575</v>
      </c>
      <c r="BJ548" s="3">
        <f t="shared" si="406"/>
        <v>-1.3000000000000012E-2</v>
      </c>
      <c r="BK548" s="3">
        <f t="shared" si="400"/>
        <v>4.9607935153583631E-2</v>
      </c>
      <c r="BL548" s="3">
        <f t="shared" si="401"/>
        <v>2.120192307692308E-2</v>
      </c>
      <c r="BM548" s="3">
        <f t="shared" si="416"/>
        <v>2.8406012076660551E-2</v>
      </c>
      <c r="BN548" s="3">
        <v>2.2370000000000001</v>
      </c>
      <c r="BO548" s="3">
        <v>2.431</v>
      </c>
      <c r="BP548" s="3">
        <f t="shared" si="417"/>
        <v>-0.19399999999999995</v>
      </c>
      <c r="BQ548" s="3">
        <v>-602243.07700000005</v>
      </c>
      <c r="BR548" s="3">
        <v>-601163.24300000002</v>
      </c>
      <c r="BS548" s="3">
        <f t="shared" si="418"/>
        <v>-1079.8340000000317</v>
      </c>
      <c r="BT548" s="3">
        <v>-602262.36399999994</v>
      </c>
      <c r="BU548" s="3">
        <v>-601182.38500000001</v>
      </c>
      <c r="BV548" s="3">
        <f t="shared" si="419"/>
        <v>-1079.9789999999339</v>
      </c>
    </row>
    <row r="549" spans="1:74" x14ac:dyDescent="0.25">
      <c r="A549" t="s">
        <v>620</v>
      </c>
      <c r="B549" s="1" t="s">
        <v>646</v>
      </c>
      <c r="C549" s="1" t="s">
        <v>103</v>
      </c>
      <c r="D549" s="3">
        <v>10.039999999999999</v>
      </c>
      <c r="E549" s="3">
        <v>0.82</v>
      </c>
      <c r="F549" s="3">
        <v>-441.06200000000001</v>
      </c>
      <c r="G549" s="3">
        <v>-443.94499999999999</v>
      </c>
      <c r="H549" s="3">
        <f t="shared" si="436"/>
        <v>-2.8829999999999814</v>
      </c>
      <c r="I549" s="3">
        <v>-0.34399999999999997</v>
      </c>
      <c r="J549" s="6">
        <v>-0.21199999999999999</v>
      </c>
      <c r="K549" s="3">
        <f t="shared" si="423"/>
        <v>0.13199999999999998</v>
      </c>
      <c r="L549" s="3">
        <v>0.152</v>
      </c>
      <c r="M549" s="6">
        <v>1.7000000000000001E-2</v>
      </c>
      <c r="N549" s="3">
        <f t="shared" si="424"/>
        <v>-0.13500000000000001</v>
      </c>
      <c r="O549" s="3">
        <f t="shared" si="407"/>
        <v>9.5999999999999988E-2</v>
      </c>
      <c r="P549" s="3">
        <f t="shared" si="407"/>
        <v>9.7500000000000003E-2</v>
      </c>
      <c r="Q549" s="3">
        <f t="shared" si="425"/>
        <v>1.5000000000000152E-3</v>
      </c>
      <c r="R549" s="3">
        <f t="shared" si="426"/>
        <v>0.496</v>
      </c>
      <c r="S549" s="3">
        <f t="shared" si="427"/>
        <v>0.22899999999999998</v>
      </c>
      <c r="T549" s="3">
        <f t="shared" si="428"/>
        <v>-0.26700000000000002</v>
      </c>
      <c r="U549" s="3">
        <f t="shared" si="429"/>
        <v>-9.5999999999999988E-2</v>
      </c>
      <c r="V549" s="3">
        <f t="shared" si="430"/>
        <v>-9.7500000000000003E-2</v>
      </c>
      <c r="W549" s="3">
        <f t="shared" si="402"/>
        <v>-1.5000000000000152E-3</v>
      </c>
      <c r="X549" s="3">
        <f t="shared" si="398"/>
        <v>9.2903225806451606E-3</v>
      </c>
      <c r="Y549" s="3">
        <f t="shared" si="399"/>
        <v>2.0756004366812231E-2</v>
      </c>
      <c r="Z549" s="3">
        <f t="shared" si="431"/>
        <v>1.1465681786167071E-2</v>
      </c>
      <c r="AA549" s="3">
        <v>1.8129999999999999</v>
      </c>
      <c r="AB549" s="3">
        <v>1.5049999999999999</v>
      </c>
      <c r="AC549" s="3">
        <f t="shared" si="432"/>
        <v>-0.30800000000000005</v>
      </c>
      <c r="AD549" s="3">
        <f>-440.812918*627.50956</f>
        <v>-276614.32021649607</v>
      </c>
      <c r="AE549" s="3">
        <f>-443.711184*627.50956</f>
        <v>-278433.00983891904</v>
      </c>
      <c r="AF549" s="3">
        <f t="shared" si="433"/>
        <v>-1818.6896224229713</v>
      </c>
      <c r="AG549" s="3">
        <f>-440.860345*627.50956</f>
        <v>-276644.08111239818</v>
      </c>
      <c r="AH549" s="3">
        <f>-443.759136*627.50956</f>
        <v>-278463.10017734015</v>
      </c>
      <c r="AI549" s="3">
        <f t="shared" si="434"/>
        <v>-1819.0190649419674</v>
      </c>
      <c r="AJ549" s="3">
        <v>-0.52900000000000003</v>
      </c>
      <c r="AK549" s="3">
        <v>-0.60699999999999998</v>
      </c>
      <c r="AL549" s="3">
        <f t="shared" si="435"/>
        <v>-7.7999999999999958E-2</v>
      </c>
      <c r="AM549" s="3">
        <v>141.21080000000001</v>
      </c>
      <c r="AN549" s="3">
        <v>221.66540000000001</v>
      </c>
      <c r="AO549" s="3">
        <v>247.63980000000001</v>
      </c>
      <c r="AP549" s="3">
        <f t="shared" si="397"/>
        <v>1.1625373002592325</v>
      </c>
      <c r="AQ549" s="3">
        <v>10.141999999999999</v>
      </c>
      <c r="AR549" s="3">
        <v>2.448388</v>
      </c>
      <c r="AS549" s="3">
        <v>-959.76900000000001</v>
      </c>
      <c r="AT549" s="3">
        <v>-958.05</v>
      </c>
      <c r="AU549" s="3">
        <f t="shared" si="411"/>
        <v>-1.7190000000000509</v>
      </c>
      <c r="AV549" s="3">
        <v>-0.317</v>
      </c>
      <c r="AW549" s="3">
        <v>-0.45</v>
      </c>
      <c r="AX549" s="3">
        <f t="shared" si="412"/>
        <v>0.13300000000000001</v>
      </c>
      <c r="AY549" s="3">
        <v>-2.4E-2</v>
      </c>
      <c r="AZ549" s="3">
        <v>0.13500000000000001</v>
      </c>
      <c r="BA549" s="3">
        <f t="shared" si="413"/>
        <v>-0.159</v>
      </c>
      <c r="BB549" s="3">
        <f t="shared" ref="BB549:BC562" si="437">-(AV549+AY549)/2</f>
        <v>0.17050000000000001</v>
      </c>
      <c r="BC549" s="3">
        <f t="shared" si="437"/>
        <v>0.1575</v>
      </c>
      <c r="BD549" s="3">
        <f t="shared" si="414"/>
        <v>1.3000000000000012E-2</v>
      </c>
      <c r="BE549" s="3">
        <f t="shared" ref="BE549:BF562" si="438">AY549-AV549</f>
        <v>0.29299999999999998</v>
      </c>
      <c r="BF549" s="3">
        <f t="shared" si="438"/>
        <v>0.58499999999999996</v>
      </c>
      <c r="BG549" s="3">
        <f t="shared" si="415"/>
        <v>-0.29199999999999998</v>
      </c>
      <c r="BH549" s="3">
        <f t="shared" ref="BH549:BI562" si="439">(AV549+AY549)/2</f>
        <v>-0.17050000000000001</v>
      </c>
      <c r="BI549" s="3">
        <f t="shared" si="439"/>
        <v>-0.1575</v>
      </c>
      <c r="BJ549" s="3">
        <f t="shared" si="406"/>
        <v>-1.3000000000000012E-2</v>
      </c>
      <c r="BK549" s="3">
        <f t="shared" si="400"/>
        <v>4.9607935153583631E-2</v>
      </c>
      <c r="BL549" s="3">
        <f t="shared" si="401"/>
        <v>2.120192307692308E-2</v>
      </c>
      <c r="BM549" s="3">
        <f t="shared" si="416"/>
        <v>2.8406012076660551E-2</v>
      </c>
      <c r="BN549" s="3">
        <v>2.2370000000000001</v>
      </c>
      <c r="BO549" s="3">
        <v>2.431</v>
      </c>
      <c r="BP549" s="3">
        <f t="shared" si="417"/>
        <v>-0.19399999999999995</v>
      </c>
      <c r="BQ549" s="3">
        <v>-602243.07700000005</v>
      </c>
      <c r="BR549" s="3">
        <v>-601163.24300000002</v>
      </c>
      <c r="BS549" s="3">
        <f t="shared" si="418"/>
        <v>-1079.8340000000317</v>
      </c>
      <c r="BT549" s="3">
        <v>-602262.36399999994</v>
      </c>
      <c r="BU549" s="3">
        <v>-601182.38500000001</v>
      </c>
      <c r="BV549" s="3">
        <f t="shared" si="419"/>
        <v>-1079.9789999999339</v>
      </c>
    </row>
    <row r="550" spans="1:74" x14ac:dyDescent="0.25">
      <c r="A550" t="s">
        <v>621</v>
      </c>
      <c r="B550" s="1" t="s">
        <v>646</v>
      </c>
      <c r="C550" s="1" t="s">
        <v>99</v>
      </c>
      <c r="D550" s="3">
        <v>10.130000000000001</v>
      </c>
      <c r="E550" s="3">
        <v>0.91</v>
      </c>
      <c r="F550" s="3">
        <v>-1868.7180000000001</v>
      </c>
      <c r="G550" s="3">
        <v>-1877.46</v>
      </c>
      <c r="H550" s="3">
        <f t="shared" si="436"/>
        <v>-8.7419999999999618</v>
      </c>
      <c r="I550" s="3">
        <v>-0.30399999999999999</v>
      </c>
      <c r="J550" s="6">
        <v>-0.218</v>
      </c>
      <c r="K550" s="3">
        <f t="shared" si="423"/>
        <v>8.5999999999999993E-2</v>
      </c>
      <c r="L550" s="3">
        <v>4.2000000000000003E-2</v>
      </c>
      <c r="M550" s="6">
        <v>-4.2000000000000003E-2</v>
      </c>
      <c r="N550" s="3">
        <f t="shared" si="424"/>
        <v>-8.4000000000000005E-2</v>
      </c>
      <c r="O550" s="3">
        <f t="shared" si="407"/>
        <v>0.13100000000000001</v>
      </c>
      <c r="P550" s="3">
        <f t="shared" si="407"/>
        <v>0.13</v>
      </c>
      <c r="Q550" s="3">
        <f t="shared" si="425"/>
        <v>-1.0000000000000009E-3</v>
      </c>
      <c r="R550" s="3">
        <f t="shared" si="426"/>
        <v>0.34599999999999997</v>
      </c>
      <c r="S550" s="3">
        <f t="shared" si="427"/>
        <v>0.17599999999999999</v>
      </c>
      <c r="T550" s="3">
        <f t="shared" si="428"/>
        <v>-0.16999999999999998</v>
      </c>
      <c r="U550" s="3">
        <f t="shared" si="429"/>
        <v>-0.13100000000000001</v>
      </c>
      <c r="V550" s="3">
        <f t="shared" si="430"/>
        <v>-0.13</v>
      </c>
      <c r="W550" s="3">
        <f t="shared" si="402"/>
        <v>1.0000000000000009E-3</v>
      </c>
      <c r="X550" s="3">
        <f t="shared" si="398"/>
        <v>2.4799132947976886E-2</v>
      </c>
      <c r="Y550" s="3">
        <f t="shared" si="399"/>
        <v>4.8011363636363644E-2</v>
      </c>
      <c r="Z550" s="3">
        <f t="shared" si="431"/>
        <v>2.3212230688386758E-2</v>
      </c>
      <c r="AA550" s="3">
        <v>15.44</v>
      </c>
      <c r="AB550" s="3">
        <v>15.034000000000001</v>
      </c>
      <c r="AC550" s="3">
        <f t="shared" si="432"/>
        <v>-0.40599999999999881</v>
      </c>
      <c r="AD550" s="3">
        <f>-1868.327046*627.50956</f>
        <v>-1172393.0825715598</v>
      </c>
      <c r="AE550" s="3">
        <f>-1877.092804*627.50956</f>
        <v>-1177893.679517206</v>
      </c>
      <c r="AF550" s="3">
        <f t="shared" si="433"/>
        <v>-5500.596945646219</v>
      </c>
      <c r="AG550" s="3">
        <f>-1868.414246*627.50956</f>
        <v>-1172447.8014051917</v>
      </c>
      <c r="AH550" s="3">
        <f>-1877.184803*627.50956</f>
        <v>-1177951.4097692168</v>
      </c>
      <c r="AI550" s="3">
        <f t="shared" si="434"/>
        <v>-5503.6083640251309</v>
      </c>
      <c r="AJ550" s="3">
        <v>-0.45</v>
      </c>
      <c r="AK550" s="3">
        <v>-0.45400000000000001</v>
      </c>
      <c r="AL550" s="3">
        <f t="shared" si="435"/>
        <v>-4.0000000000000036E-3</v>
      </c>
      <c r="AM550" s="3">
        <v>430.14170000000001</v>
      </c>
      <c r="AN550" s="3">
        <v>422.06729999999999</v>
      </c>
      <c r="AO550" s="3">
        <v>533.1499</v>
      </c>
      <c r="AP550" s="3">
        <f t="shared" si="397"/>
        <v>1.3276128128242046</v>
      </c>
      <c r="AQ550" s="3">
        <v>13.224</v>
      </c>
      <c r="AR550" s="3">
        <v>3.8378700000000001</v>
      </c>
      <c r="AS550" s="3">
        <v>-132.80099999999999</v>
      </c>
      <c r="AT550" s="3">
        <v>-131.97</v>
      </c>
      <c r="AU550" s="3">
        <f t="shared" si="411"/>
        <v>-0.83099999999998886</v>
      </c>
      <c r="AV550" s="3">
        <v>-0.34100000000000003</v>
      </c>
      <c r="AW550" s="3">
        <v>-0.47499999999999998</v>
      </c>
      <c r="AX550" s="3">
        <f t="shared" si="412"/>
        <v>0.13399999999999995</v>
      </c>
      <c r="AY550" s="3">
        <v>2.9000000000000001E-2</v>
      </c>
      <c r="AZ550" s="3">
        <v>0.156</v>
      </c>
      <c r="BA550" s="3">
        <f t="shared" si="413"/>
        <v>-0.127</v>
      </c>
      <c r="BB550" s="3">
        <f t="shared" si="437"/>
        <v>0.156</v>
      </c>
      <c r="BC550" s="3">
        <f t="shared" si="437"/>
        <v>0.15949999999999998</v>
      </c>
      <c r="BD550" s="3">
        <f t="shared" si="414"/>
        <v>-3.4999999999999754E-3</v>
      </c>
      <c r="BE550" s="3">
        <f t="shared" si="438"/>
        <v>0.37000000000000005</v>
      </c>
      <c r="BF550" s="3">
        <f t="shared" si="438"/>
        <v>0.63100000000000001</v>
      </c>
      <c r="BG550" s="3">
        <f t="shared" si="415"/>
        <v>-0.26099999999999995</v>
      </c>
      <c r="BH550" s="3">
        <f t="shared" si="439"/>
        <v>-0.156</v>
      </c>
      <c r="BI550" s="3">
        <f t="shared" si="439"/>
        <v>-0.15949999999999998</v>
      </c>
      <c r="BJ550" s="3">
        <f t="shared" si="406"/>
        <v>3.4999999999999754E-3</v>
      </c>
      <c r="BK550" s="3">
        <f t="shared" si="400"/>
        <v>3.2886486486486483E-2</v>
      </c>
      <c r="BL550" s="3">
        <f t="shared" si="401"/>
        <v>2.0158676703645E-2</v>
      </c>
      <c r="BM550" s="3">
        <f t="shared" si="416"/>
        <v>1.2727809782841482E-2</v>
      </c>
      <c r="BN550" s="3">
        <v>4.7279999999999998</v>
      </c>
      <c r="BO550" s="3">
        <v>4.9340000000000002</v>
      </c>
      <c r="BP550" s="3">
        <f t="shared" si="417"/>
        <v>-0.20600000000000041</v>
      </c>
      <c r="BQ550" s="3">
        <v>-83302.89</v>
      </c>
      <c r="BR550" s="3">
        <v>-82779.224000000002</v>
      </c>
      <c r="BS550" s="3">
        <f t="shared" si="418"/>
        <v>-523.66599999999744</v>
      </c>
      <c r="BT550" s="3">
        <v>-83320.774999999994</v>
      </c>
      <c r="BU550" s="3">
        <v>-82796.997000000003</v>
      </c>
      <c r="BV550" s="3">
        <f t="shared" si="419"/>
        <v>-523.77799999999115</v>
      </c>
    </row>
    <row r="551" spans="1:74" x14ac:dyDescent="0.25">
      <c r="A551" t="s">
        <v>622</v>
      </c>
      <c r="B551" s="1" t="s">
        <v>646</v>
      </c>
      <c r="C551" s="1" t="s">
        <v>103</v>
      </c>
      <c r="D551" s="3">
        <v>10.19</v>
      </c>
      <c r="E551" s="3">
        <v>1.06</v>
      </c>
      <c r="F551" s="3">
        <v>-1245.48</v>
      </c>
      <c r="G551" s="3">
        <v>-1253.787</v>
      </c>
      <c r="H551" s="3">
        <f t="shared" si="436"/>
        <v>-8.3070000000000164</v>
      </c>
      <c r="I551" s="3">
        <v>-0.26300000000000001</v>
      </c>
      <c r="J551" s="6">
        <v>-0.182</v>
      </c>
      <c r="K551" s="3">
        <f t="shared" si="423"/>
        <v>8.1000000000000016E-2</v>
      </c>
      <c r="L551" s="3">
        <v>0.105</v>
      </c>
      <c r="M551" s="6">
        <v>-3.4000000000000002E-2</v>
      </c>
      <c r="N551" s="3">
        <f t="shared" si="424"/>
        <v>-0.13900000000000001</v>
      </c>
      <c r="O551" s="3">
        <f t="shared" si="407"/>
        <v>7.9000000000000015E-2</v>
      </c>
      <c r="P551" s="3">
        <f t="shared" si="407"/>
        <v>0.108</v>
      </c>
      <c r="Q551" s="3">
        <f t="shared" si="425"/>
        <v>2.8999999999999984E-2</v>
      </c>
      <c r="R551" s="3">
        <f t="shared" si="426"/>
        <v>0.36799999999999999</v>
      </c>
      <c r="S551" s="3">
        <f t="shared" si="427"/>
        <v>0.14799999999999999</v>
      </c>
      <c r="T551" s="3">
        <f t="shared" si="428"/>
        <v>-0.22</v>
      </c>
      <c r="U551" s="3">
        <f t="shared" si="429"/>
        <v>-7.9000000000000015E-2</v>
      </c>
      <c r="V551" s="3">
        <f t="shared" si="430"/>
        <v>-0.108</v>
      </c>
      <c r="W551" s="3">
        <f t="shared" si="402"/>
        <v>-2.8999999999999984E-2</v>
      </c>
      <c r="X551" s="3">
        <f t="shared" si="398"/>
        <v>8.4796195652173945E-3</v>
      </c>
      <c r="Y551" s="3">
        <f t="shared" si="399"/>
        <v>3.9405405405405401E-2</v>
      </c>
      <c r="Z551" s="3">
        <f t="shared" si="431"/>
        <v>3.0925785840188007E-2</v>
      </c>
      <c r="AA551" s="3">
        <v>3.7080000000000002</v>
      </c>
      <c r="AB551" s="3">
        <v>4.6710000000000003</v>
      </c>
      <c r="AC551" s="3">
        <f t="shared" si="432"/>
        <v>0.96300000000000008</v>
      </c>
      <c r="AD551" s="3">
        <f>-1244.905534*627.50956</f>
        <v>-781190.12388190499</v>
      </c>
      <c r="AE551" s="3">
        <f>-1253.246429*627.50956</f>
        <v>-786424.11523336126</v>
      </c>
      <c r="AF551" s="3">
        <f t="shared" si="433"/>
        <v>-5233.991351456265</v>
      </c>
      <c r="AG551" s="3">
        <f>-1244.988042*627.50956</f>
        <v>-781241.8984406814</v>
      </c>
      <c r="AH551" s="3">
        <f>-1253.333377*627.50956</f>
        <v>-786478.675934584</v>
      </c>
      <c r="AI551" s="3">
        <f t="shared" si="434"/>
        <v>-5236.7774939025985</v>
      </c>
      <c r="AJ551" s="3">
        <v>-0.373</v>
      </c>
      <c r="AK551" s="3">
        <v>-0.34699999999999998</v>
      </c>
      <c r="AL551" s="3">
        <f t="shared" si="435"/>
        <v>2.6000000000000023E-2</v>
      </c>
      <c r="AM551" s="3">
        <v>415.5686</v>
      </c>
      <c r="AN551" s="3">
        <v>476.90069999999997</v>
      </c>
      <c r="AO551" s="3">
        <v>628.73810000000003</v>
      </c>
      <c r="AP551" s="3">
        <f t="shared" si="397"/>
        <v>1.3439116685395842</v>
      </c>
      <c r="AQ551" s="3">
        <v>16.727</v>
      </c>
      <c r="AR551" s="3">
        <v>3.97235</v>
      </c>
      <c r="AS551" s="3">
        <v>-959.76900000000001</v>
      </c>
      <c r="AT551" s="3">
        <v>-958.05</v>
      </c>
      <c r="AU551" s="3">
        <f t="shared" si="411"/>
        <v>-1.7190000000000509</v>
      </c>
      <c r="AV551" s="3">
        <v>-0.317</v>
      </c>
      <c r="AW551" s="3">
        <v>-0.45</v>
      </c>
      <c r="AX551" s="3">
        <f t="shared" si="412"/>
        <v>0.13300000000000001</v>
      </c>
      <c r="AY551" s="3">
        <v>-2.4E-2</v>
      </c>
      <c r="AZ551" s="3">
        <v>0.13500000000000001</v>
      </c>
      <c r="BA551" s="3">
        <f t="shared" si="413"/>
        <v>-0.159</v>
      </c>
      <c r="BB551" s="3">
        <f t="shared" si="437"/>
        <v>0.17050000000000001</v>
      </c>
      <c r="BC551" s="3">
        <f t="shared" si="437"/>
        <v>0.1575</v>
      </c>
      <c r="BD551" s="3">
        <f t="shared" si="414"/>
        <v>1.3000000000000012E-2</v>
      </c>
      <c r="BE551" s="3">
        <f t="shared" si="438"/>
        <v>0.29299999999999998</v>
      </c>
      <c r="BF551" s="3">
        <f t="shared" si="438"/>
        <v>0.58499999999999996</v>
      </c>
      <c r="BG551" s="3">
        <f t="shared" si="415"/>
        <v>-0.29199999999999998</v>
      </c>
      <c r="BH551" s="3">
        <f t="shared" si="439"/>
        <v>-0.17050000000000001</v>
      </c>
      <c r="BI551" s="3">
        <f t="shared" si="439"/>
        <v>-0.1575</v>
      </c>
      <c r="BJ551" s="3">
        <f t="shared" si="406"/>
        <v>-1.3000000000000012E-2</v>
      </c>
      <c r="BK551" s="3">
        <f t="shared" si="400"/>
        <v>4.9607935153583631E-2</v>
      </c>
      <c r="BL551" s="3">
        <f t="shared" si="401"/>
        <v>2.120192307692308E-2</v>
      </c>
      <c r="BM551" s="3">
        <f t="shared" si="416"/>
        <v>2.8406012076660551E-2</v>
      </c>
      <c r="BN551" s="3">
        <v>2.2370000000000001</v>
      </c>
      <c r="BO551" s="3">
        <v>2.431</v>
      </c>
      <c r="BP551" s="3">
        <f t="shared" si="417"/>
        <v>-0.19399999999999995</v>
      </c>
      <c r="BQ551" s="3">
        <v>-602243.07700000005</v>
      </c>
      <c r="BR551" s="3">
        <v>-601163.24300000002</v>
      </c>
      <c r="BS551" s="3">
        <f t="shared" si="418"/>
        <v>-1079.8340000000317</v>
      </c>
      <c r="BT551" s="3">
        <v>-602262.36399999994</v>
      </c>
      <c r="BU551" s="3">
        <v>-601182.38500000001</v>
      </c>
      <c r="BV551" s="3">
        <f t="shared" si="419"/>
        <v>-1079.9789999999339</v>
      </c>
    </row>
    <row r="552" spans="1:74" x14ac:dyDescent="0.25">
      <c r="A552" t="s">
        <v>624</v>
      </c>
      <c r="B552" s="1" t="s">
        <v>646</v>
      </c>
      <c r="C552" s="1" t="s">
        <v>103</v>
      </c>
      <c r="D552" s="3">
        <v>10.210000000000001</v>
      </c>
      <c r="E552" s="3">
        <v>0.82</v>
      </c>
      <c r="F552" s="3">
        <v>-791.31200000000001</v>
      </c>
      <c r="G552" s="3">
        <v>-795.17700000000002</v>
      </c>
      <c r="H552" s="3">
        <f t="shared" si="436"/>
        <v>-3.8650000000000091</v>
      </c>
      <c r="I552" s="3">
        <v>-0.32700000000000001</v>
      </c>
      <c r="J552" s="6">
        <v>-0.218</v>
      </c>
      <c r="K552" s="3">
        <f t="shared" si="423"/>
        <v>0.10900000000000001</v>
      </c>
      <c r="L552" s="3">
        <v>0.13800000000000001</v>
      </c>
      <c r="M552" s="6">
        <v>2.9000000000000001E-2</v>
      </c>
      <c r="N552" s="3">
        <f t="shared" si="424"/>
        <v>-0.10900000000000001</v>
      </c>
      <c r="O552" s="3">
        <f t="shared" si="407"/>
        <v>9.4500000000000001E-2</v>
      </c>
      <c r="P552" s="3">
        <f t="shared" si="407"/>
        <v>9.4500000000000001E-2</v>
      </c>
      <c r="Q552" s="3">
        <f t="shared" si="425"/>
        <v>0</v>
      </c>
      <c r="R552" s="3">
        <f t="shared" si="426"/>
        <v>0.46500000000000002</v>
      </c>
      <c r="S552" s="3">
        <f t="shared" si="427"/>
        <v>0.247</v>
      </c>
      <c r="T552" s="3">
        <f t="shared" si="428"/>
        <v>-0.21800000000000003</v>
      </c>
      <c r="U552" s="3">
        <f t="shared" si="429"/>
        <v>-9.4500000000000001E-2</v>
      </c>
      <c r="V552" s="3">
        <f t="shared" si="430"/>
        <v>-9.4500000000000001E-2</v>
      </c>
      <c r="W552" s="3">
        <f t="shared" si="402"/>
        <v>0</v>
      </c>
      <c r="X552" s="3">
        <f t="shared" si="398"/>
        <v>9.6024193548387097E-3</v>
      </c>
      <c r="Y552" s="3">
        <f t="shared" si="399"/>
        <v>1.8077429149797573E-2</v>
      </c>
      <c r="Z552" s="3">
        <f t="shared" si="431"/>
        <v>8.475009794958863E-3</v>
      </c>
      <c r="AA552" s="3">
        <v>2.931</v>
      </c>
      <c r="AB552" s="3">
        <v>2.9380000000000002</v>
      </c>
      <c r="AC552" s="3">
        <f t="shared" si="432"/>
        <v>7.0000000000001172E-3</v>
      </c>
      <c r="AD552" s="3">
        <f>-791.002379*627.50956</f>
        <v>-496361.55480524321</v>
      </c>
      <c r="AE552" s="3">
        <f>-794.884087*627.50956</f>
        <v>-498797.3636843717</v>
      </c>
      <c r="AF552" s="3">
        <f t="shared" si="433"/>
        <v>-2435.8088791284827</v>
      </c>
      <c r="AG552" s="3">
        <f>-791.06663*627.50956</f>
        <v>-496401.87292198278</v>
      </c>
      <c r="AH552" s="3">
        <f>-794.949867*627.50956</f>
        <v>-498838.64126322849</v>
      </c>
      <c r="AI552" s="3">
        <f t="shared" si="434"/>
        <v>-2436.7683412457118</v>
      </c>
      <c r="AJ552" s="3">
        <v>-0.60899999999999999</v>
      </c>
      <c r="AK552" s="3">
        <v>-0.60599999999999998</v>
      </c>
      <c r="AL552" s="3">
        <f t="shared" si="435"/>
        <v>3.0000000000000027E-3</v>
      </c>
      <c r="AM552" s="3">
        <v>188.33940000000001</v>
      </c>
      <c r="AN552" s="3">
        <v>300.30590000000001</v>
      </c>
      <c r="AO552" s="3">
        <v>338.7731</v>
      </c>
      <c r="AP552" s="3">
        <f t="shared" si="397"/>
        <v>1.2780481115153788</v>
      </c>
      <c r="AQ552" s="3">
        <v>13.414999999999999</v>
      </c>
      <c r="AR552" s="3">
        <v>3.1821299999999999</v>
      </c>
      <c r="AS552" s="3">
        <v>-959.76900000000001</v>
      </c>
      <c r="AT552" s="3">
        <v>-958.05</v>
      </c>
      <c r="AU552" s="3">
        <f t="shared" si="411"/>
        <v>-1.7190000000000509</v>
      </c>
      <c r="AV552" s="3">
        <v>-0.317</v>
      </c>
      <c r="AW552" s="3">
        <v>-0.45</v>
      </c>
      <c r="AX552" s="3">
        <f t="shared" si="412"/>
        <v>0.13300000000000001</v>
      </c>
      <c r="AY552" s="3">
        <v>-2.4E-2</v>
      </c>
      <c r="AZ552" s="3">
        <v>0.13500000000000001</v>
      </c>
      <c r="BA552" s="3">
        <f t="shared" si="413"/>
        <v>-0.159</v>
      </c>
      <c r="BB552" s="3">
        <f t="shared" si="437"/>
        <v>0.17050000000000001</v>
      </c>
      <c r="BC552" s="3">
        <f t="shared" si="437"/>
        <v>0.1575</v>
      </c>
      <c r="BD552" s="3">
        <f t="shared" si="414"/>
        <v>1.3000000000000012E-2</v>
      </c>
      <c r="BE552" s="3">
        <f t="shared" si="438"/>
        <v>0.29299999999999998</v>
      </c>
      <c r="BF552" s="3">
        <f t="shared" si="438"/>
        <v>0.58499999999999996</v>
      </c>
      <c r="BG552" s="3">
        <f t="shared" si="415"/>
        <v>-0.29199999999999998</v>
      </c>
      <c r="BH552" s="3">
        <f t="shared" si="439"/>
        <v>-0.17050000000000001</v>
      </c>
      <c r="BI552" s="3">
        <f t="shared" si="439"/>
        <v>-0.1575</v>
      </c>
      <c r="BJ552" s="3">
        <f t="shared" si="406"/>
        <v>-1.3000000000000012E-2</v>
      </c>
      <c r="BK552" s="3">
        <f t="shared" si="400"/>
        <v>4.9607935153583631E-2</v>
      </c>
      <c r="BL552" s="3">
        <f t="shared" si="401"/>
        <v>2.120192307692308E-2</v>
      </c>
      <c r="BM552" s="3">
        <f t="shared" si="416"/>
        <v>2.8406012076660551E-2</v>
      </c>
      <c r="BN552" s="3">
        <v>2.2370000000000001</v>
      </c>
      <c r="BO552" s="3">
        <v>2.431</v>
      </c>
      <c r="BP552" s="3">
        <f t="shared" si="417"/>
        <v>-0.19399999999999995</v>
      </c>
      <c r="BQ552" s="3">
        <v>-602243.07700000005</v>
      </c>
      <c r="BR552" s="3">
        <v>-601163.24300000002</v>
      </c>
      <c r="BS552" s="3">
        <f t="shared" si="418"/>
        <v>-1079.8340000000317</v>
      </c>
      <c r="BT552" s="3">
        <v>-602262.36399999994</v>
      </c>
      <c r="BU552" s="3">
        <v>-601182.38500000001</v>
      </c>
      <c r="BV552" s="3">
        <f t="shared" si="419"/>
        <v>-1079.9789999999339</v>
      </c>
    </row>
    <row r="553" spans="1:74" x14ac:dyDescent="0.25">
      <c r="A553" t="s">
        <v>625</v>
      </c>
      <c r="B553" s="1" t="s">
        <v>646</v>
      </c>
      <c r="C553" s="1" t="s">
        <v>99</v>
      </c>
      <c r="D553" s="3">
        <v>10.3</v>
      </c>
      <c r="E553" s="3">
        <v>0.8</v>
      </c>
      <c r="F553" s="3">
        <v>-592.56899999999996</v>
      </c>
      <c r="G553" s="3">
        <v>-596.40599999999995</v>
      </c>
      <c r="H553" s="3">
        <f t="shared" si="436"/>
        <v>-3.8369999999999891</v>
      </c>
      <c r="I553" s="3">
        <v>-0.311</v>
      </c>
      <c r="J553" s="6">
        <v>-0.214</v>
      </c>
      <c r="K553" s="3">
        <f t="shared" si="423"/>
        <v>9.7000000000000003E-2</v>
      </c>
      <c r="L553" s="3">
        <v>0.112</v>
      </c>
      <c r="M553" s="6">
        <v>-3.1E-2</v>
      </c>
      <c r="N553" s="3">
        <f t="shared" si="424"/>
        <v>-0.14300000000000002</v>
      </c>
      <c r="O553" s="3">
        <f t="shared" si="407"/>
        <v>9.9500000000000005E-2</v>
      </c>
      <c r="P553" s="3">
        <f t="shared" si="407"/>
        <v>0.1225</v>
      </c>
      <c r="Q553" s="3">
        <f t="shared" si="425"/>
        <v>2.2999999999999993E-2</v>
      </c>
      <c r="R553" s="3">
        <f t="shared" si="426"/>
        <v>0.42299999999999999</v>
      </c>
      <c r="S553" s="3">
        <f t="shared" si="427"/>
        <v>0.183</v>
      </c>
      <c r="T553" s="3">
        <f t="shared" si="428"/>
        <v>-0.24</v>
      </c>
      <c r="U553" s="3">
        <f t="shared" si="429"/>
        <v>-9.9500000000000005E-2</v>
      </c>
      <c r="V553" s="3">
        <f t="shared" si="430"/>
        <v>-0.1225</v>
      </c>
      <c r="W553" s="3">
        <f t="shared" si="402"/>
        <v>-2.2999999999999993E-2</v>
      </c>
      <c r="X553" s="3">
        <f t="shared" si="398"/>
        <v>1.1702423167848702E-2</v>
      </c>
      <c r="Y553" s="3">
        <f t="shared" si="399"/>
        <v>4.1000683060109289E-2</v>
      </c>
      <c r="Z553" s="3">
        <f t="shared" si="431"/>
        <v>2.9298259892260585E-2</v>
      </c>
      <c r="AA553" s="3">
        <v>1.0680000000000001</v>
      </c>
      <c r="AB553" s="3">
        <v>0.92900000000000005</v>
      </c>
      <c r="AC553" s="3">
        <f t="shared" si="432"/>
        <v>-0.13900000000000001</v>
      </c>
      <c r="AD553" s="3">
        <f>-592.291724*627.50956</f>
        <v>-371668.71911888145</v>
      </c>
      <c r="AE553" s="3">
        <f>-596.144786*627.50956</f>
        <v>-374086.5523591541</v>
      </c>
      <c r="AF553" s="3">
        <f t="shared" si="433"/>
        <v>-2417.8332402726519</v>
      </c>
      <c r="AG553" s="3">
        <f>-592.341701*627.50956</f>
        <v>-371700.08016416151</v>
      </c>
      <c r="AH553" s="3">
        <f>-596.195991*627.50956</f>
        <v>-374118.68398617394</v>
      </c>
      <c r="AI553" s="3">
        <f t="shared" si="434"/>
        <v>-2418.6038220124319</v>
      </c>
      <c r="AJ553" s="3">
        <v>-0.44600000000000001</v>
      </c>
      <c r="AK553" s="3">
        <v>-0.47199999999999998</v>
      </c>
      <c r="AL553" s="3">
        <f t="shared" si="435"/>
        <v>-2.5999999999999968E-2</v>
      </c>
      <c r="AM553" s="3">
        <v>189.25360000000001</v>
      </c>
      <c r="AN553" s="3">
        <v>258.40039999999999</v>
      </c>
      <c r="AO553" s="3">
        <v>299.79950000000002</v>
      </c>
      <c r="AP553" s="3">
        <f t="shared" si="397"/>
        <v>1.1930588386933414</v>
      </c>
      <c r="AQ553" s="3">
        <v>11.814</v>
      </c>
      <c r="AR553" s="3">
        <v>2.8281900000000002</v>
      </c>
      <c r="AS553" s="3">
        <v>-132.80099999999999</v>
      </c>
      <c r="AT553" s="3">
        <v>-131.97</v>
      </c>
      <c r="AU553" s="3">
        <f t="shared" si="411"/>
        <v>-0.83099999999998886</v>
      </c>
      <c r="AV553" s="3">
        <v>-0.34100000000000003</v>
      </c>
      <c r="AW553" s="3">
        <v>-0.47499999999999998</v>
      </c>
      <c r="AX553" s="3">
        <f t="shared" si="412"/>
        <v>0.13399999999999995</v>
      </c>
      <c r="AY553" s="3">
        <v>2.9000000000000001E-2</v>
      </c>
      <c r="AZ553" s="3">
        <v>0.156</v>
      </c>
      <c r="BA553" s="3">
        <f t="shared" si="413"/>
        <v>-0.127</v>
      </c>
      <c r="BB553" s="3">
        <f t="shared" si="437"/>
        <v>0.156</v>
      </c>
      <c r="BC553" s="3">
        <f t="shared" si="437"/>
        <v>0.15949999999999998</v>
      </c>
      <c r="BD553" s="3">
        <f t="shared" si="414"/>
        <v>-3.4999999999999754E-3</v>
      </c>
      <c r="BE553" s="3">
        <f t="shared" si="438"/>
        <v>0.37000000000000005</v>
      </c>
      <c r="BF553" s="3">
        <f t="shared" si="438"/>
        <v>0.63100000000000001</v>
      </c>
      <c r="BG553" s="3">
        <f t="shared" si="415"/>
        <v>-0.26099999999999995</v>
      </c>
      <c r="BH553" s="3">
        <f t="shared" si="439"/>
        <v>-0.156</v>
      </c>
      <c r="BI553" s="3">
        <f t="shared" si="439"/>
        <v>-0.15949999999999998</v>
      </c>
      <c r="BJ553" s="3">
        <f t="shared" si="406"/>
        <v>3.4999999999999754E-3</v>
      </c>
      <c r="BK553" s="3">
        <f t="shared" si="400"/>
        <v>3.2886486486486483E-2</v>
      </c>
      <c r="BL553" s="3">
        <f t="shared" si="401"/>
        <v>2.0158676703645E-2</v>
      </c>
      <c r="BM553" s="3">
        <f t="shared" si="416"/>
        <v>1.2727809782841482E-2</v>
      </c>
      <c r="BN553" s="3">
        <v>4.7279999999999998</v>
      </c>
      <c r="BO553" s="3">
        <v>4.9340000000000002</v>
      </c>
      <c r="BP553" s="3">
        <f t="shared" si="417"/>
        <v>-0.20600000000000041</v>
      </c>
      <c r="BQ553" s="3">
        <v>-83302.89</v>
      </c>
      <c r="BR553" s="3">
        <v>-82779.224000000002</v>
      </c>
      <c r="BS553" s="3">
        <f t="shared" si="418"/>
        <v>-523.66599999999744</v>
      </c>
      <c r="BT553" s="3">
        <v>-83320.774999999994</v>
      </c>
      <c r="BU553" s="3">
        <v>-82796.997000000003</v>
      </c>
      <c r="BV553" s="3">
        <f t="shared" si="419"/>
        <v>-523.77799999999115</v>
      </c>
    </row>
    <row r="554" spans="1:74" x14ac:dyDescent="0.25">
      <c r="A554" t="s">
        <v>626</v>
      </c>
      <c r="B554" s="1" t="s">
        <v>646</v>
      </c>
      <c r="C554" s="1" t="s">
        <v>99</v>
      </c>
      <c r="D554" s="3">
        <v>10.42</v>
      </c>
      <c r="E554" s="3">
        <v>0.82</v>
      </c>
      <c r="F554" s="3">
        <v>-950.82299999999998</v>
      </c>
      <c r="G554" s="3">
        <v>-956.85299999999995</v>
      </c>
      <c r="H554" s="3">
        <f t="shared" si="436"/>
        <v>-6.0299999999999727</v>
      </c>
      <c r="I554" s="3">
        <v>-0.27900000000000003</v>
      </c>
      <c r="J554" s="6">
        <v>-0.19600000000000001</v>
      </c>
      <c r="K554" s="3">
        <f t="shared" si="423"/>
        <v>8.3000000000000018E-2</v>
      </c>
      <c r="L554" s="3">
        <v>5.0999999999999997E-2</v>
      </c>
      <c r="M554" s="6">
        <v>-9.1999999999999998E-2</v>
      </c>
      <c r="N554" s="3">
        <f t="shared" si="424"/>
        <v>-0.14299999999999999</v>
      </c>
      <c r="O554" s="3">
        <f t="shared" si="407"/>
        <v>0.11400000000000002</v>
      </c>
      <c r="P554" s="3">
        <f t="shared" si="407"/>
        <v>0.14400000000000002</v>
      </c>
      <c r="Q554" s="3">
        <f t="shared" si="425"/>
        <v>0.03</v>
      </c>
      <c r="R554" s="3">
        <f t="shared" si="426"/>
        <v>0.33</v>
      </c>
      <c r="S554" s="3">
        <f t="shared" si="427"/>
        <v>0.10400000000000001</v>
      </c>
      <c r="T554" s="3">
        <f t="shared" si="428"/>
        <v>-0.22600000000000001</v>
      </c>
      <c r="U554" s="3">
        <f t="shared" si="429"/>
        <v>-0.11400000000000002</v>
      </c>
      <c r="V554" s="3">
        <f t="shared" si="430"/>
        <v>-0.14400000000000002</v>
      </c>
      <c r="W554" s="3">
        <f t="shared" si="402"/>
        <v>-0.03</v>
      </c>
      <c r="X554" s="3">
        <f t="shared" si="398"/>
        <v>1.9690909090909096E-2</v>
      </c>
      <c r="Y554" s="3">
        <f t="shared" si="399"/>
        <v>9.9692307692307705E-2</v>
      </c>
      <c r="Z554" s="3">
        <f t="shared" si="431"/>
        <v>8.0001398601398613E-2</v>
      </c>
      <c r="AA554" s="3">
        <v>11.141</v>
      </c>
      <c r="AB554" s="3">
        <v>15.034000000000001</v>
      </c>
      <c r="AC554" s="3">
        <f t="shared" si="432"/>
        <v>3.8930000000000007</v>
      </c>
      <c r="AD554" s="3">
        <f>-950.455564*627.50956</f>
        <v>-596419.95276519179</v>
      </c>
      <c r="AE554" s="3">
        <f>-956.507417*627.50956</f>
        <v>-600217.54837840656</v>
      </c>
      <c r="AF554" s="3">
        <f t="shared" si="433"/>
        <v>-3797.5956132147694</v>
      </c>
      <c r="AG554" s="3">
        <f>-950.522676*627.50956</f>
        <v>-596462.06618678255</v>
      </c>
      <c r="AH554" s="3">
        <f>-956.576441*627.50956</f>
        <v>-600260.86159827595</v>
      </c>
      <c r="AI554" s="3">
        <f t="shared" si="434"/>
        <v>-3798.7954114933964</v>
      </c>
      <c r="AJ554" s="3">
        <v>-0.38900000000000001</v>
      </c>
      <c r="AK554" s="3">
        <v>-0.34100000000000003</v>
      </c>
      <c r="AL554" s="3">
        <f t="shared" si="435"/>
        <v>4.7999999999999987E-2</v>
      </c>
      <c r="AM554" s="3">
        <v>294.34771999999998</v>
      </c>
      <c r="AN554" s="3">
        <v>354.83686</v>
      </c>
      <c r="AO554" s="3">
        <v>425.64154000000002</v>
      </c>
      <c r="AP554" s="3">
        <f t="shared" si="397"/>
        <v>1.2969463381624158</v>
      </c>
      <c r="AQ554" s="3">
        <v>14.757999999999999</v>
      </c>
      <c r="AR554" s="3">
        <v>3.8454503</v>
      </c>
      <c r="AS554" s="3">
        <v>-132.80099999999999</v>
      </c>
      <c r="AT554" s="3">
        <v>-131.97</v>
      </c>
      <c r="AU554" s="3">
        <f t="shared" si="411"/>
        <v>-0.83099999999998886</v>
      </c>
      <c r="AV554" s="3">
        <v>-0.34100000000000003</v>
      </c>
      <c r="AW554" s="3">
        <v>-0.47499999999999998</v>
      </c>
      <c r="AX554" s="3">
        <f t="shared" si="412"/>
        <v>0.13399999999999995</v>
      </c>
      <c r="AY554" s="3">
        <v>2.9000000000000001E-2</v>
      </c>
      <c r="AZ554" s="3">
        <v>0.156</v>
      </c>
      <c r="BA554" s="3">
        <f t="shared" si="413"/>
        <v>-0.127</v>
      </c>
      <c r="BB554" s="3">
        <f t="shared" si="437"/>
        <v>0.156</v>
      </c>
      <c r="BC554" s="3">
        <f t="shared" si="437"/>
        <v>0.15949999999999998</v>
      </c>
      <c r="BD554" s="3">
        <f t="shared" si="414"/>
        <v>-3.4999999999999754E-3</v>
      </c>
      <c r="BE554" s="3">
        <f t="shared" si="438"/>
        <v>0.37000000000000005</v>
      </c>
      <c r="BF554" s="3">
        <f t="shared" si="438"/>
        <v>0.63100000000000001</v>
      </c>
      <c r="BG554" s="3">
        <f t="shared" si="415"/>
        <v>-0.26099999999999995</v>
      </c>
      <c r="BH554" s="3">
        <f t="shared" si="439"/>
        <v>-0.156</v>
      </c>
      <c r="BI554" s="3">
        <f t="shared" si="439"/>
        <v>-0.15949999999999998</v>
      </c>
      <c r="BJ554" s="3">
        <f t="shared" si="406"/>
        <v>3.4999999999999754E-3</v>
      </c>
      <c r="BK554" s="3">
        <f t="shared" si="400"/>
        <v>3.2886486486486483E-2</v>
      </c>
      <c r="BL554" s="3">
        <f t="shared" si="401"/>
        <v>2.0158676703645E-2</v>
      </c>
      <c r="BM554" s="3">
        <f t="shared" si="416"/>
        <v>1.2727809782841482E-2</v>
      </c>
      <c r="BN554" s="3">
        <v>4.7279999999999998</v>
      </c>
      <c r="BO554" s="3">
        <v>4.9340000000000002</v>
      </c>
      <c r="BP554" s="3">
        <f t="shared" si="417"/>
        <v>-0.20600000000000041</v>
      </c>
      <c r="BQ554" s="3">
        <v>-83302.89</v>
      </c>
      <c r="BR554" s="3">
        <v>-82779.224000000002</v>
      </c>
      <c r="BS554" s="3">
        <f t="shared" si="418"/>
        <v>-523.66599999999744</v>
      </c>
      <c r="BT554" s="3">
        <v>-83320.774999999994</v>
      </c>
      <c r="BU554" s="3">
        <v>-82796.997000000003</v>
      </c>
      <c r="BV554" s="3">
        <f t="shared" si="419"/>
        <v>-523.77799999999115</v>
      </c>
    </row>
    <row r="555" spans="1:74" x14ac:dyDescent="0.25">
      <c r="A555" t="s">
        <v>627</v>
      </c>
      <c r="B555" s="1" t="s">
        <v>646</v>
      </c>
      <c r="C555" s="1" t="s">
        <v>218</v>
      </c>
      <c r="D555" s="3">
        <v>10.45</v>
      </c>
      <c r="E555" s="3">
        <v>0.81</v>
      </c>
      <c r="F555" s="3">
        <v>-1141.5989999999999</v>
      </c>
      <c r="G555" s="3">
        <v>-1147.0840000000001</v>
      </c>
      <c r="H555" s="3">
        <f t="shared" si="436"/>
        <v>-5.4850000000001273</v>
      </c>
      <c r="I555" s="3">
        <v>-0.25800000000000001</v>
      </c>
      <c r="J555" s="6">
        <v>-0.17899999999999999</v>
      </c>
      <c r="K555" s="3">
        <f t="shared" si="423"/>
        <v>7.9000000000000015E-2</v>
      </c>
      <c r="L555" s="3">
        <v>0.107</v>
      </c>
      <c r="M555" s="6">
        <v>-3.5000000000000003E-2</v>
      </c>
      <c r="N555" s="3">
        <f t="shared" si="424"/>
        <v>-0.14200000000000002</v>
      </c>
      <c r="O555" s="3">
        <f t="shared" si="407"/>
        <v>7.5500000000000012E-2</v>
      </c>
      <c r="P555" s="3">
        <f t="shared" si="407"/>
        <v>0.107</v>
      </c>
      <c r="Q555" s="3">
        <f t="shared" si="425"/>
        <v>3.1499999999999986E-2</v>
      </c>
      <c r="R555" s="3">
        <f t="shared" si="426"/>
        <v>0.36499999999999999</v>
      </c>
      <c r="S555" s="3">
        <f t="shared" si="427"/>
        <v>0.14399999999999999</v>
      </c>
      <c r="T555" s="3">
        <f t="shared" si="428"/>
        <v>-0.221</v>
      </c>
      <c r="U555" s="3">
        <f t="shared" si="429"/>
        <v>-7.5500000000000012E-2</v>
      </c>
      <c r="V555" s="3">
        <f t="shared" si="430"/>
        <v>-0.107</v>
      </c>
      <c r="W555" s="3">
        <f t="shared" si="402"/>
        <v>-3.1499999999999986E-2</v>
      </c>
      <c r="X555" s="3">
        <f t="shared" si="398"/>
        <v>7.8085616438356188E-3</v>
      </c>
      <c r="Y555" s="3">
        <f t="shared" si="399"/>
        <v>3.9753472222222225E-2</v>
      </c>
      <c r="Z555" s="3">
        <f t="shared" si="431"/>
        <v>3.1944910578386609E-2</v>
      </c>
      <c r="AA555" s="3">
        <v>3.0659999999999998</v>
      </c>
      <c r="AB555" s="3">
        <v>2.6709999999999998</v>
      </c>
      <c r="AC555" s="3">
        <f t="shared" si="432"/>
        <v>-0.39500000000000002</v>
      </c>
      <c r="AD555" s="3">
        <f>-1141.292653*627.50956</f>
        <v>-716172.05051526264</v>
      </c>
      <c r="AE555" s="3">
        <f>-1146.795099*627.50956</f>
        <v>-719624.88798364636</v>
      </c>
      <c r="AF555" s="3">
        <f t="shared" si="433"/>
        <v>-3452.8374683837174</v>
      </c>
      <c r="AG555" s="3">
        <f>-1141.353913*627.50956</f>
        <v>-716210.4917509082</v>
      </c>
      <c r="AH555" s="3">
        <f>-1146.857856*627.50956</f>
        <v>-719664.26860110334</v>
      </c>
      <c r="AI555" s="3">
        <f t="shared" si="434"/>
        <v>-3453.7768501951359</v>
      </c>
      <c r="AJ555" s="3">
        <v>0.21299999999999999</v>
      </c>
      <c r="AK555" s="3">
        <v>5.6000000000000001E-2</v>
      </c>
      <c r="AL555" s="3">
        <f t="shared" si="435"/>
        <v>-0.157</v>
      </c>
      <c r="AM555" s="3">
        <v>269.3614</v>
      </c>
      <c r="AN555" s="3">
        <v>321.31524000000002</v>
      </c>
      <c r="AO555" s="3">
        <v>383.16030000000001</v>
      </c>
      <c r="AP555" s="3">
        <f t="shared" si="397"/>
        <v>1.2596994467611762</v>
      </c>
      <c r="AQ555" s="3">
        <v>14.048</v>
      </c>
      <c r="AR555" s="3">
        <v>3.304189</v>
      </c>
      <c r="AS555" s="3">
        <v>-232.511</v>
      </c>
      <c r="AT555" s="3">
        <v>-231.03200000000001</v>
      </c>
      <c r="AU555" s="3">
        <f t="shared" si="411"/>
        <v>-1.478999999999985</v>
      </c>
      <c r="AV555" s="3">
        <v>-0.246</v>
      </c>
      <c r="AW555" s="3">
        <v>-0.40400000000000003</v>
      </c>
      <c r="AX555" s="3">
        <f t="shared" si="412"/>
        <v>0.15800000000000003</v>
      </c>
      <c r="AY555" s="3">
        <v>3.5999999999999997E-2</v>
      </c>
      <c r="AZ555" s="3">
        <v>0.15</v>
      </c>
      <c r="BA555" s="3">
        <f t="shared" si="413"/>
        <v>-0.11399999999999999</v>
      </c>
      <c r="BB555" s="3">
        <f t="shared" si="437"/>
        <v>0.105</v>
      </c>
      <c r="BC555" s="3">
        <f t="shared" si="437"/>
        <v>0.127</v>
      </c>
      <c r="BD555" s="3">
        <f t="shared" si="414"/>
        <v>-2.2000000000000006E-2</v>
      </c>
      <c r="BE555" s="3">
        <f t="shared" si="438"/>
        <v>0.28199999999999997</v>
      </c>
      <c r="BF555" s="3">
        <f t="shared" si="438"/>
        <v>0.55400000000000005</v>
      </c>
      <c r="BG555" s="3">
        <f t="shared" si="415"/>
        <v>-0.27200000000000008</v>
      </c>
      <c r="BH555" s="3">
        <f t="shared" si="439"/>
        <v>-0.105</v>
      </c>
      <c r="BI555" s="3">
        <f t="shared" si="439"/>
        <v>-0.127</v>
      </c>
      <c r="BJ555" s="3">
        <f t="shared" si="406"/>
        <v>2.2000000000000006E-2</v>
      </c>
      <c r="BK555" s="3">
        <f t="shared" si="400"/>
        <v>1.9547872340425532E-2</v>
      </c>
      <c r="BL555" s="3">
        <f t="shared" si="401"/>
        <v>1.4556859205776172E-2</v>
      </c>
      <c r="BM555" s="3">
        <f t="shared" si="416"/>
        <v>4.9910131346493601E-3</v>
      </c>
      <c r="BN555" s="3">
        <v>2.206</v>
      </c>
      <c r="BO555" s="3">
        <v>2.2749999999999999</v>
      </c>
      <c r="BP555" s="3">
        <f t="shared" si="417"/>
        <v>-6.899999999999995E-2</v>
      </c>
      <c r="BQ555" s="3">
        <v>-145827.45000000001</v>
      </c>
      <c r="BR555" s="3">
        <v>-144894.345</v>
      </c>
      <c r="BS555" s="3">
        <f t="shared" si="418"/>
        <v>-933.10500000001048</v>
      </c>
      <c r="BT555" s="3">
        <v>-145847.03599999999</v>
      </c>
      <c r="BU555" s="3">
        <v>-144913.766</v>
      </c>
      <c r="BV555" s="3">
        <f t="shared" si="419"/>
        <v>-933.26999999998952</v>
      </c>
    </row>
    <row r="556" spans="1:74" x14ac:dyDescent="0.25">
      <c r="A556" t="s">
        <v>628</v>
      </c>
      <c r="B556" s="1" t="s">
        <v>646</v>
      </c>
      <c r="C556" s="1" t="s">
        <v>103</v>
      </c>
      <c r="D556" s="3">
        <v>10.48</v>
      </c>
      <c r="E556" s="3">
        <v>0.78</v>
      </c>
      <c r="F556" s="3">
        <v>-147.88399999999999</v>
      </c>
      <c r="G556" s="3">
        <v>-148.78399999999999</v>
      </c>
      <c r="H556" s="3">
        <f t="shared" si="436"/>
        <v>-0.90000000000000568</v>
      </c>
      <c r="I556" s="3">
        <v>-0.32400000000000001</v>
      </c>
      <c r="J556" s="6">
        <v>-0.22600000000000001</v>
      </c>
      <c r="K556" s="3">
        <f t="shared" si="423"/>
        <v>9.8000000000000004E-2</v>
      </c>
      <c r="L556" s="3">
        <v>0.13900000000000001</v>
      </c>
      <c r="M556" s="6">
        <v>-0.05</v>
      </c>
      <c r="N556" s="3">
        <f t="shared" si="424"/>
        <v>-0.189</v>
      </c>
      <c r="O556" s="3">
        <f t="shared" si="407"/>
        <v>9.2499999999999999E-2</v>
      </c>
      <c r="P556" s="3">
        <f t="shared" si="407"/>
        <v>0.13800000000000001</v>
      </c>
      <c r="Q556" s="3">
        <f t="shared" si="425"/>
        <v>4.5500000000000013E-2</v>
      </c>
      <c r="R556" s="3">
        <f t="shared" si="426"/>
        <v>0.46300000000000002</v>
      </c>
      <c r="S556" s="3">
        <f t="shared" si="427"/>
        <v>0.17599999999999999</v>
      </c>
      <c r="T556" s="3">
        <f t="shared" si="428"/>
        <v>-0.28700000000000003</v>
      </c>
      <c r="U556" s="3">
        <f t="shared" si="429"/>
        <v>-9.2499999999999999E-2</v>
      </c>
      <c r="V556" s="3">
        <f t="shared" si="430"/>
        <v>-0.13800000000000001</v>
      </c>
      <c r="W556" s="3">
        <f t="shared" si="402"/>
        <v>-4.5500000000000013E-2</v>
      </c>
      <c r="X556" s="3">
        <f t="shared" si="398"/>
        <v>9.240010799136068E-3</v>
      </c>
      <c r="Y556" s="3">
        <f t="shared" si="399"/>
        <v>5.4102272727272735E-2</v>
      </c>
      <c r="Z556" s="3">
        <f t="shared" si="431"/>
        <v>4.4862261928136665E-2</v>
      </c>
      <c r="AA556" s="3">
        <v>1.6759999999999999</v>
      </c>
      <c r="AB556" s="3">
        <v>2</v>
      </c>
      <c r="AC556" s="3">
        <f t="shared" si="432"/>
        <v>0.32400000000000007</v>
      </c>
      <c r="AD556" s="3">
        <f>-147.846186*627.50956</f>
        <v>-92774.895124538147</v>
      </c>
      <c r="AE556" s="3">
        <f>-148.748096*627.50956</f>
        <v>-93340.852271797761</v>
      </c>
      <c r="AF556" s="3">
        <f t="shared" si="433"/>
        <v>-565.95714725961443</v>
      </c>
      <c r="AG556" s="3">
        <f>-147.873344*627.50956</f>
        <v>-92791.937029168635</v>
      </c>
      <c r="AH556" s="3">
        <f>-148.775578*627.50956</f>
        <v>-93358.097489525666</v>
      </c>
      <c r="AI556" s="3">
        <f t="shared" si="434"/>
        <v>-566.16046035703039</v>
      </c>
      <c r="AJ556" s="3">
        <v>-0.443</v>
      </c>
      <c r="AK556" s="3">
        <v>-0.437</v>
      </c>
      <c r="AL556" s="3">
        <f t="shared" si="435"/>
        <v>6.0000000000000053E-3</v>
      </c>
      <c r="AM556" s="3">
        <v>42.03998</v>
      </c>
      <c r="AN556" s="3">
        <v>85.127200000000002</v>
      </c>
      <c r="AO556" s="3">
        <v>67.605670000000003</v>
      </c>
      <c r="AP556" s="3">
        <f t="shared" si="397"/>
        <v>1.0608864075105371</v>
      </c>
      <c r="AQ556" s="3">
        <v>5.835</v>
      </c>
      <c r="AR556" s="3">
        <v>1.0494123</v>
      </c>
      <c r="AS556" s="3">
        <v>-959.76900000000001</v>
      </c>
      <c r="AT556" s="3">
        <v>-958.05</v>
      </c>
      <c r="AU556" s="3">
        <f t="shared" si="411"/>
        <v>-1.7190000000000509</v>
      </c>
      <c r="AV556" s="3">
        <v>-0.317</v>
      </c>
      <c r="AW556" s="3">
        <v>-0.45</v>
      </c>
      <c r="AX556" s="3">
        <f t="shared" si="412"/>
        <v>0.13300000000000001</v>
      </c>
      <c r="AY556" s="3">
        <v>-2.4E-2</v>
      </c>
      <c r="AZ556" s="3">
        <v>0.13500000000000001</v>
      </c>
      <c r="BA556" s="3">
        <f t="shared" si="413"/>
        <v>-0.159</v>
      </c>
      <c r="BB556" s="3">
        <f t="shared" si="437"/>
        <v>0.17050000000000001</v>
      </c>
      <c r="BC556" s="3">
        <f t="shared" si="437"/>
        <v>0.1575</v>
      </c>
      <c r="BD556" s="3">
        <f t="shared" si="414"/>
        <v>1.3000000000000012E-2</v>
      </c>
      <c r="BE556" s="3">
        <f t="shared" si="438"/>
        <v>0.29299999999999998</v>
      </c>
      <c r="BF556" s="3">
        <f t="shared" si="438"/>
        <v>0.58499999999999996</v>
      </c>
      <c r="BG556" s="3">
        <f t="shared" si="415"/>
        <v>-0.29199999999999998</v>
      </c>
      <c r="BH556" s="3">
        <f t="shared" si="439"/>
        <v>-0.17050000000000001</v>
      </c>
      <c r="BI556" s="3">
        <f t="shared" si="439"/>
        <v>-0.1575</v>
      </c>
      <c r="BJ556" s="3">
        <f t="shared" si="406"/>
        <v>-1.3000000000000012E-2</v>
      </c>
      <c r="BK556" s="3">
        <f t="shared" si="400"/>
        <v>4.9607935153583631E-2</v>
      </c>
      <c r="BL556" s="3">
        <f t="shared" si="401"/>
        <v>2.120192307692308E-2</v>
      </c>
      <c r="BM556" s="3">
        <f t="shared" si="416"/>
        <v>2.8406012076660551E-2</v>
      </c>
      <c r="BN556" s="3">
        <v>2.2370000000000001</v>
      </c>
      <c r="BO556" s="3">
        <v>2.431</v>
      </c>
      <c r="BP556" s="3">
        <f t="shared" si="417"/>
        <v>-0.19399999999999995</v>
      </c>
      <c r="BQ556" s="3">
        <v>-602243.07700000005</v>
      </c>
      <c r="BR556" s="3">
        <v>-601163.24300000002</v>
      </c>
      <c r="BS556" s="3">
        <f t="shared" si="418"/>
        <v>-1079.8340000000317</v>
      </c>
      <c r="BT556" s="3">
        <v>-602262.36399999994</v>
      </c>
      <c r="BU556" s="3">
        <v>-601182.38500000001</v>
      </c>
      <c r="BV556" s="3">
        <f t="shared" si="419"/>
        <v>-1079.9789999999339</v>
      </c>
    </row>
    <row r="557" spans="1:74" x14ac:dyDescent="0.25">
      <c r="A557" t="s">
        <v>629</v>
      </c>
      <c r="B557" s="1" t="s">
        <v>646</v>
      </c>
      <c r="C557" s="1" t="s">
        <v>99</v>
      </c>
      <c r="D557" s="3">
        <v>10.52</v>
      </c>
      <c r="E557" s="3">
        <v>0.78</v>
      </c>
      <c r="F557" s="3">
        <v>-751.11</v>
      </c>
      <c r="G557" s="3">
        <v>-754.65099999999995</v>
      </c>
      <c r="H557" s="3">
        <f t="shared" si="436"/>
        <v>-3.54099999999994</v>
      </c>
      <c r="I557" s="3">
        <v>-0.313</v>
      </c>
      <c r="J557" s="6">
        <v>-0.20799999999999999</v>
      </c>
      <c r="K557" s="3">
        <f t="shared" si="423"/>
        <v>0.10500000000000001</v>
      </c>
      <c r="L557" s="3">
        <v>0.14099999999999999</v>
      </c>
      <c r="M557" s="6">
        <v>3.1E-2</v>
      </c>
      <c r="N557" s="3">
        <f t="shared" si="424"/>
        <v>-0.10999999999999999</v>
      </c>
      <c r="O557" s="3">
        <f t="shared" si="407"/>
        <v>8.6000000000000007E-2</v>
      </c>
      <c r="P557" s="3">
        <f t="shared" si="407"/>
        <v>8.8499999999999995E-2</v>
      </c>
      <c r="Q557" s="3">
        <f t="shared" si="425"/>
        <v>2.4999999999999883E-3</v>
      </c>
      <c r="R557" s="3">
        <f t="shared" si="426"/>
        <v>0.45399999999999996</v>
      </c>
      <c r="S557" s="3">
        <f t="shared" si="427"/>
        <v>0.23899999999999999</v>
      </c>
      <c r="T557" s="3">
        <f t="shared" si="428"/>
        <v>-0.21499999999999997</v>
      </c>
      <c r="U557" s="3">
        <f t="shared" si="429"/>
        <v>-8.6000000000000007E-2</v>
      </c>
      <c r="V557" s="3">
        <f t="shared" si="430"/>
        <v>-8.8499999999999995E-2</v>
      </c>
      <c r="W557" s="3">
        <f t="shared" si="402"/>
        <v>-2.4999999999999883E-3</v>
      </c>
      <c r="X557" s="3">
        <f t="shared" si="398"/>
        <v>8.1453744493392103E-3</v>
      </c>
      <c r="Y557" s="3">
        <f t="shared" si="399"/>
        <v>1.6385460251046025E-2</v>
      </c>
      <c r="Z557" s="3">
        <f t="shared" si="431"/>
        <v>8.2400858017068149E-3</v>
      </c>
      <c r="AA557" s="3">
        <v>2.266</v>
      </c>
      <c r="AB557" s="3">
        <v>2.1949999999999998</v>
      </c>
      <c r="AC557" s="3">
        <f t="shared" si="432"/>
        <v>-7.1000000000000174E-2</v>
      </c>
      <c r="AD557" s="3">
        <f>-750.85414*627.50956</f>
        <v>-471168.15101557842</v>
      </c>
      <c r="AE557" s="3">
        <f>-754.409118*627.50956</f>
        <v>-473398.93369616807</v>
      </c>
      <c r="AF557" s="3">
        <f t="shared" si="433"/>
        <v>-2230.7826805896475</v>
      </c>
      <c r="AG557" s="3">
        <f>-750.908818*627.50956</f>
        <v>-471202.46198330005</v>
      </c>
      <c r="AH557" s="3">
        <f>-754.465092*627.50956</f>
        <v>-473434.05791627953</v>
      </c>
      <c r="AI557" s="3">
        <f t="shared" si="434"/>
        <v>-2231.595932979486</v>
      </c>
      <c r="AJ557" s="3">
        <v>-0.41199999999999998</v>
      </c>
      <c r="AK557" s="3">
        <v>-0.39200000000000002</v>
      </c>
      <c r="AL557" s="3">
        <f t="shared" si="435"/>
        <v>1.9999999999999962E-2</v>
      </c>
      <c r="AM557" s="3">
        <v>172.29694000000001</v>
      </c>
      <c r="AN557" s="3">
        <v>256.6515</v>
      </c>
      <c r="AO557" s="3">
        <v>289.72109999999998</v>
      </c>
      <c r="AP557" s="3">
        <f t="shared" si="397"/>
        <v>1.2123081000935145</v>
      </c>
      <c r="AQ557" s="3">
        <v>11.141999999999999</v>
      </c>
      <c r="AR557" s="3">
        <v>2.5426487</v>
      </c>
      <c r="AS557" s="3">
        <v>-132.80099999999999</v>
      </c>
      <c r="AT557" s="3">
        <v>-131.97</v>
      </c>
      <c r="AU557" s="3">
        <f t="shared" si="411"/>
        <v>-0.83099999999998886</v>
      </c>
      <c r="AV557" s="3">
        <v>-0.34100000000000003</v>
      </c>
      <c r="AW557" s="3">
        <v>-0.47499999999999998</v>
      </c>
      <c r="AX557" s="3">
        <f t="shared" si="412"/>
        <v>0.13399999999999995</v>
      </c>
      <c r="AY557" s="3">
        <v>2.9000000000000001E-2</v>
      </c>
      <c r="AZ557" s="3">
        <v>0.156</v>
      </c>
      <c r="BA557" s="3">
        <f t="shared" si="413"/>
        <v>-0.127</v>
      </c>
      <c r="BB557" s="3">
        <f t="shared" si="437"/>
        <v>0.156</v>
      </c>
      <c r="BC557" s="3">
        <f t="shared" si="437"/>
        <v>0.15949999999999998</v>
      </c>
      <c r="BD557" s="3">
        <f t="shared" si="414"/>
        <v>-3.4999999999999754E-3</v>
      </c>
      <c r="BE557" s="3">
        <f t="shared" si="438"/>
        <v>0.37000000000000005</v>
      </c>
      <c r="BF557" s="3">
        <f t="shared" si="438"/>
        <v>0.63100000000000001</v>
      </c>
      <c r="BG557" s="3">
        <f t="shared" si="415"/>
        <v>-0.26099999999999995</v>
      </c>
      <c r="BH557" s="3">
        <f t="shared" si="439"/>
        <v>-0.156</v>
      </c>
      <c r="BI557" s="3">
        <f t="shared" si="439"/>
        <v>-0.15949999999999998</v>
      </c>
      <c r="BJ557" s="3">
        <f t="shared" si="406"/>
        <v>3.4999999999999754E-3</v>
      </c>
      <c r="BK557" s="3">
        <f t="shared" si="400"/>
        <v>3.2886486486486483E-2</v>
      </c>
      <c r="BL557" s="3">
        <f t="shared" si="401"/>
        <v>2.0158676703645E-2</v>
      </c>
      <c r="BM557" s="3">
        <f t="shared" si="416"/>
        <v>1.2727809782841482E-2</v>
      </c>
      <c r="BN557" s="3">
        <v>4.7279999999999998</v>
      </c>
      <c r="BO557" s="3">
        <v>4.9340000000000002</v>
      </c>
      <c r="BP557" s="3">
        <f t="shared" si="417"/>
        <v>-0.20600000000000041</v>
      </c>
      <c r="BQ557" s="3">
        <v>-83302.89</v>
      </c>
      <c r="BR557" s="3">
        <v>-82779.224000000002</v>
      </c>
      <c r="BS557" s="3">
        <f t="shared" si="418"/>
        <v>-523.66599999999744</v>
      </c>
      <c r="BT557" s="3">
        <v>-83320.774999999994</v>
      </c>
      <c r="BU557" s="3">
        <v>-82796.997000000003</v>
      </c>
      <c r="BV557" s="3">
        <f t="shared" si="419"/>
        <v>-523.77799999999115</v>
      </c>
    </row>
    <row r="558" spans="1:74" x14ac:dyDescent="0.25">
      <c r="A558" t="s">
        <v>630</v>
      </c>
      <c r="B558" s="1" t="s">
        <v>646</v>
      </c>
      <c r="C558" s="1" t="s">
        <v>99</v>
      </c>
      <c r="D558" s="3">
        <v>10.56</v>
      </c>
      <c r="E558" s="3">
        <v>1.01</v>
      </c>
      <c r="F558" s="3">
        <v>-1498.1</v>
      </c>
      <c r="G558" s="3">
        <v>-1506.713</v>
      </c>
      <c r="H558" s="3">
        <f t="shared" si="436"/>
        <v>-8.6130000000000564</v>
      </c>
      <c r="I558" s="3">
        <v>-0.27</v>
      </c>
      <c r="J558" s="6">
        <v>-0.185</v>
      </c>
      <c r="K558" s="3">
        <f t="shared" si="423"/>
        <v>8.500000000000002E-2</v>
      </c>
      <c r="L558" s="3">
        <v>0.111</v>
      </c>
      <c r="M558" s="6">
        <v>-2.9000000000000001E-2</v>
      </c>
      <c r="N558" s="3">
        <f t="shared" si="424"/>
        <v>-0.14000000000000001</v>
      </c>
      <c r="O558" s="3">
        <f t="shared" si="407"/>
        <v>7.9500000000000015E-2</v>
      </c>
      <c r="P558" s="3">
        <f t="shared" si="407"/>
        <v>0.107</v>
      </c>
      <c r="Q558" s="3">
        <f t="shared" si="425"/>
        <v>2.7499999999999983E-2</v>
      </c>
      <c r="R558" s="3">
        <f t="shared" si="426"/>
        <v>0.38100000000000001</v>
      </c>
      <c r="S558" s="3">
        <f t="shared" si="427"/>
        <v>0.156</v>
      </c>
      <c r="T558" s="3">
        <f t="shared" si="428"/>
        <v>-0.22500000000000001</v>
      </c>
      <c r="U558" s="3">
        <f t="shared" si="429"/>
        <v>-7.9500000000000015E-2</v>
      </c>
      <c r="V558" s="3">
        <f t="shared" si="430"/>
        <v>-0.107</v>
      </c>
      <c r="W558" s="3">
        <f t="shared" si="402"/>
        <v>-2.7499999999999983E-2</v>
      </c>
      <c r="X558" s="3">
        <f t="shared" si="398"/>
        <v>8.2942913385826798E-3</v>
      </c>
      <c r="Y558" s="3">
        <f t="shared" si="399"/>
        <v>3.6695512820512817E-2</v>
      </c>
      <c r="Z558" s="3">
        <f t="shared" si="431"/>
        <v>2.8401221481930139E-2</v>
      </c>
      <c r="AA558" s="3">
        <v>4.0490000000000004</v>
      </c>
      <c r="AB558" s="3">
        <v>5.22</v>
      </c>
      <c r="AC558" s="3">
        <f t="shared" si="432"/>
        <v>1.1709999999999994</v>
      </c>
      <c r="AD558" s="3">
        <f>-1497.497435*627.50956</f>
        <v>-939693.95653797849</v>
      </c>
      <c r="AE558" s="3">
        <f>-1506.143841*627.50956</f>
        <v>-945119.65896261996</v>
      </c>
      <c r="AF558" s="3">
        <f t="shared" si="433"/>
        <v>-5425.7024246414658</v>
      </c>
      <c r="AG558" s="3">
        <f>-1497.588557*627.50956</f>
        <v>-939751.13646410487</v>
      </c>
      <c r="AH558" s="3">
        <f>-1506.239301*627.50956</f>
        <v>-945179.56102521752</v>
      </c>
      <c r="AI558" s="3">
        <f t="shared" si="434"/>
        <v>-5428.4245611126535</v>
      </c>
      <c r="AJ558" s="3">
        <v>-0.36499999999999999</v>
      </c>
      <c r="AK558" s="3">
        <v>-0.35099999999999998</v>
      </c>
      <c r="AL558" s="3">
        <f t="shared" si="435"/>
        <v>1.4000000000000012E-2</v>
      </c>
      <c r="AM558" s="3">
        <v>427.65321999999998</v>
      </c>
      <c r="AN558" s="3">
        <v>490.42919999999998</v>
      </c>
      <c r="AO558" s="3">
        <v>665.49810000000002</v>
      </c>
      <c r="AP558" s="3">
        <f t="shared" si="397"/>
        <v>1.330661905039267</v>
      </c>
      <c r="AQ558" s="3">
        <v>16.016999999999999</v>
      </c>
      <c r="AR558" s="3">
        <v>4.0110279999999996</v>
      </c>
      <c r="AS558" s="3">
        <v>-132.80099999999999</v>
      </c>
      <c r="AT558" s="3">
        <v>-131.97</v>
      </c>
      <c r="AU558" s="3">
        <f t="shared" si="411"/>
        <v>-0.83099999999998886</v>
      </c>
      <c r="AV558" s="3">
        <v>-0.34100000000000003</v>
      </c>
      <c r="AW558" s="3">
        <v>-0.47499999999999998</v>
      </c>
      <c r="AX558" s="3">
        <f t="shared" si="412"/>
        <v>0.13399999999999995</v>
      </c>
      <c r="AY558" s="3">
        <v>2.9000000000000001E-2</v>
      </c>
      <c r="AZ558" s="3">
        <v>0.156</v>
      </c>
      <c r="BA558" s="3">
        <f t="shared" si="413"/>
        <v>-0.127</v>
      </c>
      <c r="BB558" s="3">
        <f t="shared" si="437"/>
        <v>0.156</v>
      </c>
      <c r="BC558" s="3">
        <f t="shared" si="437"/>
        <v>0.15949999999999998</v>
      </c>
      <c r="BD558" s="3">
        <f t="shared" si="414"/>
        <v>-3.4999999999999754E-3</v>
      </c>
      <c r="BE558" s="3">
        <f t="shared" si="438"/>
        <v>0.37000000000000005</v>
      </c>
      <c r="BF558" s="3">
        <f t="shared" si="438"/>
        <v>0.63100000000000001</v>
      </c>
      <c r="BG558" s="3">
        <f t="shared" si="415"/>
        <v>-0.26099999999999995</v>
      </c>
      <c r="BH558" s="3">
        <f t="shared" si="439"/>
        <v>-0.156</v>
      </c>
      <c r="BI558" s="3">
        <f t="shared" si="439"/>
        <v>-0.15949999999999998</v>
      </c>
      <c r="BJ558" s="3">
        <f t="shared" si="406"/>
        <v>3.4999999999999754E-3</v>
      </c>
      <c r="BK558" s="3">
        <f t="shared" si="400"/>
        <v>3.2886486486486483E-2</v>
      </c>
      <c r="BL558" s="3">
        <f t="shared" si="401"/>
        <v>2.0158676703645E-2</v>
      </c>
      <c r="BM558" s="3">
        <f t="shared" si="416"/>
        <v>1.2727809782841482E-2</v>
      </c>
      <c r="BN558" s="3">
        <v>4.7279999999999998</v>
      </c>
      <c r="BO558" s="3">
        <v>4.9340000000000002</v>
      </c>
      <c r="BP558" s="3">
        <f t="shared" si="417"/>
        <v>-0.20600000000000041</v>
      </c>
      <c r="BQ558" s="3">
        <v>-83302.89</v>
      </c>
      <c r="BR558" s="3">
        <v>-82779.224000000002</v>
      </c>
      <c r="BS558" s="3">
        <f t="shared" si="418"/>
        <v>-523.66599999999744</v>
      </c>
      <c r="BT558" s="3">
        <v>-83320.774999999994</v>
      </c>
      <c r="BU558" s="3">
        <v>-82796.997000000003</v>
      </c>
      <c r="BV558" s="3">
        <f t="shared" si="419"/>
        <v>-523.77799999999115</v>
      </c>
    </row>
    <row r="559" spans="1:74" x14ac:dyDescent="0.25">
      <c r="A559" t="s">
        <v>631</v>
      </c>
      <c r="B559" s="1" t="s">
        <v>646</v>
      </c>
      <c r="C559" s="1" t="s">
        <v>103</v>
      </c>
      <c r="D559" s="3">
        <v>10.61</v>
      </c>
      <c r="E559" s="3">
        <v>0.86</v>
      </c>
      <c r="F559" s="3">
        <v>-751.10900000000004</v>
      </c>
      <c r="G559" s="3">
        <v>-754.65</v>
      </c>
      <c r="H559" s="3">
        <f t="shared" si="436"/>
        <v>-3.54099999999994</v>
      </c>
      <c r="I559" s="3">
        <v>-0.312</v>
      </c>
      <c r="J559" s="6">
        <v>-0.20599999999999999</v>
      </c>
      <c r="K559" s="3">
        <f t="shared" si="423"/>
        <v>0.10600000000000001</v>
      </c>
      <c r="L559" s="3">
        <v>0.14099999999999999</v>
      </c>
      <c r="M559" s="6">
        <v>3.1E-2</v>
      </c>
      <c r="N559" s="3">
        <f t="shared" si="424"/>
        <v>-0.10999999999999999</v>
      </c>
      <c r="O559" s="3">
        <f t="shared" si="407"/>
        <v>8.5500000000000007E-2</v>
      </c>
      <c r="P559" s="3">
        <f t="shared" si="407"/>
        <v>8.7499999999999994E-2</v>
      </c>
      <c r="Q559" s="3">
        <f t="shared" si="425"/>
        <v>1.9999999999999879E-3</v>
      </c>
      <c r="R559" s="3">
        <f t="shared" si="426"/>
        <v>0.45299999999999996</v>
      </c>
      <c r="S559" s="3">
        <f t="shared" si="427"/>
        <v>0.23699999999999999</v>
      </c>
      <c r="T559" s="3">
        <f t="shared" si="428"/>
        <v>-0.21599999999999997</v>
      </c>
      <c r="U559" s="3">
        <f t="shared" si="429"/>
        <v>-8.5500000000000007E-2</v>
      </c>
      <c r="V559" s="3">
        <f t="shared" si="430"/>
        <v>-8.7499999999999994E-2</v>
      </c>
      <c r="W559" s="3">
        <f t="shared" si="402"/>
        <v>-1.9999999999999879E-3</v>
      </c>
      <c r="X559" s="3">
        <f t="shared" si="398"/>
        <v>8.0687086092715247E-3</v>
      </c>
      <c r="Y559" s="3">
        <f t="shared" si="399"/>
        <v>1.615242616033755E-2</v>
      </c>
      <c r="Z559" s="3">
        <f t="shared" si="431"/>
        <v>8.0837175510660251E-3</v>
      </c>
      <c r="AA559" s="3">
        <v>2.1640000000000001</v>
      </c>
      <c r="AB559" s="3">
        <v>2.0870000000000002</v>
      </c>
      <c r="AC559" s="3">
        <f t="shared" si="432"/>
        <v>-7.6999999999999957E-2</v>
      </c>
      <c r="AD559" s="3">
        <f>-750.8533*627.50956</f>
        <v>-471167.62390754797</v>
      </c>
      <c r="AE559" s="3">
        <f>-754.408336*627.50956</f>
        <v>-473398.4429836921</v>
      </c>
      <c r="AF559" s="3">
        <f t="shared" si="433"/>
        <v>-2230.8190761441365</v>
      </c>
      <c r="AG559" s="3">
        <f>-750.907835*627.50956</f>
        <v>-471201.84514140256</v>
      </c>
      <c r="AH559" s="3">
        <f>-754.46425*627.50956</f>
        <v>-473433.52955322998</v>
      </c>
      <c r="AI559" s="3">
        <f t="shared" si="434"/>
        <v>-2231.6844118274166</v>
      </c>
      <c r="AJ559" s="3">
        <v>-0.41</v>
      </c>
      <c r="AK559" s="3">
        <v>-0.39</v>
      </c>
      <c r="AL559" s="3">
        <f t="shared" si="435"/>
        <v>1.9999999999999962E-2</v>
      </c>
      <c r="AM559" s="3">
        <v>172.29694000000001</v>
      </c>
      <c r="AN559" s="3">
        <v>256.6617</v>
      </c>
      <c r="AO559" s="3">
        <v>289.68119999999999</v>
      </c>
      <c r="AP559" s="3">
        <f t="shared" si="397"/>
        <v>1.2124676025389653</v>
      </c>
      <c r="AQ559" s="3">
        <v>11.141999999999999</v>
      </c>
      <c r="AR559" s="3">
        <v>2.5422837</v>
      </c>
      <c r="AS559" s="3">
        <v>-959.76900000000001</v>
      </c>
      <c r="AT559" s="3">
        <v>-958.05</v>
      </c>
      <c r="AU559" s="3">
        <f t="shared" si="411"/>
        <v>-1.7190000000000509</v>
      </c>
      <c r="AV559" s="3">
        <v>-0.317</v>
      </c>
      <c r="AW559" s="3">
        <v>-0.45</v>
      </c>
      <c r="AX559" s="3">
        <f t="shared" si="412"/>
        <v>0.13300000000000001</v>
      </c>
      <c r="AY559" s="3">
        <v>-2.4E-2</v>
      </c>
      <c r="AZ559" s="3">
        <v>0.13500000000000001</v>
      </c>
      <c r="BA559" s="3">
        <f t="shared" si="413"/>
        <v>-0.159</v>
      </c>
      <c r="BB559" s="3">
        <f t="shared" si="437"/>
        <v>0.17050000000000001</v>
      </c>
      <c r="BC559" s="3">
        <f t="shared" si="437"/>
        <v>0.1575</v>
      </c>
      <c r="BD559" s="3">
        <f t="shared" si="414"/>
        <v>1.3000000000000012E-2</v>
      </c>
      <c r="BE559" s="3">
        <f t="shared" si="438"/>
        <v>0.29299999999999998</v>
      </c>
      <c r="BF559" s="3">
        <f t="shared" si="438"/>
        <v>0.58499999999999996</v>
      </c>
      <c r="BG559" s="3">
        <f t="shared" si="415"/>
        <v>-0.29199999999999998</v>
      </c>
      <c r="BH559" s="3">
        <f t="shared" si="439"/>
        <v>-0.17050000000000001</v>
      </c>
      <c r="BI559" s="3">
        <f t="shared" si="439"/>
        <v>-0.1575</v>
      </c>
      <c r="BJ559" s="3">
        <f t="shared" si="406"/>
        <v>-1.3000000000000012E-2</v>
      </c>
      <c r="BK559" s="3">
        <f t="shared" si="400"/>
        <v>4.9607935153583631E-2</v>
      </c>
      <c r="BL559" s="3">
        <f t="shared" si="401"/>
        <v>2.120192307692308E-2</v>
      </c>
      <c r="BM559" s="3">
        <f t="shared" si="416"/>
        <v>2.8406012076660551E-2</v>
      </c>
      <c r="BN559" s="3">
        <v>2.2370000000000001</v>
      </c>
      <c r="BO559" s="3">
        <v>2.431</v>
      </c>
      <c r="BP559" s="3">
        <f t="shared" si="417"/>
        <v>-0.19399999999999995</v>
      </c>
      <c r="BQ559" s="3">
        <v>-602243.07700000005</v>
      </c>
      <c r="BR559" s="3">
        <v>-601163.24300000002</v>
      </c>
      <c r="BS559" s="3">
        <f t="shared" si="418"/>
        <v>-1079.8340000000317</v>
      </c>
      <c r="BT559" s="3">
        <v>-602262.36399999994</v>
      </c>
      <c r="BU559" s="3">
        <v>-601182.38500000001</v>
      </c>
      <c r="BV559" s="3">
        <f t="shared" si="419"/>
        <v>-1079.9789999999339</v>
      </c>
    </row>
    <row r="560" spans="1:74" x14ac:dyDescent="0.25">
      <c r="A560" t="s">
        <v>632</v>
      </c>
      <c r="B560" s="1" t="s">
        <v>646</v>
      </c>
      <c r="C560" s="1" t="s">
        <v>99</v>
      </c>
      <c r="D560" s="3">
        <v>10.63</v>
      </c>
      <c r="E560" s="3">
        <v>0.84</v>
      </c>
      <c r="F560" s="3">
        <v>-839.05200000000002</v>
      </c>
      <c r="G560" s="3">
        <v>-844.55899999999997</v>
      </c>
      <c r="H560" s="3">
        <f t="shared" si="436"/>
        <v>-5.5069999999999482</v>
      </c>
      <c r="I560" s="3">
        <v>-0.27800000000000002</v>
      </c>
      <c r="J560" s="6">
        <v>-0.191</v>
      </c>
      <c r="K560" s="3">
        <f t="shared" si="423"/>
        <v>8.7000000000000022E-2</v>
      </c>
      <c r="L560" s="3">
        <v>7.5999999999999998E-2</v>
      </c>
      <c r="M560" s="6">
        <v>-5.8000000000000003E-2</v>
      </c>
      <c r="N560" s="3">
        <f t="shared" si="424"/>
        <v>-0.13400000000000001</v>
      </c>
      <c r="O560" s="3">
        <f t="shared" si="407"/>
        <v>0.10100000000000001</v>
      </c>
      <c r="P560" s="3">
        <f t="shared" si="407"/>
        <v>0.1245</v>
      </c>
      <c r="Q560" s="3">
        <f t="shared" si="425"/>
        <v>2.3499999999999993E-2</v>
      </c>
      <c r="R560" s="3">
        <f t="shared" si="426"/>
        <v>0.35400000000000004</v>
      </c>
      <c r="S560" s="3">
        <f t="shared" si="427"/>
        <v>0.13300000000000001</v>
      </c>
      <c r="T560" s="3">
        <f t="shared" si="428"/>
        <v>-0.22100000000000003</v>
      </c>
      <c r="U560" s="3">
        <f t="shared" si="429"/>
        <v>-0.10100000000000001</v>
      </c>
      <c r="V560" s="3">
        <f t="shared" si="430"/>
        <v>-0.1245</v>
      </c>
      <c r="W560" s="3">
        <f t="shared" si="402"/>
        <v>-2.3499999999999993E-2</v>
      </c>
      <c r="X560" s="3">
        <f t="shared" si="398"/>
        <v>1.4408192090395481E-2</v>
      </c>
      <c r="Y560" s="3">
        <f t="shared" si="399"/>
        <v>5.8271616541353384E-2</v>
      </c>
      <c r="Z560" s="3">
        <f t="shared" si="431"/>
        <v>4.3863424450957901E-2</v>
      </c>
      <c r="AA560" s="3">
        <v>10.26</v>
      </c>
      <c r="AB560" s="3">
        <v>13.019</v>
      </c>
      <c r="AC560" s="3">
        <f t="shared" si="432"/>
        <v>2.7590000000000003</v>
      </c>
      <c r="AD560" s="3">
        <f>-838.690561*627.50956</f>
        <v>-526286.34490926308</v>
      </c>
      <c r="AE560" s="3">
        <f>-844.218344*627.50956</f>
        <v>-529755.08158736862</v>
      </c>
      <c r="AF560" s="3">
        <f t="shared" si="433"/>
        <v>-3468.7366781055462</v>
      </c>
      <c r="AG560" s="3">
        <f>-838.75525*627.50956</f>
        <v>-526326.93787519005</v>
      </c>
      <c r="AH560" s="3">
        <f>-844.285071*627.50956</f>
        <v>-529796.95341777871</v>
      </c>
      <c r="AI560" s="3">
        <f t="shared" si="434"/>
        <v>-3470.0155425886624</v>
      </c>
      <c r="AJ560" s="3">
        <v>-0.375</v>
      </c>
      <c r="AK560" s="3">
        <v>-0.34699999999999998</v>
      </c>
      <c r="AL560" s="3">
        <f t="shared" si="435"/>
        <v>2.8000000000000025E-2</v>
      </c>
      <c r="AM560" s="3">
        <v>274.35962000000001</v>
      </c>
      <c r="AN560" s="3">
        <v>353.11943000000002</v>
      </c>
      <c r="AO560" s="3">
        <v>421.48446000000001</v>
      </c>
      <c r="AP560" s="3">
        <f t="shared" ref="AP560:AP568" si="440">(AN560/(4*3.14*POWER(((3*AO560)/(4*3.14)),2/3)))</f>
        <v>1.299141692542541</v>
      </c>
      <c r="AQ560" s="3">
        <v>15.222</v>
      </c>
      <c r="AR560" s="3">
        <v>3.69120888</v>
      </c>
      <c r="AS560" s="3">
        <v>-132.80099999999999</v>
      </c>
      <c r="AT560" s="3">
        <v>-131.97</v>
      </c>
      <c r="AU560" s="3">
        <f t="shared" si="411"/>
        <v>-0.83099999999998886</v>
      </c>
      <c r="AV560" s="3">
        <v>-0.34100000000000003</v>
      </c>
      <c r="AW560" s="3">
        <v>-0.47499999999999998</v>
      </c>
      <c r="AX560" s="3">
        <f t="shared" si="412"/>
        <v>0.13399999999999995</v>
      </c>
      <c r="AY560" s="3">
        <v>2.9000000000000001E-2</v>
      </c>
      <c r="AZ560" s="3">
        <v>0.156</v>
      </c>
      <c r="BA560" s="3">
        <f t="shared" si="413"/>
        <v>-0.127</v>
      </c>
      <c r="BB560" s="3">
        <f t="shared" si="437"/>
        <v>0.156</v>
      </c>
      <c r="BC560" s="3">
        <f t="shared" si="437"/>
        <v>0.15949999999999998</v>
      </c>
      <c r="BD560" s="3">
        <f t="shared" si="414"/>
        <v>-3.4999999999999754E-3</v>
      </c>
      <c r="BE560" s="3">
        <f t="shared" si="438"/>
        <v>0.37000000000000005</v>
      </c>
      <c r="BF560" s="3">
        <f t="shared" si="438"/>
        <v>0.63100000000000001</v>
      </c>
      <c r="BG560" s="3">
        <f t="shared" si="415"/>
        <v>-0.26099999999999995</v>
      </c>
      <c r="BH560" s="3">
        <f t="shared" si="439"/>
        <v>-0.156</v>
      </c>
      <c r="BI560" s="3">
        <f t="shared" si="439"/>
        <v>-0.15949999999999998</v>
      </c>
      <c r="BJ560" s="3">
        <f t="shared" si="406"/>
        <v>3.4999999999999754E-3</v>
      </c>
      <c r="BK560" s="3">
        <f t="shared" si="400"/>
        <v>3.2886486486486483E-2</v>
      </c>
      <c r="BL560" s="3">
        <f t="shared" si="401"/>
        <v>2.0158676703645E-2</v>
      </c>
      <c r="BM560" s="3">
        <f t="shared" si="416"/>
        <v>1.2727809782841482E-2</v>
      </c>
      <c r="BN560" s="3">
        <v>4.7279999999999998</v>
      </c>
      <c r="BO560" s="3">
        <v>4.9340000000000002</v>
      </c>
      <c r="BP560" s="3">
        <f t="shared" si="417"/>
        <v>-0.20600000000000041</v>
      </c>
      <c r="BQ560" s="3">
        <v>-83302.89</v>
      </c>
      <c r="BR560" s="3">
        <v>-82779.224000000002</v>
      </c>
      <c r="BS560" s="3">
        <f t="shared" si="418"/>
        <v>-523.66599999999744</v>
      </c>
      <c r="BT560" s="3">
        <v>-83320.774999999994</v>
      </c>
      <c r="BU560" s="3">
        <v>-82796.997000000003</v>
      </c>
      <c r="BV560" s="3">
        <f t="shared" si="419"/>
        <v>-523.77799999999115</v>
      </c>
    </row>
    <row r="561" spans="1:74" x14ac:dyDescent="0.25">
      <c r="A561" t="s">
        <v>633</v>
      </c>
      <c r="B561" s="1" t="s">
        <v>646</v>
      </c>
      <c r="C561" s="1" t="s">
        <v>99</v>
      </c>
      <c r="D561" s="3">
        <v>10.67</v>
      </c>
      <c r="E561" s="3">
        <v>0.91</v>
      </c>
      <c r="F561" s="3">
        <v>-286.96199999999999</v>
      </c>
      <c r="G561" s="3">
        <v>-288.88900000000001</v>
      </c>
      <c r="H561" s="3">
        <f t="shared" si="436"/>
        <v>-1.9270000000000209</v>
      </c>
      <c r="I561" s="3">
        <v>-0.28999999999999998</v>
      </c>
      <c r="J561" s="6">
        <v>-0.20499999999999999</v>
      </c>
      <c r="K561" s="3">
        <f t="shared" si="423"/>
        <v>8.4999999999999992E-2</v>
      </c>
      <c r="L561" s="3">
        <v>0.158</v>
      </c>
      <c r="M561" s="6">
        <v>3.5999999999999997E-2</v>
      </c>
      <c r="N561" s="3">
        <f t="shared" si="424"/>
        <v>-0.122</v>
      </c>
      <c r="O561" s="3">
        <f t="shared" si="407"/>
        <v>6.5999999999999989E-2</v>
      </c>
      <c r="P561" s="3">
        <f t="shared" si="407"/>
        <v>8.4499999999999992E-2</v>
      </c>
      <c r="Q561" s="3">
        <f t="shared" si="425"/>
        <v>1.8500000000000003E-2</v>
      </c>
      <c r="R561" s="3">
        <f t="shared" si="426"/>
        <v>0.44799999999999995</v>
      </c>
      <c r="S561" s="3">
        <f t="shared" si="427"/>
        <v>0.24099999999999999</v>
      </c>
      <c r="T561" s="3">
        <f t="shared" si="428"/>
        <v>-0.20699999999999996</v>
      </c>
      <c r="U561" s="3">
        <f t="shared" si="429"/>
        <v>-6.5999999999999989E-2</v>
      </c>
      <c r="V561" s="3">
        <f t="shared" si="430"/>
        <v>-8.4499999999999992E-2</v>
      </c>
      <c r="W561" s="3">
        <f t="shared" si="402"/>
        <v>-1.8500000000000003E-2</v>
      </c>
      <c r="X561" s="3">
        <f t="shared" si="398"/>
        <v>4.8616071428571423E-3</v>
      </c>
      <c r="Y561" s="3">
        <f t="shared" si="399"/>
        <v>1.4813796680497924E-2</v>
      </c>
      <c r="Z561" s="3">
        <f t="shared" si="431"/>
        <v>9.9521895376407828E-3</v>
      </c>
      <c r="AA561" s="3">
        <v>2.3980000000000001</v>
      </c>
      <c r="AB561" s="3">
        <v>2.3889999999999998</v>
      </c>
      <c r="AC561" s="3">
        <f t="shared" si="432"/>
        <v>-9.0000000000003411E-3</v>
      </c>
      <c r="AD561" s="3">
        <f>-286.808268*627.50956</f>
        <v>-179974.93005704207</v>
      </c>
      <c r="AE561" s="3">
        <f>-288.743421*627.50956</f>
        <v>-181189.25706460475</v>
      </c>
      <c r="AF561" s="3">
        <f t="shared" si="433"/>
        <v>-1214.3270075626788</v>
      </c>
      <c r="AG561" s="3">
        <f>-286.846974*627.50956</f>
        <v>-179999.21844207143</v>
      </c>
      <c r="AH561" s="3">
        <f>-288.783233*627.50956</f>
        <v>-181214.23947520746</v>
      </c>
      <c r="AI561" s="3">
        <f t="shared" si="434"/>
        <v>-1215.0210331360286</v>
      </c>
      <c r="AJ561" s="3">
        <v>-0.52700000000000002</v>
      </c>
      <c r="AK561" s="3">
        <v>-0.60399999999999998</v>
      </c>
      <c r="AL561" s="3">
        <f t="shared" si="435"/>
        <v>-7.6999999999999957E-2</v>
      </c>
      <c r="AM561" s="3">
        <v>95.142359999999996</v>
      </c>
      <c r="AN561" s="3">
        <v>170.62038999999999</v>
      </c>
      <c r="AO561" s="3">
        <v>172.30274</v>
      </c>
      <c r="AP561" s="3">
        <f t="shared" si="440"/>
        <v>1.1396165777565419</v>
      </c>
      <c r="AQ561" s="3">
        <v>8.8360000000000003</v>
      </c>
      <c r="AR561" s="3">
        <v>1.8778557</v>
      </c>
      <c r="AS561" s="3">
        <v>-132.80099999999999</v>
      </c>
      <c r="AT561" s="3">
        <v>-131.97</v>
      </c>
      <c r="AU561" s="3">
        <f t="shared" si="411"/>
        <v>-0.83099999999998886</v>
      </c>
      <c r="AV561" s="3">
        <v>-0.34100000000000003</v>
      </c>
      <c r="AW561" s="3">
        <v>-0.47499999999999998</v>
      </c>
      <c r="AX561" s="3">
        <f t="shared" si="412"/>
        <v>0.13399999999999995</v>
      </c>
      <c r="AY561" s="3">
        <v>2.9000000000000001E-2</v>
      </c>
      <c r="AZ561" s="3">
        <v>0.156</v>
      </c>
      <c r="BA561" s="3">
        <f t="shared" si="413"/>
        <v>-0.127</v>
      </c>
      <c r="BB561" s="3">
        <f t="shared" si="437"/>
        <v>0.156</v>
      </c>
      <c r="BC561" s="3">
        <f t="shared" si="437"/>
        <v>0.15949999999999998</v>
      </c>
      <c r="BD561" s="3">
        <f t="shared" si="414"/>
        <v>-3.4999999999999754E-3</v>
      </c>
      <c r="BE561" s="3">
        <f t="shared" si="438"/>
        <v>0.37000000000000005</v>
      </c>
      <c r="BF561" s="3">
        <f t="shared" si="438"/>
        <v>0.63100000000000001</v>
      </c>
      <c r="BG561" s="3">
        <f t="shared" si="415"/>
        <v>-0.26099999999999995</v>
      </c>
      <c r="BH561" s="3">
        <f t="shared" si="439"/>
        <v>-0.156</v>
      </c>
      <c r="BI561" s="3">
        <f t="shared" si="439"/>
        <v>-0.15949999999999998</v>
      </c>
      <c r="BJ561" s="3">
        <f t="shared" si="406"/>
        <v>3.4999999999999754E-3</v>
      </c>
      <c r="BK561" s="3">
        <f t="shared" si="400"/>
        <v>3.2886486486486483E-2</v>
      </c>
      <c r="BL561" s="3">
        <f t="shared" si="401"/>
        <v>2.0158676703645E-2</v>
      </c>
      <c r="BM561" s="3">
        <f t="shared" si="416"/>
        <v>1.2727809782841482E-2</v>
      </c>
      <c r="BN561" s="3">
        <v>4.7279999999999998</v>
      </c>
      <c r="BO561" s="3">
        <v>4.9340000000000002</v>
      </c>
      <c r="BP561" s="3">
        <f t="shared" si="417"/>
        <v>-0.20600000000000041</v>
      </c>
      <c r="BQ561" s="3">
        <v>-83302.89</v>
      </c>
      <c r="BR561" s="3">
        <v>-82779.224000000002</v>
      </c>
      <c r="BS561" s="3">
        <f t="shared" si="418"/>
        <v>-523.66599999999744</v>
      </c>
      <c r="BT561" s="3">
        <v>-83320.774999999994</v>
      </c>
      <c r="BU561" s="3">
        <v>-82796.997000000003</v>
      </c>
      <c r="BV561" s="3">
        <f t="shared" si="419"/>
        <v>-523.77799999999115</v>
      </c>
    </row>
    <row r="562" spans="1:74" x14ac:dyDescent="0.25">
      <c r="A562" t="s">
        <v>634</v>
      </c>
      <c r="B562" s="1" t="s">
        <v>646</v>
      </c>
      <c r="C562" s="1" t="s">
        <v>199</v>
      </c>
      <c r="D562" s="3">
        <v>10.69</v>
      </c>
      <c r="E562" s="3">
        <v>0.56000000000000005</v>
      </c>
      <c r="F562" s="3">
        <v>-321.32299999999998</v>
      </c>
      <c r="G562" s="3">
        <v>-323.24400000000003</v>
      </c>
      <c r="H562" s="3">
        <f t="shared" si="436"/>
        <v>-1.9210000000000491</v>
      </c>
      <c r="I562" s="3">
        <v>-0.27</v>
      </c>
      <c r="J562" s="6">
        <v>-0.156</v>
      </c>
      <c r="K562" s="3">
        <f t="shared" si="423"/>
        <v>0.11400000000000002</v>
      </c>
      <c r="L562" s="3">
        <v>0.16900000000000001</v>
      </c>
      <c r="M562" s="6">
        <v>4.2999999999999997E-2</v>
      </c>
      <c r="N562" s="3">
        <f t="shared" si="424"/>
        <v>-0.126</v>
      </c>
      <c r="O562" s="3">
        <f t="shared" si="407"/>
        <v>5.0500000000000003E-2</v>
      </c>
      <c r="P562" s="3">
        <f t="shared" si="407"/>
        <v>5.6500000000000002E-2</v>
      </c>
      <c r="Q562" s="3">
        <f t="shared" si="425"/>
        <v>5.9999999999999984E-3</v>
      </c>
      <c r="R562" s="3">
        <f t="shared" si="426"/>
        <v>0.43900000000000006</v>
      </c>
      <c r="S562" s="3">
        <f t="shared" si="427"/>
        <v>0.19900000000000001</v>
      </c>
      <c r="T562" s="3">
        <f t="shared" si="428"/>
        <v>-0.24000000000000005</v>
      </c>
      <c r="U562" s="3">
        <f t="shared" si="429"/>
        <v>-5.0500000000000003E-2</v>
      </c>
      <c r="V562" s="3">
        <f t="shared" si="430"/>
        <v>-5.6500000000000002E-2</v>
      </c>
      <c r="W562" s="3">
        <f t="shared" si="402"/>
        <v>-5.9999999999999984E-3</v>
      </c>
      <c r="X562" s="3">
        <f t="shared" si="398"/>
        <v>2.904612756264237E-3</v>
      </c>
      <c r="Y562" s="3">
        <f t="shared" si="399"/>
        <v>8.0207286432160806E-3</v>
      </c>
      <c r="Z562" s="3">
        <f t="shared" si="431"/>
        <v>5.1161158869518436E-3</v>
      </c>
      <c r="AA562" s="3">
        <v>8.32</v>
      </c>
      <c r="AB562" s="3">
        <v>6.968</v>
      </c>
      <c r="AC562" s="3">
        <f t="shared" si="432"/>
        <v>-1.3520000000000003</v>
      </c>
      <c r="AD562" s="3">
        <f>-321.21758*627.50956</f>
        <v>-201567.10229006479</v>
      </c>
      <c r="AE562" s="3">
        <f>-323.144834*627.50956</f>
        <v>-202776.47259961304</v>
      </c>
      <c r="AF562" s="3">
        <f t="shared" si="433"/>
        <v>-1209.3703095482488</v>
      </c>
      <c r="AG562" s="3">
        <f>-321.255577*627.50956</f>
        <v>-201590.94577081612</v>
      </c>
      <c r="AH562" s="3">
        <f>-323.183375*627.50956</f>
        <v>-202800.65744556498</v>
      </c>
      <c r="AI562" s="3">
        <f t="shared" si="434"/>
        <v>-1209.7116747488617</v>
      </c>
      <c r="AJ562" s="3">
        <v>-0.52300000000000002</v>
      </c>
      <c r="AK562" s="3">
        <v>-0.60199999999999998</v>
      </c>
      <c r="AL562" s="3">
        <f t="shared" si="435"/>
        <v>-7.8999999999999959E-2</v>
      </c>
      <c r="AM562" s="3">
        <v>88.085239999999999</v>
      </c>
      <c r="AN562" s="3">
        <v>138.4496</v>
      </c>
      <c r="AO562" s="3">
        <v>133.12769</v>
      </c>
      <c r="AP562" s="3">
        <f t="shared" si="440"/>
        <v>1.0982521400473846</v>
      </c>
      <c r="AQ562" s="3">
        <v>7.1420000000000003</v>
      </c>
      <c r="AR562" s="3">
        <v>1.6260490400000001</v>
      </c>
      <c r="AS562" s="3">
        <v>-76.454999999999998</v>
      </c>
      <c r="AT562" s="3">
        <v>-76.055000000000007</v>
      </c>
      <c r="AU562" s="3">
        <f t="shared" si="411"/>
        <v>-0.39999999999999147</v>
      </c>
      <c r="AV562" s="3">
        <v>-0.30399999999999999</v>
      </c>
      <c r="AW562" s="3">
        <v>-0.505</v>
      </c>
      <c r="AX562" s="3">
        <f t="shared" si="412"/>
        <v>0.20100000000000001</v>
      </c>
      <c r="AY562" s="3">
        <v>0.04</v>
      </c>
      <c r="AZ562" s="3">
        <v>0.16400000000000001</v>
      </c>
      <c r="BA562" s="3">
        <f t="shared" si="413"/>
        <v>-0.124</v>
      </c>
      <c r="BB562" s="3">
        <f t="shared" si="437"/>
        <v>0.13200000000000001</v>
      </c>
      <c r="BC562" s="3">
        <f t="shared" si="437"/>
        <v>0.17049999999999998</v>
      </c>
      <c r="BD562" s="3">
        <f t="shared" si="414"/>
        <v>-3.8499999999999979E-2</v>
      </c>
      <c r="BE562" s="3">
        <f t="shared" si="438"/>
        <v>0.34399999999999997</v>
      </c>
      <c r="BF562" s="3">
        <f t="shared" si="438"/>
        <v>0.66900000000000004</v>
      </c>
      <c r="BG562" s="3">
        <f t="shared" si="415"/>
        <v>-0.32500000000000007</v>
      </c>
      <c r="BH562" s="3">
        <f t="shared" si="439"/>
        <v>-0.13200000000000001</v>
      </c>
      <c r="BI562" s="3">
        <f t="shared" si="439"/>
        <v>-0.17049999999999998</v>
      </c>
      <c r="BJ562" s="3">
        <f t="shared" si="406"/>
        <v>3.8499999999999979E-2</v>
      </c>
      <c r="BK562" s="3">
        <f t="shared" si="400"/>
        <v>2.5325581395348844E-2</v>
      </c>
      <c r="BL562" s="3">
        <f t="shared" si="401"/>
        <v>2.1726644245141997E-2</v>
      </c>
      <c r="BM562" s="3">
        <f t="shared" si="416"/>
        <v>3.5989371502068469E-3</v>
      </c>
      <c r="BN562" s="3">
        <v>2.3010000000000002</v>
      </c>
      <c r="BO562" s="3">
        <v>2.3559999999999999</v>
      </c>
      <c r="BP562" s="3">
        <f t="shared" si="417"/>
        <v>-5.4999999999999716E-2</v>
      </c>
      <c r="BQ562" s="3">
        <v>-47960.305999999997</v>
      </c>
      <c r="BR562" s="3">
        <v>-47708.290999999997</v>
      </c>
      <c r="BS562" s="3">
        <f t="shared" si="418"/>
        <v>-252.01499999999942</v>
      </c>
      <c r="BT562" s="3">
        <v>-47973.754999999997</v>
      </c>
      <c r="BU562" s="3">
        <v>-47721.697</v>
      </c>
      <c r="BV562" s="3">
        <f t="shared" si="419"/>
        <v>-252.05799999999726</v>
      </c>
    </row>
    <row r="563" spans="1:74" x14ac:dyDescent="0.25">
      <c r="A563" t="s">
        <v>635</v>
      </c>
      <c r="B563" s="1" t="s">
        <v>646</v>
      </c>
      <c r="C563" s="1" t="s">
        <v>103</v>
      </c>
      <c r="D563" s="3">
        <v>10.73</v>
      </c>
      <c r="E563" s="3">
        <v>0.81</v>
      </c>
      <c r="F563" s="3">
        <v>-556.73900000000003</v>
      </c>
      <c r="G563" s="3">
        <v>-560.49900000000002</v>
      </c>
      <c r="H563" s="3">
        <f t="shared" si="436"/>
        <v>-3.7599999999999909</v>
      </c>
      <c r="I563" s="3">
        <v>-0.28899999999999998</v>
      </c>
      <c r="J563" s="6">
        <v>-0.192</v>
      </c>
      <c r="K563" s="3">
        <f t="shared" si="423"/>
        <v>9.6999999999999975E-2</v>
      </c>
      <c r="L563" s="3">
        <v>0.13100000000000001</v>
      </c>
      <c r="M563" s="6">
        <v>-1.2E-2</v>
      </c>
      <c r="N563" s="3">
        <f t="shared" si="424"/>
        <v>-0.14300000000000002</v>
      </c>
      <c r="O563" s="3">
        <f t="shared" si="407"/>
        <v>7.8999999999999987E-2</v>
      </c>
      <c r="P563" s="3">
        <f t="shared" si="407"/>
        <v>0.10200000000000001</v>
      </c>
      <c r="Q563" s="3">
        <f t="shared" si="425"/>
        <v>2.300000000000002E-2</v>
      </c>
      <c r="R563" s="3">
        <f t="shared" si="426"/>
        <v>0.42</v>
      </c>
      <c r="S563" s="3">
        <f t="shared" si="427"/>
        <v>0.18</v>
      </c>
      <c r="T563" s="3">
        <f t="shared" si="428"/>
        <v>-0.24</v>
      </c>
      <c r="U563" s="3">
        <f t="shared" si="429"/>
        <v>-7.8999999999999987E-2</v>
      </c>
      <c r="V563" s="3">
        <f t="shared" si="430"/>
        <v>-0.10200000000000001</v>
      </c>
      <c r="W563" s="3">
        <f t="shared" si="402"/>
        <v>-2.300000000000002E-2</v>
      </c>
      <c r="X563" s="3">
        <f t="shared" si="398"/>
        <v>7.4297619047619034E-3</v>
      </c>
      <c r="Y563" s="3">
        <f t="shared" si="399"/>
        <v>2.8900000000000006E-2</v>
      </c>
      <c r="Z563" s="3">
        <f t="shared" si="431"/>
        <v>2.1470238095238101E-2</v>
      </c>
      <c r="AA563" s="3">
        <v>1.0509999999999999</v>
      </c>
      <c r="AB563" s="3">
        <v>2.0019999999999998</v>
      </c>
      <c r="AC563" s="3">
        <f t="shared" si="432"/>
        <v>0.95099999999999985</v>
      </c>
      <c r="AD563" s="3">
        <f>-556.437155*627.50956</f>
        <v>-349169.63430170174</v>
      </c>
      <c r="AE563" s="3">
        <f>-560.214616*627.50956</f>
        <v>-351540.02719172894</v>
      </c>
      <c r="AF563" s="3">
        <f t="shared" si="433"/>
        <v>-2370.3928900272003</v>
      </c>
      <c r="AG563" s="3">
        <f>-556.489185*627.50956</f>
        <v>-349202.28362410859</v>
      </c>
      <c r="AH563" s="3">
        <f>-560.268168*627.50956</f>
        <v>-351573.63158368604</v>
      </c>
      <c r="AI563" s="3">
        <f t="shared" si="434"/>
        <v>-2371.3479595774552</v>
      </c>
      <c r="AJ563" s="3">
        <v>-0.253</v>
      </c>
      <c r="AK563" s="3">
        <v>-0.22800000000000001</v>
      </c>
      <c r="AL563" s="3">
        <f t="shared" si="435"/>
        <v>2.4999999999999994E-2</v>
      </c>
      <c r="AM563" s="3">
        <v>187.28077999999999</v>
      </c>
      <c r="AN563" s="3">
        <v>269.4726</v>
      </c>
      <c r="AO563" s="3">
        <v>315.38171999999997</v>
      </c>
      <c r="AP563" s="3">
        <f t="shared" si="440"/>
        <v>1.2028539115420147</v>
      </c>
      <c r="AQ563" s="3">
        <v>11.856999999999999</v>
      </c>
      <c r="AR563" s="3">
        <v>2.8578888999999998</v>
      </c>
      <c r="AS563" s="3">
        <v>-959.76900000000001</v>
      </c>
      <c r="AT563" s="3">
        <v>-958.05</v>
      </c>
      <c r="AU563" s="3">
        <f t="shared" si="411"/>
        <v>-1.7190000000000509</v>
      </c>
      <c r="AV563" s="3">
        <v>-0.317</v>
      </c>
      <c r="AW563" s="3">
        <v>-0.45</v>
      </c>
      <c r="AX563" s="3">
        <f t="shared" si="412"/>
        <v>0.13300000000000001</v>
      </c>
      <c r="AY563" s="3">
        <v>-2.4E-2</v>
      </c>
      <c r="AZ563" s="3">
        <v>0.13500000000000001</v>
      </c>
      <c r="BA563" s="3">
        <f t="shared" si="413"/>
        <v>-0.159</v>
      </c>
      <c r="BB563" s="3">
        <f t="shared" ref="BB563:BC568" si="441">-(AV563+AY563)/2</f>
        <v>0.17050000000000001</v>
      </c>
      <c r="BC563" s="3">
        <f t="shared" si="441"/>
        <v>0.1575</v>
      </c>
      <c r="BD563" s="3">
        <f t="shared" si="414"/>
        <v>1.3000000000000012E-2</v>
      </c>
      <c r="BE563" s="3">
        <f t="shared" ref="BE563:BF568" si="442">AY563-AV563</f>
        <v>0.29299999999999998</v>
      </c>
      <c r="BF563" s="3">
        <f t="shared" si="442"/>
        <v>0.58499999999999996</v>
      </c>
      <c r="BG563" s="3">
        <f t="shared" si="415"/>
        <v>-0.29199999999999998</v>
      </c>
      <c r="BH563" s="3">
        <f t="shared" ref="BH563:BI568" si="443">(AV563+AY563)/2</f>
        <v>-0.17050000000000001</v>
      </c>
      <c r="BI563" s="3">
        <f t="shared" si="443"/>
        <v>-0.1575</v>
      </c>
      <c r="BJ563" s="3">
        <f t="shared" si="406"/>
        <v>-1.3000000000000012E-2</v>
      </c>
      <c r="BK563" s="3">
        <f t="shared" si="400"/>
        <v>4.9607935153583631E-2</v>
      </c>
      <c r="BL563" s="3">
        <f t="shared" si="401"/>
        <v>2.120192307692308E-2</v>
      </c>
      <c r="BM563" s="3">
        <f t="shared" si="416"/>
        <v>2.8406012076660551E-2</v>
      </c>
      <c r="BN563" s="3">
        <v>2.2370000000000001</v>
      </c>
      <c r="BO563" s="3">
        <v>2.431</v>
      </c>
      <c r="BP563" s="3">
        <f t="shared" si="417"/>
        <v>-0.19399999999999995</v>
      </c>
      <c r="BQ563" s="3">
        <v>-602243.07700000005</v>
      </c>
      <c r="BR563" s="3">
        <v>-601163.24300000002</v>
      </c>
      <c r="BS563" s="3">
        <f t="shared" si="418"/>
        <v>-1079.8340000000317</v>
      </c>
      <c r="BT563" s="3">
        <v>-602262.36399999994</v>
      </c>
      <c r="BU563" s="3">
        <v>-601182.38500000001</v>
      </c>
      <c r="BV563" s="3">
        <f t="shared" si="419"/>
        <v>-1079.9789999999339</v>
      </c>
    </row>
    <row r="564" spans="1:74" x14ac:dyDescent="0.25">
      <c r="A564" t="s">
        <v>636</v>
      </c>
      <c r="B564" s="1" t="s">
        <v>646</v>
      </c>
      <c r="C564" s="1" t="s">
        <v>103</v>
      </c>
      <c r="D564" s="3">
        <v>10.76</v>
      </c>
      <c r="E564" s="3">
        <v>0.87</v>
      </c>
      <c r="F564" s="3">
        <v>-592.57299999999998</v>
      </c>
      <c r="G564" s="3">
        <v>-596.41200000000003</v>
      </c>
      <c r="H564" s="3">
        <f t="shared" si="436"/>
        <v>-3.8390000000000555</v>
      </c>
      <c r="I564" s="3">
        <v>-0.28000000000000003</v>
      </c>
      <c r="J564" s="6">
        <v>-0.191</v>
      </c>
      <c r="K564" s="3">
        <f t="shared" si="423"/>
        <v>8.9000000000000024E-2</v>
      </c>
      <c r="L564" s="3">
        <v>0.112</v>
      </c>
      <c r="M564" s="6">
        <v>-2.8000000000000001E-2</v>
      </c>
      <c r="N564" s="3">
        <f t="shared" si="424"/>
        <v>-0.14000000000000001</v>
      </c>
      <c r="O564" s="3">
        <f t="shared" si="407"/>
        <v>8.4000000000000019E-2</v>
      </c>
      <c r="P564" s="3">
        <f t="shared" si="407"/>
        <v>0.1095</v>
      </c>
      <c r="Q564" s="3">
        <f t="shared" si="425"/>
        <v>2.5499999999999981E-2</v>
      </c>
      <c r="R564" s="3">
        <f t="shared" si="426"/>
        <v>0.39200000000000002</v>
      </c>
      <c r="S564" s="3">
        <f t="shared" si="427"/>
        <v>0.16300000000000001</v>
      </c>
      <c r="T564" s="3">
        <f t="shared" si="428"/>
        <v>-0.22900000000000001</v>
      </c>
      <c r="U564" s="3">
        <f t="shared" si="429"/>
        <v>-8.4000000000000019E-2</v>
      </c>
      <c r="V564" s="3">
        <f t="shared" si="430"/>
        <v>-0.1095</v>
      </c>
      <c r="W564" s="3">
        <f t="shared" si="402"/>
        <v>-2.5499999999999981E-2</v>
      </c>
      <c r="X564" s="3">
        <f t="shared" si="398"/>
        <v>9.0000000000000045E-3</v>
      </c>
      <c r="Y564" s="3">
        <f t="shared" si="399"/>
        <v>3.6779907975460116E-2</v>
      </c>
      <c r="Z564" s="3">
        <f t="shared" si="431"/>
        <v>2.7779907975460112E-2</v>
      </c>
      <c r="AA564" s="3">
        <v>0.97099999999999997</v>
      </c>
      <c r="AB564" s="3">
        <v>2.0019999999999998</v>
      </c>
      <c r="AC564" s="3">
        <f t="shared" si="432"/>
        <v>1.0309999999999997</v>
      </c>
      <c r="AD564" s="3">
        <f>-592.295228*627.50956</f>
        <v>-371670.91791237961</v>
      </c>
      <c r="AE564" s="3">
        <f>-596.150671*627.50956</f>
        <v>-374090.24525291473</v>
      </c>
      <c r="AF564" s="3">
        <f t="shared" si="433"/>
        <v>-2419.327340535121</v>
      </c>
      <c r="AG564" s="3">
        <f>-592.346382*627.50956</f>
        <v>-371703.01753641188</v>
      </c>
      <c r="AH564" s="3">
        <f>-596.20345*627.50956</f>
        <v>-374123.36457998195</v>
      </c>
      <c r="AI564" s="3">
        <f t="shared" si="434"/>
        <v>-2420.3470435700729</v>
      </c>
      <c r="AJ564" s="3">
        <v>-0.33100000000000002</v>
      </c>
      <c r="AK564" s="3">
        <v>-0.33200000000000002</v>
      </c>
      <c r="AL564" s="3">
        <f t="shared" si="435"/>
        <v>-1.0000000000000009E-3</v>
      </c>
      <c r="AM564" s="3">
        <v>189.25360000000001</v>
      </c>
      <c r="AN564" s="3">
        <v>266.3818</v>
      </c>
      <c r="AO564" s="3">
        <v>301.28769999999997</v>
      </c>
      <c r="AP564" s="3">
        <f t="shared" si="440"/>
        <v>1.2258563043510871</v>
      </c>
      <c r="AQ564" s="3">
        <v>13.108000000000001</v>
      </c>
      <c r="AR564" s="3">
        <v>3.40155954</v>
      </c>
      <c r="AS564" s="3">
        <v>-959.76900000000001</v>
      </c>
      <c r="AT564" s="3">
        <v>-958.05</v>
      </c>
      <c r="AU564" s="3">
        <f t="shared" si="411"/>
        <v>-1.7190000000000509</v>
      </c>
      <c r="AV564" s="3">
        <v>-0.317</v>
      </c>
      <c r="AW564" s="3">
        <v>-0.45</v>
      </c>
      <c r="AX564" s="3">
        <f t="shared" si="412"/>
        <v>0.13300000000000001</v>
      </c>
      <c r="AY564" s="3">
        <v>-2.4E-2</v>
      </c>
      <c r="AZ564" s="3">
        <v>0.13500000000000001</v>
      </c>
      <c r="BA564" s="3">
        <f t="shared" si="413"/>
        <v>-0.159</v>
      </c>
      <c r="BB564" s="3">
        <f t="shared" si="441"/>
        <v>0.17050000000000001</v>
      </c>
      <c r="BC564" s="3">
        <f t="shared" si="441"/>
        <v>0.1575</v>
      </c>
      <c r="BD564" s="3">
        <f t="shared" si="414"/>
        <v>1.3000000000000012E-2</v>
      </c>
      <c r="BE564" s="3">
        <f t="shared" si="442"/>
        <v>0.29299999999999998</v>
      </c>
      <c r="BF564" s="3">
        <f t="shared" si="442"/>
        <v>0.58499999999999996</v>
      </c>
      <c r="BG564" s="3">
        <f t="shared" si="415"/>
        <v>-0.29199999999999998</v>
      </c>
      <c r="BH564" s="3">
        <f t="shared" si="443"/>
        <v>-0.17050000000000001</v>
      </c>
      <c r="BI564" s="3">
        <f t="shared" si="443"/>
        <v>-0.1575</v>
      </c>
      <c r="BJ564" s="3">
        <f t="shared" si="406"/>
        <v>-1.3000000000000012E-2</v>
      </c>
      <c r="BK564" s="3">
        <f t="shared" si="400"/>
        <v>4.9607935153583631E-2</v>
      </c>
      <c r="BL564" s="3">
        <f t="shared" si="401"/>
        <v>2.120192307692308E-2</v>
      </c>
      <c r="BM564" s="3">
        <f t="shared" si="416"/>
        <v>2.8406012076660551E-2</v>
      </c>
      <c r="BN564" s="3">
        <v>2.2370000000000001</v>
      </c>
      <c r="BO564" s="3">
        <v>2.431</v>
      </c>
      <c r="BP564" s="3">
        <f t="shared" si="417"/>
        <v>-0.19399999999999995</v>
      </c>
      <c r="BQ564" s="3">
        <v>-602243.07700000005</v>
      </c>
      <c r="BR564" s="3">
        <v>-601163.24300000002</v>
      </c>
      <c r="BS564" s="3">
        <f t="shared" si="418"/>
        <v>-1079.8340000000317</v>
      </c>
      <c r="BT564" s="3">
        <v>-602262.36399999994</v>
      </c>
      <c r="BU564" s="3">
        <v>-601182.38500000001</v>
      </c>
      <c r="BV564" s="3">
        <f t="shared" si="419"/>
        <v>-1079.9789999999339</v>
      </c>
    </row>
    <row r="565" spans="1:74" x14ac:dyDescent="0.25">
      <c r="A565" t="s">
        <v>637</v>
      </c>
      <c r="B565" s="1" t="s">
        <v>646</v>
      </c>
      <c r="C565" s="1" t="s">
        <v>99</v>
      </c>
      <c r="D565" s="3">
        <v>11.2</v>
      </c>
      <c r="E565" s="3">
        <v>0.64</v>
      </c>
      <c r="F565" s="3">
        <v>-763.029</v>
      </c>
      <c r="G565" s="3">
        <v>-768.03399999999999</v>
      </c>
      <c r="H565" s="3">
        <f t="shared" si="436"/>
        <v>-5.0049999999999955</v>
      </c>
      <c r="I565" s="3">
        <v>-0.30599999999999999</v>
      </c>
      <c r="J565" s="6">
        <v>-0.20200000000000001</v>
      </c>
      <c r="K565" s="3">
        <f t="shared" si="423"/>
        <v>0.10399999999999998</v>
      </c>
      <c r="L565" s="3">
        <v>4.2000000000000003E-2</v>
      </c>
      <c r="M565" s="6">
        <v>-1E-3</v>
      </c>
      <c r="N565" s="3">
        <f t="shared" si="424"/>
        <v>-4.3000000000000003E-2</v>
      </c>
      <c r="O565" s="3">
        <f t="shared" si="407"/>
        <v>0.13200000000000001</v>
      </c>
      <c r="P565" s="3">
        <f t="shared" si="407"/>
        <v>0.10150000000000001</v>
      </c>
      <c r="Q565" s="3">
        <f t="shared" si="425"/>
        <v>-3.0499999999999999E-2</v>
      </c>
      <c r="R565" s="3">
        <f t="shared" si="426"/>
        <v>0.34799999999999998</v>
      </c>
      <c r="S565" s="3">
        <f t="shared" si="427"/>
        <v>0.20100000000000001</v>
      </c>
      <c r="T565" s="3">
        <f t="shared" si="428"/>
        <v>-0.14699999999999996</v>
      </c>
      <c r="U565" s="3">
        <f t="shared" si="429"/>
        <v>-0.13200000000000001</v>
      </c>
      <c r="V565" s="3">
        <f t="shared" si="430"/>
        <v>-0.10150000000000001</v>
      </c>
      <c r="W565" s="3">
        <f t="shared" si="402"/>
        <v>3.0499999999999999E-2</v>
      </c>
      <c r="X565" s="3">
        <f t="shared" si="398"/>
        <v>2.5034482758620694E-2</v>
      </c>
      <c r="Y565" s="3">
        <f t="shared" si="399"/>
        <v>2.5627487562189053E-2</v>
      </c>
      <c r="Z565" s="3">
        <f t="shared" si="431"/>
        <v>5.9300480356835883E-4</v>
      </c>
      <c r="AA565" s="3">
        <v>14.198</v>
      </c>
      <c r="AB565" s="3">
        <v>14.144</v>
      </c>
      <c r="AC565" s="3">
        <f t="shared" si="432"/>
        <v>-5.400000000000027E-2</v>
      </c>
      <c r="AD565" s="3">
        <f>-762.645062*627.50956</f>
        <v>-478567.06729179271</v>
      </c>
      <c r="AE565" s="3">
        <f>-767.6723*627.50956</f>
        <v>-481721.70719718793</v>
      </c>
      <c r="AF565" s="3">
        <f t="shared" si="433"/>
        <v>-3154.6399053952191</v>
      </c>
      <c r="AG565" s="3">
        <f>-762.709801*627.50956</f>
        <v>-478607.69163319754</v>
      </c>
      <c r="AH565" s="3">
        <f>-767.739452*627.50956</f>
        <v>-481763.84571916109</v>
      </c>
      <c r="AI565" s="3">
        <f t="shared" si="434"/>
        <v>-3156.154085963557</v>
      </c>
      <c r="AJ565" s="3">
        <v>-0.69799999999999995</v>
      </c>
      <c r="AK565" s="3">
        <v>-0.72799999999999998</v>
      </c>
      <c r="AL565" s="3">
        <f t="shared" si="435"/>
        <v>-3.0000000000000027E-2</v>
      </c>
      <c r="AM565" s="3">
        <v>252.08598000000001</v>
      </c>
      <c r="AN565" s="3">
        <v>336.11759999999998</v>
      </c>
      <c r="AO565" s="3">
        <v>434.80225999999999</v>
      </c>
      <c r="AP565" s="3">
        <f t="shared" si="440"/>
        <v>1.2112097060513745</v>
      </c>
      <c r="AQ565" s="3">
        <v>11.907999999999999</v>
      </c>
      <c r="AR565" s="3">
        <v>2.9669341999999999</v>
      </c>
      <c r="AS565" s="3">
        <v>-132.80099999999999</v>
      </c>
      <c r="AT565" s="3">
        <v>-131.97</v>
      </c>
      <c r="AU565" s="3">
        <f t="shared" si="411"/>
        <v>-0.83099999999998886</v>
      </c>
      <c r="AV565" s="3">
        <v>-0.34100000000000003</v>
      </c>
      <c r="AW565" s="3">
        <v>-0.47499999999999998</v>
      </c>
      <c r="AX565" s="3">
        <f t="shared" si="412"/>
        <v>0.13399999999999995</v>
      </c>
      <c r="AY565" s="3">
        <v>2.9000000000000001E-2</v>
      </c>
      <c r="AZ565" s="3">
        <v>0.156</v>
      </c>
      <c r="BA565" s="3">
        <f t="shared" si="413"/>
        <v>-0.127</v>
      </c>
      <c r="BB565" s="3">
        <f t="shared" si="441"/>
        <v>0.156</v>
      </c>
      <c r="BC565" s="3">
        <f t="shared" si="441"/>
        <v>0.15949999999999998</v>
      </c>
      <c r="BD565" s="3">
        <f t="shared" si="414"/>
        <v>-3.4999999999999754E-3</v>
      </c>
      <c r="BE565" s="3">
        <f t="shared" si="442"/>
        <v>0.37000000000000005</v>
      </c>
      <c r="BF565" s="3">
        <f t="shared" si="442"/>
        <v>0.63100000000000001</v>
      </c>
      <c r="BG565" s="3">
        <f t="shared" si="415"/>
        <v>-0.26099999999999995</v>
      </c>
      <c r="BH565" s="3">
        <f t="shared" si="443"/>
        <v>-0.156</v>
      </c>
      <c r="BI565" s="3">
        <f t="shared" si="443"/>
        <v>-0.15949999999999998</v>
      </c>
      <c r="BJ565" s="3">
        <f t="shared" si="406"/>
        <v>3.4999999999999754E-3</v>
      </c>
      <c r="BK565" s="3">
        <f t="shared" si="400"/>
        <v>3.2886486486486483E-2</v>
      </c>
      <c r="BL565" s="3">
        <f t="shared" si="401"/>
        <v>2.0158676703645E-2</v>
      </c>
      <c r="BM565" s="3">
        <f t="shared" si="416"/>
        <v>1.2727809782841482E-2</v>
      </c>
      <c r="BN565" s="3">
        <v>4.7279999999999998</v>
      </c>
      <c r="BO565" s="3">
        <v>4.9340000000000002</v>
      </c>
      <c r="BP565" s="3">
        <f t="shared" si="417"/>
        <v>-0.20600000000000041</v>
      </c>
      <c r="BQ565" s="3">
        <v>-83302.89</v>
      </c>
      <c r="BR565" s="3">
        <v>-82779.224000000002</v>
      </c>
      <c r="BS565" s="3">
        <f t="shared" si="418"/>
        <v>-523.66599999999744</v>
      </c>
      <c r="BT565" s="3">
        <v>-83320.774999999994</v>
      </c>
      <c r="BU565" s="3">
        <v>-82796.997000000003</v>
      </c>
      <c r="BV565" s="3">
        <f t="shared" si="419"/>
        <v>-523.77799999999115</v>
      </c>
    </row>
    <row r="566" spans="1:74" x14ac:dyDescent="0.25">
      <c r="A566" t="s">
        <v>638</v>
      </c>
      <c r="B566" s="1" t="s">
        <v>646</v>
      </c>
      <c r="C566" s="1" t="s">
        <v>99</v>
      </c>
      <c r="D566" s="3">
        <v>11.23</v>
      </c>
      <c r="E566" s="3">
        <v>0.77</v>
      </c>
      <c r="F566" s="3">
        <v>-1751.5830000000001</v>
      </c>
      <c r="G566" s="3">
        <v>-1759.482</v>
      </c>
      <c r="H566" s="3">
        <f t="shared" si="436"/>
        <v>-7.8989999999998872</v>
      </c>
      <c r="I566" s="3">
        <v>-0.30199999999999999</v>
      </c>
      <c r="J566" s="6">
        <v>-0.215</v>
      </c>
      <c r="K566" s="3">
        <f t="shared" si="423"/>
        <v>8.6999999999999994E-2</v>
      </c>
      <c r="L566" s="3">
        <v>4.1000000000000002E-2</v>
      </c>
      <c r="M566" s="6">
        <v>-4.1000000000000002E-2</v>
      </c>
      <c r="N566" s="3">
        <f t="shared" si="424"/>
        <v>-8.2000000000000003E-2</v>
      </c>
      <c r="O566" s="3">
        <f t="shared" si="407"/>
        <v>0.1305</v>
      </c>
      <c r="P566" s="3">
        <f t="shared" si="407"/>
        <v>0.128</v>
      </c>
      <c r="Q566" s="3">
        <f t="shared" si="425"/>
        <v>-2.5000000000000022E-3</v>
      </c>
      <c r="R566" s="3">
        <f t="shared" si="426"/>
        <v>0.34299999999999997</v>
      </c>
      <c r="S566" s="3">
        <f t="shared" si="427"/>
        <v>0.17399999999999999</v>
      </c>
      <c r="T566" s="3">
        <f t="shared" si="428"/>
        <v>-0.16899999999999998</v>
      </c>
      <c r="U566" s="3">
        <f t="shared" si="429"/>
        <v>-0.1305</v>
      </c>
      <c r="V566" s="3">
        <f t="shared" si="430"/>
        <v>-0.128</v>
      </c>
      <c r="W566" s="3">
        <f t="shared" si="402"/>
        <v>2.5000000000000022E-3</v>
      </c>
      <c r="X566" s="3">
        <f t="shared" si="398"/>
        <v>2.482543731778426E-2</v>
      </c>
      <c r="Y566" s="3">
        <f t="shared" si="399"/>
        <v>4.7080459770114942E-2</v>
      </c>
      <c r="Z566" s="3">
        <f t="shared" si="431"/>
        <v>2.2255022452330683E-2</v>
      </c>
      <c r="AA566" s="3">
        <v>15.076000000000001</v>
      </c>
      <c r="AB566" s="3">
        <v>15.227</v>
      </c>
      <c r="AC566" s="3">
        <f t="shared" si="432"/>
        <v>0.1509999999999998</v>
      </c>
      <c r="AD566" s="3">
        <f>-1751.285683*627.50956</f>
        <v>-1098948.5083736295</v>
      </c>
      <c r="AE566" s="3">
        <f>-1759.203165*627.50956</f>
        <v>-1103916.8040197573</v>
      </c>
      <c r="AF566" s="3">
        <f t="shared" si="433"/>
        <v>-4968.295646127779</v>
      </c>
      <c r="AG566" s="3">
        <f>-1751.36714*627.50956</f>
        <v>-1098999.6234198583</v>
      </c>
      <c r="AH566" s="3">
        <f>-1759.287256*627.50956</f>
        <v>-1103969.5719261672</v>
      </c>
      <c r="AI566" s="3">
        <f t="shared" si="434"/>
        <v>-4969.9485063089523</v>
      </c>
      <c r="AJ566" s="3">
        <v>-0.436</v>
      </c>
      <c r="AK566" s="3">
        <v>-0.439</v>
      </c>
      <c r="AL566" s="3">
        <f t="shared" si="435"/>
        <v>-3.0000000000000027E-3</v>
      </c>
      <c r="AM566" s="3">
        <v>388.06198000000001</v>
      </c>
      <c r="AN566" s="3">
        <v>383.9486</v>
      </c>
      <c r="AO566" s="3">
        <v>460.9486</v>
      </c>
      <c r="AP566" s="3">
        <f t="shared" si="440"/>
        <v>1.3307425348365782</v>
      </c>
      <c r="AQ566" s="3">
        <v>13.145</v>
      </c>
      <c r="AR566" s="3">
        <v>3.7024425999999999</v>
      </c>
      <c r="AS566" s="3">
        <v>-132.80099999999999</v>
      </c>
      <c r="AT566" s="3">
        <v>-131.97</v>
      </c>
      <c r="AU566" s="3">
        <f t="shared" si="411"/>
        <v>-0.83099999999998886</v>
      </c>
      <c r="AV566" s="3">
        <v>-0.34100000000000003</v>
      </c>
      <c r="AW566" s="3">
        <v>-0.47499999999999998</v>
      </c>
      <c r="AX566" s="3">
        <f t="shared" si="412"/>
        <v>0.13399999999999995</v>
      </c>
      <c r="AY566" s="3">
        <v>2.9000000000000001E-2</v>
      </c>
      <c r="AZ566" s="3">
        <v>0.156</v>
      </c>
      <c r="BA566" s="3">
        <f t="shared" si="413"/>
        <v>-0.127</v>
      </c>
      <c r="BB566" s="3">
        <f t="shared" si="441"/>
        <v>0.156</v>
      </c>
      <c r="BC566" s="3">
        <f t="shared" si="441"/>
        <v>0.15949999999999998</v>
      </c>
      <c r="BD566" s="3">
        <f t="shared" si="414"/>
        <v>-3.4999999999999754E-3</v>
      </c>
      <c r="BE566" s="3">
        <f t="shared" si="442"/>
        <v>0.37000000000000005</v>
      </c>
      <c r="BF566" s="3">
        <f t="shared" si="442"/>
        <v>0.63100000000000001</v>
      </c>
      <c r="BG566" s="3">
        <f t="shared" si="415"/>
        <v>-0.26099999999999995</v>
      </c>
      <c r="BH566" s="3">
        <f t="shared" si="443"/>
        <v>-0.156</v>
      </c>
      <c r="BI566" s="3">
        <f t="shared" si="443"/>
        <v>-0.15949999999999998</v>
      </c>
      <c r="BJ566" s="3">
        <f t="shared" si="406"/>
        <v>3.4999999999999754E-3</v>
      </c>
      <c r="BK566" s="3">
        <f t="shared" si="400"/>
        <v>3.2886486486486483E-2</v>
      </c>
      <c r="BL566" s="3">
        <f t="shared" si="401"/>
        <v>2.0158676703645E-2</v>
      </c>
      <c r="BM566" s="3">
        <f t="shared" si="416"/>
        <v>1.2727809782841482E-2</v>
      </c>
      <c r="BN566" s="3">
        <v>4.7279999999999998</v>
      </c>
      <c r="BO566" s="3">
        <v>4.9340000000000002</v>
      </c>
      <c r="BP566" s="3">
        <f t="shared" si="417"/>
        <v>-0.20600000000000041</v>
      </c>
      <c r="BQ566" s="3">
        <v>-83302.89</v>
      </c>
      <c r="BR566" s="3">
        <v>-82779.224000000002</v>
      </c>
      <c r="BS566" s="3">
        <f t="shared" si="418"/>
        <v>-523.66599999999744</v>
      </c>
      <c r="BT566" s="3">
        <v>-83320.774999999994</v>
      </c>
      <c r="BU566" s="3">
        <v>-82796.997000000003</v>
      </c>
      <c r="BV566" s="3">
        <f t="shared" si="419"/>
        <v>-523.77799999999115</v>
      </c>
    </row>
    <row r="567" spans="1:74" x14ac:dyDescent="0.25">
      <c r="A567" t="s">
        <v>639</v>
      </c>
      <c r="B567" s="1" t="s">
        <v>646</v>
      </c>
      <c r="C567" s="1" t="s">
        <v>199</v>
      </c>
      <c r="D567" s="3">
        <v>11.25</v>
      </c>
      <c r="E567" s="3">
        <v>0.52</v>
      </c>
      <c r="F567" s="3">
        <v>-282.279</v>
      </c>
      <c r="G567" s="3">
        <v>-283.91699999999997</v>
      </c>
      <c r="H567" s="3">
        <f t="shared" si="436"/>
        <v>-1.6379999999999768</v>
      </c>
      <c r="I567" s="3">
        <v>-0.27900000000000003</v>
      </c>
      <c r="J567" s="6">
        <v>-0.16400000000000001</v>
      </c>
      <c r="K567" s="3">
        <f t="shared" si="423"/>
        <v>0.11500000000000002</v>
      </c>
      <c r="L567" s="3">
        <v>0.17899999999999999</v>
      </c>
      <c r="M567" s="6">
        <v>3.7999999999999999E-2</v>
      </c>
      <c r="N567" s="3">
        <f t="shared" si="424"/>
        <v>-0.14099999999999999</v>
      </c>
      <c r="O567" s="3">
        <f t="shared" si="407"/>
        <v>5.0000000000000017E-2</v>
      </c>
      <c r="P567" s="3">
        <f t="shared" si="407"/>
        <v>6.3E-2</v>
      </c>
      <c r="Q567" s="3">
        <f t="shared" si="425"/>
        <v>1.2999999999999984E-2</v>
      </c>
      <c r="R567" s="3">
        <f t="shared" si="426"/>
        <v>0.45800000000000002</v>
      </c>
      <c r="S567" s="3">
        <f t="shared" si="427"/>
        <v>0.20200000000000001</v>
      </c>
      <c r="T567" s="3">
        <f t="shared" si="428"/>
        <v>-0.25600000000000001</v>
      </c>
      <c r="U567" s="3">
        <f t="shared" si="429"/>
        <v>-5.0000000000000017E-2</v>
      </c>
      <c r="V567" s="3">
        <f t="shared" si="430"/>
        <v>-6.3E-2</v>
      </c>
      <c r="W567" s="3">
        <f t="shared" si="402"/>
        <v>-1.2999999999999984E-2</v>
      </c>
      <c r="X567" s="3">
        <f t="shared" si="398"/>
        <v>2.7292576419213994E-3</v>
      </c>
      <c r="Y567" s="3">
        <f t="shared" si="399"/>
        <v>9.8242574257425743E-3</v>
      </c>
      <c r="Z567" s="3">
        <f t="shared" si="431"/>
        <v>7.0949997838211749E-3</v>
      </c>
      <c r="AA567" s="3">
        <v>6.843</v>
      </c>
      <c r="AB567" s="3">
        <v>5.6349999999999998</v>
      </c>
      <c r="AC567" s="3">
        <f t="shared" si="432"/>
        <v>-1.2080000000000002</v>
      </c>
      <c r="AD567" s="3">
        <f>-282.20375*627.50956</f>
        <v>-177085.55099285001</v>
      </c>
      <c r="AE567" s="3">
        <f>-283.847009*627.50956</f>
        <v>-178116.71172490602</v>
      </c>
      <c r="AF567" s="3">
        <f t="shared" si="433"/>
        <v>-1031.1607320560142</v>
      </c>
      <c r="AG567" s="3">
        <f>-282.238107*627.50956</f>
        <v>-177107.11033880292</v>
      </c>
      <c r="AH567" s="3">
        <f>-283.882189*627.50956</f>
        <v>-178138.78751122681</v>
      </c>
      <c r="AI567" s="3">
        <f t="shared" si="434"/>
        <v>-1031.6771724238934</v>
      </c>
      <c r="AJ567" s="3">
        <v>-0.53100000000000003</v>
      </c>
      <c r="AK567" s="3">
        <v>-0.61199999999999999</v>
      </c>
      <c r="AL567" s="3">
        <f t="shared" si="435"/>
        <v>-8.0999999999999961E-2</v>
      </c>
      <c r="AM567" s="3">
        <v>74.058660000000003</v>
      </c>
      <c r="AN567" s="3">
        <v>117.34699999999999</v>
      </c>
      <c r="AO567" s="3">
        <v>105.62526</v>
      </c>
      <c r="AP567" s="3">
        <f t="shared" si="440"/>
        <v>1.0861323461854318</v>
      </c>
      <c r="AQ567" s="3">
        <v>7.133</v>
      </c>
      <c r="AR567" s="3">
        <v>1.4795294000000001</v>
      </c>
      <c r="AS567" s="3">
        <v>-76.454999999999998</v>
      </c>
      <c r="AT567" s="3">
        <v>-76.055000000000007</v>
      </c>
      <c r="AU567" s="3">
        <f t="shared" si="411"/>
        <v>-0.39999999999999147</v>
      </c>
      <c r="AV567" s="3">
        <v>-0.30399999999999999</v>
      </c>
      <c r="AW567" s="3">
        <v>-0.505</v>
      </c>
      <c r="AX567" s="3">
        <f t="shared" si="412"/>
        <v>0.20100000000000001</v>
      </c>
      <c r="AY567" s="3">
        <v>0.04</v>
      </c>
      <c r="AZ567" s="3">
        <v>0.16400000000000001</v>
      </c>
      <c r="BA567" s="3">
        <f t="shared" si="413"/>
        <v>-0.124</v>
      </c>
      <c r="BB567" s="3">
        <f t="shared" si="441"/>
        <v>0.13200000000000001</v>
      </c>
      <c r="BC567" s="3">
        <f t="shared" si="441"/>
        <v>0.17049999999999998</v>
      </c>
      <c r="BD567" s="3">
        <f t="shared" si="414"/>
        <v>-3.8499999999999979E-2</v>
      </c>
      <c r="BE567" s="3">
        <f t="shared" si="442"/>
        <v>0.34399999999999997</v>
      </c>
      <c r="BF567" s="3">
        <f t="shared" si="442"/>
        <v>0.66900000000000004</v>
      </c>
      <c r="BG567" s="3">
        <f t="shared" si="415"/>
        <v>-0.32500000000000007</v>
      </c>
      <c r="BH567" s="3">
        <f t="shared" si="443"/>
        <v>-0.13200000000000001</v>
      </c>
      <c r="BI567" s="3">
        <f t="shared" si="443"/>
        <v>-0.17049999999999998</v>
      </c>
      <c r="BJ567" s="3">
        <f t="shared" si="406"/>
        <v>3.8499999999999979E-2</v>
      </c>
      <c r="BK567" s="3">
        <f t="shared" si="400"/>
        <v>2.5325581395348844E-2</v>
      </c>
      <c r="BL567" s="3">
        <f t="shared" si="401"/>
        <v>2.1726644245141997E-2</v>
      </c>
      <c r="BM567" s="3">
        <f t="shared" si="416"/>
        <v>3.5989371502068469E-3</v>
      </c>
      <c r="BN567" s="3">
        <v>2.3010000000000002</v>
      </c>
      <c r="BO567" s="3">
        <v>2.3559999999999999</v>
      </c>
      <c r="BP567" s="3">
        <f t="shared" si="417"/>
        <v>-5.4999999999999716E-2</v>
      </c>
      <c r="BQ567" s="3">
        <v>-47960.305999999997</v>
      </c>
      <c r="BR567" s="3">
        <v>-47708.290999999997</v>
      </c>
      <c r="BS567" s="3">
        <f t="shared" si="418"/>
        <v>-252.01499999999942</v>
      </c>
      <c r="BT567" s="3">
        <v>-47973.754999999997</v>
      </c>
      <c r="BU567" s="3">
        <v>-47721.697</v>
      </c>
      <c r="BV567" s="3">
        <f t="shared" si="419"/>
        <v>-252.05799999999726</v>
      </c>
    </row>
    <row r="568" spans="1:74" x14ac:dyDescent="0.25">
      <c r="A568" t="s">
        <v>640</v>
      </c>
      <c r="B568" s="1" t="s">
        <v>646</v>
      </c>
      <c r="C568" s="1" t="s">
        <v>103</v>
      </c>
      <c r="D568" s="3">
        <v>11.28</v>
      </c>
      <c r="E568" s="3">
        <v>0.91</v>
      </c>
      <c r="F568" s="3">
        <v>-1322.7439999999999</v>
      </c>
      <c r="G568" s="3">
        <v>-1329.9760000000001</v>
      </c>
      <c r="H568" s="3">
        <f t="shared" si="436"/>
        <v>-7.2320000000001983</v>
      </c>
      <c r="I568" s="3">
        <v>-0.318</v>
      </c>
      <c r="J568" s="6">
        <v>-0.21199999999999999</v>
      </c>
      <c r="K568" s="3">
        <f t="shared" si="423"/>
        <v>0.10600000000000001</v>
      </c>
      <c r="L568" s="3">
        <v>0.105</v>
      </c>
      <c r="M568" s="6">
        <v>-3.4000000000000002E-2</v>
      </c>
      <c r="N568" s="3">
        <f t="shared" si="424"/>
        <v>-0.13900000000000001</v>
      </c>
      <c r="O568" s="3">
        <f t="shared" si="407"/>
        <v>0.10650000000000001</v>
      </c>
      <c r="P568" s="3">
        <f t="shared" si="407"/>
        <v>0.123</v>
      </c>
      <c r="Q568" s="3">
        <f t="shared" si="425"/>
        <v>1.6499999999999987E-2</v>
      </c>
      <c r="R568" s="3">
        <f t="shared" si="426"/>
        <v>0.42299999999999999</v>
      </c>
      <c r="S568" s="3">
        <f t="shared" si="427"/>
        <v>0.17799999999999999</v>
      </c>
      <c r="T568" s="3">
        <f t="shared" si="428"/>
        <v>-0.245</v>
      </c>
      <c r="U568" s="3">
        <f t="shared" si="429"/>
        <v>-0.10650000000000001</v>
      </c>
      <c r="V568" s="3">
        <f t="shared" si="430"/>
        <v>-0.123</v>
      </c>
      <c r="W568" s="3">
        <f t="shared" si="402"/>
        <v>-1.6499999999999987E-2</v>
      </c>
      <c r="X568" s="3">
        <f t="shared" si="398"/>
        <v>1.3406914893617023E-2</v>
      </c>
      <c r="Y568" s="3">
        <f t="shared" si="399"/>
        <v>4.249719101123596E-2</v>
      </c>
      <c r="Z568" s="3">
        <f t="shared" si="431"/>
        <v>2.9090276117618937E-2</v>
      </c>
      <c r="AA568" s="3">
        <v>2.0449999999999999</v>
      </c>
      <c r="AB568" s="3">
        <v>2.089</v>
      </c>
      <c r="AC568" s="3">
        <f t="shared" si="432"/>
        <v>4.4000000000000039E-2</v>
      </c>
      <c r="AD568" s="3">
        <f>-1322.305676*627.50956</f>
        <v>-829759.45293226244</v>
      </c>
      <c r="AE568" s="3">
        <f>-1329.562352*627.50956</f>
        <v>-834313.08649608504</v>
      </c>
      <c r="AF568" s="3">
        <f t="shared" si="433"/>
        <v>-4553.633563822601</v>
      </c>
      <c r="AG568" s="3">
        <f>-1322.385407*627.50956</f>
        <v>-829809.48489699082</v>
      </c>
      <c r="AH568" s="3">
        <f>-1329.643774*627.50956</f>
        <v>-834364.17957947927</v>
      </c>
      <c r="AI568" s="3">
        <f t="shared" si="434"/>
        <v>-4554.6946824884508</v>
      </c>
      <c r="AJ568" s="3">
        <v>-0.39100000000000001</v>
      </c>
      <c r="AK568" s="3">
        <v>-0.374</v>
      </c>
      <c r="AL568" s="3">
        <f t="shared" si="435"/>
        <v>1.7000000000000015E-2</v>
      </c>
      <c r="AM568" s="3">
        <v>358.50508000000002</v>
      </c>
      <c r="AN568" s="3">
        <v>435.54300000000001</v>
      </c>
      <c r="AO568" s="3">
        <v>535.13635999999997</v>
      </c>
      <c r="AP568" s="3">
        <f t="shared" si="440"/>
        <v>1.3666081773886614</v>
      </c>
      <c r="AQ568" s="3">
        <v>13.651</v>
      </c>
      <c r="AR568" s="3">
        <v>3.5733280000000001</v>
      </c>
      <c r="AS568" s="3">
        <v>-959.76900000000001</v>
      </c>
      <c r="AT568" s="3">
        <v>-958.05</v>
      </c>
      <c r="AU568" s="3">
        <f t="shared" si="411"/>
        <v>-1.7190000000000509</v>
      </c>
      <c r="AV568" s="3">
        <v>-0.317</v>
      </c>
      <c r="AW568" s="3">
        <v>-0.45</v>
      </c>
      <c r="AX568" s="3">
        <f t="shared" si="412"/>
        <v>0.13300000000000001</v>
      </c>
      <c r="AY568" s="3">
        <v>-2.4E-2</v>
      </c>
      <c r="AZ568" s="3">
        <v>0.13500000000000001</v>
      </c>
      <c r="BA568" s="3">
        <f t="shared" si="413"/>
        <v>-0.159</v>
      </c>
      <c r="BB568" s="3">
        <f t="shared" si="441"/>
        <v>0.17050000000000001</v>
      </c>
      <c r="BC568" s="3">
        <f t="shared" si="441"/>
        <v>0.1575</v>
      </c>
      <c r="BD568" s="3">
        <f t="shared" si="414"/>
        <v>1.3000000000000012E-2</v>
      </c>
      <c r="BE568" s="3">
        <f t="shared" si="442"/>
        <v>0.29299999999999998</v>
      </c>
      <c r="BF568" s="3">
        <f t="shared" si="442"/>
        <v>0.58499999999999996</v>
      </c>
      <c r="BG568" s="3">
        <f t="shared" si="415"/>
        <v>-0.29199999999999998</v>
      </c>
      <c r="BH568" s="3">
        <f t="shared" si="443"/>
        <v>-0.17050000000000001</v>
      </c>
      <c r="BI568" s="3">
        <f t="shared" si="443"/>
        <v>-0.1575</v>
      </c>
      <c r="BJ568" s="3">
        <f t="shared" si="406"/>
        <v>-1.3000000000000012E-2</v>
      </c>
      <c r="BK568" s="3">
        <f t="shared" si="400"/>
        <v>4.9607935153583631E-2</v>
      </c>
      <c r="BL568" s="3">
        <f t="shared" si="401"/>
        <v>2.120192307692308E-2</v>
      </c>
      <c r="BM568" s="3">
        <f t="shared" si="416"/>
        <v>2.8406012076660551E-2</v>
      </c>
      <c r="BN568" s="3">
        <v>2.2370000000000001</v>
      </c>
      <c r="BO568" s="3">
        <v>2.431</v>
      </c>
      <c r="BP568" s="3">
        <f t="shared" si="417"/>
        <v>-0.19399999999999995</v>
      </c>
      <c r="BQ568" s="3">
        <v>-602243.07700000005</v>
      </c>
      <c r="BR568" s="3">
        <v>-601163.24300000002</v>
      </c>
      <c r="BS568" s="3">
        <f t="shared" si="418"/>
        <v>-1079.8340000000317</v>
      </c>
      <c r="BT568" s="3">
        <v>-602262.36399999994</v>
      </c>
      <c r="BU568" s="3">
        <v>-601182.38500000001</v>
      </c>
      <c r="BV568" s="3">
        <f t="shared" si="419"/>
        <v>-1079.9789999999339</v>
      </c>
    </row>
    <row r="569" spans="1:74" x14ac:dyDescent="0.25">
      <c r="A569" t="s">
        <v>642</v>
      </c>
      <c r="B569" s="1" t="s">
        <v>646</v>
      </c>
      <c r="C569" s="1" t="s">
        <v>200</v>
      </c>
      <c r="D569" s="3">
        <v>15.33</v>
      </c>
      <c r="E569" s="3">
        <v>0.72</v>
      </c>
      <c r="F569" s="3">
        <v>-836.96400000000006</v>
      </c>
      <c r="G569" s="3">
        <v>-841.84900000000005</v>
      </c>
      <c r="H569" s="3">
        <f t="shared" si="436"/>
        <v>-4.8849999999999909</v>
      </c>
      <c r="I569" s="3">
        <v>-0.29399999999999998</v>
      </c>
      <c r="J569" s="6">
        <v>-0.191</v>
      </c>
      <c r="K569" s="3">
        <f t="shared" si="423"/>
        <v>0.10299999999999998</v>
      </c>
      <c r="L569" s="3">
        <v>0.153</v>
      </c>
      <c r="M569" s="6">
        <v>0.02</v>
      </c>
      <c r="N569" s="3">
        <f t="shared" si="424"/>
        <v>-0.13300000000000001</v>
      </c>
      <c r="O569" s="3">
        <f t="shared" si="407"/>
        <v>7.0499999999999993E-2</v>
      </c>
      <c r="P569" s="3">
        <f t="shared" si="407"/>
        <v>8.5500000000000007E-2</v>
      </c>
      <c r="Q569" s="3">
        <f t="shared" si="425"/>
        <v>1.5000000000000013E-2</v>
      </c>
      <c r="R569" s="3">
        <f t="shared" si="426"/>
        <v>0.44699999999999995</v>
      </c>
      <c r="S569" s="3">
        <f t="shared" si="427"/>
        <v>0.21099999999999999</v>
      </c>
      <c r="T569" s="3">
        <f t="shared" si="428"/>
        <v>-0.23599999999999996</v>
      </c>
      <c r="U569" s="3">
        <f t="shared" si="429"/>
        <v>-7.0499999999999993E-2</v>
      </c>
      <c r="V569" s="3">
        <f t="shared" si="430"/>
        <v>-8.5500000000000007E-2</v>
      </c>
      <c r="W569" s="3">
        <f t="shared" si="402"/>
        <v>-1.5000000000000013E-2</v>
      </c>
      <c r="X569" s="3">
        <f t="shared" si="398"/>
        <v>5.5595637583892611E-3</v>
      </c>
      <c r="Y569" s="3">
        <f t="shared" si="399"/>
        <v>1.7322867298578203E-2</v>
      </c>
      <c r="Z569" s="3">
        <f t="shared" si="431"/>
        <v>1.1763303540188941E-2</v>
      </c>
      <c r="AA569" s="3">
        <v>8.0069999999999997</v>
      </c>
      <c r="AB569" s="3">
        <v>7.1609999999999996</v>
      </c>
      <c r="AC569" s="3">
        <f t="shared" si="432"/>
        <v>-0.84600000000000009</v>
      </c>
      <c r="AD569" s="3">
        <f>-836.682099*627.50956</f>
        <v>-525026.01580336643</v>
      </c>
      <c r="AE569" s="3">
        <f>-841.583716*627.50956</f>
        <v>-528101.82733032492</v>
      </c>
      <c r="AF569" s="3">
        <f t="shared" si="433"/>
        <v>-3075.8115269584814</v>
      </c>
      <c r="AG569" s="3">
        <f>-836.74883*627.50956</f>
        <v>-525067.89014381473</v>
      </c>
      <c r="AH569" s="3">
        <f>-841.651987*627.50956</f>
        <v>-528144.66803549568</v>
      </c>
      <c r="AI569" s="3">
        <f t="shared" si="434"/>
        <v>-3076.7778916809475</v>
      </c>
      <c r="AJ569" s="3">
        <v>-0.65100000000000002</v>
      </c>
      <c r="AK569" s="3">
        <v>-0.52400000000000002</v>
      </c>
      <c r="AL569" s="3">
        <f t="shared" si="435"/>
        <v>0.127</v>
      </c>
      <c r="AM569" s="3">
        <v>231.2225</v>
      </c>
      <c r="AN569" s="3">
        <v>308.96350000000001</v>
      </c>
      <c r="AO569" s="3">
        <v>335.10120000000001</v>
      </c>
      <c r="AP569" s="3">
        <f t="shared" ref="AP569:AP632" si="444">(AN569/(4*3.14*POWER(((3*AO569)/(4*3.14)),2/3)))</f>
        <v>1.3244812194952755</v>
      </c>
      <c r="AQ569" s="3">
        <v>13.763999999999999</v>
      </c>
      <c r="AR569" s="3">
        <v>3.0716999999999999</v>
      </c>
      <c r="AS569" s="3">
        <v>-553.27200000000005</v>
      </c>
      <c r="AT569" s="3">
        <v>-551.61699999999996</v>
      </c>
      <c r="AU569" s="3">
        <f t="shared" ref="AU569:AU580" si="445">AS569-AT569</f>
        <v>-1.6550000000000864</v>
      </c>
      <c r="AV569" s="3">
        <v>-0.23699999999999999</v>
      </c>
      <c r="AW569" s="3">
        <v>-0.36899999999999999</v>
      </c>
      <c r="AX569" s="3">
        <f t="shared" ref="AX569:AX580" si="446">AV569-AW569</f>
        <v>0.13200000000000001</v>
      </c>
      <c r="AY569" s="3">
        <v>2.8000000000000001E-2</v>
      </c>
      <c r="AZ569" s="3">
        <v>0.154</v>
      </c>
      <c r="BA569" s="3">
        <f t="shared" ref="BA569:BA580" si="447">AY569-AZ569</f>
        <v>-0.126</v>
      </c>
      <c r="BB569" s="3">
        <f t="shared" ref="BB569:BC571" si="448">-(AV569+AY569)/2</f>
        <v>0.1045</v>
      </c>
      <c r="BC569" s="3">
        <f t="shared" si="448"/>
        <v>0.1075</v>
      </c>
      <c r="BD569" s="3">
        <f t="shared" ref="BD569:BD580" si="449">BB569-BC569</f>
        <v>-3.0000000000000027E-3</v>
      </c>
      <c r="BE569" s="3">
        <f t="shared" ref="BE569:BF571" si="450">AY569-AV569</f>
        <v>0.26500000000000001</v>
      </c>
      <c r="BF569" s="3">
        <f t="shared" si="450"/>
        <v>0.52300000000000002</v>
      </c>
      <c r="BG569" s="3">
        <f t="shared" ref="BG569:BG580" si="451">BE569-BF569</f>
        <v>-0.25800000000000001</v>
      </c>
      <c r="BH569" s="3">
        <f t="shared" ref="BH569:BI571" si="452">(AV569+AY569)/2</f>
        <v>-0.1045</v>
      </c>
      <c r="BI569" s="3">
        <f t="shared" si="452"/>
        <v>-0.1075</v>
      </c>
      <c r="BJ569" s="3">
        <f t="shared" si="406"/>
        <v>3.0000000000000027E-3</v>
      </c>
      <c r="BK569" s="3">
        <f t="shared" si="400"/>
        <v>2.0604245283018865E-2</v>
      </c>
      <c r="BL569" s="3">
        <f t="shared" si="401"/>
        <v>1.104804015296367E-2</v>
      </c>
      <c r="BM569" s="3">
        <f t="shared" ref="BM569:BM580" si="453">BK569-BL569</f>
        <v>9.5562051300551957E-3</v>
      </c>
      <c r="BN569" s="3">
        <v>5.4870000000000001</v>
      </c>
      <c r="BO569" s="3">
        <v>6.0839999999999996</v>
      </c>
      <c r="BP569" s="3">
        <f t="shared" ref="BP569:BP580" si="454">BN569-BO569</f>
        <v>-0.59699999999999953</v>
      </c>
      <c r="BQ569" s="3">
        <v>-347129.96399999998</v>
      </c>
      <c r="BR569" s="3">
        <v>-346087.64600000001</v>
      </c>
      <c r="BS569" s="3">
        <f t="shared" ref="BS569:BS580" si="455">BQ569-BR569</f>
        <v>-1042.3179999999702</v>
      </c>
      <c r="BT569" s="3">
        <v>-347152.04599999997</v>
      </c>
      <c r="BU569" s="3">
        <v>-346109.22600000002</v>
      </c>
      <c r="BV569" s="3">
        <f t="shared" ref="BV569:BV580" si="456">BT569-BU569</f>
        <v>-1042.8199999999488</v>
      </c>
    </row>
    <row r="570" spans="1:74" x14ac:dyDescent="0.25">
      <c r="A570" t="s">
        <v>641</v>
      </c>
      <c r="B570" s="1" t="s">
        <v>646</v>
      </c>
      <c r="C570" s="1" t="s">
        <v>218</v>
      </c>
      <c r="D570" s="3">
        <v>15.33</v>
      </c>
      <c r="E570" s="3">
        <v>0.79</v>
      </c>
      <c r="F570" s="3">
        <v>-1338.713</v>
      </c>
      <c r="G570" s="3">
        <v>-1347.527</v>
      </c>
      <c r="H570" s="3">
        <f t="shared" si="436"/>
        <v>-8.8140000000000782</v>
      </c>
      <c r="I570" s="3">
        <v>-0.24399999999999999</v>
      </c>
      <c r="J570" s="6">
        <v>-0.16700000000000001</v>
      </c>
      <c r="K570" s="3">
        <f t="shared" si="423"/>
        <v>7.6999999999999985E-2</v>
      </c>
      <c r="L570" s="3">
        <v>0.115</v>
      </c>
      <c r="M570" s="6">
        <v>-3.4000000000000002E-2</v>
      </c>
      <c r="N570" s="3">
        <f t="shared" si="424"/>
        <v>-0.14900000000000002</v>
      </c>
      <c r="O570" s="3">
        <f t="shared" si="407"/>
        <v>6.4500000000000002E-2</v>
      </c>
      <c r="P570" s="3">
        <f t="shared" si="407"/>
        <v>0.10050000000000001</v>
      </c>
      <c r="Q570" s="3">
        <f t="shared" si="425"/>
        <v>3.6000000000000004E-2</v>
      </c>
      <c r="R570" s="3">
        <f t="shared" si="426"/>
        <v>0.35899999999999999</v>
      </c>
      <c r="S570" s="3">
        <f t="shared" si="427"/>
        <v>0.13300000000000001</v>
      </c>
      <c r="T570" s="3">
        <f t="shared" si="428"/>
        <v>-0.22599999999999998</v>
      </c>
      <c r="U570" s="3">
        <f t="shared" si="429"/>
        <v>-6.4500000000000002E-2</v>
      </c>
      <c r="V570" s="3">
        <f t="shared" si="430"/>
        <v>-0.10050000000000001</v>
      </c>
      <c r="W570" s="3">
        <f t="shared" si="402"/>
        <v>-3.6000000000000004E-2</v>
      </c>
      <c r="X570" s="3">
        <f t="shared" si="398"/>
        <v>5.7942200557103063E-3</v>
      </c>
      <c r="Y570" s="3">
        <f t="shared" si="399"/>
        <v>3.7970864661654141E-2</v>
      </c>
      <c r="Z570" s="3">
        <f t="shared" si="431"/>
        <v>3.2176644605943834E-2</v>
      </c>
      <c r="AA570" s="3">
        <v>11.58</v>
      </c>
      <c r="AB570" s="3">
        <v>11.582000000000001</v>
      </c>
      <c r="AC570" s="3">
        <f t="shared" si="432"/>
        <v>2.0000000000006679E-3</v>
      </c>
      <c r="AD570" s="3">
        <f>-1338.102429*627.50956</f>
        <v>-839672.06645672116</v>
      </c>
      <c r="AE570" s="3">
        <f>-1346.951548*627.50956</f>
        <v>-845224.97322679881</v>
      </c>
      <c r="AF570" s="3">
        <f t="shared" si="433"/>
        <v>-5552.9067700776504</v>
      </c>
      <c r="AG570" s="3">
        <f>-1338.19703*627.50956</f>
        <v>-839731.42948860675</v>
      </c>
      <c r="AH570" s="3">
        <f>-1347.051363*627.50956</f>
        <v>-845287.60809353029</v>
      </c>
      <c r="AI570" s="3">
        <f t="shared" si="434"/>
        <v>-5556.1786049235379</v>
      </c>
      <c r="AJ570" s="3">
        <v>-0.504</v>
      </c>
      <c r="AK570" s="3">
        <v>-0.59099999999999997</v>
      </c>
      <c r="AL570" s="3">
        <f t="shared" si="435"/>
        <v>-8.6999999999999966E-2</v>
      </c>
      <c r="AM570" s="3">
        <v>436.58780000000002</v>
      </c>
      <c r="AN570" s="5">
        <v>509.59350000000001</v>
      </c>
      <c r="AO570" s="3">
        <v>671.35590000000002</v>
      </c>
      <c r="AP570" s="3">
        <f t="shared" si="444"/>
        <v>1.3746051191327451</v>
      </c>
      <c r="AQ570" s="3">
        <v>16.853999999999999</v>
      </c>
      <c r="AR570" s="3">
        <v>4.0455800000000002</v>
      </c>
      <c r="AS570" s="3">
        <v>-232.511</v>
      </c>
      <c r="AT570" s="3">
        <v>-231.03200000000001</v>
      </c>
      <c r="AU570" s="3">
        <f t="shared" si="445"/>
        <v>-1.478999999999985</v>
      </c>
      <c r="AV570" s="3">
        <v>-0.246</v>
      </c>
      <c r="AW570" s="3">
        <v>-0.40400000000000003</v>
      </c>
      <c r="AX570" s="3">
        <f t="shared" si="446"/>
        <v>0.15800000000000003</v>
      </c>
      <c r="AY570" s="3">
        <v>3.5999999999999997E-2</v>
      </c>
      <c r="AZ570" s="3">
        <v>0.15</v>
      </c>
      <c r="BA570" s="3">
        <f t="shared" si="447"/>
        <v>-0.11399999999999999</v>
      </c>
      <c r="BB570" s="3">
        <f t="shared" si="448"/>
        <v>0.105</v>
      </c>
      <c r="BC570" s="3">
        <f t="shared" si="448"/>
        <v>0.127</v>
      </c>
      <c r="BD570" s="3">
        <f t="shared" si="449"/>
        <v>-2.2000000000000006E-2</v>
      </c>
      <c r="BE570" s="3">
        <f t="shared" si="450"/>
        <v>0.28199999999999997</v>
      </c>
      <c r="BF570" s="3">
        <f t="shared" si="450"/>
        <v>0.55400000000000005</v>
      </c>
      <c r="BG570" s="3">
        <f t="shared" si="451"/>
        <v>-0.27200000000000008</v>
      </c>
      <c r="BH570" s="3">
        <f t="shared" si="452"/>
        <v>-0.105</v>
      </c>
      <c r="BI570" s="3">
        <f t="shared" si="452"/>
        <v>-0.127</v>
      </c>
      <c r="BJ570" s="3">
        <f t="shared" si="406"/>
        <v>2.2000000000000006E-2</v>
      </c>
      <c r="BK570" s="3">
        <f t="shared" si="400"/>
        <v>1.9547872340425532E-2</v>
      </c>
      <c r="BL570" s="3">
        <f t="shared" si="401"/>
        <v>1.4556859205776172E-2</v>
      </c>
      <c r="BM570" s="3">
        <f t="shared" si="453"/>
        <v>4.9910131346493601E-3</v>
      </c>
      <c r="BN570" s="3">
        <v>2.206</v>
      </c>
      <c r="BO570" s="3">
        <v>2.2749999999999999</v>
      </c>
      <c r="BP570" s="3">
        <f t="shared" si="454"/>
        <v>-6.899999999999995E-2</v>
      </c>
      <c r="BQ570" s="3">
        <v>-145827.45000000001</v>
      </c>
      <c r="BR570" s="3">
        <v>-144894.345</v>
      </c>
      <c r="BS570" s="3">
        <f t="shared" si="455"/>
        <v>-933.10500000001048</v>
      </c>
      <c r="BT570" s="3">
        <v>-145847.03599999999</v>
      </c>
      <c r="BU570" s="3">
        <v>-144913.766</v>
      </c>
      <c r="BV570" s="3">
        <f t="shared" si="456"/>
        <v>-933.26999999998952</v>
      </c>
    </row>
    <row r="571" spans="1:74" x14ac:dyDescent="0.25">
      <c r="A571" t="s">
        <v>643</v>
      </c>
      <c r="B571" s="1" t="s">
        <v>646</v>
      </c>
      <c r="C571" s="1" t="s">
        <v>199</v>
      </c>
      <c r="D571" s="3">
        <v>15.57</v>
      </c>
      <c r="E571" s="3">
        <v>0.57999999999999996</v>
      </c>
      <c r="F571" s="3">
        <v>-397.22199999999998</v>
      </c>
      <c r="G571" s="3">
        <v>-399.58199999999999</v>
      </c>
      <c r="H571" s="3">
        <f t="shared" si="436"/>
        <v>-2.3600000000000136</v>
      </c>
      <c r="I571" s="3">
        <v>-0.27900000000000003</v>
      </c>
      <c r="J571" s="6">
        <v>-0.17899999999999999</v>
      </c>
      <c r="K571" s="3">
        <f t="shared" si="423"/>
        <v>0.10000000000000003</v>
      </c>
      <c r="L571" s="3">
        <v>0.17199999999999999</v>
      </c>
      <c r="M571" s="6">
        <v>4.4999999999999998E-2</v>
      </c>
      <c r="N571" s="3">
        <f t="shared" si="424"/>
        <v>-0.127</v>
      </c>
      <c r="O571" s="3">
        <f t="shared" si="407"/>
        <v>5.350000000000002E-2</v>
      </c>
      <c r="P571" s="3">
        <f t="shared" si="407"/>
        <v>6.7000000000000004E-2</v>
      </c>
      <c r="Q571" s="3">
        <f t="shared" si="425"/>
        <v>1.3499999999999984E-2</v>
      </c>
      <c r="R571" s="3">
        <f t="shared" si="426"/>
        <v>0.45100000000000001</v>
      </c>
      <c r="S571" s="3">
        <f t="shared" si="427"/>
        <v>0.22399999999999998</v>
      </c>
      <c r="T571" s="3">
        <f t="shared" si="428"/>
        <v>-0.22700000000000004</v>
      </c>
      <c r="U571" s="3">
        <f t="shared" si="429"/>
        <v>-5.350000000000002E-2</v>
      </c>
      <c r="V571" s="3">
        <f t="shared" si="430"/>
        <v>-6.7000000000000004E-2</v>
      </c>
      <c r="W571" s="3">
        <f t="shared" si="402"/>
        <v>-1.3499999999999984E-2</v>
      </c>
      <c r="X571" s="3">
        <f t="shared" si="398"/>
        <v>3.1732261640798247E-3</v>
      </c>
      <c r="Y571" s="3">
        <f t="shared" si="399"/>
        <v>1.0020089285714288E-2</v>
      </c>
      <c r="Z571" s="3">
        <f t="shared" si="431"/>
        <v>6.8468631216344637E-3</v>
      </c>
      <c r="AA571" s="3">
        <v>11.157</v>
      </c>
      <c r="AB571" s="3">
        <v>10.632999999999999</v>
      </c>
      <c r="AC571" s="3">
        <f t="shared" si="432"/>
        <v>-0.52400000000000091</v>
      </c>
      <c r="AD571" s="3">
        <f>-397.101713*627.50956</f>
        <v>-249185.12119987627</v>
      </c>
      <c r="AE571" s="3">
        <f>-399.46926*627.50956</f>
        <v>-250670.77957612561</v>
      </c>
      <c r="AF571" s="3">
        <f t="shared" si="433"/>
        <v>-1485.6583762493392</v>
      </c>
      <c r="AG571" s="3">
        <f>-397.14376*627.50956</f>
        <v>-249211.50609434559</v>
      </c>
      <c r="AH571" s="3">
        <f>-399.512634*627.50956</f>
        <v>-250697.99717578103</v>
      </c>
      <c r="AI571" s="3">
        <f t="shared" si="434"/>
        <v>-1486.4910814354371</v>
      </c>
      <c r="AJ571" s="3">
        <v>-0.75900000000000001</v>
      </c>
      <c r="AK571" s="3">
        <v>-0.67500000000000004</v>
      </c>
      <c r="AL571" s="3">
        <f t="shared" si="435"/>
        <v>8.3999999999999964E-2</v>
      </c>
      <c r="AM571" s="3">
        <v>112.1066</v>
      </c>
      <c r="AN571" s="3">
        <v>170.66200000000001</v>
      </c>
      <c r="AO571" s="3">
        <v>166.46969999999999</v>
      </c>
      <c r="AP571" s="3">
        <f t="shared" si="444"/>
        <v>1.166369040186813</v>
      </c>
      <c r="AQ571" s="3">
        <v>10.268000000000001</v>
      </c>
      <c r="AR571" s="3">
        <v>2.2649569999999999</v>
      </c>
      <c r="AS571" s="3">
        <v>-76.454999999999998</v>
      </c>
      <c r="AT571" s="3">
        <v>-76.055000000000007</v>
      </c>
      <c r="AU571" s="3">
        <f t="shared" si="445"/>
        <v>-0.39999999999999147</v>
      </c>
      <c r="AV571" s="3">
        <v>-0.30399999999999999</v>
      </c>
      <c r="AW571" s="3">
        <v>-0.505</v>
      </c>
      <c r="AX571" s="3">
        <f t="shared" si="446"/>
        <v>0.20100000000000001</v>
      </c>
      <c r="AY571" s="3">
        <v>0.04</v>
      </c>
      <c r="AZ571" s="3">
        <v>0.16400000000000001</v>
      </c>
      <c r="BA571" s="3">
        <f t="shared" si="447"/>
        <v>-0.124</v>
      </c>
      <c r="BB571" s="3">
        <f t="shared" si="448"/>
        <v>0.13200000000000001</v>
      </c>
      <c r="BC571" s="3">
        <f t="shared" si="448"/>
        <v>0.17049999999999998</v>
      </c>
      <c r="BD571" s="3">
        <f t="shared" si="449"/>
        <v>-3.8499999999999979E-2</v>
      </c>
      <c r="BE571" s="3">
        <f t="shared" si="450"/>
        <v>0.34399999999999997</v>
      </c>
      <c r="BF571" s="3">
        <f t="shared" si="450"/>
        <v>0.66900000000000004</v>
      </c>
      <c r="BG571" s="3">
        <f t="shared" si="451"/>
        <v>-0.32500000000000007</v>
      </c>
      <c r="BH571" s="3">
        <f t="shared" si="452"/>
        <v>-0.13200000000000001</v>
      </c>
      <c r="BI571" s="3">
        <f t="shared" si="452"/>
        <v>-0.17049999999999998</v>
      </c>
      <c r="BJ571" s="3">
        <f t="shared" si="406"/>
        <v>3.8499999999999979E-2</v>
      </c>
      <c r="BK571" s="3">
        <f t="shared" si="400"/>
        <v>2.5325581395348844E-2</v>
      </c>
      <c r="BL571" s="3">
        <f t="shared" si="401"/>
        <v>2.1726644245141997E-2</v>
      </c>
      <c r="BM571" s="3">
        <f t="shared" si="453"/>
        <v>3.5989371502068469E-3</v>
      </c>
      <c r="BN571" s="3">
        <v>2.3010000000000002</v>
      </c>
      <c r="BO571" s="3">
        <v>2.3559999999999999</v>
      </c>
      <c r="BP571" s="3">
        <f t="shared" si="454"/>
        <v>-5.4999999999999716E-2</v>
      </c>
      <c r="BQ571" s="3">
        <v>-47960.305999999997</v>
      </c>
      <c r="BR571" s="3">
        <v>-47708.290999999997</v>
      </c>
      <c r="BS571" s="3">
        <f t="shared" si="455"/>
        <v>-252.01499999999942</v>
      </c>
      <c r="BT571" s="3">
        <v>-47973.754999999997</v>
      </c>
      <c r="BU571" s="3">
        <v>-47721.697</v>
      </c>
      <c r="BV571" s="3">
        <f t="shared" si="456"/>
        <v>-252.05799999999726</v>
      </c>
    </row>
    <row r="572" spans="1:74" x14ac:dyDescent="0.25">
      <c r="A572" t="s">
        <v>644</v>
      </c>
      <c r="B572" s="1" t="s">
        <v>646</v>
      </c>
      <c r="C572" s="1" t="s">
        <v>218</v>
      </c>
      <c r="D572" s="3">
        <v>15.58</v>
      </c>
      <c r="E572" s="3">
        <v>0.56999999999999995</v>
      </c>
      <c r="F572" s="3">
        <v>-1027.694</v>
      </c>
      <c r="G572" s="3">
        <v>-1032.5350000000001</v>
      </c>
      <c r="H572" s="3">
        <f t="shared" si="436"/>
        <v>-4.8410000000001219</v>
      </c>
      <c r="I572" s="3">
        <v>-0.26</v>
      </c>
      <c r="J572" s="6">
        <v>-0.184</v>
      </c>
      <c r="K572" s="3">
        <f t="shared" si="423"/>
        <v>7.6000000000000012E-2</v>
      </c>
      <c r="L572" s="3">
        <v>0.11</v>
      </c>
      <c r="M572" s="6">
        <v>-3.4000000000000002E-2</v>
      </c>
      <c r="N572" s="3">
        <f t="shared" si="424"/>
        <v>-0.14400000000000002</v>
      </c>
      <c r="O572" s="3">
        <f t="shared" si="407"/>
        <v>7.5000000000000011E-2</v>
      </c>
      <c r="P572" s="3">
        <f t="shared" si="407"/>
        <v>0.109</v>
      </c>
      <c r="Q572" s="3">
        <f t="shared" si="425"/>
        <v>3.3999999999999989E-2</v>
      </c>
      <c r="R572" s="3">
        <f t="shared" si="426"/>
        <v>0.37</v>
      </c>
      <c r="S572" s="3">
        <f t="shared" si="427"/>
        <v>0.15</v>
      </c>
      <c r="T572" s="3">
        <f t="shared" si="428"/>
        <v>-0.22</v>
      </c>
      <c r="U572" s="3">
        <f t="shared" si="429"/>
        <v>-7.5000000000000011E-2</v>
      </c>
      <c r="V572" s="3">
        <f t="shared" si="430"/>
        <v>-0.109</v>
      </c>
      <c r="W572" s="3">
        <f t="shared" si="402"/>
        <v>-3.3999999999999989E-2</v>
      </c>
      <c r="X572" s="3">
        <f t="shared" si="398"/>
        <v>7.6013513513513535E-3</v>
      </c>
      <c r="Y572" s="3">
        <f t="shared" si="399"/>
        <v>3.9603333333333331E-2</v>
      </c>
      <c r="Z572" s="3">
        <f t="shared" si="431"/>
        <v>3.2001981981981981E-2</v>
      </c>
      <c r="AA572" s="3">
        <v>2.7810000000000001</v>
      </c>
      <c r="AB572" s="3">
        <v>2.6840000000000002</v>
      </c>
      <c r="AC572" s="3">
        <f t="shared" si="432"/>
        <v>-9.6999999999999975E-2</v>
      </c>
      <c r="AD572" s="3">
        <f>-1027.424756*627.50956</f>
        <v>-644718.85657066724</v>
      </c>
      <c r="AE572" s="3">
        <f>-1032.281516*627.50956</f>
        <v>-647766.51990129298</v>
      </c>
      <c r="AF572" s="3">
        <f t="shared" si="433"/>
        <v>-3047.6633306257427</v>
      </c>
      <c r="AG572" s="3">
        <f>-1027.480272*627.50956</f>
        <v>-644753.69339140027</v>
      </c>
      <c r="AH572" s="3">
        <f>-1032.338224*627.50956</f>
        <v>-647802.10471342143</v>
      </c>
      <c r="AI572" s="3">
        <f t="shared" si="434"/>
        <v>-3048.4113220211584</v>
      </c>
      <c r="AJ572" s="3">
        <v>-0.36</v>
      </c>
      <c r="AK572" s="3">
        <v>-0.35399999999999998</v>
      </c>
      <c r="AL572" s="3">
        <f t="shared" si="435"/>
        <v>6.0000000000000053E-3</v>
      </c>
      <c r="AM572" s="3">
        <v>239.33539999999999</v>
      </c>
      <c r="AN572" s="3">
        <v>293.72739999999999</v>
      </c>
      <c r="AO572" s="3">
        <v>343.94990000000001</v>
      </c>
      <c r="AP572" s="3">
        <f t="shared" si="444"/>
        <v>1.2374764793756639</v>
      </c>
      <c r="AQ572" s="3">
        <v>14.15</v>
      </c>
      <c r="AR572" s="3">
        <v>3.3182399999999999</v>
      </c>
      <c r="AS572" s="3">
        <v>-232.511</v>
      </c>
      <c r="AT572" s="3">
        <v>-231.03200000000001</v>
      </c>
      <c r="AU572" s="3">
        <f t="shared" si="445"/>
        <v>-1.478999999999985</v>
      </c>
      <c r="AV572" s="3">
        <v>-0.246</v>
      </c>
      <c r="AW572" s="3">
        <v>-0.40400000000000003</v>
      </c>
      <c r="AX572" s="3">
        <f t="shared" si="446"/>
        <v>0.15800000000000003</v>
      </c>
      <c r="AY572" s="3">
        <v>3.5999999999999997E-2</v>
      </c>
      <c r="AZ572" s="3">
        <v>0.15</v>
      </c>
      <c r="BA572" s="3">
        <f t="shared" si="447"/>
        <v>-0.11399999999999999</v>
      </c>
      <c r="BB572" s="3">
        <f t="shared" ref="BB572:BC584" si="457">-(AV572+AY572)/2</f>
        <v>0.105</v>
      </c>
      <c r="BC572" s="3">
        <f t="shared" si="457"/>
        <v>0.127</v>
      </c>
      <c r="BD572" s="3">
        <f t="shared" si="449"/>
        <v>-2.2000000000000006E-2</v>
      </c>
      <c r="BE572" s="3">
        <f t="shared" ref="BE572:BF584" si="458">AY572-AV572</f>
        <v>0.28199999999999997</v>
      </c>
      <c r="BF572" s="3">
        <f t="shared" si="458"/>
        <v>0.55400000000000005</v>
      </c>
      <c r="BG572" s="3">
        <f t="shared" si="451"/>
        <v>-0.27200000000000008</v>
      </c>
      <c r="BH572" s="3">
        <f t="shared" ref="BH572:BI584" si="459">(AV572+AY572)/2</f>
        <v>-0.105</v>
      </c>
      <c r="BI572" s="3">
        <f t="shared" si="459"/>
        <v>-0.127</v>
      </c>
      <c r="BJ572" s="3">
        <f t="shared" si="406"/>
        <v>2.2000000000000006E-2</v>
      </c>
      <c r="BK572" s="3">
        <f t="shared" si="400"/>
        <v>1.9547872340425532E-2</v>
      </c>
      <c r="BL572" s="3">
        <f t="shared" si="401"/>
        <v>1.4556859205776172E-2</v>
      </c>
      <c r="BM572" s="3">
        <f t="shared" si="453"/>
        <v>4.9910131346493601E-3</v>
      </c>
      <c r="BN572" s="3">
        <v>2.206</v>
      </c>
      <c r="BO572" s="3">
        <v>2.2749999999999999</v>
      </c>
      <c r="BP572" s="3">
        <f t="shared" si="454"/>
        <v>-6.899999999999995E-2</v>
      </c>
      <c r="BQ572" s="3">
        <v>-145827.45000000001</v>
      </c>
      <c r="BR572" s="3">
        <v>-144894.345</v>
      </c>
      <c r="BS572" s="3">
        <f t="shared" si="455"/>
        <v>-933.10500000001048</v>
      </c>
      <c r="BT572" s="3">
        <v>-145847.03599999999</v>
      </c>
      <c r="BU572" s="3">
        <v>-144913.766</v>
      </c>
      <c r="BV572" s="3">
        <f t="shared" si="456"/>
        <v>-933.26999999998952</v>
      </c>
    </row>
    <row r="573" spans="1:74" x14ac:dyDescent="0.25">
      <c r="A573" t="s">
        <v>645</v>
      </c>
      <c r="B573" s="1" t="s">
        <v>646</v>
      </c>
      <c r="C573" s="1" t="s">
        <v>200</v>
      </c>
      <c r="D573" s="3">
        <v>15.58</v>
      </c>
      <c r="E573" s="3">
        <v>1</v>
      </c>
      <c r="F573" s="3">
        <v>-452.82600000000002</v>
      </c>
      <c r="G573" s="3">
        <v>-455.69600000000003</v>
      </c>
      <c r="H573" s="3">
        <f t="shared" si="436"/>
        <v>-2.8700000000000045</v>
      </c>
      <c r="I573" s="3">
        <v>-0.248</v>
      </c>
      <c r="J573" s="6">
        <v>-0.17199999999999999</v>
      </c>
      <c r="K573" s="3">
        <f t="shared" si="423"/>
        <v>7.6000000000000012E-2</v>
      </c>
      <c r="L573" s="3">
        <v>0.13700000000000001</v>
      </c>
      <c r="M573" s="6">
        <v>-4.0000000000000001E-3</v>
      </c>
      <c r="N573" s="3">
        <f t="shared" si="424"/>
        <v>-0.14100000000000001</v>
      </c>
      <c r="O573" s="3">
        <f t="shared" si="407"/>
        <v>5.5499999999999994E-2</v>
      </c>
      <c r="P573" s="3">
        <f t="shared" si="407"/>
        <v>8.7999999999999995E-2</v>
      </c>
      <c r="Q573" s="3">
        <f t="shared" si="425"/>
        <v>3.2500000000000001E-2</v>
      </c>
      <c r="R573" s="3">
        <f t="shared" si="426"/>
        <v>0.38500000000000001</v>
      </c>
      <c r="S573" s="3">
        <f t="shared" si="427"/>
        <v>0.16799999999999998</v>
      </c>
      <c r="T573" s="3">
        <f t="shared" si="428"/>
        <v>-0.21700000000000003</v>
      </c>
      <c r="U573" s="3">
        <f t="shared" si="429"/>
        <v>-5.5499999999999994E-2</v>
      </c>
      <c r="V573" s="3">
        <f t="shared" si="430"/>
        <v>-8.7999999999999995E-2</v>
      </c>
      <c r="W573" s="3">
        <f t="shared" si="402"/>
        <v>-3.2500000000000001E-2</v>
      </c>
      <c r="X573" s="3">
        <f t="shared" si="398"/>
        <v>4.0003246753246742E-3</v>
      </c>
      <c r="Y573" s="3">
        <f t="shared" si="399"/>
        <v>2.3047619047619046E-2</v>
      </c>
      <c r="Z573" s="3">
        <f t="shared" si="431"/>
        <v>1.9047294372294372E-2</v>
      </c>
      <c r="AA573" s="3">
        <v>10.587999999999999</v>
      </c>
      <c r="AB573" s="3">
        <v>9.9450000000000003</v>
      </c>
      <c r="AC573" s="3">
        <f t="shared" si="432"/>
        <v>-0.64299999999999891</v>
      </c>
      <c r="AD573" s="3">
        <f>-452.695774*627.50956</f>
        <v>-284070.92595659941</v>
      </c>
      <c r="AE573" s="3">
        <f>-455.572912*627.50956</f>
        <v>-285876.35755703866</v>
      </c>
      <c r="AF573" s="3">
        <f t="shared" si="433"/>
        <v>-1805.4316004392458</v>
      </c>
      <c r="AG573" s="3">
        <f>-452.739819*627.50956</f>
        <v>-284098.56461516966</v>
      </c>
      <c r="AH573" s="3">
        <f>-455.617732*627.50956</f>
        <v>-285904.48253551789</v>
      </c>
      <c r="AI573" s="3">
        <f t="shared" si="434"/>
        <v>-1805.9179203482345</v>
      </c>
      <c r="AJ573" s="3">
        <v>-0.57599999999999996</v>
      </c>
      <c r="AK573" s="3">
        <v>-0.48499999999999999</v>
      </c>
      <c r="AL573" s="3">
        <f t="shared" si="435"/>
        <v>9.099999999999997E-2</v>
      </c>
      <c r="AM573" s="3">
        <v>141.14940000000001</v>
      </c>
      <c r="AN573" s="3">
        <v>195.4196</v>
      </c>
      <c r="AO573" s="3">
        <v>203.9212</v>
      </c>
      <c r="AP573" s="3">
        <f t="shared" si="444"/>
        <v>1.1665834698272373</v>
      </c>
      <c r="AQ573" s="3">
        <v>9.8149999999999995</v>
      </c>
      <c r="AR573" s="3">
        <v>2.4634999999999998</v>
      </c>
      <c r="AS573" s="3">
        <v>-553.27200000000005</v>
      </c>
      <c r="AT573" s="3">
        <v>-551.61699999999996</v>
      </c>
      <c r="AU573" s="3">
        <f t="shared" si="445"/>
        <v>-1.6550000000000864</v>
      </c>
      <c r="AV573" s="3">
        <v>-0.23699999999999999</v>
      </c>
      <c r="AW573" s="3">
        <v>-0.36899999999999999</v>
      </c>
      <c r="AX573" s="3">
        <f t="shared" si="446"/>
        <v>0.13200000000000001</v>
      </c>
      <c r="AY573" s="3">
        <v>2.8000000000000001E-2</v>
      </c>
      <c r="AZ573" s="3">
        <v>0.154</v>
      </c>
      <c r="BA573" s="3">
        <f t="shared" si="447"/>
        <v>-0.126</v>
      </c>
      <c r="BB573" s="3">
        <f t="shared" si="457"/>
        <v>0.1045</v>
      </c>
      <c r="BC573" s="3">
        <f t="shared" si="457"/>
        <v>0.1075</v>
      </c>
      <c r="BD573" s="3">
        <f t="shared" si="449"/>
        <v>-3.0000000000000027E-3</v>
      </c>
      <c r="BE573" s="3">
        <f t="shared" si="458"/>
        <v>0.26500000000000001</v>
      </c>
      <c r="BF573" s="3">
        <f t="shared" si="458"/>
        <v>0.52300000000000002</v>
      </c>
      <c r="BG573" s="3">
        <f t="shared" si="451"/>
        <v>-0.25800000000000001</v>
      </c>
      <c r="BH573" s="3">
        <f t="shared" si="459"/>
        <v>-0.1045</v>
      </c>
      <c r="BI573" s="3">
        <f t="shared" si="459"/>
        <v>-0.1075</v>
      </c>
      <c r="BJ573" s="3">
        <f t="shared" si="406"/>
        <v>3.0000000000000027E-3</v>
      </c>
      <c r="BK573" s="3">
        <f t="shared" si="400"/>
        <v>2.0604245283018865E-2</v>
      </c>
      <c r="BL573" s="3">
        <f t="shared" si="401"/>
        <v>1.104804015296367E-2</v>
      </c>
      <c r="BM573" s="3">
        <f t="shared" si="453"/>
        <v>9.5562051300551957E-3</v>
      </c>
      <c r="BN573" s="3">
        <v>5.4870000000000001</v>
      </c>
      <c r="BO573" s="3">
        <v>6.0839999999999996</v>
      </c>
      <c r="BP573" s="3">
        <f t="shared" si="454"/>
        <v>-0.59699999999999953</v>
      </c>
      <c r="BQ573" s="3">
        <v>-347129.96399999998</v>
      </c>
      <c r="BR573" s="3">
        <v>-346087.64600000001</v>
      </c>
      <c r="BS573" s="3">
        <f t="shared" si="455"/>
        <v>-1042.3179999999702</v>
      </c>
      <c r="BT573" s="3">
        <v>-347152.04599999997</v>
      </c>
      <c r="BU573" s="3">
        <v>-346109.22600000002</v>
      </c>
      <c r="BV573" s="3">
        <f t="shared" si="456"/>
        <v>-1042.8199999999488</v>
      </c>
    </row>
    <row r="574" spans="1:74" x14ac:dyDescent="0.25">
      <c r="A574" s="2" t="s">
        <v>648</v>
      </c>
      <c r="B574" s="1" t="s">
        <v>646</v>
      </c>
      <c r="C574" s="1" t="s">
        <v>200</v>
      </c>
      <c r="D574" s="3">
        <v>15.59</v>
      </c>
      <c r="E574" s="3">
        <v>0.8</v>
      </c>
      <c r="F574" s="3">
        <v>-487.024</v>
      </c>
      <c r="G574" s="3">
        <v>-489.745</v>
      </c>
      <c r="H574" s="3">
        <f t="shared" si="436"/>
        <v>-2.7210000000000036</v>
      </c>
      <c r="I574" s="3">
        <v>-0.29399999999999998</v>
      </c>
      <c r="J574" s="6">
        <v>-0.192</v>
      </c>
      <c r="K574" s="3">
        <f t="shared" si="423"/>
        <v>0.10199999999999998</v>
      </c>
      <c r="L574" s="3">
        <v>0.188</v>
      </c>
      <c r="M574" s="6">
        <v>2.8000000000000001E-2</v>
      </c>
      <c r="N574" s="3">
        <f t="shared" si="424"/>
        <v>-0.16</v>
      </c>
      <c r="O574" s="3">
        <f t="shared" si="407"/>
        <v>5.2999999999999992E-2</v>
      </c>
      <c r="P574" s="3">
        <f t="shared" si="407"/>
        <v>8.2000000000000003E-2</v>
      </c>
      <c r="Q574" s="3">
        <f t="shared" si="425"/>
        <v>2.9000000000000012E-2</v>
      </c>
      <c r="R574" s="3">
        <f t="shared" si="426"/>
        <v>0.48199999999999998</v>
      </c>
      <c r="S574" s="3">
        <f t="shared" si="427"/>
        <v>0.22</v>
      </c>
      <c r="T574" s="3">
        <f t="shared" si="428"/>
        <v>-0.26200000000000001</v>
      </c>
      <c r="U574" s="3">
        <f t="shared" si="429"/>
        <v>-5.2999999999999992E-2</v>
      </c>
      <c r="V574" s="3">
        <f t="shared" si="430"/>
        <v>-8.2000000000000003E-2</v>
      </c>
      <c r="W574" s="3">
        <f t="shared" si="402"/>
        <v>-2.9000000000000012E-2</v>
      </c>
      <c r="X574" s="3">
        <f t="shared" si="398"/>
        <v>2.9139004149377583E-3</v>
      </c>
      <c r="Y574" s="3">
        <f t="shared" si="399"/>
        <v>1.5281818181818183E-2</v>
      </c>
      <c r="Z574" s="3">
        <f t="shared" si="431"/>
        <v>1.2367917766880425E-2</v>
      </c>
      <c r="AA574" s="3">
        <v>3.613</v>
      </c>
      <c r="AB574" s="3">
        <v>3.125</v>
      </c>
      <c r="AC574" s="3">
        <f t="shared" si="432"/>
        <v>-0.48799999999999999</v>
      </c>
      <c r="AD574" s="3">
        <f>-486.931795*627.50956</f>
        <v>-305554.35643046018</v>
      </c>
      <c r="AE574" s="3">
        <f>-489.65923*627.50956</f>
        <v>-307265.84796723875</v>
      </c>
      <c r="AF574" s="3">
        <f t="shared" si="433"/>
        <v>-1711.4915367785725</v>
      </c>
      <c r="AG574" s="3">
        <f>-486.969937*627.50956</f>
        <v>-305578.29090009769</v>
      </c>
      <c r="AH574" s="3">
        <f>-489.698203*627.50956</f>
        <v>-307290.30389732064</v>
      </c>
      <c r="AI574" s="3">
        <f t="shared" si="434"/>
        <v>-1712.0129972229479</v>
      </c>
      <c r="AJ574" s="3">
        <v>-0.67800000000000005</v>
      </c>
      <c r="AK574" s="3">
        <v>-0.57099999999999995</v>
      </c>
      <c r="AL574" s="3">
        <f t="shared" si="435"/>
        <v>0.1070000000000001</v>
      </c>
      <c r="AM574" s="3">
        <v>127.0782</v>
      </c>
      <c r="AN574" s="3">
        <v>148.0882</v>
      </c>
      <c r="AO574" s="3">
        <v>145.06989999999999</v>
      </c>
      <c r="AP574" s="3">
        <f t="shared" si="444"/>
        <v>1.1093234584281542</v>
      </c>
      <c r="AQ574" s="3">
        <v>7.8780000000000001</v>
      </c>
      <c r="AR574" s="3">
        <v>2.0022000000000002</v>
      </c>
      <c r="AS574" s="3">
        <v>-553.27200000000005</v>
      </c>
      <c r="AT574" s="3">
        <v>-551.61699999999996</v>
      </c>
      <c r="AU574" s="3">
        <f t="shared" si="445"/>
        <v>-1.6550000000000864</v>
      </c>
      <c r="AV574" s="3">
        <v>-0.23699999999999999</v>
      </c>
      <c r="AW574" s="3">
        <v>-0.36899999999999999</v>
      </c>
      <c r="AX574" s="3">
        <f t="shared" si="446"/>
        <v>0.13200000000000001</v>
      </c>
      <c r="AY574" s="3">
        <v>2.8000000000000001E-2</v>
      </c>
      <c r="AZ574" s="3">
        <v>0.154</v>
      </c>
      <c r="BA574" s="3">
        <f t="shared" si="447"/>
        <v>-0.126</v>
      </c>
      <c r="BB574" s="3">
        <f t="shared" si="457"/>
        <v>0.1045</v>
      </c>
      <c r="BC574" s="3">
        <f t="shared" si="457"/>
        <v>0.1075</v>
      </c>
      <c r="BD574" s="3">
        <f t="shared" si="449"/>
        <v>-3.0000000000000027E-3</v>
      </c>
      <c r="BE574" s="3">
        <f t="shared" si="458"/>
        <v>0.26500000000000001</v>
      </c>
      <c r="BF574" s="3">
        <f t="shared" si="458"/>
        <v>0.52300000000000002</v>
      </c>
      <c r="BG574" s="3">
        <f t="shared" si="451"/>
        <v>-0.25800000000000001</v>
      </c>
      <c r="BH574" s="3">
        <f t="shared" si="459"/>
        <v>-0.1045</v>
      </c>
      <c r="BI574" s="3">
        <f t="shared" si="459"/>
        <v>-0.1075</v>
      </c>
      <c r="BJ574" s="3">
        <f t="shared" si="406"/>
        <v>3.0000000000000027E-3</v>
      </c>
      <c r="BK574" s="3">
        <f t="shared" si="400"/>
        <v>2.0604245283018865E-2</v>
      </c>
      <c r="BL574" s="3">
        <f t="shared" si="401"/>
        <v>1.104804015296367E-2</v>
      </c>
      <c r="BM574" s="3">
        <f t="shared" si="453"/>
        <v>9.5562051300551957E-3</v>
      </c>
      <c r="BN574" s="3">
        <v>5.4870000000000001</v>
      </c>
      <c r="BO574" s="3">
        <v>6.0839999999999996</v>
      </c>
      <c r="BP574" s="3">
        <f t="shared" si="454"/>
        <v>-0.59699999999999953</v>
      </c>
      <c r="BQ574" s="3">
        <v>-347129.96399999998</v>
      </c>
      <c r="BR574" s="3">
        <v>-346087.64600000001</v>
      </c>
      <c r="BS574" s="3">
        <f t="shared" si="455"/>
        <v>-1042.3179999999702</v>
      </c>
      <c r="BT574" s="3">
        <v>-347152.04599999997</v>
      </c>
      <c r="BU574" s="3">
        <v>-346109.22600000002</v>
      </c>
      <c r="BV574" s="3">
        <f t="shared" si="456"/>
        <v>-1042.8199999999488</v>
      </c>
    </row>
    <row r="575" spans="1:74" x14ac:dyDescent="0.25">
      <c r="A575" t="s">
        <v>649</v>
      </c>
      <c r="B575" s="1" t="s">
        <v>646</v>
      </c>
      <c r="C575" s="1" t="s">
        <v>218</v>
      </c>
      <c r="D575" s="3">
        <v>15.65</v>
      </c>
      <c r="E575" s="3">
        <v>0.52</v>
      </c>
      <c r="F575" s="3">
        <v>-1312.134</v>
      </c>
      <c r="G575" s="3">
        <v>-1320.57</v>
      </c>
      <c r="H575" s="3">
        <f t="shared" si="436"/>
        <v>-8.4359999999999218</v>
      </c>
      <c r="I575" s="3">
        <v>-0.26700000000000002</v>
      </c>
      <c r="J575" s="6">
        <v>-0.17199999999999999</v>
      </c>
      <c r="K575" s="3">
        <f t="shared" si="423"/>
        <v>9.5000000000000029E-2</v>
      </c>
      <c r="L575" s="3">
        <v>9.8000000000000004E-2</v>
      </c>
      <c r="M575" s="6">
        <v>-4.4999999999999998E-2</v>
      </c>
      <c r="N575" s="3">
        <f t="shared" si="424"/>
        <v>-0.14300000000000002</v>
      </c>
      <c r="O575" s="3">
        <f t="shared" si="407"/>
        <v>8.4500000000000006E-2</v>
      </c>
      <c r="P575" s="3">
        <f t="shared" si="407"/>
        <v>0.10849999999999999</v>
      </c>
      <c r="Q575" s="3">
        <f t="shared" si="425"/>
        <v>2.399999999999998E-2</v>
      </c>
      <c r="R575" s="3">
        <f t="shared" si="426"/>
        <v>0.36499999999999999</v>
      </c>
      <c r="S575" s="3">
        <f t="shared" si="427"/>
        <v>0.127</v>
      </c>
      <c r="T575" s="3">
        <f t="shared" si="428"/>
        <v>-0.23799999999999999</v>
      </c>
      <c r="U575" s="3">
        <f t="shared" si="429"/>
        <v>-8.4500000000000006E-2</v>
      </c>
      <c r="V575" s="3">
        <f t="shared" si="430"/>
        <v>-0.10849999999999999</v>
      </c>
      <c r="W575" s="3">
        <f t="shared" si="402"/>
        <v>-2.399999999999998E-2</v>
      </c>
      <c r="X575" s="3">
        <f t="shared" si="398"/>
        <v>9.7811643835616444E-3</v>
      </c>
      <c r="Y575" s="3">
        <f t="shared" si="399"/>
        <v>4.6347440944881878E-2</v>
      </c>
      <c r="Z575" s="3">
        <f t="shared" si="431"/>
        <v>3.6566276561320235E-2</v>
      </c>
      <c r="AA575" s="3">
        <v>3.177</v>
      </c>
      <c r="AB575" s="3">
        <v>3.96</v>
      </c>
      <c r="AC575" s="3">
        <f t="shared" si="432"/>
        <v>0.78299999999999992</v>
      </c>
      <c r="AD575" s="3">
        <f>-1311.637495*627.50956</f>
        <v>-823065.06736695208</v>
      </c>
      <c r="AE575" s="3">
        <f>-1320.102268*627.50956</f>
        <v>-828376.79334768211</v>
      </c>
      <c r="AF575" s="3">
        <f t="shared" si="433"/>
        <v>-5311.7259807300288</v>
      </c>
      <c r="AG575" s="3">
        <f>-1311.721882*627.50956</f>
        <v>-823118.02101619192</v>
      </c>
      <c r="AH575" s="3">
        <f>-1320.18916*627.50956</f>
        <v>-828431.31890836952</v>
      </c>
      <c r="AI575" s="3">
        <f t="shared" si="434"/>
        <v>-5313.2978921775939</v>
      </c>
      <c r="AJ575" s="3">
        <v>0.20899999999999999</v>
      </c>
      <c r="AK575" s="3">
        <v>0.16300000000000001</v>
      </c>
      <c r="AL575" s="3">
        <f t="shared" si="435"/>
        <v>-4.5999999999999985E-2</v>
      </c>
      <c r="AM575" s="3">
        <v>417.50170000000003</v>
      </c>
      <c r="AN575" s="3">
        <v>479.6481</v>
      </c>
      <c r="AO575" s="3">
        <v>601.75350000000003</v>
      </c>
      <c r="AP575" s="3">
        <f t="shared" si="444"/>
        <v>1.391766126510402</v>
      </c>
      <c r="AQ575" s="3">
        <v>16.12</v>
      </c>
      <c r="AR575" s="3">
        <v>3.98061</v>
      </c>
      <c r="AS575" s="3">
        <v>-232.511</v>
      </c>
      <c r="AT575" s="3">
        <v>-231.03200000000001</v>
      </c>
      <c r="AU575" s="3">
        <f t="shared" si="445"/>
        <v>-1.478999999999985</v>
      </c>
      <c r="AV575" s="3">
        <v>-0.246</v>
      </c>
      <c r="AW575" s="3">
        <v>-0.40400000000000003</v>
      </c>
      <c r="AX575" s="3">
        <f t="shared" si="446"/>
        <v>0.15800000000000003</v>
      </c>
      <c r="AY575" s="3">
        <v>3.5999999999999997E-2</v>
      </c>
      <c r="AZ575" s="3">
        <v>0.15</v>
      </c>
      <c r="BA575" s="3">
        <f t="shared" si="447"/>
        <v>-0.11399999999999999</v>
      </c>
      <c r="BB575" s="3">
        <f t="shared" si="457"/>
        <v>0.105</v>
      </c>
      <c r="BC575" s="3">
        <f t="shared" si="457"/>
        <v>0.127</v>
      </c>
      <c r="BD575" s="3">
        <f t="shared" si="449"/>
        <v>-2.2000000000000006E-2</v>
      </c>
      <c r="BE575" s="3">
        <f t="shared" si="458"/>
        <v>0.28199999999999997</v>
      </c>
      <c r="BF575" s="3">
        <f t="shared" si="458"/>
        <v>0.55400000000000005</v>
      </c>
      <c r="BG575" s="3">
        <f t="shared" si="451"/>
        <v>-0.27200000000000008</v>
      </c>
      <c r="BH575" s="3">
        <f t="shared" si="459"/>
        <v>-0.105</v>
      </c>
      <c r="BI575" s="3">
        <f t="shared" si="459"/>
        <v>-0.127</v>
      </c>
      <c r="BJ575" s="3">
        <f t="shared" si="406"/>
        <v>2.2000000000000006E-2</v>
      </c>
      <c r="BK575" s="3">
        <f t="shared" si="400"/>
        <v>1.9547872340425532E-2</v>
      </c>
      <c r="BL575" s="3">
        <f t="shared" si="401"/>
        <v>1.4556859205776172E-2</v>
      </c>
      <c r="BM575" s="3">
        <f t="shared" si="453"/>
        <v>4.9910131346493601E-3</v>
      </c>
      <c r="BN575" s="3">
        <v>2.206</v>
      </c>
      <c r="BO575" s="3">
        <v>2.2749999999999999</v>
      </c>
      <c r="BP575" s="3">
        <f t="shared" si="454"/>
        <v>-6.899999999999995E-2</v>
      </c>
      <c r="BQ575" s="3">
        <v>-145827.45000000001</v>
      </c>
      <c r="BR575" s="3">
        <v>-144894.345</v>
      </c>
      <c r="BS575" s="3">
        <f t="shared" si="455"/>
        <v>-933.10500000001048</v>
      </c>
      <c r="BT575" s="3">
        <v>-145847.03599999999</v>
      </c>
      <c r="BU575" s="3">
        <v>-144913.766</v>
      </c>
      <c r="BV575" s="3">
        <f t="shared" si="456"/>
        <v>-933.26999999998952</v>
      </c>
    </row>
    <row r="576" spans="1:74" x14ac:dyDescent="0.25">
      <c r="A576" t="s">
        <v>650</v>
      </c>
      <c r="B576" s="1" t="s">
        <v>646</v>
      </c>
      <c r="C576" s="1" t="s">
        <v>200</v>
      </c>
      <c r="D576" s="3">
        <v>15.68</v>
      </c>
      <c r="E576" s="3">
        <v>0.65</v>
      </c>
      <c r="F576" s="3">
        <v>-991.23800000000006</v>
      </c>
      <c r="G576" s="3">
        <v>-995.81500000000005</v>
      </c>
      <c r="H576" s="3">
        <f t="shared" si="436"/>
        <v>-4.5769999999999982</v>
      </c>
      <c r="I576" s="3">
        <v>-0.27900000000000003</v>
      </c>
      <c r="J576" s="6">
        <v>-0.193</v>
      </c>
      <c r="K576" s="3">
        <f t="shared" si="423"/>
        <v>8.6000000000000021E-2</v>
      </c>
      <c r="L576" s="3">
        <v>0.109</v>
      </c>
      <c r="M576" s="6">
        <v>-3.1E-2</v>
      </c>
      <c r="N576" s="3">
        <f t="shared" si="424"/>
        <v>-0.14000000000000001</v>
      </c>
      <c r="O576" s="3">
        <f t="shared" si="407"/>
        <v>8.500000000000002E-2</v>
      </c>
      <c r="P576" s="3">
        <f t="shared" si="407"/>
        <v>0.112</v>
      </c>
      <c r="Q576" s="3">
        <f t="shared" si="425"/>
        <v>2.6999999999999982E-2</v>
      </c>
      <c r="R576" s="3">
        <f t="shared" si="426"/>
        <v>0.38800000000000001</v>
      </c>
      <c r="S576" s="3">
        <f t="shared" si="427"/>
        <v>0.16200000000000001</v>
      </c>
      <c r="T576" s="3">
        <f t="shared" si="428"/>
        <v>-0.22600000000000001</v>
      </c>
      <c r="U576" s="3">
        <f t="shared" si="429"/>
        <v>-8.500000000000002E-2</v>
      </c>
      <c r="V576" s="3">
        <f t="shared" si="430"/>
        <v>-0.112</v>
      </c>
      <c r="W576" s="3">
        <f t="shared" si="402"/>
        <v>-2.6999999999999982E-2</v>
      </c>
      <c r="X576" s="3">
        <f t="shared" si="398"/>
        <v>9.3105670103092817E-3</v>
      </c>
      <c r="Y576" s="3">
        <f t="shared" si="399"/>
        <v>3.8716049382716056E-2</v>
      </c>
      <c r="Z576" s="3">
        <f t="shared" si="431"/>
        <v>2.9405482372406776E-2</v>
      </c>
      <c r="AA576" s="3">
        <v>3.4550000000000001</v>
      </c>
      <c r="AB576" s="3">
        <v>2.8439999999999999</v>
      </c>
      <c r="AC576" s="3">
        <f t="shared" si="432"/>
        <v>-0.61100000000000021</v>
      </c>
      <c r="AD576" s="3">
        <f>-990.937779*627.50956</f>
        <v>-621822.92968766717</v>
      </c>
      <c r="AE576" s="3">
        <f>-995.532293*627.50956</f>
        <v>-624706.03114622098</v>
      </c>
      <c r="AF576" s="3">
        <f t="shared" si="433"/>
        <v>-2883.1014585538069</v>
      </c>
      <c r="AG576" s="3">
        <f>-990.999258*627.50956</f>
        <v>-621861.50834790652</v>
      </c>
      <c r="AH576" s="3">
        <f>-995.595756*627.50956</f>
        <v>-624745.85478542733</v>
      </c>
      <c r="AI576" s="3">
        <f t="shared" si="434"/>
        <v>-2884.3464375208132</v>
      </c>
      <c r="AJ576" s="3">
        <v>-0.79</v>
      </c>
      <c r="AK576" s="3">
        <v>-0.70199999999999996</v>
      </c>
      <c r="AL576" s="3">
        <f t="shared" si="435"/>
        <v>8.8000000000000078E-2</v>
      </c>
      <c r="AM576" s="3">
        <v>223.33439999999999</v>
      </c>
      <c r="AN576" s="3">
        <v>298.78269999999998</v>
      </c>
      <c r="AO576" s="3">
        <v>344.90620000000001</v>
      </c>
      <c r="AP576" s="3">
        <f t="shared" si="444"/>
        <v>1.256446681794664</v>
      </c>
      <c r="AQ576" s="3">
        <v>14.204000000000001</v>
      </c>
      <c r="AR576" s="3">
        <v>3.5538400000000001</v>
      </c>
      <c r="AS576" s="3">
        <v>-553.27200000000005</v>
      </c>
      <c r="AT576" s="3">
        <v>-551.61699999999996</v>
      </c>
      <c r="AU576" s="3">
        <f t="shared" si="445"/>
        <v>-1.6550000000000864</v>
      </c>
      <c r="AV576" s="3">
        <v>-0.23699999999999999</v>
      </c>
      <c r="AW576" s="3">
        <v>-0.36899999999999999</v>
      </c>
      <c r="AX576" s="3">
        <f t="shared" si="446"/>
        <v>0.13200000000000001</v>
      </c>
      <c r="AY576" s="3">
        <v>2.8000000000000001E-2</v>
      </c>
      <c r="AZ576" s="3">
        <v>0.154</v>
      </c>
      <c r="BA576" s="3">
        <f t="shared" si="447"/>
        <v>-0.126</v>
      </c>
      <c r="BB576" s="3">
        <f t="shared" si="457"/>
        <v>0.1045</v>
      </c>
      <c r="BC576" s="3">
        <f t="shared" si="457"/>
        <v>0.1075</v>
      </c>
      <c r="BD576" s="3">
        <f t="shared" si="449"/>
        <v>-3.0000000000000027E-3</v>
      </c>
      <c r="BE576" s="3">
        <f t="shared" si="458"/>
        <v>0.26500000000000001</v>
      </c>
      <c r="BF576" s="3">
        <f t="shared" si="458"/>
        <v>0.52300000000000002</v>
      </c>
      <c r="BG576" s="3">
        <f t="shared" si="451"/>
        <v>-0.25800000000000001</v>
      </c>
      <c r="BH576" s="3">
        <f t="shared" si="459"/>
        <v>-0.1045</v>
      </c>
      <c r="BI576" s="3">
        <f t="shared" si="459"/>
        <v>-0.1075</v>
      </c>
      <c r="BJ576" s="3">
        <f t="shared" si="406"/>
        <v>3.0000000000000027E-3</v>
      </c>
      <c r="BK576" s="3">
        <f t="shared" si="400"/>
        <v>2.0604245283018865E-2</v>
      </c>
      <c r="BL576" s="3">
        <f t="shared" si="401"/>
        <v>1.104804015296367E-2</v>
      </c>
      <c r="BM576" s="3">
        <f t="shared" si="453"/>
        <v>9.5562051300551957E-3</v>
      </c>
      <c r="BN576" s="3">
        <v>5.4870000000000001</v>
      </c>
      <c r="BO576" s="3">
        <v>6.0839999999999996</v>
      </c>
      <c r="BP576" s="3">
        <f t="shared" si="454"/>
        <v>-0.59699999999999953</v>
      </c>
      <c r="BQ576" s="3">
        <v>-347129.96399999998</v>
      </c>
      <c r="BR576" s="3">
        <v>-346087.64600000001</v>
      </c>
      <c r="BS576" s="3">
        <f t="shared" si="455"/>
        <v>-1042.3179999999702</v>
      </c>
      <c r="BT576" s="3">
        <v>-347152.04599999997</v>
      </c>
      <c r="BU576" s="3">
        <v>-346109.22600000002</v>
      </c>
      <c r="BV576" s="3">
        <f t="shared" si="456"/>
        <v>-1042.8199999999488</v>
      </c>
    </row>
    <row r="577" spans="1:74" x14ac:dyDescent="0.25">
      <c r="A577" t="s">
        <v>651</v>
      </c>
      <c r="B577" s="1" t="s">
        <v>646</v>
      </c>
      <c r="C577" s="1" t="s">
        <v>200</v>
      </c>
      <c r="D577" s="3">
        <v>15.68</v>
      </c>
      <c r="E577" s="3">
        <v>0.74</v>
      </c>
      <c r="F577" s="3">
        <v>-1593.348</v>
      </c>
      <c r="G577" s="3">
        <v>-1599.53</v>
      </c>
      <c r="H577" s="3">
        <f t="shared" si="436"/>
        <v>-6.1820000000000164</v>
      </c>
      <c r="I577" s="3">
        <v>-0.313</v>
      </c>
      <c r="J577" s="6">
        <v>-0.2</v>
      </c>
      <c r="K577" s="3">
        <f t="shared" si="423"/>
        <v>0.11299999999999999</v>
      </c>
      <c r="L577" s="3">
        <v>0.106</v>
      </c>
      <c r="M577" s="6">
        <v>-4.1000000000000002E-2</v>
      </c>
      <c r="N577" s="3">
        <f t="shared" si="424"/>
        <v>-0.14699999999999999</v>
      </c>
      <c r="O577" s="3">
        <f t="shared" si="407"/>
        <v>0.10350000000000001</v>
      </c>
      <c r="P577" s="3">
        <f t="shared" si="407"/>
        <v>0.12050000000000001</v>
      </c>
      <c r="Q577" s="3">
        <f t="shared" si="425"/>
        <v>1.7000000000000001E-2</v>
      </c>
      <c r="R577" s="3">
        <f t="shared" si="426"/>
        <v>0.41899999999999998</v>
      </c>
      <c r="S577" s="3">
        <f t="shared" si="427"/>
        <v>0.159</v>
      </c>
      <c r="T577" s="3">
        <f t="shared" si="428"/>
        <v>-0.26</v>
      </c>
      <c r="U577" s="3">
        <f t="shared" si="429"/>
        <v>-0.10350000000000001</v>
      </c>
      <c r="V577" s="3">
        <f t="shared" si="430"/>
        <v>-0.12050000000000001</v>
      </c>
      <c r="W577" s="3">
        <f t="shared" si="402"/>
        <v>-1.7000000000000001E-2</v>
      </c>
      <c r="X577" s="3">
        <f t="shared" si="398"/>
        <v>1.2783114558472556E-2</v>
      </c>
      <c r="Y577" s="3">
        <f t="shared" si="399"/>
        <v>4.5661163522012584E-2</v>
      </c>
      <c r="Z577" s="3">
        <f t="shared" si="431"/>
        <v>3.2878048963540026E-2</v>
      </c>
      <c r="AA577" s="3">
        <v>3.6</v>
      </c>
      <c r="AB577" s="3">
        <v>12.622</v>
      </c>
      <c r="AC577" s="3">
        <f t="shared" si="432"/>
        <v>9.0220000000000002</v>
      </c>
      <c r="AD577" s="3">
        <f>-1593.100144*627.50956</f>
        <v>-999685.57039737655</v>
      </c>
      <c r="AE577" s="3">
        <f>-1599.29764*627.50956</f>
        <v>-1003574.5583854384</v>
      </c>
      <c r="AF577" s="3">
        <f t="shared" si="433"/>
        <v>-3888.9879880618537</v>
      </c>
      <c r="AG577" s="3">
        <f>-1593.16307*627.50956</f>
        <v>-999725.05706394918</v>
      </c>
      <c r="AH577" s="3">
        <f>-1599.361956*627.50956</f>
        <v>-1003614.9172902993</v>
      </c>
      <c r="AI577" s="3">
        <f t="shared" si="434"/>
        <v>-3889.860226350138</v>
      </c>
      <c r="AJ577" s="3">
        <v>-1.1890000000000001</v>
      </c>
      <c r="AK577" s="3">
        <v>-1.123</v>
      </c>
      <c r="AL577" s="3">
        <f t="shared" si="435"/>
        <v>6.6000000000000059E-2</v>
      </c>
      <c r="AM577" s="3">
        <v>295.35399999999998</v>
      </c>
      <c r="AN577" s="3">
        <v>319.27929999999998</v>
      </c>
      <c r="AO577" s="3">
        <v>363.7593</v>
      </c>
      <c r="AP577" s="3">
        <f t="shared" si="444"/>
        <v>1.2958377951927653</v>
      </c>
      <c r="AQ577" s="3">
        <v>14.007999999999999</v>
      </c>
      <c r="AR577" s="3">
        <v>3.3997999999999999</v>
      </c>
      <c r="AS577" s="3">
        <v>-553.27200000000005</v>
      </c>
      <c r="AT577" s="3">
        <v>-551.61699999999996</v>
      </c>
      <c r="AU577" s="3">
        <f t="shared" si="445"/>
        <v>-1.6550000000000864</v>
      </c>
      <c r="AV577" s="3">
        <v>-0.23699999999999999</v>
      </c>
      <c r="AW577" s="3">
        <v>-0.36899999999999999</v>
      </c>
      <c r="AX577" s="3">
        <f t="shared" si="446"/>
        <v>0.13200000000000001</v>
      </c>
      <c r="AY577" s="3">
        <v>2.8000000000000001E-2</v>
      </c>
      <c r="AZ577" s="3">
        <v>0.154</v>
      </c>
      <c r="BA577" s="3">
        <f t="shared" si="447"/>
        <v>-0.126</v>
      </c>
      <c r="BB577" s="3">
        <f t="shared" si="457"/>
        <v>0.1045</v>
      </c>
      <c r="BC577" s="3">
        <f t="shared" si="457"/>
        <v>0.1075</v>
      </c>
      <c r="BD577" s="3">
        <f t="shared" si="449"/>
        <v>-3.0000000000000027E-3</v>
      </c>
      <c r="BE577" s="3">
        <f t="shared" si="458"/>
        <v>0.26500000000000001</v>
      </c>
      <c r="BF577" s="3">
        <f t="shared" si="458"/>
        <v>0.52300000000000002</v>
      </c>
      <c r="BG577" s="3">
        <f t="shared" si="451"/>
        <v>-0.25800000000000001</v>
      </c>
      <c r="BH577" s="3">
        <f t="shared" si="459"/>
        <v>-0.1045</v>
      </c>
      <c r="BI577" s="3">
        <f t="shared" si="459"/>
        <v>-0.1075</v>
      </c>
      <c r="BJ577" s="3">
        <f t="shared" si="406"/>
        <v>3.0000000000000027E-3</v>
      </c>
      <c r="BK577" s="3">
        <f t="shared" si="400"/>
        <v>2.0604245283018865E-2</v>
      </c>
      <c r="BL577" s="3">
        <f t="shared" si="401"/>
        <v>1.104804015296367E-2</v>
      </c>
      <c r="BM577" s="3">
        <f t="shared" si="453"/>
        <v>9.5562051300551957E-3</v>
      </c>
      <c r="BN577" s="3">
        <v>5.4870000000000001</v>
      </c>
      <c r="BO577" s="3">
        <v>6.0839999999999996</v>
      </c>
      <c r="BP577" s="3">
        <f t="shared" si="454"/>
        <v>-0.59699999999999953</v>
      </c>
      <c r="BQ577" s="3">
        <v>-347129.96399999998</v>
      </c>
      <c r="BR577" s="3">
        <v>-346087.64600000001</v>
      </c>
      <c r="BS577" s="3">
        <f t="shared" si="455"/>
        <v>-1042.3179999999702</v>
      </c>
      <c r="BT577" s="3">
        <v>-347152.04599999997</v>
      </c>
      <c r="BU577" s="3">
        <v>-346109.22600000002</v>
      </c>
      <c r="BV577" s="3">
        <f t="shared" si="456"/>
        <v>-1042.8199999999488</v>
      </c>
    </row>
    <row r="578" spans="1:74" x14ac:dyDescent="0.25">
      <c r="A578" t="s">
        <v>652</v>
      </c>
      <c r="B578" s="1" t="s">
        <v>646</v>
      </c>
      <c r="C578" s="1" t="s">
        <v>200</v>
      </c>
      <c r="D578" s="3">
        <v>15.85</v>
      </c>
      <c r="E578" s="3">
        <v>0.61</v>
      </c>
      <c r="F578" s="3">
        <v>-781.51199999999994</v>
      </c>
      <c r="G578" s="3">
        <v>-784.60400000000004</v>
      </c>
      <c r="H578" s="3">
        <f t="shared" si="436"/>
        <v>-3.0920000000000982</v>
      </c>
      <c r="I578" s="3">
        <v>-0.307</v>
      </c>
      <c r="J578" s="6">
        <v>-0.20799999999999999</v>
      </c>
      <c r="K578" s="3">
        <f t="shared" si="423"/>
        <v>9.9000000000000005E-2</v>
      </c>
      <c r="L578" s="3">
        <v>0.15</v>
      </c>
      <c r="M578" s="6">
        <v>1E-3</v>
      </c>
      <c r="N578" s="3">
        <f t="shared" si="424"/>
        <v>-0.14899999999999999</v>
      </c>
      <c r="O578" s="3">
        <f t="shared" si="407"/>
        <v>7.85E-2</v>
      </c>
      <c r="P578" s="3">
        <f t="shared" si="407"/>
        <v>0.10349999999999999</v>
      </c>
      <c r="Q578" s="3">
        <f t="shared" si="425"/>
        <v>2.4999999999999994E-2</v>
      </c>
      <c r="R578" s="3">
        <f t="shared" si="426"/>
        <v>0.45699999999999996</v>
      </c>
      <c r="S578" s="3">
        <f t="shared" si="427"/>
        <v>0.20899999999999999</v>
      </c>
      <c r="T578" s="3">
        <f t="shared" si="428"/>
        <v>-0.24799999999999997</v>
      </c>
      <c r="U578" s="3">
        <f t="shared" si="429"/>
        <v>-7.85E-2</v>
      </c>
      <c r="V578" s="3">
        <f t="shared" si="430"/>
        <v>-0.10349999999999999</v>
      </c>
      <c r="W578" s="3">
        <f t="shared" si="402"/>
        <v>-2.4999999999999994E-2</v>
      </c>
      <c r="X578" s="3">
        <f t="shared" ref="X578:X641" si="460">(U578*U578)/(2*R578)</f>
        <v>6.7420678336980316E-3</v>
      </c>
      <c r="Y578" s="3">
        <f t="shared" ref="Y578:Y641" si="461">(V578*V578)/(2*S578)</f>
        <v>2.5627392344497606E-2</v>
      </c>
      <c r="Z578" s="3">
        <f t="shared" si="431"/>
        <v>1.8885324510799575E-2</v>
      </c>
      <c r="AA578" s="3">
        <v>4.79</v>
      </c>
      <c r="AB578" s="3">
        <v>4.4669999999999996</v>
      </c>
      <c r="AC578" s="3">
        <f t="shared" si="432"/>
        <v>-0.3230000000000004</v>
      </c>
      <c r="AD578" s="3">
        <f>-781.315182*627.50956</f>
        <v>-490282.74607813993</v>
      </c>
      <c r="AE578" s="3">
        <f>-784.418005*627.50956</f>
        <v>-492229.79717362777</v>
      </c>
      <c r="AF578" s="3">
        <f t="shared" si="433"/>
        <v>-1947.0510954878409</v>
      </c>
      <c r="AG578" s="3">
        <f>-781.364801*627.50956</f>
        <v>-490313.88247499755</v>
      </c>
      <c r="AH578" s="3">
        <f>-784.469367*627.50956</f>
        <v>-492262.02731964854</v>
      </c>
      <c r="AI578" s="3">
        <f t="shared" si="434"/>
        <v>-1948.1448446509894</v>
      </c>
      <c r="AJ578" s="3">
        <v>-0.85</v>
      </c>
      <c r="AK578" s="3">
        <v>-0.76500000000000001</v>
      </c>
      <c r="AL578" s="3">
        <f t="shared" si="435"/>
        <v>8.4999999999999964E-2</v>
      </c>
      <c r="AM578" s="3">
        <v>148.22319999999999</v>
      </c>
      <c r="AN578" s="3">
        <v>219.1748</v>
      </c>
      <c r="AO578" s="3">
        <v>232.7004</v>
      </c>
      <c r="AP578" s="3">
        <f t="shared" si="444"/>
        <v>1.1981609177451835</v>
      </c>
      <c r="AQ578" s="3">
        <v>11.055999999999999</v>
      </c>
      <c r="AR578" s="3">
        <v>2.4982000000000002</v>
      </c>
      <c r="AS578" s="3">
        <v>-553.27200000000005</v>
      </c>
      <c r="AT578" s="3">
        <v>-551.61699999999996</v>
      </c>
      <c r="AU578" s="3">
        <f t="shared" si="445"/>
        <v>-1.6550000000000864</v>
      </c>
      <c r="AV578" s="3">
        <v>-0.23699999999999999</v>
      </c>
      <c r="AW578" s="3">
        <v>-0.36899999999999999</v>
      </c>
      <c r="AX578" s="3">
        <f t="shared" si="446"/>
        <v>0.13200000000000001</v>
      </c>
      <c r="AY578" s="3">
        <v>2.8000000000000001E-2</v>
      </c>
      <c r="AZ578" s="3">
        <v>0.154</v>
      </c>
      <c r="BA578" s="3">
        <f t="shared" si="447"/>
        <v>-0.126</v>
      </c>
      <c r="BB578" s="3">
        <f t="shared" si="457"/>
        <v>0.1045</v>
      </c>
      <c r="BC578" s="3">
        <f t="shared" si="457"/>
        <v>0.1075</v>
      </c>
      <c r="BD578" s="3">
        <f t="shared" si="449"/>
        <v>-3.0000000000000027E-3</v>
      </c>
      <c r="BE578" s="3">
        <f t="shared" si="458"/>
        <v>0.26500000000000001</v>
      </c>
      <c r="BF578" s="3">
        <f t="shared" si="458"/>
        <v>0.52300000000000002</v>
      </c>
      <c r="BG578" s="3">
        <f t="shared" si="451"/>
        <v>-0.25800000000000001</v>
      </c>
      <c r="BH578" s="3">
        <f t="shared" si="459"/>
        <v>-0.1045</v>
      </c>
      <c r="BI578" s="3">
        <f t="shared" si="459"/>
        <v>-0.1075</v>
      </c>
      <c r="BJ578" s="3">
        <f t="shared" si="406"/>
        <v>3.0000000000000027E-3</v>
      </c>
      <c r="BK578" s="3">
        <f t="shared" ref="BK578:BK641" si="462">(BH578*BH578)/(2*BE578)</f>
        <v>2.0604245283018865E-2</v>
      </c>
      <c r="BL578" s="3">
        <f t="shared" ref="BL578:BL641" si="463">(BI578*BI578)/(2*BF578)</f>
        <v>1.104804015296367E-2</v>
      </c>
      <c r="BM578" s="3">
        <f t="shared" si="453"/>
        <v>9.5562051300551957E-3</v>
      </c>
      <c r="BN578" s="3">
        <v>5.4870000000000001</v>
      </c>
      <c r="BO578" s="3">
        <v>6.0839999999999996</v>
      </c>
      <c r="BP578" s="3">
        <f t="shared" si="454"/>
        <v>-0.59699999999999953</v>
      </c>
      <c r="BQ578" s="3">
        <v>-347129.96399999998</v>
      </c>
      <c r="BR578" s="3">
        <v>-346087.64600000001</v>
      </c>
      <c r="BS578" s="3">
        <f t="shared" si="455"/>
        <v>-1042.3179999999702</v>
      </c>
      <c r="BT578" s="3">
        <v>-347152.04599999997</v>
      </c>
      <c r="BU578" s="3">
        <v>-346109.22600000002</v>
      </c>
      <c r="BV578" s="3">
        <f t="shared" si="456"/>
        <v>-1042.8199999999488</v>
      </c>
    </row>
    <row r="579" spans="1:74" x14ac:dyDescent="0.25">
      <c r="A579" t="s">
        <v>653</v>
      </c>
      <c r="B579" s="1" t="s">
        <v>646</v>
      </c>
      <c r="C579" s="1" t="s">
        <v>200</v>
      </c>
      <c r="D579" s="3">
        <v>15.85</v>
      </c>
      <c r="E579" s="3">
        <v>1.04</v>
      </c>
      <c r="F579" s="3">
        <v>-626.82000000000005</v>
      </c>
      <c r="G579" s="3">
        <v>-630.697</v>
      </c>
      <c r="H579" s="3">
        <f t="shared" si="436"/>
        <v>-3.8769999999999527</v>
      </c>
      <c r="I579" s="3">
        <v>-0.247</v>
      </c>
      <c r="J579" s="6">
        <v>-0.17100000000000001</v>
      </c>
      <c r="K579" s="3">
        <f t="shared" si="423"/>
        <v>7.5999999999999984E-2</v>
      </c>
      <c r="L579" s="3">
        <v>0.14299999999999999</v>
      </c>
      <c r="M579" s="6">
        <v>2E-3</v>
      </c>
      <c r="N579" s="3">
        <f t="shared" si="424"/>
        <v>-0.14099999999999999</v>
      </c>
      <c r="O579" s="3">
        <f t="shared" si="407"/>
        <v>5.2000000000000005E-2</v>
      </c>
      <c r="P579" s="3">
        <f t="shared" si="407"/>
        <v>8.4500000000000006E-2</v>
      </c>
      <c r="Q579" s="3">
        <f t="shared" si="425"/>
        <v>3.2500000000000001E-2</v>
      </c>
      <c r="R579" s="3">
        <f t="shared" si="426"/>
        <v>0.39</v>
      </c>
      <c r="S579" s="3">
        <f t="shared" si="427"/>
        <v>0.17300000000000001</v>
      </c>
      <c r="T579" s="3">
        <f t="shared" si="428"/>
        <v>-0.217</v>
      </c>
      <c r="U579" s="3">
        <f t="shared" si="429"/>
        <v>-5.2000000000000005E-2</v>
      </c>
      <c r="V579" s="3">
        <f t="shared" si="430"/>
        <v>-8.4500000000000006E-2</v>
      </c>
      <c r="W579" s="3">
        <f t="shared" ref="W579:W642" si="464">(V579-U579)</f>
        <v>-3.2500000000000001E-2</v>
      </c>
      <c r="X579" s="3">
        <f t="shared" si="460"/>
        <v>3.4666666666666674E-3</v>
      </c>
      <c r="Y579" s="3">
        <f t="shared" si="461"/>
        <v>2.0636560693641618E-2</v>
      </c>
      <c r="Z579" s="3">
        <f t="shared" si="431"/>
        <v>1.7169894026974952E-2</v>
      </c>
      <c r="AA579" s="3">
        <v>4.0250000000000004</v>
      </c>
      <c r="AB579" s="3">
        <v>4.0289999999999999</v>
      </c>
      <c r="AC579" s="3">
        <f t="shared" si="432"/>
        <v>3.9999999999995595E-3</v>
      </c>
      <c r="AD579" s="3">
        <f>-626.609034*627.50956</f>
        <v>-393203.15921736497</v>
      </c>
      <c r="AE579" s="3">
        <f>-630.498657*627.50956</f>
        <v>-395643.9348346609</v>
      </c>
      <c r="AF579" s="3">
        <f t="shared" si="433"/>
        <v>-2440.7756172959344</v>
      </c>
      <c r="AG579" s="3">
        <f>-626.662734*627.50956</f>
        <v>-393236.85648073704</v>
      </c>
      <c r="AH579" s="3">
        <f>-630.553443*627.50956</f>
        <v>-395678.31357341504</v>
      </c>
      <c r="AI579" s="3">
        <f t="shared" si="434"/>
        <v>-2441.4570926779998</v>
      </c>
      <c r="AJ579" s="3">
        <v>-0.55100000000000005</v>
      </c>
      <c r="AK579" s="3">
        <v>-0.44600000000000001</v>
      </c>
      <c r="AL579" s="3">
        <f t="shared" si="435"/>
        <v>0.10500000000000004</v>
      </c>
      <c r="AM579" s="3">
        <v>188.20259999999999</v>
      </c>
      <c r="AN579" s="3">
        <v>254.5789</v>
      </c>
      <c r="AO579" s="3">
        <v>275.0016</v>
      </c>
      <c r="AP579" s="3">
        <f t="shared" si="444"/>
        <v>1.2450540603116684</v>
      </c>
      <c r="AQ579" s="3">
        <v>13.263</v>
      </c>
      <c r="AR579" s="3">
        <v>2.9729999999999999</v>
      </c>
      <c r="AS579" s="3">
        <v>-553.27200000000005</v>
      </c>
      <c r="AT579" s="3">
        <v>-551.61699999999996</v>
      </c>
      <c r="AU579" s="3">
        <f t="shared" si="445"/>
        <v>-1.6550000000000864</v>
      </c>
      <c r="AV579" s="3">
        <v>-0.23699999999999999</v>
      </c>
      <c r="AW579" s="3">
        <v>-0.36899999999999999</v>
      </c>
      <c r="AX579" s="3">
        <f t="shared" si="446"/>
        <v>0.13200000000000001</v>
      </c>
      <c r="AY579" s="3">
        <v>2.8000000000000001E-2</v>
      </c>
      <c r="AZ579" s="3">
        <v>0.154</v>
      </c>
      <c r="BA579" s="3">
        <f t="shared" si="447"/>
        <v>-0.126</v>
      </c>
      <c r="BB579" s="3">
        <f t="shared" si="457"/>
        <v>0.1045</v>
      </c>
      <c r="BC579" s="3">
        <f t="shared" si="457"/>
        <v>0.1075</v>
      </c>
      <c r="BD579" s="3">
        <f t="shared" si="449"/>
        <v>-3.0000000000000027E-3</v>
      </c>
      <c r="BE579" s="3">
        <f t="shared" si="458"/>
        <v>0.26500000000000001</v>
      </c>
      <c r="BF579" s="3">
        <f t="shared" si="458"/>
        <v>0.52300000000000002</v>
      </c>
      <c r="BG579" s="3">
        <f t="shared" si="451"/>
        <v>-0.25800000000000001</v>
      </c>
      <c r="BH579" s="3">
        <f t="shared" si="459"/>
        <v>-0.1045</v>
      </c>
      <c r="BI579" s="3">
        <f t="shared" si="459"/>
        <v>-0.1075</v>
      </c>
      <c r="BJ579" s="3">
        <f t="shared" ref="BJ579:BJ642" si="465">(BH579-BI579)</f>
        <v>3.0000000000000027E-3</v>
      </c>
      <c r="BK579" s="3">
        <f t="shared" si="462"/>
        <v>2.0604245283018865E-2</v>
      </c>
      <c r="BL579" s="3">
        <f t="shared" si="463"/>
        <v>1.104804015296367E-2</v>
      </c>
      <c r="BM579" s="3">
        <f t="shared" si="453"/>
        <v>9.5562051300551957E-3</v>
      </c>
      <c r="BN579" s="3">
        <v>5.4870000000000001</v>
      </c>
      <c r="BO579" s="3">
        <v>6.0839999999999996</v>
      </c>
      <c r="BP579" s="3">
        <f t="shared" si="454"/>
        <v>-0.59699999999999953</v>
      </c>
      <c r="BQ579" s="3">
        <v>-347129.96399999998</v>
      </c>
      <c r="BR579" s="3">
        <v>-346087.64600000001</v>
      </c>
      <c r="BS579" s="3">
        <f t="shared" si="455"/>
        <v>-1042.3179999999702</v>
      </c>
      <c r="BT579" s="3">
        <v>-347152.04599999997</v>
      </c>
      <c r="BU579" s="3">
        <v>-346109.22600000002</v>
      </c>
      <c r="BV579" s="3">
        <f t="shared" si="456"/>
        <v>-1042.8199999999488</v>
      </c>
    </row>
    <row r="580" spans="1:74" x14ac:dyDescent="0.25">
      <c r="A580" t="s">
        <v>654</v>
      </c>
      <c r="B580" s="1" t="s">
        <v>646</v>
      </c>
      <c r="C580" s="1" t="s">
        <v>103</v>
      </c>
      <c r="D580" s="3">
        <v>15.91</v>
      </c>
      <c r="E580" s="3">
        <v>0.86</v>
      </c>
      <c r="F580" s="3">
        <v>-404.06799999999998</v>
      </c>
      <c r="G580" s="3">
        <v>-406.83</v>
      </c>
      <c r="H580" s="3">
        <f t="shared" si="436"/>
        <v>-2.7620000000000005</v>
      </c>
      <c r="I580" s="3">
        <v>-0.28199999999999997</v>
      </c>
      <c r="J580" s="6">
        <v>-0.18</v>
      </c>
      <c r="K580" s="3">
        <f t="shared" si="423"/>
        <v>0.10199999999999998</v>
      </c>
      <c r="L580" s="3">
        <v>0.151</v>
      </c>
      <c r="M580" s="6">
        <v>3.5999999999999997E-2</v>
      </c>
      <c r="N580" s="3">
        <f t="shared" si="424"/>
        <v>-0.11499999999999999</v>
      </c>
      <c r="O580" s="3">
        <f t="shared" si="407"/>
        <v>6.5499999999999989E-2</v>
      </c>
      <c r="P580" s="3">
        <f t="shared" si="407"/>
        <v>7.1999999999999995E-2</v>
      </c>
      <c r="Q580" s="3">
        <f t="shared" si="425"/>
        <v>6.5000000000000058E-3</v>
      </c>
      <c r="R580" s="3">
        <f t="shared" si="426"/>
        <v>0.43299999999999994</v>
      </c>
      <c r="S580" s="3">
        <f t="shared" si="427"/>
        <v>0.216</v>
      </c>
      <c r="T580" s="3">
        <f t="shared" si="428"/>
        <v>-0.21699999999999994</v>
      </c>
      <c r="U580" s="3">
        <f t="shared" si="429"/>
        <v>-6.5499999999999989E-2</v>
      </c>
      <c r="V580" s="3">
        <f t="shared" si="430"/>
        <v>-7.1999999999999995E-2</v>
      </c>
      <c r="W580" s="3">
        <f t="shared" si="464"/>
        <v>-6.5000000000000058E-3</v>
      </c>
      <c r="X580" s="3">
        <f t="shared" si="460"/>
        <v>4.9540993071593526E-3</v>
      </c>
      <c r="Y580" s="3">
        <f t="shared" si="461"/>
        <v>1.1999999999999999E-2</v>
      </c>
      <c r="Z580" s="3">
        <f t="shared" si="431"/>
        <v>7.0459006928406459E-3</v>
      </c>
      <c r="AA580" s="3">
        <v>2.0670000000000002</v>
      </c>
      <c r="AB580" s="3">
        <v>2.4340000000000002</v>
      </c>
      <c r="AC580" s="3">
        <f t="shared" si="432"/>
        <v>0.36699999999999999</v>
      </c>
      <c r="AD580" s="3">
        <f>-403.817441*627.50956</f>
        <v>-253399.30472223592</v>
      </c>
      <c r="AE580" s="3">
        <f>-406.593639*627.50956</f>
        <v>-255141.39550768881</v>
      </c>
      <c r="AF580" s="3">
        <f t="shared" si="433"/>
        <v>-1742.0907854528923</v>
      </c>
      <c r="AG580" s="3">
        <f>-403.862009*627.50956</f>
        <v>-253427.27156830602</v>
      </c>
      <c r="AH580" s="3">
        <f>-406.639306*627.50956</f>
        <v>-255170.05198676532</v>
      </c>
      <c r="AI580" s="3">
        <f t="shared" si="434"/>
        <v>-1742.7804184592969</v>
      </c>
      <c r="AJ580" s="3">
        <v>-0.34499999999999997</v>
      </c>
      <c r="AK580" s="3">
        <v>-0.34200000000000003</v>
      </c>
      <c r="AL580" s="3">
        <f t="shared" si="435"/>
        <v>2.9999999999999472E-3</v>
      </c>
      <c r="AM580" s="3">
        <v>137.22200000000001</v>
      </c>
      <c r="AN580" s="3">
        <v>218.19489999999999</v>
      </c>
      <c r="AO580" s="3">
        <v>245.93700000000001</v>
      </c>
      <c r="AP580" s="3">
        <f t="shared" si="444"/>
        <v>1.149612026162927</v>
      </c>
      <c r="AQ580" s="3">
        <v>10.247</v>
      </c>
      <c r="AR580" s="3">
        <v>2.3838699999999999</v>
      </c>
      <c r="AS580" s="3">
        <v>-959.76900000000001</v>
      </c>
      <c r="AT580" s="3">
        <v>-958.05</v>
      </c>
      <c r="AU580" s="3">
        <f t="shared" si="445"/>
        <v>-1.7190000000000509</v>
      </c>
      <c r="AV580" s="3">
        <v>-0.317</v>
      </c>
      <c r="AW580" s="3">
        <v>-0.45</v>
      </c>
      <c r="AX580" s="3">
        <f t="shared" si="446"/>
        <v>0.13300000000000001</v>
      </c>
      <c r="AY580" s="3">
        <v>-2.4E-2</v>
      </c>
      <c r="AZ580" s="3">
        <v>0.13500000000000001</v>
      </c>
      <c r="BA580" s="3">
        <f t="shared" si="447"/>
        <v>-0.159</v>
      </c>
      <c r="BB580" s="3">
        <f t="shared" si="457"/>
        <v>0.17050000000000001</v>
      </c>
      <c r="BC580" s="3">
        <f t="shared" si="457"/>
        <v>0.1575</v>
      </c>
      <c r="BD580" s="3">
        <f t="shared" si="449"/>
        <v>1.3000000000000012E-2</v>
      </c>
      <c r="BE580" s="3">
        <f t="shared" si="458"/>
        <v>0.29299999999999998</v>
      </c>
      <c r="BF580" s="3">
        <f t="shared" si="458"/>
        <v>0.58499999999999996</v>
      </c>
      <c r="BG580" s="3">
        <f t="shared" si="451"/>
        <v>-0.29199999999999998</v>
      </c>
      <c r="BH580" s="3">
        <f t="shared" si="459"/>
        <v>-0.17050000000000001</v>
      </c>
      <c r="BI580" s="3">
        <f t="shared" si="459"/>
        <v>-0.1575</v>
      </c>
      <c r="BJ580" s="3">
        <f t="shared" si="465"/>
        <v>-1.3000000000000012E-2</v>
      </c>
      <c r="BK580" s="3">
        <f t="shared" si="462"/>
        <v>4.9607935153583631E-2</v>
      </c>
      <c r="BL580" s="3">
        <f t="shared" si="463"/>
        <v>2.120192307692308E-2</v>
      </c>
      <c r="BM580" s="3">
        <f t="shared" si="453"/>
        <v>2.8406012076660551E-2</v>
      </c>
      <c r="BN580" s="3">
        <v>2.2370000000000001</v>
      </c>
      <c r="BO580" s="3">
        <v>2.431</v>
      </c>
      <c r="BP580" s="3">
        <f t="shared" si="454"/>
        <v>-0.19399999999999995</v>
      </c>
      <c r="BQ580" s="3">
        <v>-602243.07700000005</v>
      </c>
      <c r="BR580" s="3">
        <v>-601163.24300000002</v>
      </c>
      <c r="BS580" s="3">
        <f t="shared" si="455"/>
        <v>-1079.8340000000317</v>
      </c>
      <c r="BT580" s="3">
        <v>-602262.36399999994</v>
      </c>
      <c r="BU580" s="3">
        <v>-601182.38500000001</v>
      </c>
      <c r="BV580" s="3">
        <f t="shared" si="456"/>
        <v>-1079.9789999999339</v>
      </c>
    </row>
    <row r="581" spans="1:74" x14ac:dyDescent="0.25">
      <c r="A581" t="s">
        <v>655</v>
      </c>
      <c r="B581" s="1" t="s">
        <v>646</v>
      </c>
      <c r="C581" s="1" t="s">
        <v>200</v>
      </c>
      <c r="D581" s="3">
        <v>15.97</v>
      </c>
      <c r="E581" s="3">
        <v>0.72</v>
      </c>
      <c r="F581" s="3">
        <v>-1137.883</v>
      </c>
      <c r="G581" s="3">
        <v>-1143.173</v>
      </c>
      <c r="H581" s="3">
        <f t="shared" si="436"/>
        <v>-5.2899999999999636</v>
      </c>
      <c r="I581" s="3">
        <v>-0.26300000000000001</v>
      </c>
      <c r="J581" s="6">
        <v>-0.182</v>
      </c>
      <c r="K581" s="3">
        <f t="shared" si="423"/>
        <v>8.1000000000000016E-2</v>
      </c>
      <c r="L581" s="3">
        <v>0.10199999999999999</v>
      </c>
      <c r="M581" s="6">
        <v>-3.6999999999999998E-2</v>
      </c>
      <c r="N581" s="3">
        <f t="shared" si="424"/>
        <v>-0.13899999999999998</v>
      </c>
      <c r="O581" s="3">
        <f t="shared" si="407"/>
        <v>8.0500000000000016E-2</v>
      </c>
      <c r="P581" s="3">
        <f t="shared" si="407"/>
        <v>0.1095</v>
      </c>
      <c r="Q581" s="3">
        <f t="shared" si="425"/>
        <v>2.8999999999999984E-2</v>
      </c>
      <c r="R581" s="3">
        <f t="shared" si="426"/>
        <v>0.36499999999999999</v>
      </c>
      <c r="S581" s="3">
        <f t="shared" si="427"/>
        <v>0.14499999999999999</v>
      </c>
      <c r="T581" s="3">
        <f t="shared" si="428"/>
        <v>-0.22</v>
      </c>
      <c r="U581" s="3">
        <f t="shared" si="429"/>
        <v>-8.0500000000000016E-2</v>
      </c>
      <c r="V581" s="3">
        <f t="shared" si="430"/>
        <v>-0.1095</v>
      </c>
      <c r="W581" s="3">
        <f t="shared" si="464"/>
        <v>-2.8999999999999984E-2</v>
      </c>
      <c r="X581" s="3">
        <f t="shared" si="460"/>
        <v>8.8770547945205523E-3</v>
      </c>
      <c r="Y581" s="3">
        <f t="shared" si="461"/>
        <v>4.1345689655172414E-2</v>
      </c>
      <c r="Z581" s="3">
        <f t="shared" si="431"/>
        <v>3.2468634860651865E-2</v>
      </c>
      <c r="AA581" s="3">
        <v>13.843999999999999</v>
      </c>
      <c r="AB581" s="3">
        <v>12.471</v>
      </c>
      <c r="AC581" s="3">
        <f t="shared" si="432"/>
        <v>-1.3729999999999993</v>
      </c>
      <c r="AD581" s="3">
        <f>-1137.648648*627.50956</f>
        <v>-713885.4025410749</v>
      </c>
      <c r="AE581" s="3">
        <f>-1142.952229*627.50956</f>
        <v>-717213.45032080915</v>
      </c>
      <c r="AF581" s="3">
        <f t="shared" si="433"/>
        <v>-3328.0477797342464</v>
      </c>
      <c r="AG581" s="3">
        <f>-1137.707997*627.50956</f>
        <v>-713922.64460595127</v>
      </c>
      <c r="AH581" s="3">
        <f>-1143.012732*627.50956</f>
        <v>-717251.41653171787</v>
      </c>
      <c r="AI581" s="3">
        <f t="shared" si="434"/>
        <v>-3328.7719257666031</v>
      </c>
      <c r="AJ581" s="3">
        <v>-0.73499999999999999</v>
      </c>
      <c r="AK581" s="3">
        <v>-0.61499999999999999</v>
      </c>
      <c r="AL581" s="3">
        <f t="shared" si="435"/>
        <v>0.12</v>
      </c>
      <c r="AM581" s="3">
        <v>256.29969999999997</v>
      </c>
      <c r="AN581" s="3">
        <v>290.40410000000003</v>
      </c>
      <c r="AO581" s="3">
        <v>336.01749999999998</v>
      </c>
      <c r="AP581" s="3">
        <f t="shared" si="444"/>
        <v>1.2426555478331203</v>
      </c>
      <c r="AQ581" s="3">
        <v>11.307</v>
      </c>
      <c r="AR581" s="3">
        <v>2.9566400000000002</v>
      </c>
      <c r="AS581" s="3">
        <v>-553.27200000000005</v>
      </c>
      <c r="AT581" s="3">
        <v>-551.61699999999996</v>
      </c>
      <c r="AU581" s="3">
        <f t="shared" ref="AU581:AU595" si="466">AS581-AT581</f>
        <v>-1.6550000000000864</v>
      </c>
      <c r="AV581" s="3">
        <v>-0.23699999999999999</v>
      </c>
      <c r="AW581" s="3">
        <v>-0.36899999999999999</v>
      </c>
      <c r="AX581" s="3">
        <f t="shared" ref="AX581:AX608" si="467">AV581-AW581</f>
        <v>0.13200000000000001</v>
      </c>
      <c r="AY581" s="3">
        <v>2.8000000000000001E-2</v>
      </c>
      <c r="AZ581" s="3">
        <v>0.154</v>
      </c>
      <c r="BA581" s="3">
        <f t="shared" ref="BA581:BA608" si="468">AY581-AZ581</f>
        <v>-0.126</v>
      </c>
      <c r="BB581" s="3">
        <f t="shared" si="457"/>
        <v>0.1045</v>
      </c>
      <c r="BC581" s="3">
        <f t="shared" si="457"/>
        <v>0.1075</v>
      </c>
      <c r="BD581" s="3">
        <f t="shared" ref="BD581:BD608" si="469">BB581-BC581</f>
        <v>-3.0000000000000027E-3</v>
      </c>
      <c r="BE581" s="3">
        <f t="shared" si="458"/>
        <v>0.26500000000000001</v>
      </c>
      <c r="BF581" s="3">
        <f t="shared" si="458"/>
        <v>0.52300000000000002</v>
      </c>
      <c r="BG581" s="3">
        <f t="shared" ref="BG581:BG608" si="470">BE581-BF581</f>
        <v>-0.25800000000000001</v>
      </c>
      <c r="BH581" s="3">
        <f t="shared" si="459"/>
        <v>-0.1045</v>
      </c>
      <c r="BI581" s="3">
        <f t="shared" si="459"/>
        <v>-0.1075</v>
      </c>
      <c r="BJ581" s="3">
        <f t="shared" si="465"/>
        <v>3.0000000000000027E-3</v>
      </c>
      <c r="BK581" s="3">
        <f t="shared" si="462"/>
        <v>2.0604245283018865E-2</v>
      </c>
      <c r="BL581" s="3">
        <f t="shared" si="463"/>
        <v>1.104804015296367E-2</v>
      </c>
      <c r="BM581" s="3">
        <f t="shared" ref="BM581:BM608" si="471">BK581-BL581</f>
        <v>9.5562051300551957E-3</v>
      </c>
      <c r="BN581" s="3">
        <v>5.4870000000000001</v>
      </c>
      <c r="BO581" s="3">
        <v>6.0839999999999996</v>
      </c>
      <c r="BP581" s="3">
        <f t="shared" ref="BP581:BP608" si="472">BN581-BO581</f>
        <v>-0.59699999999999953</v>
      </c>
      <c r="BQ581" s="3">
        <v>-347129.96399999998</v>
      </c>
      <c r="BR581" s="3">
        <v>-346087.64600000001</v>
      </c>
      <c r="BS581" s="3">
        <f t="shared" ref="BS581:BS608" si="473">BQ581-BR581</f>
        <v>-1042.3179999999702</v>
      </c>
      <c r="BT581" s="3">
        <v>-347152.04599999997</v>
      </c>
      <c r="BU581" s="3">
        <v>-346109.22600000002</v>
      </c>
      <c r="BV581" s="3">
        <f t="shared" ref="BV581:BV608" si="474">BT581-BU581</f>
        <v>-1042.8199999999488</v>
      </c>
    </row>
    <row r="582" spans="1:74" x14ac:dyDescent="0.25">
      <c r="A582" t="s">
        <v>656</v>
      </c>
      <c r="B582" s="1" t="s">
        <v>646</v>
      </c>
      <c r="C582" s="1" t="s">
        <v>199</v>
      </c>
      <c r="D582" s="3">
        <v>15.99</v>
      </c>
      <c r="E582" s="3">
        <v>0.62</v>
      </c>
      <c r="F582" s="3">
        <v>-457.27</v>
      </c>
      <c r="G582" s="3">
        <v>-460</v>
      </c>
      <c r="H582" s="3">
        <f t="shared" si="436"/>
        <v>-2.7300000000000182</v>
      </c>
      <c r="I582" s="3">
        <v>-0.27800000000000002</v>
      </c>
      <c r="J582" s="6">
        <v>-0.18</v>
      </c>
      <c r="K582" s="3">
        <f t="shared" si="423"/>
        <v>9.8000000000000032E-2</v>
      </c>
      <c r="L582" s="3">
        <v>0.16900000000000001</v>
      </c>
      <c r="M582" s="6">
        <v>1.7999999999999999E-2</v>
      </c>
      <c r="N582" s="3">
        <f t="shared" si="424"/>
        <v>-0.15100000000000002</v>
      </c>
      <c r="O582" s="3">
        <f t="shared" si="407"/>
        <v>5.4500000000000007E-2</v>
      </c>
      <c r="P582" s="3">
        <f t="shared" si="407"/>
        <v>8.1000000000000003E-2</v>
      </c>
      <c r="Q582" s="3">
        <f t="shared" si="425"/>
        <v>2.6499999999999996E-2</v>
      </c>
      <c r="R582" s="3">
        <f t="shared" si="426"/>
        <v>0.44700000000000006</v>
      </c>
      <c r="S582" s="3">
        <f t="shared" si="427"/>
        <v>0.19799999999999998</v>
      </c>
      <c r="T582" s="3">
        <f t="shared" si="428"/>
        <v>-0.24900000000000008</v>
      </c>
      <c r="U582" s="3">
        <f t="shared" si="429"/>
        <v>-5.4500000000000007E-2</v>
      </c>
      <c r="V582" s="3">
        <f t="shared" si="430"/>
        <v>-8.1000000000000003E-2</v>
      </c>
      <c r="W582" s="3">
        <f t="shared" si="464"/>
        <v>-2.6499999999999996E-2</v>
      </c>
      <c r="X582" s="3">
        <f t="shared" si="460"/>
        <v>3.3224272930648772E-3</v>
      </c>
      <c r="Y582" s="3">
        <f t="shared" si="461"/>
        <v>1.6568181818181819E-2</v>
      </c>
      <c r="Z582" s="3">
        <f t="shared" si="431"/>
        <v>1.3245754525116941E-2</v>
      </c>
      <c r="AA582" s="3">
        <v>8.7639999999999993</v>
      </c>
      <c r="AB582" s="3">
        <v>8.35</v>
      </c>
      <c r="AC582" s="3">
        <f t="shared" si="432"/>
        <v>-0.4139999999999997</v>
      </c>
      <c r="AD582" s="3">
        <f>-457.108506*627.50956</f>
        <v>-286839.95747231733</v>
      </c>
      <c r="AE582" s="3">
        <f>-459.847136*627.50956</f>
        <v>-288558.47397862014</v>
      </c>
      <c r="AF582" s="3">
        <f t="shared" si="433"/>
        <v>-1718.5165063028107</v>
      </c>
      <c r="AG582" s="3">
        <f>-457.15324*627.50956</f>
        <v>-286868.02848497435</v>
      </c>
      <c r="AH582" s="3">
        <f>-459.895268*627.50956</f>
        <v>-288588.67726876208</v>
      </c>
      <c r="AI582" s="3">
        <f t="shared" si="434"/>
        <v>-1720.6487837877357</v>
      </c>
      <c r="AJ582" s="3">
        <v>-0.69099999999999995</v>
      </c>
      <c r="AK582" s="3">
        <v>-0.58199999999999996</v>
      </c>
      <c r="AL582" s="3">
        <f t="shared" si="435"/>
        <v>0.10899999999999999</v>
      </c>
      <c r="AM582" s="3">
        <v>129.13380000000001</v>
      </c>
      <c r="AN582" s="3">
        <v>195.79589999999999</v>
      </c>
      <c r="AO582" s="3">
        <v>198.1097</v>
      </c>
      <c r="AP582" s="3">
        <f t="shared" si="444"/>
        <v>1.1915777455411634</v>
      </c>
      <c r="AQ582" s="3">
        <v>10.689</v>
      </c>
      <c r="AR582" s="3">
        <v>2.5110999999999999</v>
      </c>
      <c r="AS582" s="3">
        <v>-76.454999999999998</v>
      </c>
      <c r="AT582" s="3">
        <v>-76.055000000000007</v>
      </c>
      <c r="AU582" s="3">
        <f t="shared" si="466"/>
        <v>-0.39999999999999147</v>
      </c>
      <c r="AV582" s="3">
        <v>-0.30399999999999999</v>
      </c>
      <c r="AW582" s="3">
        <v>-0.505</v>
      </c>
      <c r="AX582" s="3">
        <f t="shared" si="467"/>
        <v>0.20100000000000001</v>
      </c>
      <c r="AY582" s="3">
        <v>0.04</v>
      </c>
      <c r="AZ582" s="3">
        <v>0.16400000000000001</v>
      </c>
      <c r="BA582" s="3">
        <f t="shared" si="468"/>
        <v>-0.124</v>
      </c>
      <c r="BB582" s="3">
        <f t="shared" si="457"/>
        <v>0.13200000000000001</v>
      </c>
      <c r="BC582" s="3">
        <f t="shared" si="457"/>
        <v>0.17049999999999998</v>
      </c>
      <c r="BD582" s="3">
        <f t="shared" si="469"/>
        <v>-3.8499999999999979E-2</v>
      </c>
      <c r="BE582" s="3">
        <f t="shared" si="458"/>
        <v>0.34399999999999997</v>
      </c>
      <c r="BF582" s="3">
        <f t="shared" si="458"/>
        <v>0.66900000000000004</v>
      </c>
      <c r="BG582" s="3">
        <f t="shared" si="470"/>
        <v>-0.32500000000000007</v>
      </c>
      <c r="BH582" s="3">
        <f t="shared" si="459"/>
        <v>-0.13200000000000001</v>
      </c>
      <c r="BI582" s="3">
        <f t="shared" si="459"/>
        <v>-0.17049999999999998</v>
      </c>
      <c r="BJ582" s="3">
        <f t="shared" si="465"/>
        <v>3.8499999999999979E-2</v>
      </c>
      <c r="BK582" s="3">
        <f t="shared" si="462"/>
        <v>2.5325581395348844E-2</v>
      </c>
      <c r="BL582" s="3">
        <f t="shared" si="463"/>
        <v>2.1726644245141997E-2</v>
      </c>
      <c r="BM582" s="3">
        <f t="shared" si="471"/>
        <v>3.5989371502068469E-3</v>
      </c>
      <c r="BN582" s="3">
        <v>2.3010000000000002</v>
      </c>
      <c r="BO582" s="3">
        <v>2.3559999999999999</v>
      </c>
      <c r="BP582" s="3">
        <f t="shared" si="472"/>
        <v>-5.4999999999999716E-2</v>
      </c>
      <c r="BQ582" s="3">
        <v>-47960.305999999997</v>
      </c>
      <c r="BR582" s="3">
        <v>-47708.290999999997</v>
      </c>
      <c r="BS582" s="3">
        <f t="shared" si="473"/>
        <v>-252.01499999999942</v>
      </c>
      <c r="BT582" s="3">
        <v>-47973.754999999997</v>
      </c>
      <c r="BU582" s="3">
        <v>-47721.697</v>
      </c>
      <c r="BV582" s="3">
        <f t="shared" si="474"/>
        <v>-252.05799999999726</v>
      </c>
    </row>
    <row r="583" spans="1:74" x14ac:dyDescent="0.25">
      <c r="A583" t="s">
        <v>657</v>
      </c>
      <c r="B583" s="1" t="s">
        <v>646</v>
      </c>
      <c r="C583" s="1" t="s">
        <v>200</v>
      </c>
      <c r="D583" s="3">
        <v>16.03</v>
      </c>
      <c r="E583" s="3">
        <v>0.86</v>
      </c>
      <c r="F583" s="3">
        <v>-533.87</v>
      </c>
      <c r="G583" s="3">
        <v>-537.19500000000005</v>
      </c>
      <c r="H583" s="3">
        <f t="shared" si="436"/>
        <v>-3.3250000000000455</v>
      </c>
      <c r="I583" s="3">
        <v>-0.27500000000000002</v>
      </c>
      <c r="J583" s="6">
        <v>-0.18</v>
      </c>
      <c r="K583" s="3">
        <f t="shared" si="423"/>
        <v>9.5000000000000029E-2</v>
      </c>
      <c r="L583" s="3">
        <v>0.12</v>
      </c>
      <c r="M583" s="6">
        <v>-2.4E-2</v>
      </c>
      <c r="N583" s="3">
        <f t="shared" si="424"/>
        <v>-0.14399999999999999</v>
      </c>
      <c r="O583" s="3">
        <f t="shared" si="407"/>
        <v>7.7500000000000013E-2</v>
      </c>
      <c r="P583" s="3">
        <f t="shared" si="407"/>
        <v>0.10199999999999999</v>
      </c>
      <c r="Q583" s="3">
        <f t="shared" si="425"/>
        <v>2.449999999999998E-2</v>
      </c>
      <c r="R583" s="3">
        <f t="shared" si="426"/>
        <v>0.39500000000000002</v>
      </c>
      <c r="S583" s="3">
        <f t="shared" si="427"/>
        <v>0.156</v>
      </c>
      <c r="T583" s="3">
        <f t="shared" si="428"/>
        <v>-0.23900000000000002</v>
      </c>
      <c r="U583" s="3">
        <f t="shared" si="429"/>
        <v>-7.7500000000000013E-2</v>
      </c>
      <c r="V583" s="3">
        <f t="shared" si="430"/>
        <v>-0.10199999999999999</v>
      </c>
      <c r="W583" s="3">
        <f t="shared" si="464"/>
        <v>-2.449999999999998E-2</v>
      </c>
      <c r="X583" s="3">
        <f t="shared" si="460"/>
        <v>7.6028481012658253E-3</v>
      </c>
      <c r="Y583" s="3">
        <f t="shared" si="461"/>
        <v>3.3346153846153838E-2</v>
      </c>
      <c r="Z583" s="3">
        <f t="shared" si="431"/>
        <v>2.5743305744888013E-2</v>
      </c>
      <c r="AA583" s="3">
        <v>12.763</v>
      </c>
      <c r="AB583" s="3">
        <v>11.702999999999999</v>
      </c>
      <c r="AC583" s="3">
        <f t="shared" si="432"/>
        <v>-1.0600000000000005</v>
      </c>
      <c r="AD583" s="3">
        <f>-533.685819*627.50956</f>
        <v>-334892.95345892967</v>
      </c>
      <c r="AE583" s="3">
        <f>-537.020757*627.50956</f>
        <v>-336985.65893593692</v>
      </c>
      <c r="AF583" s="3">
        <f t="shared" si="433"/>
        <v>-2092.7054770072573</v>
      </c>
      <c r="AG583" s="3">
        <f>-533.733682*627.50956</f>
        <v>-334922.98794899991</v>
      </c>
      <c r="AH583" s="3">
        <f>-537.069901*627.50956</f>
        <v>-337016.49726575351</v>
      </c>
      <c r="AI583" s="3">
        <f t="shared" si="434"/>
        <v>-2093.5093167535961</v>
      </c>
      <c r="AJ583" s="3">
        <v>-0.64600000000000002</v>
      </c>
      <c r="AK583" s="3">
        <v>-0.52700000000000002</v>
      </c>
      <c r="AL583" s="3">
        <f t="shared" si="435"/>
        <v>0.11899999999999999</v>
      </c>
      <c r="AM583" s="3">
        <v>161.1772</v>
      </c>
      <c r="AN583" s="3">
        <v>216.875</v>
      </c>
      <c r="AO583" s="3">
        <v>238.9417</v>
      </c>
      <c r="AP583" s="3">
        <f t="shared" si="444"/>
        <v>1.1648521609526536</v>
      </c>
      <c r="AQ583" s="3">
        <v>10.412000000000001</v>
      </c>
      <c r="AR583" s="3">
        <v>2.5379</v>
      </c>
      <c r="AS583" s="3">
        <v>-553.27200000000005</v>
      </c>
      <c r="AT583" s="3">
        <v>-551.61699999999996</v>
      </c>
      <c r="AU583" s="3">
        <f t="shared" si="466"/>
        <v>-1.6550000000000864</v>
      </c>
      <c r="AV583" s="3">
        <v>-0.23699999999999999</v>
      </c>
      <c r="AW583" s="3">
        <v>-0.36899999999999999</v>
      </c>
      <c r="AX583" s="3">
        <f t="shared" si="467"/>
        <v>0.13200000000000001</v>
      </c>
      <c r="AY583" s="3">
        <v>2.8000000000000001E-2</v>
      </c>
      <c r="AZ583" s="3">
        <v>0.154</v>
      </c>
      <c r="BA583" s="3">
        <f t="shared" si="468"/>
        <v>-0.126</v>
      </c>
      <c r="BB583" s="3">
        <f t="shared" si="457"/>
        <v>0.1045</v>
      </c>
      <c r="BC583" s="3">
        <f t="shared" si="457"/>
        <v>0.1075</v>
      </c>
      <c r="BD583" s="3">
        <f t="shared" si="469"/>
        <v>-3.0000000000000027E-3</v>
      </c>
      <c r="BE583" s="3">
        <f t="shared" si="458"/>
        <v>0.26500000000000001</v>
      </c>
      <c r="BF583" s="3">
        <f t="shared" si="458"/>
        <v>0.52300000000000002</v>
      </c>
      <c r="BG583" s="3">
        <f t="shared" si="470"/>
        <v>-0.25800000000000001</v>
      </c>
      <c r="BH583" s="3">
        <f t="shared" si="459"/>
        <v>-0.1045</v>
      </c>
      <c r="BI583" s="3">
        <f t="shared" si="459"/>
        <v>-0.1075</v>
      </c>
      <c r="BJ583" s="3">
        <f t="shared" si="465"/>
        <v>3.0000000000000027E-3</v>
      </c>
      <c r="BK583" s="3">
        <f t="shared" si="462"/>
        <v>2.0604245283018865E-2</v>
      </c>
      <c r="BL583" s="3">
        <f t="shared" si="463"/>
        <v>1.104804015296367E-2</v>
      </c>
      <c r="BM583" s="3">
        <f t="shared" si="471"/>
        <v>9.5562051300551957E-3</v>
      </c>
      <c r="BN583" s="3">
        <v>5.4870000000000001</v>
      </c>
      <c r="BO583" s="3">
        <v>6.0839999999999996</v>
      </c>
      <c r="BP583" s="3">
        <f t="shared" si="472"/>
        <v>-0.59699999999999953</v>
      </c>
      <c r="BQ583" s="3">
        <v>-347129.96399999998</v>
      </c>
      <c r="BR583" s="3">
        <v>-346087.64600000001</v>
      </c>
      <c r="BS583" s="3">
        <f t="shared" si="473"/>
        <v>-1042.3179999999702</v>
      </c>
      <c r="BT583" s="3">
        <v>-347152.04599999997</v>
      </c>
      <c r="BU583" s="3">
        <v>-346109.22600000002</v>
      </c>
      <c r="BV583" s="3">
        <f t="shared" si="474"/>
        <v>-1042.8199999999488</v>
      </c>
    </row>
    <row r="584" spans="1:74" x14ac:dyDescent="0.25">
      <c r="A584" t="s">
        <v>658</v>
      </c>
      <c r="B584" s="1" t="s">
        <v>646</v>
      </c>
      <c r="C584" s="1" t="s">
        <v>199</v>
      </c>
      <c r="D584" s="3">
        <v>16.149999999999999</v>
      </c>
      <c r="E584" s="3">
        <v>0.66</v>
      </c>
      <c r="F584" s="3">
        <v>-571.21</v>
      </c>
      <c r="G584" s="3">
        <v>-574.56799999999998</v>
      </c>
      <c r="H584" s="3">
        <f t="shared" si="436"/>
        <v>-3.3579999999999472</v>
      </c>
      <c r="I584" s="3">
        <v>-0.28000000000000003</v>
      </c>
      <c r="J584" s="6">
        <v>-0.186</v>
      </c>
      <c r="K584" s="3">
        <f t="shared" si="423"/>
        <v>9.4000000000000028E-2</v>
      </c>
      <c r="L584" s="3">
        <v>0.16900000000000001</v>
      </c>
      <c r="M584" s="6">
        <v>2.1000000000000001E-2</v>
      </c>
      <c r="N584" s="3">
        <f t="shared" si="424"/>
        <v>-0.14800000000000002</v>
      </c>
      <c r="O584" s="3">
        <f t="shared" si="407"/>
        <v>5.5500000000000008E-2</v>
      </c>
      <c r="P584" s="3">
        <f t="shared" si="407"/>
        <v>8.2500000000000004E-2</v>
      </c>
      <c r="Q584" s="3">
        <f t="shared" si="425"/>
        <v>2.6999999999999996E-2</v>
      </c>
      <c r="R584" s="3">
        <f t="shared" si="426"/>
        <v>0.44900000000000007</v>
      </c>
      <c r="S584" s="3">
        <f t="shared" si="427"/>
        <v>0.20699999999999999</v>
      </c>
      <c r="T584" s="3">
        <f t="shared" si="428"/>
        <v>-0.24200000000000008</v>
      </c>
      <c r="U584" s="3">
        <f t="shared" si="429"/>
        <v>-5.5500000000000008E-2</v>
      </c>
      <c r="V584" s="3">
        <f t="shared" si="430"/>
        <v>-8.2500000000000004E-2</v>
      </c>
      <c r="W584" s="3">
        <f t="shared" si="464"/>
        <v>-2.6999999999999996E-2</v>
      </c>
      <c r="X584" s="3">
        <f t="shared" si="460"/>
        <v>3.430122494432072E-3</v>
      </c>
      <c r="Y584" s="3">
        <f t="shared" si="461"/>
        <v>1.644021739130435E-2</v>
      </c>
      <c r="Z584" s="3">
        <f t="shared" si="431"/>
        <v>1.3010094896872278E-2</v>
      </c>
      <c r="AA584" s="3">
        <v>4.1420000000000003</v>
      </c>
      <c r="AB584" s="3">
        <v>7.6050000000000004</v>
      </c>
      <c r="AC584" s="3">
        <f t="shared" si="432"/>
        <v>3.4630000000000001</v>
      </c>
      <c r="AD584" s="3">
        <f>-571.009093*627.50956</f>
        <v>-358313.66470442904</v>
      </c>
      <c r="AE584" s="3">
        <f>-574.37914*627.50956</f>
        <v>-360428.40141457837</v>
      </c>
      <c r="AF584" s="3">
        <f t="shared" si="433"/>
        <v>-2114.7367101493292</v>
      </c>
      <c r="AG584" s="3">
        <f>-571.061346*627.50956</f>
        <v>-358346.45396146772</v>
      </c>
      <c r="AH584" s="3">
        <f>-574.433407*627.50956</f>
        <v>-360462.45447587088</v>
      </c>
      <c r="AI584" s="3">
        <f t="shared" si="434"/>
        <v>-2116.0005144031602</v>
      </c>
      <c r="AJ584" s="3">
        <v>-0.72599999999999998</v>
      </c>
      <c r="AK584" s="3">
        <v>-0.621</v>
      </c>
      <c r="AL584" s="3">
        <f t="shared" si="435"/>
        <v>0.10499999999999998</v>
      </c>
      <c r="AM584" s="3">
        <v>159.15979999999999</v>
      </c>
      <c r="AN584" s="3">
        <v>229.22800000000001</v>
      </c>
      <c r="AO584" s="3">
        <v>238.14660000000001</v>
      </c>
      <c r="AP584" s="3">
        <f t="shared" si="444"/>
        <v>1.2339399503323578</v>
      </c>
      <c r="AQ584" s="3">
        <v>11.837</v>
      </c>
      <c r="AR584" s="3">
        <v>2.7254</v>
      </c>
      <c r="AS584" s="3">
        <v>-76.454999999999998</v>
      </c>
      <c r="AT584" s="3">
        <v>-76.055000000000007</v>
      </c>
      <c r="AU584" s="3">
        <f t="shared" si="466"/>
        <v>-0.39999999999999147</v>
      </c>
      <c r="AV584" s="3">
        <v>-0.30399999999999999</v>
      </c>
      <c r="AW584" s="3">
        <v>-0.505</v>
      </c>
      <c r="AX584" s="3">
        <f t="shared" si="467"/>
        <v>0.20100000000000001</v>
      </c>
      <c r="AY584" s="3">
        <v>0.04</v>
      </c>
      <c r="AZ584" s="3">
        <v>0.16400000000000001</v>
      </c>
      <c r="BA584" s="3">
        <f t="shared" si="468"/>
        <v>-0.124</v>
      </c>
      <c r="BB584" s="3">
        <f t="shared" si="457"/>
        <v>0.13200000000000001</v>
      </c>
      <c r="BC584" s="3">
        <f t="shared" si="457"/>
        <v>0.17049999999999998</v>
      </c>
      <c r="BD584" s="3">
        <f t="shared" si="469"/>
        <v>-3.8499999999999979E-2</v>
      </c>
      <c r="BE584" s="3">
        <f t="shared" si="458"/>
        <v>0.34399999999999997</v>
      </c>
      <c r="BF584" s="3">
        <f t="shared" si="458"/>
        <v>0.66900000000000004</v>
      </c>
      <c r="BG584" s="3">
        <f t="shared" si="470"/>
        <v>-0.32500000000000007</v>
      </c>
      <c r="BH584" s="3">
        <f t="shared" si="459"/>
        <v>-0.13200000000000001</v>
      </c>
      <c r="BI584" s="3">
        <f t="shared" si="459"/>
        <v>-0.17049999999999998</v>
      </c>
      <c r="BJ584" s="3">
        <f t="shared" si="465"/>
        <v>3.8499999999999979E-2</v>
      </c>
      <c r="BK584" s="3">
        <f t="shared" si="462"/>
        <v>2.5325581395348844E-2</v>
      </c>
      <c r="BL584" s="3">
        <f t="shared" si="463"/>
        <v>2.1726644245141997E-2</v>
      </c>
      <c r="BM584" s="3">
        <f t="shared" si="471"/>
        <v>3.5989371502068469E-3</v>
      </c>
      <c r="BN584" s="3">
        <v>2.3010000000000002</v>
      </c>
      <c r="BO584" s="3">
        <v>2.3559999999999999</v>
      </c>
      <c r="BP584" s="3">
        <f t="shared" si="472"/>
        <v>-5.4999999999999716E-2</v>
      </c>
      <c r="BQ584" s="3">
        <v>-47960.305999999997</v>
      </c>
      <c r="BR584" s="3">
        <v>-47708.290999999997</v>
      </c>
      <c r="BS584" s="3">
        <f t="shared" si="473"/>
        <v>-252.01499999999942</v>
      </c>
      <c r="BT584" s="3">
        <v>-47973.754999999997</v>
      </c>
      <c r="BU584" s="3">
        <v>-47721.697</v>
      </c>
      <c r="BV584" s="3">
        <f t="shared" si="474"/>
        <v>-252.05799999999726</v>
      </c>
    </row>
    <row r="585" spans="1:74" x14ac:dyDescent="0.25">
      <c r="A585" t="s">
        <v>659</v>
      </c>
      <c r="B585" s="1" t="s">
        <v>646</v>
      </c>
      <c r="C585" s="1" t="s">
        <v>200</v>
      </c>
      <c r="D585" s="3">
        <v>16.23</v>
      </c>
      <c r="E585" s="3">
        <v>0.6</v>
      </c>
      <c r="F585" s="3">
        <v>-607.51199999999994</v>
      </c>
      <c r="G585" s="3">
        <v>-609.59699999999998</v>
      </c>
      <c r="H585" s="3">
        <f t="shared" si="436"/>
        <v>-2.0850000000000364</v>
      </c>
      <c r="I585" s="3">
        <v>-0.30199999999999999</v>
      </c>
      <c r="J585" s="6">
        <v>-0.20499999999999999</v>
      </c>
      <c r="K585" s="3">
        <f t="shared" si="423"/>
        <v>9.7000000000000003E-2</v>
      </c>
      <c r="L585" s="3">
        <v>0.14499999999999999</v>
      </c>
      <c r="M585" s="6">
        <v>0.01</v>
      </c>
      <c r="N585" s="3">
        <f t="shared" si="424"/>
        <v>-0.13499999999999998</v>
      </c>
      <c r="O585" s="3">
        <f t="shared" si="407"/>
        <v>7.85E-2</v>
      </c>
      <c r="P585" s="3">
        <f t="shared" si="407"/>
        <v>9.7499999999999989E-2</v>
      </c>
      <c r="Q585" s="3">
        <f t="shared" si="425"/>
        <v>1.8999999999999989E-2</v>
      </c>
      <c r="R585" s="3">
        <f t="shared" si="426"/>
        <v>0.44699999999999995</v>
      </c>
      <c r="S585" s="3">
        <f t="shared" si="427"/>
        <v>0.215</v>
      </c>
      <c r="T585" s="3">
        <f t="shared" si="428"/>
        <v>-0.23199999999999996</v>
      </c>
      <c r="U585" s="3">
        <f t="shared" si="429"/>
        <v>-7.85E-2</v>
      </c>
      <c r="V585" s="3">
        <f t="shared" si="430"/>
        <v>-9.7499999999999989E-2</v>
      </c>
      <c r="W585" s="3">
        <f t="shared" si="464"/>
        <v>-1.8999999999999989E-2</v>
      </c>
      <c r="X585" s="3">
        <f t="shared" si="460"/>
        <v>6.8928970917225959E-3</v>
      </c>
      <c r="Y585" s="3">
        <f t="shared" si="461"/>
        <v>2.210755813953488E-2</v>
      </c>
      <c r="Z585" s="3">
        <f t="shared" si="431"/>
        <v>1.5214661047812283E-2</v>
      </c>
      <c r="AA585" s="3">
        <v>11.976000000000001</v>
      </c>
      <c r="AB585" s="3">
        <v>11.366</v>
      </c>
      <c r="AC585" s="3">
        <f t="shared" si="432"/>
        <v>-0.61000000000000121</v>
      </c>
      <c r="AD585" s="3">
        <f>-607.396498*627.50956</f>
        <v>-381147.10920552083</v>
      </c>
      <c r="AE585" s="3">
        <f>-609.487028*627.50956</f>
        <v>-382458.93676598766</v>
      </c>
      <c r="AF585" s="3">
        <f t="shared" si="433"/>
        <v>-1311.8275604668306</v>
      </c>
      <c r="AG585" s="3">
        <f>-607.435392*627.50956</f>
        <v>-381171.51556234749</v>
      </c>
      <c r="AH585" s="3">
        <f>-609.530284*627.50956</f>
        <v>-382486.08031951502</v>
      </c>
      <c r="AI585" s="3">
        <f t="shared" si="434"/>
        <v>-1314.5647571675363</v>
      </c>
      <c r="AJ585" s="3">
        <v>-0.89</v>
      </c>
      <c r="AK585" s="3">
        <v>-0.81299999999999994</v>
      </c>
      <c r="AL585" s="3">
        <f t="shared" si="435"/>
        <v>7.7000000000000068E-2</v>
      </c>
      <c r="AM585" s="3">
        <v>101.17</v>
      </c>
      <c r="AN585" s="3">
        <v>162.94990000000001</v>
      </c>
      <c r="AO585" s="3">
        <v>162.40379999999999</v>
      </c>
      <c r="AP585" s="3">
        <f t="shared" si="444"/>
        <v>1.1321724711256174</v>
      </c>
      <c r="AQ585" s="3">
        <v>8.6120000000000001</v>
      </c>
      <c r="AR585" s="3">
        <v>1.926715</v>
      </c>
      <c r="AS585" s="3">
        <v>-553.27200000000005</v>
      </c>
      <c r="AT585" s="3">
        <v>-551.61699999999996</v>
      </c>
      <c r="AU585" s="3">
        <f t="shared" si="466"/>
        <v>-1.6550000000000864</v>
      </c>
      <c r="AV585" s="3">
        <v>-0.23699999999999999</v>
      </c>
      <c r="AW585" s="3">
        <v>-0.36899999999999999</v>
      </c>
      <c r="AX585" s="3">
        <f t="shared" si="467"/>
        <v>0.13200000000000001</v>
      </c>
      <c r="AY585" s="3">
        <v>2.8000000000000001E-2</v>
      </c>
      <c r="AZ585" s="3">
        <v>0.154</v>
      </c>
      <c r="BA585" s="3">
        <f t="shared" si="468"/>
        <v>-0.126</v>
      </c>
      <c r="BB585" s="3">
        <f t="shared" ref="BB585:BC597" si="475">-(AV585+AY585)/2</f>
        <v>0.1045</v>
      </c>
      <c r="BC585" s="3">
        <f t="shared" si="475"/>
        <v>0.1075</v>
      </c>
      <c r="BD585" s="3">
        <f t="shared" si="469"/>
        <v>-3.0000000000000027E-3</v>
      </c>
      <c r="BE585" s="3">
        <f t="shared" ref="BE585:BF597" si="476">AY585-AV585</f>
        <v>0.26500000000000001</v>
      </c>
      <c r="BF585" s="3">
        <f t="shared" si="476"/>
        <v>0.52300000000000002</v>
      </c>
      <c r="BG585" s="3">
        <f t="shared" si="470"/>
        <v>-0.25800000000000001</v>
      </c>
      <c r="BH585" s="3">
        <f t="shared" ref="BH585:BI597" si="477">(AV585+AY585)/2</f>
        <v>-0.1045</v>
      </c>
      <c r="BI585" s="3">
        <f t="shared" si="477"/>
        <v>-0.1075</v>
      </c>
      <c r="BJ585" s="3">
        <f t="shared" si="465"/>
        <v>3.0000000000000027E-3</v>
      </c>
      <c r="BK585" s="3">
        <f t="shared" si="462"/>
        <v>2.0604245283018865E-2</v>
      </c>
      <c r="BL585" s="3">
        <f t="shared" si="463"/>
        <v>1.104804015296367E-2</v>
      </c>
      <c r="BM585" s="3">
        <f t="shared" si="471"/>
        <v>9.5562051300551957E-3</v>
      </c>
      <c r="BN585" s="3">
        <v>5.4870000000000001</v>
      </c>
      <c r="BO585" s="3">
        <v>6.0839999999999996</v>
      </c>
      <c r="BP585" s="3">
        <f t="shared" si="472"/>
        <v>-0.59699999999999953</v>
      </c>
      <c r="BQ585" s="3">
        <v>-347129.96399999998</v>
      </c>
      <c r="BR585" s="3">
        <v>-346087.64600000001</v>
      </c>
      <c r="BS585" s="3">
        <f t="shared" si="473"/>
        <v>-1042.3179999999702</v>
      </c>
      <c r="BT585" s="3">
        <v>-347152.04599999997</v>
      </c>
      <c r="BU585" s="3">
        <v>-346109.22600000002</v>
      </c>
      <c r="BV585" s="3">
        <f t="shared" si="474"/>
        <v>-1042.8199999999488</v>
      </c>
    </row>
    <row r="586" spans="1:74" x14ac:dyDescent="0.25">
      <c r="A586" t="s">
        <v>660</v>
      </c>
      <c r="B586" s="1" t="s">
        <v>646</v>
      </c>
      <c r="C586" s="1" t="s">
        <v>99</v>
      </c>
      <c r="D586" s="3">
        <v>16.27</v>
      </c>
      <c r="E586" s="3">
        <v>0.7</v>
      </c>
      <c r="F586" s="3">
        <v>-92.429000000000002</v>
      </c>
      <c r="G586" s="3">
        <v>-92.974999999999994</v>
      </c>
      <c r="H586" s="3">
        <f t="shared" si="436"/>
        <v>-0.54599999999999227</v>
      </c>
      <c r="I586" s="3">
        <v>-0.38600000000000001</v>
      </c>
      <c r="J586" s="6">
        <v>-0.224</v>
      </c>
      <c r="K586" s="3">
        <f t="shared" si="423"/>
        <v>0.16200000000000001</v>
      </c>
      <c r="L586" s="3">
        <v>0.28100000000000003</v>
      </c>
      <c r="M586" s="6">
        <v>0.115</v>
      </c>
      <c r="N586" s="3">
        <f t="shared" si="424"/>
        <v>-0.16600000000000004</v>
      </c>
      <c r="O586" s="3">
        <f t="shared" si="407"/>
        <v>5.2499999999999991E-2</v>
      </c>
      <c r="P586" s="3">
        <f t="shared" si="407"/>
        <v>5.45E-2</v>
      </c>
      <c r="Q586" s="3">
        <f t="shared" si="425"/>
        <v>2.0000000000000087E-3</v>
      </c>
      <c r="R586" s="3">
        <f t="shared" si="426"/>
        <v>0.66700000000000004</v>
      </c>
      <c r="S586" s="3">
        <f t="shared" si="427"/>
        <v>0.33900000000000002</v>
      </c>
      <c r="T586" s="3">
        <f t="shared" si="428"/>
        <v>-0.32800000000000001</v>
      </c>
      <c r="U586" s="3">
        <f t="shared" si="429"/>
        <v>-5.2499999999999991E-2</v>
      </c>
      <c r="V586" s="3">
        <f t="shared" si="430"/>
        <v>-5.45E-2</v>
      </c>
      <c r="W586" s="3">
        <f t="shared" si="464"/>
        <v>-2.0000000000000087E-3</v>
      </c>
      <c r="X586" s="3">
        <f t="shared" si="460"/>
        <v>2.0661544227886051E-3</v>
      </c>
      <c r="Y586" s="3">
        <f t="shared" si="461"/>
        <v>4.3808997050147486E-3</v>
      </c>
      <c r="Z586" s="3">
        <f t="shared" si="431"/>
        <v>2.3147452822261435E-3</v>
      </c>
      <c r="AA586" s="3">
        <v>0.41099999999999998</v>
      </c>
      <c r="AB586" s="3">
        <v>0.63</v>
      </c>
      <c r="AC586" s="3">
        <f t="shared" si="432"/>
        <v>0.21900000000000003</v>
      </c>
      <c r="AD586" s="3">
        <f>-92.419942*627.50956</f>
        <v>-57994.397139645524</v>
      </c>
      <c r="AE586" s="3">
        <f>-92.966878*627.50956</f>
        <v>-58337.604708353676</v>
      </c>
      <c r="AF586" s="3">
        <f t="shared" si="433"/>
        <v>-343.20756870815239</v>
      </c>
      <c r="AG586" s="3">
        <f>-92.442247*627.50956</f>
        <v>-58008.393740381311</v>
      </c>
      <c r="AH586" s="3">
        <f>-92.989214*627.50956</f>
        <v>-58351.620761885839</v>
      </c>
      <c r="AI586" s="3">
        <f t="shared" si="434"/>
        <v>-343.22702150452824</v>
      </c>
      <c r="AJ586" s="3">
        <v>-0.2</v>
      </c>
      <c r="AK586" s="3">
        <v>-0.26300000000000001</v>
      </c>
      <c r="AL586" s="3">
        <f t="shared" si="435"/>
        <v>-6.3E-2</v>
      </c>
      <c r="AM586" s="3">
        <v>26.017399999999999</v>
      </c>
      <c r="AN586" s="3">
        <v>58.798099999999998</v>
      </c>
      <c r="AO586" s="3">
        <v>41.678600000000003</v>
      </c>
      <c r="AP586" s="3">
        <f t="shared" si="444"/>
        <v>1.0116038991508043</v>
      </c>
      <c r="AQ586" s="3">
        <v>4.4210000000000003</v>
      </c>
      <c r="AR586" s="3">
        <v>0.58366700000000005</v>
      </c>
      <c r="AS586" s="3">
        <v>-132.80099999999999</v>
      </c>
      <c r="AT586" s="3">
        <v>-131.97</v>
      </c>
      <c r="AU586" s="3">
        <f t="shared" si="466"/>
        <v>-0.83099999999998886</v>
      </c>
      <c r="AV586" s="3">
        <v>-0.34100000000000003</v>
      </c>
      <c r="AW586" s="3">
        <v>-0.47499999999999998</v>
      </c>
      <c r="AX586" s="3">
        <f t="shared" si="467"/>
        <v>0.13399999999999995</v>
      </c>
      <c r="AY586" s="3">
        <v>2.9000000000000001E-2</v>
      </c>
      <c r="AZ586" s="3">
        <v>0.156</v>
      </c>
      <c r="BA586" s="3">
        <f t="shared" si="468"/>
        <v>-0.127</v>
      </c>
      <c r="BB586" s="3">
        <f t="shared" si="475"/>
        <v>0.156</v>
      </c>
      <c r="BC586" s="3">
        <f t="shared" si="475"/>
        <v>0.15949999999999998</v>
      </c>
      <c r="BD586" s="3">
        <f t="shared" si="469"/>
        <v>-3.4999999999999754E-3</v>
      </c>
      <c r="BE586" s="3">
        <f t="shared" si="476"/>
        <v>0.37000000000000005</v>
      </c>
      <c r="BF586" s="3">
        <f t="shared" si="476"/>
        <v>0.63100000000000001</v>
      </c>
      <c r="BG586" s="3">
        <f t="shared" si="470"/>
        <v>-0.26099999999999995</v>
      </c>
      <c r="BH586" s="3">
        <f t="shared" si="477"/>
        <v>-0.156</v>
      </c>
      <c r="BI586" s="3">
        <f t="shared" si="477"/>
        <v>-0.15949999999999998</v>
      </c>
      <c r="BJ586" s="3">
        <f t="shared" si="465"/>
        <v>3.4999999999999754E-3</v>
      </c>
      <c r="BK586" s="3">
        <f t="shared" si="462"/>
        <v>3.2886486486486483E-2</v>
      </c>
      <c r="BL586" s="3">
        <f t="shared" si="463"/>
        <v>2.0158676703645E-2</v>
      </c>
      <c r="BM586" s="3">
        <f t="shared" si="471"/>
        <v>1.2727809782841482E-2</v>
      </c>
      <c r="BN586" s="3">
        <v>4.7279999999999998</v>
      </c>
      <c r="BO586" s="3">
        <v>4.9340000000000002</v>
      </c>
      <c r="BP586" s="3">
        <f t="shared" si="472"/>
        <v>-0.20600000000000041</v>
      </c>
      <c r="BQ586" s="3">
        <v>-83302.89</v>
      </c>
      <c r="BR586" s="3">
        <v>-82779.224000000002</v>
      </c>
      <c r="BS586" s="3">
        <f t="shared" si="473"/>
        <v>-523.66599999999744</v>
      </c>
      <c r="BT586" s="3">
        <v>-83320.774999999994</v>
      </c>
      <c r="BU586" s="3">
        <v>-82796.997000000003</v>
      </c>
      <c r="BV586" s="3">
        <f t="shared" si="474"/>
        <v>-523.77799999999115</v>
      </c>
    </row>
    <row r="587" spans="1:74" x14ac:dyDescent="0.25">
      <c r="A587" t="s">
        <v>661</v>
      </c>
      <c r="B587" s="1" t="s">
        <v>646</v>
      </c>
      <c r="C587" s="1" t="s">
        <v>200</v>
      </c>
      <c r="D587" s="3">
        <v>16.27</v>
      </c>
      <c r="E587" s="3">
        <v>0.77</v>
      </c>
      <c r="F587" s="3">
        <v>-459.30399999999997</v>
      </c>
      <c r="G587" s="3">
        <v>-462.18900000000002</v>
      </c>
      <c r="H587" s="3">
        <f t="shared" si="436"/>
        <v>-2.8850000000000477</v>
      </c>
      <c r="I587" s="3">
        <v>-0.27600000000000002</v>
      </c>
      <c r="J587" s="6">
        <v>-0.18</v>
      </c>
      <c r="K587" s="3">
        <f t="shared" si="423"/>
        <v>9.600000000000003E-2</v>
      </c>
      <c r="L587" s="3">
        <v>0.16</v>
      </c>
      <c r="M587" s="6">
        <v>1.2999999999999999E-2</v>
      </c>
      <c r="N587" s="3">
        <f t="shared" si="424"/>
        <v>-0.14699999999999999</v>
      </c>
      <c r="O587" s="3">
        <f t="shared" si="407"/>
        <v>5.800000000000001E-2</v>
      </c>
      <c r="P587" s="3">
        <f t="shared" si="407"/>
        <v>8.3499999999999991E-2</v>
      </c>
      <c r="Q587" s="3">
        <f t="shared" si="425"/>
        <v>2.5499999999999981E-2</v>
      </c>
      <c r="R587" s="3">
        <f t="shared" si="426"/>
        <v>0.43600000000000005</v>
      </c>
      <c r="S587" s="3">
        <f t="shared" si="427"/>
        <v>0.193</v>
      </c>
      <c r="T587" s="3">
        <f t="shared" si="428"/>
        <v>-0.24300000000000005</v>
      </c>
      <c r="U587" s="3">
        <f t="shared" si="429"/>
        <v>-5.800000000000001E-2</v>
      </c>
      <c r="V587" s="3">
        <f t="shared" si="430"/>
        <v>-8.3499999999999991E-2</v>
      </c>
      <c r="W587" s="3">
        <f t="shared" si="464"/>
        <v>-2.5499999999999981E-2</v>
      </c>
      <c r="X587" s="3">
        <f t="shared" si="460"/>
        <v>3.8577981651376153E-3</v>
      </c>
      <c r="Y587" s="3">
        <f t="shared" si="461"/>
        <v>1.8062823834196887E-2</v>
      </c>
      <c r="Z587" s="3">
        <f t="shared" si="431"/>
        <v>1.4205025669059273E-2</v>
      </c>
      <c r="AA587" s="3">
        <v>10.222</v>
      </c>
      <c r="AB587" s="3">
        <v>9.2270000000000003</v>
      </c>
      <c r="AC587" s="3">
        <f t="shared" si="432"/>
        <v>-0.99499999999999922</v>
      </c>
      <c r="AD587" s="3">
        <f>-459.108579*627.50956</f>
        <v>-288095.02240051521</v>
      </c>
      <c r="AE587" s="3">
        <f>-462.005443*627.50956</f>
        <v>-289912.83225453505</v>
      </c>
      <c r="AF587" s="3">
        <f t="shared" si="433"/>
        <v>-1817.8098540198407</v>
      </c>
      <c r="AG587" s="3">
        <f>-459.152195*627.50956</f>
        <v>-288122.39185748418</v>
      </c>
      <c r="AH587" s="3">
        <f>-462.049977*627.50956</f>
        <v>-289940.7777652801</v>
      </c>
      <c r="AI587" s="3">
        <f t="shared" si="434"/>
        <v>-1818.3859077959205</v>
      </c>
      <c r="AJ587" s="3">
        <v>-0.65300000000000002</v>
      </c>
      <c r="AK587" s="3">
        <v>-0.54300000000000004</v>
      </c>
      <c r="AL587" s="3">
        <f t="shared" si="435"/>
        <v>0.10999999999999999</v>
      </c>
      <c r="AM587" s="3">
        <v>139.17169999999999</v>
      </c>
      <c r="AN587" s="3">
        <v>192.6018</v>
      </c>
      <c r="AO587" s="3">
        <v>216.27</v>
      </c>
      <c r="AP587" s="3">
        <f t="shared" si="444"/>
        <v>1.1055679456951495</v>
      </c>
      <c r="AQ587" s="3">
        <v>8.4480000000000004</v>
      </c>
      <c r="AR587" s="3">
        <v>2.1535000000000002</v>
      </c>
      <c r="AS587" s="3">
        <v>-553.27200000000005</v>
      </c>
      <c r="AT587" s="3">
        <v>-551.61699999999996</v>
      </c>
      <c r="AU587" s="3">
        <f t="shared" si="466"/>
        <v>-1.6550000000000864</v>
      </c>
      <c r="AV587" s="3">
        <v>-0.23699999999999999</v>
      </c>
      <c r="AW587" s="3">
        <v>-0.36899999999999999</v>
      </c>
      <c r="AX587" s="3">
        <f t="shared" si="467"/>
        <v>0.13200000000000001</v>
      </c>
      <c r="AY587" s="3">
        <v>2.8000000000000001E-2</v>
      </c>
      <c r="AZ587" s="3">
        <v>0.154</v>
      </c>
      <c r="BA587" s="3">
        <f t="shared" si="468"/>
        <v>-0.126</v>
      </c>
      <c r="BB587" s="3">
        <f t="shared" si="475"/>
        <v>0.1045</v>
      </c>
      <c r="BC587" s="3">
        <f t="shared" si="475"/>
        <v>0.1075</v>
      </c>
      <c r="BD587" s="3">
        <f t="shared" si="469"/>
        <v>-3.0000000000000027E-3</v>
      </c>
      <c r="BE587" s="3">
        <f t="shared" si="476"/>
        <v>0.26500000000000001</v>
      </c>
      <c r="BF587" s="3">
        <f t="shared" si="476"/>
        <v>0.52300000000000002</v>
      </c>
      <c r="BG587" s="3">
        <f t="shared" si="470"/>
        <v>-0.25800000000000001</v>
      </c>
      <c r="BH587" s="3">
        <f t="shared" si="477"/>
        <v>-0.1045</v>
      </c>
      <c r="BI587" s="3">
        <f t="shared" si="477"/>
        <v>-0.1075</v>
      </c>
      <c r="BJ587" s="3">
        <f t="shared" si="465"/>
        <v>3.0000000000000027E-3</v>
      </c>
      <c r="BK587" s="3">
        <f t="shared" si="462"/>
        <v>2.0604245283018865E-2</v>
      </c>
      <c r="BL587" s="3">
        <f t="shared" si="463"/>
        <v>1.104804015296367E-2</v>
      </c>
      <c r="BM587" s="3">
        <f t="shared" si="471"/>
        <v>9.5562051300551957E-3</v>
      </c>
      <c r="BN587" s="3">
        <v>5.4870000000000001</v>
      </c>
      <c r="BO587" s="3">
        <v>6.0839999999999996</v>
      </c>
      <c r="BP587" s="3">
        <f t="shared" si="472"/>
        <v>-0.59699999999999953</v>
      </c>
      <c r="BQ587" s="3">
        <v>-347129.96399999998</v>
      </c>
      <c r="BR587" s="3">
        <v>-346087.64600000001</v>
      </c>
      <c r="BS587" s="3">
        <f t="shared" si="473"/>
        <v>-1042.3179999999702</v>
      </c>
      <c r="BT587" s="3">
        <v>-347152.04599999997</v>
      </c>
      <c r="BU587" s="3">
        <v>-346109.22600000002</v>
      </c>
      <c r="BV587" s="3">
        <f t="shared" si="474"/>
        <v>-1042.8199999999488</v>
      </c>
    </row>
    <row r="588" spans="1:74" x14ac:dyDescent="0.25">
      <c r="A588" t="s">
        <v>662</v>
      </c>
      <c r="B588" s="1" t="s">
        <v>646</v>
      </c>
      <c r="C588" s="1" t="s">
        <v>200</v>
      </c>
      <c r="D588" s="3">
        <v>16.28</v>
      </c>
      <c r="E588" s="3">
        <v>0.75</v>
      </c>
      <c r="F588" s="3">
        <v>-1243.9780000000001</v>
      </c>
      <c r="G588" s="3">
        <v>-1249.1890000000001</v>
      </c>
      <c r="H588" s="3">
        <f t="shared" si="436"/>
        <v>-5.2110000000000127</v>
      </c>
      <c r="I588" s="3">
        <v>-0.26600000000000001</v>
      </c>
      <c r="J588" s="6">
        <v>-0.189</v>
      </c>
      <c r="K588" s="3">
        <f t="shared" si="423"/>
        <v>7.7000000000000013E-2</v>
      </c>
      <c r="L588" s="3">
        <v>9.9000000000000005E-2</v>
      </c>
      <c r="M588" s="6">
        <v>-3.9E-2</v>
      </c>
      <c r="N588" s="3">
        <f t="shared" si="424"/>
        <v>-0.13800000000000001</v>
      </c>
      <c r="O588" s="3">
        <f t="shared" si="407"/>
        <v>8.3500000000000005E-2</v>
      </c>
      <c r="P588" s="3">
        <f t="shared" si="407"/>
        <v>0.114</v>
      </c>
      <c r="Q588" s="3">
        <f t="shared" si="425"/>
        <v>3.0499999999999999E-2</v>
      </c>
      <c r="R588" s="3">
        <f t="shared" si="426"/>
        <v>0.36499999999999999</v>
      </c>
      <c r="S588" s="3">
        <f t="shared" si="427"/>
        <v>0.15</v>
      </c>
      <c r="T588" s="3">
        <f t="shared" si="428"/>
        <v>-0.215</v>
      </c>
      <c r="U588" s="3">
        <f t="shared" si="429"/>
        <v>-8.3500000000000005E-2</v>
      </c>
      <c r="V588" s="3">
        <f t="shared" si="430"/>
        <v>-0.114</v>
      </c>
      <c r="W588" s="3">
        <f t="shared" si="464"/>
        <v>-3.0499999999999999E-2</v>
      </c>
      <c r="X588" s="3">
        <f t="shared" si="460"/>
        <v>9.5510273972602752E-3</v>
      </c>
      <c r="Y588" s="3">
        <f t="shared" si="461"/>
        <v>4.3320000000000004E-2</v>
      </c>
      <c r="Z588" s="3">
        <f t="shared" si="431"/>
        <v>3.3768972602739727E-2</v>
      </c>
      <c r="AA588" s="3">
        <v>4.2169999999999996</v>
      </c>
      <c r="AB588" s="3">
        <v>4.0469999999999997</v>
      </c>
      <c r="AC588" s="3">
        <f t="shared" si="432"/>
        <v>-0.16999999999999993</v>
      </c>
      <c r="AD588" s="3">
        <f>-1243.825105*627.50956</f>
        <v>-780512.14435550373</v>
      </c>
      <c r="AE588" s="3">
        <f>-1249.045502*627.50956</f>
        <v>-783787.99337999907</v>
      </c>
      <c r="AF588" s="3">
        <f t="shared" si="433"/>
        <v>-3275.8490244953427</v>
      </c>
      <c r="AG588" s="3">
        <f>-1243.88093*627.50956</f>
        <v>-780547.17507669074</v>
      </c>
      <c r="AH588" s="3">
        <f>-1249.103743*627.50956</f>
        <v>-783824.54016428301</v>
      </c>
      <c r="AI588" s="3">
        <f t="shared" si="434"/>
        <v>-3277.3650875922758</v>
      </c>
      <c r="AJ588" s="3">
        <v>-0.86699999999999999</v>
      </c>
      <c r="AK588" s="3">
        <v>-0.74299999999999999</v>
      </c>
      <c r="AL588" s="3">
        <f t="shared" si="435"/>
        <v>0.124</v>
      </c>
      <c r="AM588" s="3">
        <v>248.20169999999999</v>
      </c>
      <c r="AN588" s="3">
        <v>243.49260000000001</v>
      </c>
      <c r="AO588" s="3">
        <v>264.75569999999999</v>
      </c>
      <c r="AP588" s="3">
        <f t="shared" si="444"/>
        <v>1.2213632217426036</v>
      </c>
      <c r="AQ588" s="3">
        <v>12.654</v>
      </c>
      <c r="AR588" s="3">
        <v>3.16669</v>
      </c>
      <c r="AS588" s="3">
        <v>-553.27200000000005</v>
      </c>
      <c r="AT588" s="3">
        <v>-551.61699999999996</v>
      </c>
      <c r="AU588" s="3">
        <f t="shared" si="466"/>
        <v>-1.6550000000000864</v>
      </c>
      <c r="AV588" s="3">
        <v>-0.23699999999999999</v>
      </c>
      <c r="AW588" s="3">
        <v>-0.36899999999999999</v>
      </c>
      <c r="AX588" s="3">
        <f t="shared" si="467"/>
        <v>0.13200000000000001</v>
      </c>
      <c r="AY588" s="3">
        <v>2.8000000000000001E-2</v>
      </c>
      <c r="AZ588" s="3">
        <v>0.154</v>
      </c>
      <c r="BA588" s="3">
        <f t="shared" si="468"/>
        <v>-0.126</v>
      </c>
      <c r="BB588" s="3">
        <f t="shared" si="475"/>
        <v>0.1045</v>
      </c>
      <c r="BC588" s="3">
        <f t="shared" si="475"/>
        <v>0.1075</v>
      </c>
      <c r="BD588" s="3">
        <f t="shared" si="469"/>
        <v>-3.0000000000000027E-3</v>
      </c>
      <c r="BE588" s="3">
        <f t="shared" si="476"/>
        <v>0.26500000000000001</v>
      </c>
      <c r="BF588" s="3">
        <f t="shared" si="476"/>
        <v>0.52300000000000002</v>
      </c>
      <c r="BG588" s="3">
        <f t="shared" si="470"/>
        <v>-0.25800000000000001</v>
      </c>
      <c r="BH588" s="3">
        <f t="shared" si="477"/>
        <v>-0.1045</v>
      </c>
      <c r="BI588" s="3">
        <f t="shared" si="477"/>
        <v>-0.1075</v>
      </c>
      <c r="BJ588" s="3">
        <f t="shared" si="465"/>
        <v>3.0000000000000027E-3</v>
      </c>
      <c r="BK588" s="3">
        <f t="shared" si="462"/>
        <v>2.0604245283018865E-2</v>
      </c>
      <c r="BL588" s="3">
        <f t="shared" si="463"/>
        <v>1.104804015296367E-2</v>
      </c>
      <c r="BM588" s="3">
        <f t="shared" si="471"/>
        <v>9.5562051300551957E-3</v>
      </c>
      <c r="BN588" s="3">
        <v>5.4870000000000001</v>
      </c>
      <c r="BO588" s="3">
        <v>6.0839999999999996</v>
      </c>
      <c r="BP588" s="3">
        <f t="shared" si="472"/>
        <v>-0.59699999999999953</v>
      </c>
      <c r="BQ588" s="3">
        <v>-347129.96399999998</v>
      </c>
      <c r="BR588" s="3">
        <v>-346087.64600000001</v>
      </c>
      <c r="BS588" s="3">
        <f t="shared" si="473"/>
        <v>-1042.3179999999702</v>
      </c>
      <c r="BT588" s="3">
        <v>-347152.04599999997</v>
      </c>
      <c r="BU588" s="3">
        <v>-346109.22600000002</v>
      </c>
      <c r="BV588" s="3">
        <f t="shared" si="474"/>
        <v>-1042.8199999999488</v>
      </c>
    </row>
    <row r="589" spans="1:74" x14ac:dyDescent="0.25">
      <c r="A589" t="s">
        <v>663</v>
      </c>
      <c r="B589" s="1" t="s">
        <v>646</v>
      </c>
      <c r="C589" s="1" t="s">
        <v>200</v>
      </c>
      <c r="D589" s="3">
        <v>16.29</v>
      </c>
      <c r="E589" s="3">
        <v>0.75</v>
      </c>
      <c r="F589" s="3">
        <v>-676.37099999999998</v>
      </c>
      <c r="G589" s="3">
        <v>-680.28599999999994</v>
      </c>
      <c r="H589" s="3">
        <f t="shared" si="436"/>
        <v>-3.9149999999999636</v>
      </c>
      <c r="I589" s="3">
        <v>-0.26500000000000001</v>
      </c>
      <c r="J589" s="6">
        <v>-0.187</v>
      </c>
      <c r="K589" s="3">
        <f t="shared" si="423"/>
        <v>7.8000000000000014E-2</v>
      </c>
      <c r="L589" s="3">
        <v>5.3999999999999999E-2</v>
      </c>
      <c r="M589" s="6">
        <v>-8.5000000000000006E-2</v>
      </c>
      <c r="N589" s="3">
        <f t="shared" si="424"/>
        <v>-0.13900000000000001</v>
      </c>
      <c r="O589" s="3">
        <f t="shared" ref="O589:P652" si="478">-(I589+L589)/2</f>
        <v>0.10550000000000001</v>
      </c>
      <c r="P589" s="3">
        <f t="shared" si="478"/>
        <v>0.13600000000000001</v>
      </c>
      <c r="Q589" s="3">
        <f t="shared" si="425"/>
        <v>3.0499999999999999E-2</v>
      </c>
      <c r="R589" s="3">
        <f t="shared" si="426"/>
        <v>0.31900000000000001</v>
      </c>
      <c r="S589" s="3">
        <f t="shared" si="427"/>
        <v>0.10199999999999999</v>
      </c>
      <c r="T589" s="3">
        <f t="shared" si="428"/>
        <v>-0.21700000000000003</v>
      </c>
      <c r="U589" s="3">
        <f t="shared" si="429"/>
        <v>-0.10550000000000001</v>
      </c>
      <c r="V589" s="3">
        <f t="shared" si="430"/>
        <v>-0.13600000000000001</v>
      </c>
      <c r="W589" s="3">
        <f t="shared" si="464"/>
        <v>-3.0499999999999999E-2</v>
      </c>
      <c r="X589" s="3">
        <f t="shared" si="460"/>
        <v>1.7445532915360506E-2</v>
      </c>
      <c r="Y589" s="3">
        <f t="shared" si="461"/>
        <v>9.0666666666666687E-2</v>
      </c>
      <c r="Z589" s="3">
        <f t="shared" si="431"/>
        <v>7.3221133751306178E-2</v>
      </c>
      <c r="AA589" s="3">
        <v>8.8810000000000002</v>
      </c>
      <c r="AB589" s="3">
        <v>5.28</v>
      </c>
      <c r="AC589" s="3">
        <f t="shared" si="432"/>
        <v>-3.601</v>
      </c>
      <c r="AD589" s="3">
        <f>-676.23039*627.50956</f>
        <v>-424341.03448752844</v>
      </c>
      <c r="AE589" s="3">
        <f>-680.154688*627.50956</f>
        <v>-426803.56899881724</v>
      </c>
      <c r="AF589" s="3">
        <f t="shared" si="433"/>
        <v>-2462.5345112888026</v>
      </c>
      <c r="AG589" s="3">
        <f>-676.27802*627.50956</f>
        <v>-424370.92276787118</v>
      </c>
      <c r="AH589" s="3">
        <f>-680.203355*627.50956</f>
        <v>-426834.10800657375</v>
      </c>
      <c r="AI589" s="3">
        <f t="shared" si="434"/>
        <v>-2463.185238702572</v>
      </c>
      <c r="AJ589" s="3">
        <v>-0.22500000000000001</v>
      </c>
      <c r="AK589" s="3">
        <v>-0.159</v>
      </c>
      <c r="AL589" s="3">
        <f t="shared" si="435"/>
        <v>6.6000000000000003E-2</v>
      </c>
      <c r="AM589" s="3">
        <v>181.12559999999999</v>
      </c>
      <c r="AN589" s="3">
        <v>202.02529999999999</v>
      </c>
      <c r="AO589" s="3">
        <v>213.18770000000001</v>
      </c>
      <c r="AP589" s="3">
        <f t="shared" si="444"/>
        <v>1.1708114148587989</v>
      </c>
      <c r="AQ589" s="3">
        <v>11.62</v>
      </c>
      <c r="AR589" s="3">
        <v>2.99586</v>
      </c>
      <c r="AS589" s="3">
        <v>-553.27200000000005</v>
      </c>
      <c r="AT589" s="3">
        <v>-551.61699999999996</v>
      </c>
      <c r="AU589" s="3">
        <f t="shared" si="466"/>
        <v>-1.6550000000000864</v>
      </c>
      <c r="AV589" s="3">
        <v>-0.23699999999999999</v>
      </c>
      <c r="AW589" s="3">
        <v>-0.36899999999999999</v>
      </c>
      <c r="AX589" s="3">
        <f t="shared" si="467"/>
        <v>0.13200000000000001</v>
      </c>
      <c r="AY589" s="3">
        <v>2.8000000000000001E-2</v>
      </c>
      <c r="AZ589" s="3">
        <v>0.154</v>
      </c>
      <c r="BA589" s="3">
        <f t="shared" si="468"/>
        <v>-0.126</v>
      </c>
      <c r="BB589" s="3">
        <f t="shared" si="475"/>
        <v>0.1045</v>
      </c>
      <c r="BC589" s="3">
        <f t="shared" si="475"/>
        <v>0.1075</v>
      </c>
      <c r="BD589" s="3">
        <f t="shared" si="469"/>
        <v>-3.0000000000000027E-3</v>
      </c>
      <c r="BE589" s="3">
        <f t="shared" si="476"/>
        <v>0.26500000000000001</v>
      </c>
      <c r="BF589" s="3">
        <f t="shared" si="476"/>
        <v>0.52300000000000002</v>
      </c>
      <c r="BG589" s="3">
        <f t="shared" si="470"/>
        <v>-0.25800000000000001</v>
      </c>
      <c r="BH589" s="3">
        <f t="shared" si="477"/>
        <v>-0.1045</v>
      </c>
      <c r="BI589" s="3">
        <f t="shared" si="477"/>
        <v>-0.1075</v>
      </c>
      <c r="BJ589" s="3">
        <f t="shared" si="465"/>
        <v>3.0000000000000027E-3</v>
      </c>
      <c r="BK589" s="3">
        <f t="shared" si="462"/>
        <v>2.0604245283018865E-2</v>
      </c>
      <c r="BL589" s="3">
        <f t="shared" si="463"/>
        <v>1.104804015296367E-2</v>
      </c>
      <c r="BM589" s="3">
        <f t="shared" si="471"/>
        <v>9.5562051300551957E-3</v>
      </c>
      <c r="BN589" s="3">
        <v>5.4870000000000001</v>
      </c>
      <c r="BO589" s="3">
        <v>6.0839999999999996</v>
      </c>
      <c r="BP589" s="3">
        <f t="shared" si="472"/>
        <v>-0.59699999999999953</v>
      </c>
      <c r="BQ589" s="3">
        <v>-347129.96399999998</v>
      </c>
      <c r="BR589" s="3">
        <v>-346087.64600000001</v>
      </c>
      <c r="BS589" s="3">
        <f t="shared" si="473"/>
        <v>-1042.3179999999702</v>
      </c>
      <c r="BT589" s="3">
        <v>-347152.04599999997</v>
      </c>
      <c r="BU589" s="3">
        <v>-346109.22600000002</v>
      </c>
      <c r="BV589" s="3">
        <f t="shared" si="474"/>
        <v>-1042.8199999999488</v>
      </c>
    </row>
    <row r="590" spans="1:74" x14ac:dyDescent="0.25">
      <c r="A590" t="s">
        <v>664</v>
      </c>
      <c r="B590" s="1" t="s">
        <v>646</v>
      </c>
      <c r="C590" s="1" t="s">
        <v>99</v>
      </c>
      <c r="D590" s="3">
        <v>16.420000000000002</v>
      </c>
      <c r="E590" s="3">
        <v>0.7</v>
      </c>
      <c r="F590" s="3">
        <v>-443.11500000000001</v>
      </c>
      <c r="G590" s="3">
        <v>-446.15699999999998</v>
      </c>
      <c r="H590" s="3">
        <f t="shared" si="436"/>
        <v>-3.0419999999999732</v>
      </c>
      <c r="I590" s="3">
        <v>-0.28999999999999998</v>
      </c>
      <c r="J590" s="6">
        <v>-0.17899999999999999</v>
      </c>
      <c r="K590" s="3">
        <f t="shared" si="423"/>
        <v>0.11099999999999999</v>
      </c>
      <c r="L590" s="3">
        <v>0.15</v>
      </c>
      <c r="M590" s="6">
        <v>3.4000000000000002E-2</v>
      </c>
      <c r="N590" s="3">
        <f t="shared" si="424"/>
        <v>-0.11599999999999999</v>
      </c>
      <c r="O590" s="3">
        <f t="shared" si="478"/>
        <v>6.9999999999999993E-2</v>
      </c>
      <c r="P590" s="3">
        <f t="shared" si="478"/>
        <v>7.2499999999999995E-2</v>
      </c>
      <c r="Q590" s="3">
        <f t="shared" si="425"/>
        <v>2.5000000000000022E-3</v>
      </c>
      <c r="R590" s="3">
        <f t="shared" si="426"/>
        <v>0.43999999999999995</v>
      </c>
      <c r="S590" s="3">
        <f t="shared" si="427"/>
        <v>0.21299999999999999</v>
      </c>
      <c r="T590" s="3">
        <f t="shared" si="428"/>
        <v>-0.22699999999999995</v>
      </c>
      <c r="U590" s="3">
        <f t="shared" si="429"/>
        <v>-6.9999999999999993E-2</v>
      </c>
      <c r="V590" s="3">
        <f t="shared" si="430"/>
        <v>-7.2499999999999995E-2</v>
      </c>
      <c r="W590" s="3">
        <f t="shared" si="464"/>
        <v>-2.5000000000000022E-3</v>
      </c>
      <c r="X590" s="3">
        <f t="shared" si="460"/>
        <v>5.5681818181818176E-3</v>
      </c>
      <c r="Y590" s="3">
        <f t="shared" si="461"/>
        <v>1.2338615023474178E-2</v>
      </c>
      <c r="Z590" s="3">
        <f t="shared" si="431"/>
        <v>6.7704332052923605E-3</v>
      </c>
      <c r="AA590" s="3">
        <v>1.5069999999999999</v>
      </c>
      <c r="AB590" s="3">
        <v>2.2450000000000001</v>
      </c>
      <c r="AC590" s="3">
        <f t="shared" si="432"/>
        <v>0.73800000000000021</v>
      </c>
      <c r="AD590" s="3">
        <f>-442.832275*627.50956</f>
        <v>-277881.48603904899</v>
      </c>
      <c r="AE590" s="3">
        <f>-445.890873*627.50956</f>
        <v>-279800.78552424588</v>
      </c>
      <c r="AF590" s="3">
        <f t="shared" si="433"/>
        <v>-1919.2994851968833</v>
      </c>
      <c r="AG590" s="3">
        <f>-442.879092*627.50956</f>
        <v>-277910.86415411951</v>
      </c>
      <c r="AH590" s="3">
        <f>-445.93891*627.50956</f>
        <v>-279830.92920097959</v>
      </c>
      <c r="AI590" s="3">
        <f t="shared" si="434"/>
        <v>-1920.0650468600797</v>
      </c>
      <c r="AJ590" s="3">
        <v>-0.315</v>
      </c>
      <c r="AK590" s="3">
        <v>-0.34</v>
      </c>
      <c r="AL590" s="3">
        <f t="shared" si="435"/>
        <v>-2.5000000000000022E-2</v>
      </c>
      <c r="AM590" s="3">
        <v>151.24860000000001</v>
      </c>
      <c r="AN590" s="3">
        <v>233.13499999999999</v>
      </c>
      <c r="AO590" s="3">
        <v>269.8947</v>
      </c>
      <c r="AP590" s="3">
        <f t="shared" si="444"/>
        <v>1.1545175104691816</v>
      </c>
      <c r="AQ590" s="3">
        <v>10.811999999999999</v>
      </c>
      <c r="AR590" s="3">
        <v>2.5362</v>
      </c>
      <c r="AS590" s="3">
        <v>-132.80099999999999</v>
      </c>
      <c r="AT590" s="3">
        <v>-131.97</v>
      </c>
      <c r="AU590" s="3">
        <f t="shared" si="466"/>
        <v>-0.83099999999998886</v>
      </c>
      <c r="AV590" s="3">
        <v>-0.34100000000000003</v>
      </c>
      <c r="AW590" s="3">
        <v>-0.47499999999999998</v>
      </c>
      <c r="AX590" s="3">
        <f t="shared" si="467"/>
        <v>0.13399999999999995</v>
      </c>
      <c r="AY590" s="3">
        <v>2.9000000000000001E-2</v>
      </c>
      <c r="AZ590" s="3">
        <v>0.156</v>
      </c>
      <c r="BA590" s="3">
        <f t="shared" si="468"/>
        <v>-0.127</v>
      </c>
      <c r="BB590" s="3">
        <f t="shared" si="475"/>
        <v>0.156</v>
      </c>
      <c r="BC590" s="3">
        <f t="shared" si="475"/>
        <v>0.15949999999999998</v>
      </c>
      <c r="BD590" s="3">
        <f t="shared" si="469"/>
        <v>-3.4999999999999754E-3</v>
      </c>
      <c r="BE590" s="3">
        <f t="shared" si="476"/>
        <v>0.37000000000000005</v>
      </c>
      <c r="BF590" s="3">
        <f t="shared" si="476"/>
        <v>0.63100000000000001</v>
      </c>
      <c r="BG590" s="3">
        <f t="shared" si="470"/>
        <v>-0.26099999999999995</v>
      </c>
      <c r="BH590" s="3">
        <f t="shared" si="477"/>
        <v>-0.156</v>
      </c>
      <c r="BI590" s="3">
        <f t="shared" si="477"/>
        <v>-0.15949999999999998</v>
      </c>
      <c r="BJ590" s="3">
        <f t="shared" si="465"/>
        <v>3.4999999999999754E-3</v>
      </c>
      <c r="BK590" s="3">
        <f t="shared" si="462"/>
        <v>3.2886486486486483E-2</v>
      </c>
      <c r="BL590" s="3">
        <f t="shared" si="463"/>
        <v>2.0158676703645E-2</v>
      </c>
      <c r="BM590" s="3">
        <f t="shared" si="471"/>
        <v>1.2727809782841482E-2</v>
      </c>
      <c r="BN590" s="3">
        <v>4.7279999999999998</v>
      </c>
      <c r="BO590" s="3">
        <v>4.9340000000000002</v>
      </c>
      <c r="BP590" s="3">
        <f t="shared" si="472"/>
        <v>-0.20600000000000041</v>
      </c>
      <c r="BQ590" s="3">
        <v>-83302.89</v>
      </c>
      <c r="BR590" s="3">
        <v>-82779.224000000002</v>
      </c>
      <c r="BS590" s="3">
        <f t="shared" si="473"/>
        <v>-523.66599999999744</v>
      </c>
      <c r="BT590" s="3">
        <v>-83320.774999999994</v>
      </c>
      <c r="BU590" s="3">
        <v>-82796.997000000003</v>
      </c>
      <c r="BV590" s="3">
        <f t="shared" si="474"/>
        <v>-523.77799999999115</v>
      </c>
    </row>
    <row r="591" spans="1:74" x14ac:dyDescent="0.25">
      <c r="A591" t="s">
        <v>665</v>
      </c>
      <c r="B591" s="1" t="s">
        <v>646</v>
      </c>
      <c r="C591" s="1" t="s">
        <v>218</v>
      </c>
      <c r="D591" s="3">
        <v>16.54</v>
      </c>
      <c r="E591" s="3">
        <v>0.47</v>
      </c>
      <c r="F591" s="3">
        <v>-420.05099999999999</v>
      </c>
      <c r="G591" s="3">
        <v>-422.858</v>
      </c>
      <c r="H591" s="3">
        <f t="shared" si="436"/>
        <v>-2.8070000000000164</v>
      </c>
      <c r="I591" s="3">
        <v>-0.31900000000000001</v>
      </c>
      <c r="J591" s="6">
        <v>-0.219</v>
      </c>
      <c r="K591" s="3">
        <f t="shared" si="423"/>
        <v>0.1</v>
      </c>
      <c r="L591" s="3">
        <v>0.158</v>
      </c>
      <c r="M591" s="6">
        <v>2.9000000000000001E-2</v>
      </c>
      <c r="N591" s="3">
        <f t="shared" si="424"/>
        <v>-0.129</v>
      </c>
      <c r="O591" s="3">
        <f t="shared" si="478"/>
        <v>8.0500000000000002E-2</v>
      </c>
      <c r="P591" s="3">
        <f t="shared" si="478"/>
        <v>9.5000000000000001E-2</v>
      </c>
      <c r="Q591" s="3">
        <f t="shared" si="425"/>
        <v>1.4499999999999999E-2</v>
      </c>
      <c r="R591" s="3">
        <f t="shared" si="426"/>
        <v>0.47699999999999998</v>
      </c>
      <c r="S591" s="3">
        <f t="shared" si="427"/>
        <v>0.248</v>
      </c>
      <c r="T591" s="3">
        <f t="shared" si="428"/>
        <v>-0.22899999999999998</v>
      </c>
      <c r="U591" s="3">
        <f t="shared" si="429"/>
        <v>-8.0500000000000002E-2</v>
      </c>
      <c r="V591" s="3">
        <f t="shared" si="430"/>
        <v>-9.5000000000000001E-2</v>
      </c>
      <c r="W591" s="3">
        <f t="shared" si="464"/>
        <v>-1.4499999999999999E-2</v>
      </c>
      <c r="X591" s="3">
        <f t="shared" si="460"/>
        <v>6.7927148846960179E-3</v>
      </c>
      <c r="Y591" s="3">
        <f t="shared" si="461"/>
        <v>1.8195564516129033E-2</v>
      </c>
      <c r="Z591" s="3">
        <f t="shared" si="431"/>
        <v>1.1402849631433015E-2</v>
      </c>
      <c r="AA591" s="3">
        <v>2.9369999999999998</v>
      </c>
      <c r="AB591" s="3">
        <v>2.9380000000000002</v>
      </c>
      <c r="AC591" s="3">
        <f t="shared" si="432"/>
        <v>1.000000000000334E-3</v>
      </c>
      <c r="AD591" s="3">
        <f>-419.815361*627.50956</f>
        <v>-263438.15246235114</v>
      </c>
      <c r="AE591" s="3">
        <f>-422.635922*627.50956</f>
        <v>-265208.08145441429</v>
      </c>
      <c r="AF591" s="3">
        <f t="shared" si="433"/>
        <v>-1769.9289920631563</v>
      </c>
      <c r="AG591" s="3">
        <f>-419.86246*627.50956</f>
        <v>-263467.70753511757</v>
      </c>
      <c r="AH591" s="3">
        <f>-422.684052*627.50956</f>
        <v>-265238.28348953713</v>
      </c>
      <c r="AI591" s="3">
        <f t="shared" si="434"/>
        <v>-1770.5759544195607</v>
      </c>
      <c r="AJ591" s="3">
        <v>0.14000000000000001</v>
      </c>
      <c r="AK591" s="3">
        <v>4.4999999999999998E-2</v>
      </c>
      <c r="AL591" s="3">
        <f t="shared" si="435"/>
        <v>-9.5000000000000015E-2</v>
      </c>
      <c r="AM591" s="3">
        <v>138.21010000000001</v>
      </c>
      <c r="AN591" s="3">
        <v>218.54689999999999</v>
      </c>
      <c r="AO591" s="3">
        <v>243.2347</v>
      </c>
      <c r="AP591" s="3">
        <f t="shared" si="444"/>
        <v>1.1599793193305885</v>
      </c>
      <c r="AQ591" s="3">
        <v>9.9160000000000004</v>
      </c>
      <c r="AR591" s="3">
        <v>2.2584</v>
      </c>
      <c r="AS591" s="3">
        <v>-232.511</v>
      </c>
      <c r="AT591" s="3">
        <v>-231.03200000000001</v>
      </c>
      <c r="AU591" s="3">
        <f t="shared" si="466"/>
        <v>-1.478999999999985</v>
      </c>
      <c r="AV591" s="3">
        <v>-0.246</v>
      </c>
      <c r="AW591" s="3">
        <v>-0.40400000000000003</v>
      </c>
      <c r="AX591" s="3">
        <f t="shared" si="467"/>
        <v>0.15800000000000003</v>
      </c>
      <c r="AY591" s="3">
        <v>3.5999999999999997E-2</v>
      </c>
      <c r="AZ591" s="3">
        <v>0.15</v>
      </c>
      <c r="BA591" s="3">
        <f t="shared" si="468"/>
        <v>-0.11399999999999999</v>
      </c>
      <c r="BB591" s="3">
        <f t="shared" si="475"/>
        <v>0.105</v>
      </c>
      <c r="BC591" s="3">
        <f t="shared" si="475"/>
        <v>0.127</v>
      </c>
      <c r="BD591" s="3">
        <f t="shared" si="469"/>
        <v>-2.2000000000000006E-2</v>
      </c>
      <c r="BE591" s="3">
        <f t="shared" si="476"/>
        <v>0.28199999999999997</v>
      </c>
      <c r="BF591" s="3">
        <f t="shared" si="476"/>
        <v>0.55400000000000005</v>
      </c>
      <c r="BG591" s="3">
        <f t="shared" si="470"/>
        <v>-0.27200000000000008</v>
      </c>
      <c r="BH591" s="3">
        <f t="shared" si="477"/>
        <v>-0.105</v>
      </c>
      <c r="BI591" s="3">
        <f t="shared" si="477"/>
        <v>-0.127</v>
      </c>
      <c r="BJ591" s="3">
        <f t="shared" si="465"/>
        <v>2.2000000000000006E-2</v>
      </c>
      <c r="BK591" s="3">
        <f t="shared" si="462"/>
        <v>1.9547872340425532E-2</v>
      </c>
      <c r="BL591" s="3">
        <f t="shared" si="463"/>
        <v>1.4556859205776172E-2</v>
      </c>
      <c r="BM591" s="3">
        <f t="shared" si="471"/>
        <v>4.9910131346493601E-3</v>
      </c>
      <c r="BN591" s="3">
        <v>2.206</v>
      </c>
      <c r="BO591" s="3">
        <v>2.2749999999999999</v>
      </c>
      <c r="BP591" s="3">
        <f t="shared" si="472"/>
        <v>-6.899999999999995E-2</v>
      </c>
      <c r="BQ591" s="3">
        <v>-145827.45000000001</v>
      </c>
      <c r="BR591" s="3">
        <v>-144894.345</v>
      </c>
      <c r="BS591" s="3">
        <f t="shared" si="473"/>
        <v>-933.10500000001048</v>
      </c>
      <c r="BT591" s="3">
        <v>-145847.03599999999</v>
      </c>
      <c r="BU591" s="3">
        <v>-144913.766</v>
      </c>
      <c r="BV591" s="3">
        <f t="shared" si="474"/>
        <v>-933.26999999998952</v>
      </c>
    </row>
    <row r="592" spans="1:74" x14ac:dyDescent="0.25">
      <c r="A592" t="s">
        <v>666</v>
      </c>
      <c r="B592" s="1" t="s">
        <v>646</v>
      </c>
      <c r="C592" s="1" t="s">
        <v>200</v>
      </c>
      <c r="D592" s="3">
        <v>16.55</v>
      </c>
      <c r="E592" s="3">
        <v>0.78</v>
      </c>
      <c r="F592" s="3">
        <v>-473.834</v>
      </c>
      <c r="G592" s="3">
        <v>-476.78899999999999</v>
      </c>
      <c r="H592" s="3">
        <f t="shared" si="436"/>
        <v>-2.9549999999999841</v>
      </c>
      <c r="I592" s="3">
        <v>-0.27700000000000002</v>
      </c>
      <c r="J592" s="6">
        <v>-0.182</v>
      </c>
      <c r="K592" s="3">
        <f t="shared" si="423"/>
        <v>9.5000000000000029E-2</v>
      </c>
      <c r="L592" s="3">
        <v>0.11</v>
      </c>
      <c r="M592" s="6">
        <v>-0.03</v>
      </c>
      <c r="N592" s="3">
        <f t="shared" si="424"/>
        <v>-0.14000000000000001</v>
      </c>
      <c r="O592" s="3">
        <f t="shared" si="478"/>
        <v>8.3500000000000019E-2</v>
      </c>
      <c r="P592" s="3">
        <f t="shared" si="478"/>
        <v>0.106</v>
      </c>
      <c r="Q592" s="3">
        <f t="shared" si="425"/>
        <v>2.2499999999999978E-2</v>
      </c>
      <c r="R592" s="3">
        <f t="shared" si="426"/>
        <v>0.38700000000000001</v>
      </c>
      <c r="S592" s="3">
        <f t="shared" si="427"/>
        <v>0.152</v>
      </c>
      <c r="T592" s="3">
        <f t="shared" si="428"/>
        <v>-0.23500000000000001</v>
      </c>
      <c r="U592" s="3">
        <f t="shared" si="429"/>
        <v>-8.3500000000000019E-2</v>
      </c>
      <c r="V592" s="3">
        <f t="shared" si="430"/>
        <v>-0.106</v>
      </c>
      <c r="W592" s="3">
        <f t="shared" si="464"/>
        <v>-2.2499999999999978E-2</v>
      </c>
      <c r="X592" s="3">
        <f t="shared" si="460"/>
        <v>9.0080749354005205E-3</v>
      </c>
      <c r="Y592" s="3">
        <f t="shared" si="461"/>
        <v>3.6960526315789471E-2</v>
      </c>
      <c r="Z592" s="3">
        <f t="shared" si="431"/>
        <v>2.7952451380388953E-2</v>
      </c>
      <c r="AA592" s="3">
        <v>15.098000000000001</v>
      </c>
      <c r="AB592" s="3">
        <v>14.34</v>
      </c>
      <c r="AC592" s="3">
        <f t="shared" si="432"/>
        <v>-0.7580000000000009</v>
      </c>
      <c r="AD592" s="3">
        <f>-473.692598*627.50956</f>
        <v>-297246.63374623685</v>
      </c>
      <c r="AE592" s="3">
        <f>-476.654929*627.50956</f>
        <v>-299105.5247686212</v>
      </c>
      <c r="AF592" s="3">
        <f t="shared" si="433"/>
        <v>-1858.8910223843413</v>
      </c>
      <c r="AG592" s="3">
        <f>-473.736743*627.50956</f>
        <v>-297274.33515576308</v>
      </c>
      <c r="AH592" s="3">
        <f>-476.699888*627.50956</f>
        <v>-299133.73697092925</v>
      </c>
      <c r="AI592" s="3">
        <f t="shared" si="434"/>
        <v>-1859.401815166173</v>
      </c>
      <c r="AJ592" s="3">
        <v>-0.70599999999999996</v>
      </c>
      <c r="AK592" s="3">
        <v>-0.61299999999999999</v>
      </c>
      <c r="AL592" s="3">
        <f t="shared" si="435"/>
        <v>9.2999999999999972E-2</v>
      </c>
      <c r="AM592" s="3">
        <v>144.15</v>
      </c>
      <c r="AN592" s="3">
        <v>198.62899999999999</v>
      </c>
      <c r="AO592" s="3">
        <v>207.65299999999999</v>
      </c>
      <c r="AP592" s="3">
        <f t="shared" si="444"/>
        <v>1.1714932753456386</v>
      </c>
      <c r="AQ592" s="3">
        <v>11.534000000000001</v>
      </c>
      <c r="AR592" s="3">
        <v>2.6379000000000001</v>
      </c>
      <c r="AS592" s="3">
        <v>-553.27200000000005</v>
      </c>
      <c r="AT592" s="3">
        <v>-551.61699999999996</v>
      </c>
      <c r="AU592" s="3">
        <f t="shared" si="466"/>
        <v>-1.6550000000000864</v>
      </c>
      <c r="AV592" s="3">
        <v>-0.23699999999999999</v>
      </c>
      <c r="AW592" s="3">
        <v>-0.36899999999999999</v>
      </c>
      <c r="AX592" s="3">
        <f t="shared" si="467"/>
        <v>0.13200000000000001</v>
      </c>
      <c r="AY592" s="3">
        <v>2.8000000000000001E-2</v>
      </c>
      <c r="AZ592" s="3">
        <v>0.154</v>
      </c>
      <c r="BA592" s="3">
        <f t="shared" si="468"/>
        <v>-0.126</v>
      </c>
      <c r="BB592" s="3">
        <f t="shared" si="475"/>
        <v>0.1045</v>
      </c>
      <c r="BC592" s="3">
        <f t="shared" si="475"/>
        <v>0.1075</v>
      </c>
      <c r="BD592" s="3">
        <f t="shared" si="469"/>
        <v>-3.0000000000000027E-3</v>
      </c>
      <c r="BE592" s="3">
        <f t="shared" si="476"/>
        <v>0.26500000000000001</v>
      </c>
      <c r="BF592" s="3">
        <f t="shared" si="476"/>
        <v>0.52300000000000002</v>
      </c>
      <c r="BG592" s="3">
        <f t="shared" si="470"/>
        <v>-0.25800000000000001</v>
      </c>
      <c r="BH592" s="3">
        <f t="shared" si="477"/>
        <v>-0.1045</v>
      </c>
      <c r="BI592" s="3">
        <f t="shared" si="477"/>
        <v>-0.1075</v>
      </c>
      <c r="BJ592" s="3">
        <f t="shared" si="465"/>
        <v>3.0000000000000027E-3</v>
      </c>
      <c r="BK592" s="3">
        <f t="shared" si="462"/>
        <v>2.0604245283018865E-2</v>
      </c>
      <c r="BL592" s="3">
        <f t="shared" si="463"/>
        <v>1.104804015296367E-2</v>
      </c>
      <c r="BM592" s="3">
        <f t="shared" si="471"/>
        <v>9.5562051300551957E-3</v>
      </c>
      <c r="BN592" s="3">
        <v>5.4870000000000001</v>
      </c>
      <c r="BO592" s="3">
        <v>6.0839999999999996</v>
      </c>
      <c r="BP592" s="3">
        <f t="shared" si="472"/>
        <v>-0.59699999999999953</v>
      </c>
      <c r="BQ592" s="3">
        <v>-347129.96399999998</v>
      </c>
      <c r="BR592" s="3">
        <v>-346087.64600000001</v>
      </c>
      <c r="BS592" s="3">
        <f t="shared" si="473"/>
        <v>-1042.3179999999702</v>
      </c>
      <c r="BT592" s="3">
        <v>-347152.04599999997</v>
      </c>
      <c r="BU592" s="3">
        <v>-346109.22600000002</v>
      </c>
      <c r="BV592" s="3">
        <f t="shared" si="474"/>
        <v>-1042.8199999999488</v>
      </c>
    </row>
    <row r="593" spans="1:74" x14ac:dyDescent="0.25">
      <c r="A593" t="s">
        <v>667</v>
      </c>
      <c r="B593" s="1" t="s">
        <v>646</v>
      </c>
      <c r="C593" s="1" t="s">
        <v>218</v>
      </c>
      <c r="D593" s="3">
        <v>16.61</v>
      </c>
      <c r="E593" s="3">
        <v>0.68</v>
      </c>
      <c r="F593" s="3">
        <v>-838.14400000000001</v>
      </c>
      <c r="G593" s="3">
        <v>-843.55499999999995</v>
      </c>
      <c r="H593" s="3">
        <f t="shared" si="436"/>
        <v>-5.4109999999999445</v>
      </c>
      <c r="I593" s="3">
        <v>-0.24</v>
      </c>
      <c r="J593" s="6">
        <v>-0.16300000000000001</v>
      </c>
      <c r="K593" s="3">
        <f t="shared" si="423"/>
        <v>7.6999999999999985E-2</v>
      </c>
      <c r="L593" s="3">
        <v>0.113</v>
      </c>
      <c r="M593" s="6">
        <v>-2.9000000000000001E-2</v>
      </c>
      <c r="N593" s="3">
        <f t="shared" si="424"/>
        <v>-0.14200000000000002</v>
      </c>
      <c r="O593" s="3">
        <f t="shared" si="478"/>
        <v>6.3500000000000001E-2</v>
      </c>
      <c r="P593" s="3">
        <f t="shared" si="478"/>
        <v>9.6000000000000002E-2</v>
      </c>
      <c r="Q593" s="3">
        <f t="shared" si="425"/>
        <v>3.2500000000000001E-2</v>
      </c>
      <c r="R593" s="3">
        <f t="shared" si="426"/>
        <v>0.35299999999999998</v>
      </c>
      <c r="S593" s="3">
        <f t="shared" si="427"/>
        <v>0.13400000000000001</v>
      </c>
      <c r="T593" s="3">
        <f t="shared" si="428"/>
        <v>-0.21899999999999997</v>
      </c>
      <c r="U593" s="3">
        <f t="shared" si="429"/>
        <v>-6.3500000000000001E-2</v>
      </c>
      <c r="V593" s="3">
        <f t="shared" si="430"/>
        <v>-9.6000000000000002E-2</v>
      </c>
      <c r="W593" s="3">
        <f t="shared" si="464"/>
        <v>-3.2500000000000001E-2</v>
      </c>
      <c r="X593" s="3">
        <f t="shared" si="460"/>
        <v>5.7114022662889527E-3</v>
      </c>
      <c r="Y593" s="3">
        <f t="shared" si="461"/>
        <v>3.4388059701492536E-2</v>
      </c>
      <c r="Z593" s="3">
        <f t="shared" si="431"/>
        <v>2.8676657435203583E-2</v>
      </c>
      <c r="AA593" s="3">
        <v>0.93300000000000005</v>
      </c>
      <c r="AB593" s="3">
        <v>1.2130000000000001</v>
      </c>
      <c r="AC593" s="3">
        <f t="shared" si="432"/>
        <v>0.28000000000000003</v>
      </c>
      <c r="AD593" s="3">
        <f>-837.79035*627.50956</f>
        <v>-525721.45390074595</v>
      </c>
      <c r="AE593" s="3">
        <f>-843.222121*627.50956</f>
        <v>-529129.94213097671</v>
      </c>
      <c r="AF593" s="3">
        <f t="shared" si="433"/>
        <v>-3408.4882302307524</v>
      </c>
      <c r="AG593" s="3">
        <f>-837.854028*627.50956</f>
        <v>-525761.41245450766</v>
      </c>
      <c r="AH593" s="3">
        <f>-843.286986*627.50956</f>
        <v>-529170.64553858608</v>
      </c>
      <c r="AI593" s="3">
        <f t="shared" si="434"/>
        <v>-3409.2330840784125</v>
      </c>
      <c r="AJ593" s="3">
        <v>0.124</v>
      </c>
      <c r="AK593" s="3">
        <v>0.125</v>
      </c>
      <c r="AL593" s="3">
        <f t="shared" si="435"/>
        <v>1.0000000000000009E-3</v>
      </c>
      <c r="AM593" s="3">
        <v>266.33760000000001</v>
      </c>
      <c r="AN593" s="3">
        <v>327.69200000000001</v>
      </c>
      <c r="AO593" s="3">
        <v>398.80900000000003</v>
      </c>
      <c r="AP593" s="3">
        <f t="shared" si="444"/>
        <v>1.250868979039796</v>
      </c>
      <c r="AQ593" s="3">
        <v>13.925000000000001</v>
      </c>
      <c r="AR593" s="3">
        <v>3.2993999999999999</v>
      </c>
      <c r="AS593" s="3">
        <v>-232.511</v>
      </c>
      <c r="AT593" s="3">
        <v>-231.03200000000001</v>
      </c>
      <c r="AU593" s="3">
        <f t="shared" si="466"/>
        <v>-1.478999999999985</v>
      </c>
      <c r="AV593" s="3">
        <v>-0.246</v>
      </c>
      <c r="AW593" s="3">
        <v>-0.40400000000000003</v>
      </c>
      <c r="AX593" s="3">
        <f t="shared" si="467"/>
        <v>0.15800000000000003</v>
      </c>
      <c r="AY593" s="3">
        <v>3.5999999999999997E-2</v>
      </c>
      <c r="AZ593" s="3">
        <v>0.15</v>
      </c>
      <c r="BA593" s="3">
        <f t="shared" si="468"/>
        <v>-0.11399999999999999</v>
      </c>
      <c r="BB593" s="3">
        <f t="shared" si="475"/>
        <v>0.105</v>
      </c>
      <c r="BC593" s="3">
        <f t="shared" si="475"/>
        <v>0.127</v>
      </c>
      <c r="BD593" s="3">
        <f t="shared" si="469"/>
        <v>-2.2000000000000006E-2</v>
      </c>
      <c r="BE593" s="3">
        <f t="shared" si="476"/>
        <v>0.28199999999999997</v>
      </c>
      <c r="BF593" s="3">
        <f t="shared" si="476"/>
        <v>0.55400000000000005</v>
      </c>
      <c r="BG593" s="3">
        <f t="shared" si="470"/>
        <v>-0.27200000000000008</v>
      </c>
      <c r="BH593" s="3">
        <f t="shared" si="477"/>
        <v>-0.105</v>
      </c>
      <c r="BI593" s="3">
        <f t="shared" si="477"/>
        <v>-0.127</v>
      </c>
      <c r="BJ593" s="3">
        <f t="shared" si="465"/>
        <v>2.2000000000000006E-2</v>
      </c>
      <c r="BK593" s="3">
        <f t="shared" si="462"/>
        <v>1.9547872340425532E-2</v>
      </c>
      <c r="BL593" s="3">
        <f t="shared" si="463"/>
        <v>1.4556859205776172E-2</v>
      </c>
      <c r="BM593" s="3">
        <f t="shared" si="471"/>
        <v>4.9910131346493601E-3</v>
      </c>
      <c r="BN593" s="3">
        <v>2.206</v>
      </c>
      <c r="BO593" s="3">
        <v>2.2749999999999999</v>
      </c>
      <c r="BP593" s="3">
        <f t="shared" si="472"/>
        <v>-6.899999999999995E-2</v>
      </c>
      <c r="BQ593" s="3">
        <v>-145827.45000000001</v>
      </c>
      <c r="BR593" s="3">
        <v>-144894.345</v>
      </c>
      <c r="BS593" s="3">
        <f t="shared" si="473"/>
        <v>-933.10500000001048</v>
      </c>
      <c r="BT593" s="3">
        <v>-145847.03599999999</v>
      </c>
      <c r="BU593" s="3">
        <v>-144913.766</v>
      </c>
      <c r="BV593" s="3">
        <f t="shared" si="474"/>
        <v>-933.26999999998952</v>
      </c>
    </row>
    <row r="594" spans="1:74" x14ac:dyDescent="0.25">
      <c r="A594" t="s">
        <v>668</v>
      </c>
      <c r="B594" s="1" t="s">
        <v>646</v>
      </c>
      <c r="C594" s="1" t="s">
        <v>200</v>
      </c>
      <c r="D594" s="3">
        <v>16.96</v>
      </c>
      <c r="E594" s="3">
        <v>0.73</v>
      </c>
      <c r="F594" s="3">
        <v>-564.59900000000005</v>
      </c>
      <c r="G594" s="3">
        <v>-567.99099999999999</v>
      </c>
      <c r="H594" s="3">
        <f t="shared" si="436"/>
        <v>-3.3919999999999391</v>
      </c>
      <c r="I594" s="3">
        <v>-0.26100000000000001</v>
      </c>
      <c r="J594" s="6">
        <v>-0.18</v>
      </c>
      <c r="K594" s="3">
        <f t="shared" si="423"/>
        <v>8.1000000000000016E-2</v>
      </c>
      <c r="L594" s="3">
        <v>8.2000000000000003E-2</v>
      </c>
      <c r="M594" s="6">
        <v>-0.05</v>
      </c>
      <c r="N594" s="3">
        <f t="shared" si="424"/>
        <v>-0.13200000000000001</v>
      </c>
      <c r="O594" s="3">
        <f t="shared" si="478"/>
        <v>8.9499999999999996E-2</v>
      </c>
      <c r="P594" s="3">
        <f t="shared" si="478"/>
        <v>0.11499999999999999</v>
      </c>
      <c r="Q594" s="3">
        <f t="shared" si="425"/>
        <v>2.5499999999999995E-2</v>
      </c>
      <c r="R594" s="3">
        <f t="shared" si="426"/>
        <v>0.34300000000000003</v>
      </c>
      <c r="S594" s="3">
        <f t="shared" si="427"/>
        <v>0.13</v>
      </c>
      <c r="T594" s="3">
        <f t="shared" si="428"/>
        <v>-0.21300000000000002</v>
      </c>
      <c r="U594" s="3">
        <f t="shared" si="429"/>
        <v>-8.9499999999999996E-2</v>
      </c>
      <c r="V594" s="3">
        <f t="shared" si="430"/>
        <v>-0.11499999999999999</v>
      </c>
      <c r="W594" s="3">
        <f t="shared" si="464"/>
        <v>-2.5499999999999995E-2</v>
      </c>
      <c r="X594" s="3">
        <f t="shared" si="460"/>
        <v>1.1676749271137026E-2</v>
      </c>
      <c r="Y594" s="3">
        <f t="shared" si="461"/>
        <v>5.0865384615384604E-2</v>
      </c>
      <c r="Z594" s="3">
        <f t="shared" si="431"/>
        <v>3.9188635344247574E-2</v>
      </c>
      <c r="AA594" s="3">
        <v>8.2230000000000008</v>
      </c>
      <c r="AB594" s="3">
        <v>5.7329999999999997</v>
      </c>
      <c r="AC594" s="3">
        <f t="shared" si="432"/>
        <v>-2.4900000000000011</v>
      </c>
      <c r="AD594" s="3">
        <f>-564.464361*627.50956</f>
        <v>-354206.78280679119</v>
      </c>
      <c r="AE594" s="3">
        <f>-567.86389*627.50956</f>
        <v>-356340.01975378837</v>
      </c>
      <c r="AF594" s="3">
        <f t="shared" si="433"/>
        <v>-2133.2369469971745</v>
      </c>
      <c r="AG594" s="3">
        <f>-564.509759*627.50956</f>
        <v>-354235.27048579603</v>
      </c>
      <c r="AH594" s="3">
        <f>-567.910394*627.50956</f>
        <v>-356369.20145836665</v>
      </c>
      <c r="AI594" s="3">
        <f t="shared" si="434"/>
        <v>-2133.9309725706116</v>
      </c>
      <c r="AJ594" s="3">
        <v>-0.21099999999999999</v>
      </c>
      <c r="AK594" s="3">
        <v>-0.17299999999999999</v>
      </c>
      <c r="AL594" s="3">
        <f t="shared" si="435"/>
        <v>3.8000000000000006E-2</v>
      </c>
      <c r="AM594" s="3">
        <v>161.13749999999999</v>
      </c>
      <c r="AN594" s="3">
        <v>200.22489999999999</v>
      </c>
      <c r="AO594" s="3">
        <v>208.98009999999999</v>
      </c>
      <c r="AP594" s="3">
        <f t="shared" si="444"/>
        <v>1.1759009666511151</v>
      </c>
      <c r="AQ594" s="3">
        <v>12.084</v>
      </c>
      <c r="AR594" s="3">
        <v>2.8837000000000002</v>
      </c>
      <c r="AS594" s="3">
        <v>-553.27200000000005</v>
      </c>
      <c r="AT594" s="3">
        <v>-551.61699999999996</v>
      </c>
      <c r="AU594" s="3">
        <f t="shared" si="466"/>
        <v>-1.6550000000000864</v>
      </c>
      <c r="AV594" s="3">
        <v>-0.23699999999999999</v>
      </c>
      <c r="AW594" s="3">
        <v>-0.36899999999999999</v>
      </c>
      <c r="AX594" s="3">
        <f t="shared" si="467"/>
        <v>0.13200000000000001</v>
      </c>
      <c r="AY594" s="3">
        <v>2.8000000000000001E-2</v>
      </c>
      <c r="AZ594" s="3">
        <v>0.154</v>
      </c>
      <c r="BA594" s="3">
        <f t="shared" si="468"/>
        <v>-0.126</v>
      </c>
      <c r="BB594" s="3">
        <f t="shared" si="475"/>
        <v>0.1045</v>
      </c>
      <c r="BC594" s="3">
        <f t="shared" si="475"/>
        <v>0.1075</v>
      </c>
      <c r="BD594" s="3">
        <f t="shared" si="469"/>
        <v>-3.0000000000000027E-3</v>
      </c>
      <c r="BE594" s="3">
        <f t="shared" si="476"/>
        <v>0.26500000000000001</v>
      </c>
      <c r="BF594" s="3">
        <f t="shared" si="476"/>
        <v>0.52300000000000002</v>
      </c>
      <c r="BG594" s="3">
        <f t="shared" si="470"/>
        <v>-0.25800000000000001</v>
      </c>
      <c r="BH594" s="3">
        <f t="shared" si="477"/>
        <v>-0.1045</v>
      </c>
      <c r="BI594" s="3">
        <f t="shared" si="477"/>
        <v>-0.1075</v>
      </c>
      <c r="BJ594" s="3">
        <f t="shared" si="465"/>
        <v>3.0000000000000027E-3</v>
      </c>
      <c r="BK594" s="3">
        <f t="shared" si="462"/>
        <v>2.0604245283018865E-2</v>
      </c>
      <c r="BL594" s="3">
        <f t="shared" si="463"/>
        <v>1.104804015296367E-2</v>
      </c>
      <c r="BM594" s="3">
        <f t="shared" si="471"/>
        <v>9.5562051300551957E-3</v>
      </c>
      <c r="BN594" s="3">
        <v>5.4870000000000001</v>
      </c>
      <c r="BO594" s="3">
        <v>6.0839999999999996</v>
      </c>
      <c r="BP594" s="3">
        <f t="shared" si="472"/>
        <v>-0.59699999999999953</v>
      </c>
      <c r="BQ594" s="3">
        <v>-347129.96399999998</v>
      </c>
      <c r="BR594" s="3">
        <v>-346087.64600000001</v>
      </c>
      <c r="BS594" s="3">
        <f t="shared" si="473"/>
        <v>-1042.3179999999702</v>
      </c>
      <c r="BT594" s="3">
        <v>-347152.04599999997</v>
      </c>
      <c r="BU594" s="3">
        <v>-346109.22600000002</v>
      </c>
      <c r="BV594" s="3">
        <f t="shared" si="474"/>
        <v>-1042.8199999999488</v>
      </c>
    </row>
    <row r="595" spans="1:74" x14ac:dyDescent="0.25">
      <c r="A595" t="s">
        <v>669</v>
      </c>
      <c r="B595" s="1" t="s">
        <v>646</v>
      </c>
      <c r="C595" s="1" t="s">
        <v>200</v>
      </c>
      <c r="D595" s="3">
        <v>17</v>
      </c>
      <c r="E595" s="3">
        <v>0.74</v>
      </c>
      <c r="F595" s="3">
        <v>-495.142</v>
      </c>
      <c r="G595" s="3">
        <v>-498.11</v>
      </c>
      <c r="H595" s="3">
        <f t="shared" si="436"/>
        <v>-2.9680000000000177</v>
      </c>
      <c r="I595" s="3">
        <v>-0.26600000000000001</v>
      </c>
      <c r="J595" s="6">
        <v>-0.17199999999999999</v>
      </c>
      <c r="K595" s="3">
        <f t="shared" si="423"/>
        <v>9.4000000000000028E-2</v>
      </c>
      <c r="L595" s="3">
        <v>0.16900000000000001</v>
      </c>
      <c r="M595" s="6">
        <v>2.1999999999999999E-2</v>
      </c>
      <c r="N595" s="3">
        <f t="shared" si="424"/>
        <v>-0.14700000000000002</v>
      </c>
      <c r="O595" s="3">
        <f t="shared" si="478"/>
        <v>4.8500000000000001E-2</v>
      </c>
      <c r="P595" s="3">
        <f t="shared" si="478"/>
        <v>7.4999999999999997E-2</v>
      </c>
      <c r="Q595" s="3">
        <f t="shared" si="425"/>
        <v>2.6499999999999996E-2</v>
      </c>
      <c r="R595" s="3">
        <f t="shared" si="426"/>
        <v>0.43500000000000005</v>
      </c>
      <c r="S595" s="3">
        <f t="shared" si="427"/>
        <v>0.19399999999999998</v>
      </c>
      <c r="T595" s="3">
        <f t="shared" si="428"/>
        <v>-0.24100000000000008</v>
      </c>
      <c r="U595" s="3">
        <f t="shared" si="429"/>
        <v>-4.8500000000000001E-2</v>
      </c>
      <c r="V595" s="3">
        <f t="shared" si="430"/>
        <v>-7.4999999999999997E-2</v>
      </c>
      <c r="W595" s="3">
        <f t="shared" si="464"/>
        <v>-2.6499999999999996E-2</v>
      </c>
      <c r="X595" s="3">
        <f t="shared" si="460"/>
        <v>2.7037356321839077E-3</v>
      </c>
      <c r="Y595" s="3">
        <f t="shared" si="461"/>
        <v>1.4497422680412372E-2</v>
      </c>
      <c r="Z595" s="3">
        <f t="shared" si="431"/>
        <v>1.1793687048228464E-2</v>
      </c>
      <c r="AA595" s="3">
        <v>6.0389999999999997</v>
      </c>
      <c r="AB595" s="3">
        <v>5.9249999999999998</v>
      </c>
      <c r="AC595" s="3">
        <f t="shared" si="432"/>
        <v>-0.11399999999999988</v>
      </c>
      <c r="AD595" s="3">
        <f>-494.970426*627.50956</f>
        <v>-310598.67423227255</v>
      </c>
      <c r="AE595" s="3">
        <f>-497.948947*627.50956</f>
        <v>-312467.72463443328</v>
      </c>
      <c r="AF595" s="3">
        <f t="shared" si="433"/>
        <v>-1869.0504021607339</v>
      </c>
      <c r="AG595" s="3">
        <f>-495.014113*627.50956</f>
        <v>-310626.08824242029</v>
      </c>
      <c r="AH595" s="3">
        <f>-497.993841*627.50956</f>
        <v>-312495.89604861994</v>
      </c>
      <c r="AI595" s="3">
        <f t="shared" si="434"/>
        <v>-1869.8078061996493</v>
      </c>
      <c r="AJ595" s="3">
        <v>-0.51900000000000002</v>
      </c>
      <c r="AK595" s="3">
        <v>-0.39300000000000002</v>
      </c>
      <c r="AL595" s="3">
        <f t="shared" si="435"/>
        <v>0.126</v>
      </c>
      <c r="AM595" s="3">
        <v>141.14449999999999</v>
      </c>
      <c r="AN595" s="3">
        <v>188.3245</v>
      </c>
      <c r="AO595" s="3">
        <v>202.67689999999999</v>
      </c>
      <c r="AP595" s="3">
        <f t="shared" si="444"/>
        <v>1.1288249626480509</v>
      </c>
      <c r="AQ595" s="3">
        <v>9.5879999999999992</v>
      </c>
      <c r="AR595" s="3">
        <v>2.1678999999999999</v>
      </c>
      <c r="AS595" s="3">
        <v>-553.27200000000005</v>
      </c>
      <c r="AT595" s="3">
        <v>-551.61699999999996</v>
      </c>
      <c r="AU595" s="3">
        <f t="shared" si="466"/>
        <v>-1.6550000000000864</v>
      </c>
      <c r="AV595" s="3">
        <v>-0.23699999999999999</v>
      </c>
      <c r="AW595" s="3">
        <v>-0.36899999999999999</v>
      </c>
      <c r="AX595" s="3">
        <f t="shared" si="467"/>
        <v>0.13200000000000001</v>
      </c>
      <c r="AY595" s="3">
        <v>2.8000000000000001E-2</v>
      </c>
      <c r="AZ595" s="3">
        <v>0.154</v>
      </c>
      <c r="BA595" s="3">
        <f t="shared" si="468"/>
        <v>-0.126</v>
      </c>
      <c r="BB595" s="3">
        <f t="shared" si="475"/>
        <v>0.1045</v>
      </c>
      <c r="BC595" s="3">
        <f t="shared" si="475"/>
        <v>0.1075</v>
      </c>
      <c r="BD595" s="3">
        <f t="shared" si="469"/>
        <v>-3.0000000000000027E-3</v>
      </c>
      <c r="BE595" s="3">
        <f t="shared" si="476"/>
        <v>0.26500000000000001</v>
      </c>
      <c r="BF595" s="3">
        <f t="shared" si="476"/>
        <v>0.52300000000000002</v>
      </c>
      <c r="BG595" s="3">
        <f t="shared" si="470"/>
        <v>-0.25800000000000001</v>
      </c>
      <c r="BH595" s="3">
        <f t="shared" si="477"/>
        <v>-0.1045</v>
      </c>
      <c r="BI595" s="3">
        <f t="shared" si="477"/>
        <v>-0.1075</v>
      </c>
      <c r="BJ595" s="3">
        <f t="shared" si="465"/>
        <v>3.0000000000000027E-3</v>
      </c>
      <c r="BK595" s="3">
        <f t="shared" si="462"/>
        <v>2.0604245283018865E-2</v>
      </c>
      <c r="BL595" s="3">
        <f t="shared" si="463"/>
        <v>1.104804015296367E-2</v>
      </c>
      <c r="BM595" s="3">
        <f t="shared" si="471"/>
        <v>9.5562051300551957E-3</v>
      </c>
      <c r="BN595" s="3">
        <v>5.4870000000000001</v>
      </c>
      <c r="BO595" s="3">
        <v>6.0839999999999996</v>
      </c>
      <c r="BP595" s="3">
        <f t="shared" si="472"/>
        <v>-0.59699999999999953</v>
      </c>
      <c r="BQ595" s="3">
        <v>-347129.96399999998</v>
      </c>
      <c r="BR595" s="3">
        <v>-346087.64600000001</v>
      </c>
      <c r="BS595" s="3">
        <f t="shared" si="473"/>
        <v>-1042.3179999999702</v>
      </c>
      <c r="BT595" s="3">
        <v>-347152.04599999997</v>
      </c>
      <c r="BU595" s="3">
        <v>-346109.22600000002</v>
      </c>
      <c r="BV595" s="3">
        <f t="shared" si="474"/>
        <v>-1042.8199999999488</v>
      </c>
    </row>
    <row r="596" spans="1:74" x14ac:dyDescent="0.25">
      <c r="A596" t="s">
        <v>670</v>
      </c>
      <c r="B596" s="1" t="s">
        <v>646</v>
      </c>
      <c r="C596" s="1" t="s">
        <v>200</v>
      </c>
      <c r="D596" s="3">
        <v>17.190000000000001</v>
      </c>
      <c r="E596" s="3">
        <v>0.56000000000000005</v>
      </c>
      <c r="F596" s="3">
        <v>-1158.885</v>
      </c>
      <c r="G596" s="3">
        <v>-1164.26</v>
      </c>
      <c r="H596" s="3">
        <f t="shared" si="436"/>
        <v>-5.375</v>
      </c>
      <c r="I596" s="3">
        <v>-0.29799999999999999</v>
      </c>
      <c r="J596" s="6">
        <v>-0.19900000000000001</v>
      </c>
      <c r="K596" s="3">
        <f t="shared" si="423"/>
        <v>9.8999999999999977E-2</v>
      </c>
      <c r="L596" s="3">
        <v>0.107</v>
      </c>
      <c r="M596" s="6">
        <v>-3.2000000000000001E-2</v>
      </c>
      <c r="N596" s="3">
        <f t="shared" si="424"/>
        <v>-0.13900000000000001</v>
      </c>
      <c r="O596" s="3">
        <f t="shared" si="478"/>
        <v>9.5500000000000002E-2</v>
      </c>
      <c r="P596" s="3">
        <f t="shared" si="478"/>
        <v>0.11550000000000001</v>
      </c>
      <c r="Q596" s="3">
        <f t="shared" si="425"/>
        <v>2.0000000000000004E-2</v>
      </c>
      <c r="R596" s="3">
        <f t="shared" si="426"/>
        <v>0.40499999999999997</v>
      </c>
      <c r="S596" s="3">
        <f t="shared" si="427"/>
        <v>0.16700000000000001</v>
      </c>
      <c r="T596" s="3">
        <f t="shared" si="428"/>
        <v>-0.23799999999999996</v>
      </c>
      <c r="U596" s="3">
        <f t="shared" si="429"/>
        <v>-9.5500000000000002E-2</v>
      </c>
      <c r="V596" s="3">
        <f t="shared" si="430"/>
        <v>-0.11550000000000001</v>
      </c>
      <c r="W596" s="3">
        <f t="shared" si="464"/>
        <v>-2.0000000000000004E-2</v>
      </c>
      <c r="X596" s="3">
        <f t="shared" si="460"/>
        <v>1.1259567901234568E-2</v>
      </c>
      <c r="Y596" s="3">
        <f t="shared" si="461"/>
        <v>3.9940868263473053E-2</v>
      </c>
      <c r="Z596" s="3">
        <f t="shared" si="431"/>
        <v>2.8681300362238486E-2</v>
      </c>
      <c r="AA596" s="3">
        <v>13.112</v>
      </c>
      <c r="AB596" s="3">
        <v>12.028</v>
      </c>
      <c r="AC596" s="3">
        <f t="shared" si="432"/>
        <v>-1.0839999999999996</v>
      </c>
      <c r="AD596" s="3">
        <f>-1158.639566*627.50956</f>
        <v>-727057.40425925096</v>
      </c>
      <c r="AE596" s="3">
        <f>-1164.028467*627.50956</f>
        <v>-730438.99115464452</v>
      </c>
      <c r="AF596" s="3">
        <f t="shared" si="433"/>
        <v>-3381.5868953935569</v>
      </c>
      <c r="AG596" s="3">
        <f>-1158.69902*627.50956</f>
        <v>-727094.71221263113</v>
      </c>
      <c r="AH596" s="3">
        <f>-1164.089826*627.50956</f>
        <v>-730477.49451373646</v>
      </c>
      <c r="AI596" s="3">
        <f t="shared" si="434"/>
        <v>-3382.782301105326</v>
      </c>
      <c r="AJ596" s="3">
        <v>-0.88800000000000001</v>
      </c>
      <c r="AK596" s="3">
        <v>-0.78400000000000003</v>
      </c>
      <c r="AL596" s="3">
        <f t="shared" si="435"/>
        <v>0.10399999999999998</v>
      </c>
      <c r="AM596" s="3">
        <v>259.30029999999999</v>
      </c>
      <c r="AN596" s="3">
        <v>293.11430000000001</v>
      </c>
      <c r="AO596" s="3">
        <v>341.70800000000003</v>
      </c>
      <c r="AP596" s="3">
        <f t="shared" si="444"/>
        <v>1.2402889066905951</v>
      </c>
      <c r="AQ596" s="3">
        <v>12.361000000000001</v>
      </c>
      <c r="AR596" s="3">
        <v>3.0278999999999998</v>
      </c>
      <c r="AS596" s="3">
        <v>-553.27200000000005</v>
      </c>
      <c r="AT596" s="3">
        <v>-551.61699999999996</v>
      </c>
      <c r="AU596" s="3">
        <f t="shared" ref="AU596:AU620" si="479">AS596-AT596</f>
        <v>-1.6550000000000864</v>
      </c>
      <c r="AV596" s="3">
        <v>-0.23699999999999999</v>
      </c>
      <c r="AW596" s="3">
        <v>-0.36899999999999999</v>
      </c>
      <c r="AX596" s="3">
        <f t="shared" si="467"/>
        <v>0.13200000000000001</v>
      </c>
      <c r="AY596" s="3">
        <v>2.8000000000000001E-2</v>
      </c>
      <c r="AZ596" s="3">
        <v>0.154</v>
      </c>
      <c r="BA596" s="3">
        <f t="shared" si="468"/>
        <v>-0.126</v>
      </c>
      <c r="BB596" s="3">
        <f t="shared" si="475"/>
        <v>0.1045</v>
      </c>
      <c r="BC596" s="3">
        <f t="shared" si="475"/>
        <v>0.1075</v>
      </c>
      <c r="BD596" s="3">
        <f t="shared" si="469"/>
        <v>-3.0000000000000027E-3</v>
      </c>
      <c r="BE596" s="3">
        <f t="shared" si="476"/>
        <v>0.26500000000000001</v>
      </c>
      <c r="BF596" s="3">
        <f t="shared" si="476"/>
        <v>0.52300000000000002</v>
      </c>
      <c r="BG596" s="3">
        <f t="shared" si="470"/>
        <v>-0.25800000000000001</v>
      </c>
      <c r="BH596" s="3">
        <f t="shared" si="477"/>
        <v>-0.1045</v>
      </c>
      <c r="BI596" s="3">
        <f t="shared" si="477"/>
        <v>-0.1075</v>
      </c>
      <c r="BJ596" s="3">
        <f t="shared" si="465"/>
        <v>3.0000000000000027E-3</v>
      </c>
      <c r="BK596" s="3">
        <f t="shared" si="462"/>
        <v>2.0604245283018865E-2</v>
      </c>
      <c r="BL596" s="3">
        <f t="shared" si="463"/>
        <v>1.104804015296367E-2</v>
      </c>
      <c r="BM596" s="3">
        <f t="shared" si="471"/>
        <v>9.5562051300551957E-3</v>
      </c>
      <c r="BN596" s="3">
        <v>5.4870000000000001</v>
      </c>
      <c r="BO596" s="3">
        <v>6.0839999999999996</v>
      </c>
      <c r="BP596" s="3">
        <f t="shared" si="472"/>
        <v>-0.59699999999999953</v>
      </c>
      <c r="BQ596" s="3">
        <v>-347129.96399999998</v>
      </c>
      <c r="BR596" s="3">
        <v>-346087.64600000001</v>
      </c>
      <c r="BS596" s="3">
        <f t="shared" si="473"/>
        <v>-1042.3179999999702</v>
      </c>
      <c r="BT596" s="3">
        <v>-347152.04599999997</v>
      </c>
      <c r="BU596" s="3">
        <v>-346109.22600000002</v>
      </c>
      <c r="BV596" s="3">
        <f t="shared" si="474"/>
        <v>-1042.8199999999488</v>
      </c>
    </row>
    <row r="597" spans="1:74" x14ac:dyDescent="0.25">
      <c r="A597" t="s">
        <v>671</v>
      </c>
      <c r="B597" s="1" t="s">
        <v>646</v>
      </c>
      <c r="C597" s="1" t="s">
        <v>200</v>
      </c>
      <c r="D597" s="3">
        <v>17.29</v>
      </c>
      <c r="E597" s="3">
        <v>0.7</v>
      </c>
      <c r="F597" s="3">
        <v>-1707.2370000000001</v>
      </c>
      <c r="G597" s="3">
        <v>-1714.075</v>
      </c>
      <c r="H597" s="3">
        <f t="shared" si="436"/>
        <v>-6.8379999999999654</v>
      </c>
      <c r="I597" s="3">
        <v>-0.308</v>
      </c>
      <c r="J597" s="6">
        <v>-0.2</v>
      </c>
      <c r="K597" s="3">
        <f t="shared" si="423"/>
        <v>0.10799999999999998</v>
      </c>
      <c r="L597" s="3">
        <v>9.8000000000000004E-2</v>
      </c>
      <c r="M597" s="6">
        <v>-0.04</v>
      </c>
      <c r="N597" s="3">
        <f t="shared" si="424"/>
        <v>-0.13800000000000001</v>
      </c>
      <c r="O597" s="3">
        <f t="shared" si="478"/>
        <v>0.105</v>
      </c>
      <c r="P597" s="3">
        <f t="shared" si="478"/>
        <v>0.12000000000000001</v>
      </c>
      <c r="Q597" s="3">
        <f t="shared" si="425"/>
        <v>1.5000000000000013E-2</v>
      </c>
      <c r="R597" s="3">
        <f t="shared" si="426"/>
        <v>0.40600000000000003</v>
      </c>
      <c r="S597" s="3">
        <f t="shared" si="427"/>
        <v>0.16</v>
      </c>
      <c r="T597" s="3">
        <f t="shared" si="428"/>
        <v>-0.24600000000000002</v>
      </c>
      <c r="U597" s="3">
        <f t="shared" si="429"/>
        <v>-0.105</v>
      </c>
      <c r="V597" s="3">
        <f t="shared" si="430"/>
        <v>-0.12000000000000001</v>
      </c>
      <c r="W597" s="3">
        <f t="shared" si="464"/>
        <v>-1.5000000000000013E-2</v>
      </c>
      <c r="X597" s="3">
        <f t="shared" si="460"/>
        <v>1.3577586206896549E-2</v>
      </c>
      <c r="Y597" s="3">
        <f t="shared" si="461"/>
        <v>4.5000000000000005E-2</v>
      </c>
      <c r="Z597" s="3">
        <f t="shared" si="431"/>
        <v>3.1422413793103454E-2</v>
      </c>
      <c r="AA597" s="3">
        <v>9.0370000000000008</v>
      </c>
      <c r="AB597" s="3">
        <v>8.4979999999999993</v>
      </c>
      <c r="AC597" s="3">
        <f t="shared" si="432"/>
        <v>-0.53900000000000148</v>
      </c>
      <c r="AD597" s="3">
        <f>-1706.951889*627.50956</f>
        <v>-1071128.6288075587</v>
      </c>
      <c r="AE597" s="3">
        <f>-1713.807061*627.50956</f>
        <v>-1075430.3147730031</v>
      </c>
      <c r="AF597" s="3">
        <f t="shared" si="433"/>
        <v>-4301.685965444427</v>
      </c>
      <c r="AG597" s="3">
        <f>-1707.019601*627.50956</f>
        <v>-1071171.1187348855</v>
      </c>
      <c r="AH597" s="3">
        <f>-1713.878591*627.50956</f>
        <v>-1075475.2005318298</v>
      </c>
      <c r="AI597" s="3">
        <f t="shared" si="434"/>
        <v>-4304.0817969443742</v>
      </c>
      <c r="AJ597" s="3">
        <v>-0.58299999999999996</v>
      </c>
      <c r="AK597" s="3">
        <v>-0.53200000000000003</v>
      </c>
      <c r="AL597" s="3">
        <f t="shared" si="435"/>
        <v>5.0999999999999934E-2</v>
      </c>
      <c r="AM597" s="3">
        <v>325.38</v>
      </c>
      <c r="AN597" s="3">
        <v>339.05169999999998</v>
      </c>
      <c r="AO597" s="3">
        <v>403.45499999999998</v>
      </c>
      <c r="AP597" s="3">
        <f t="shared" si="444"/>
        <v>1.284276321082527</v>
      </c>
      <c r="AQ597" s="3">
        <v>14.243</v>
      </c>
      <c r="AR597" s="3">
        <v>3.2502</v>
      </c>
      <c r="AS597" s="3">
        <v>-553.27200000000005</v>
      </c>
      <c r="AT597" s="3">
        <v>-551.61699999999996</v>
      </c>
      <c r="AU597" s="3">
        <f t="shared" si="479"/>
        <v>-1.6550000000000864</v>
      </c>
      <c r="AV597" s="3">
        <v>-0.23699999999999999</v>
      </c>
      <c r="AW597" s="3">
        <v>-0.36899999999999999</v>
      </c>
      <c r="AX597" s="3">
        <f t="shared" si="467"/>
        <v>0.13200000000000001</v>
      </c>
      <c r="AY597" s="3">
        <v>2.8000000000000001E-2</v>
      </c>
      <c r="AZ597" s="3">
        <v>0.154</v>
      </c>
      <c r="BA597" s="3">
        <f t="shared" si="468"/>
        <v>-0.126</v>
      </c>
      <c r="BB597" s="3">
        <f t="shared" si="475"/>
        <v>0.1045</v>
      </c>
      <c r="BC597" s="3">
        <f t="shared" si="475"/>
        <v>0.1075</v>
      </c>
      <c r="BD597" s="3">
        <f t="shared" si="469"/>
        <v>-3.0000000000000027E-3</v>
      </c>
      <c r="BE597" s="3">
        <f t="shared" si="476"/>
        <v>0.26500000000000001</v>
      </c>
      <c r="BF597" s="3">
        <f t="shared" si="476"/>
        <v>0.52300000000000002</v>
      </c>
      <c r="BG597" s="3">
        <f t="shared" si="470"/>
        <v>-0.25800000000000001</v>
      </c>
      <c r="BH597" s="3">
        <f t="shared" si="477"/>
        <v>-0.1045</v>
      </c>
      <c r="BI597" s="3">
        <f t="shared" si="477"/>
        <v>-0.1075</v>
      </c>
      <c r="BJ597" s="3">
        <f t="shared" si="465"/>
        <v>3.0000000000000027E-3</v>
      </c>
      <c r="BK597" s="3">
        <f t="shared" si="462"/>
        <v>2.0604245283018865E-2</v>
      </c>
      <c r="BL597" s="3">
        <f t="shared" si="463"/>
        <v>1.104804015296367E-2</v>
      </c>
      <c r="BM597" s="3">
        <f t="shared" si="471"/>
        <v>9.5562051300551957E-3</v>
      </c>
      <c r="BN597" s="3">
        <v>5.4870000000000001</v>
      </c>
      <c r="BO597" s="3">
        <v>6.0839999999999996</v>
      </c>
      <c r="BP597" s="3">
        <f t="shared" si="472"/>
        <v>-0.59699999999999953</v>
      </c>
      <c r="BQ597" s="3">
        <v>-347129.96399999998</v>
      </c>
      <c r="BR597" s="3">
        <v>-346087.64600000001</v>
      </c>
      <c r="BS597" s="3">
        <f t="shared" si="473"/>
        <v>-1042.3179999999702</v>
      </c>
      <c r="BT597" s="3">
        <v>-347152.04599999997</v>
      </c>
      <c r="BU597" s="3">
        <v>-346109.22600000002</v>
      </c>
      <c r="BV597" s="3">
        <f t="shared" si="474"/>
        <v>-1042.8199999999488</v>
      </c>
    </row>
    <row r="598" spans="1:74" x14ac:dyDescent="0.25">
      <c r="A598" t="s">
        <v>672</v>
      </c>
      <c r="B598" s="1" t="s">
        <v>646</v>
      </c>
      <c r="C598" s="1" t="s">
        <v>200</v>
      </c>
      <c r="D598" s="3">
        <v>17.329999999999998</v>
      </c>
      <c r="E598" s="3">
        <v>0.74</v>
      </c>
      <c r="F598" s="3">
        <v>-1487.9280000000001</v>
      </c>
      <c r="G598" s="3">
        <v>-1494.056</v>
      </c>
      <c r="H598" s="3">
        <f t="shared" si="436"/>
        <v>-6.1279999999999291</v>
      </c>
      <c r="I598" s="3">
        <v>-0.26800000000000002</v>
      </c>
      <c r="J598" s="6">
        <v>-0.188</v>
      </c>
      <c r="K598" s="3">
        <f t="shared" si="423"/>
        <v>8.0000000000000016E-2</v>
      </c>
      <c r="L598" s="3">
        <v>0.121</v>
      </c>
      <c r="M598" s="6">
        <v>-2.1999999999999999E-2</v>
      </c>
      <c r="N598" s="3">
        <f t="shared" si="424"/>
        <v>-0.14299999999999999</v>
      </c>
      <c r="O598" s="3">
        <f t="shared" si="478"/>
        <v>7.350000000000001E-2</v>
      </c>
      <c r="P598" s="3">
        <f t="shared" si="478"/>
        <v>0.105</v>
      </c>
      <c r="Q598" s="3">
        <f t="shared" si="425"/>
        <v>3.1499999999999986E-2</v>
      </c>
      <c r="R598" s="3">
        <f t="shared" si="426"/>
        <v>0.38900000000000001</v>
      </c>
      <c r="S598" s="3">
        <f t="shared" si="427"/>
        <v>0.16600000000000001</v>
      </c>
      <c r="T598" s="3">
        <f t="shared" si="428"/>
        <v>-0.223</v>
      </c>
      <c r="U598" s="3">
        <f t="shared" si="429"/>
        <v>-7.350000000000001E-2</v>
      </c>
      <c r="V598" s="3">
        <f t="shared" si="430"/>
        <v>-0.105</v>
      </c>
      <c r="W598" s="3">
        <f t="shared" si="464"/>
        <v>-3.1499999999999986E-2</v>
      </c>
      <c r="X598" s="3">
        <f t="shared" si="460"/>
        <v>6.9437660668380478E-3</v>
      </c>
      <c r="Y598" s="3">
        <f t="shared" si="461"/>
        <v>3.3207831325301196E-2</v>
      </c>
      <c r="Z598" s="3">
        <f t="shared" si="431"/>
        <v>2.626406525846315E-2</v>
      </c>
      <c r="AA598" s="3">
        <v>8.5250000000000004</v>
      </c>
      <c r="AB598" s="3">
        <v>7.5129999999999999</v>
      </c>
      <c r="AC598" s="3">
        <f t="shared" si="432"/>
        <v>-1.0120000000000005</v>
      </c>
      <c r="AD598" s="3">
        <f>-1487.767447*627.50956</f>
        <v>-933588.29604929325</v>
      </c>
      <c r="AE598" s="3">
        <f>-1493.906029*627.50956</f>
        <v>-937440.3149391372</v>
      </c>
      <c r="AF598" s="3">
        <f t="shared" si="433"/>
        <v>-3852.0188898439519</v>
      </c>
      <c r="AG598" s="3">
        <f>-1487.82929*627.50956</f>
        <v>-933627.10312301223</v>
      </c>
      <c r="AH598" s="3">
        <f>-1493.970119*627.50956</f>
        <v>-937480.53202683758</v>
      </c>
      <c r="AI598" s="3">
        <f t="shared" si="434"/>
        <v>-3853.4289038253482</v>
      </c>
      <c r="AJ598" s="3">
        <v>-0.877</v>
      </c>
      <c r="AK598" s="3">
        <v>-0.76100000000000001</v>
      </c>
      <c r="AL598" s="3">
        <f t="shared" si="435"/>
        <v>0.11599999999999999</v>
      </c>
      <c r="AM598" s="3">
        <v>291.1902</v>
      </c>
      <c r="AN598" s="3">
        <v>253.24199999999999</v>
      </c>
      <c r="AO598" s="3">
        <v>278.11250000000001</v>
      </c>
      <c r="AP598" s="3">
        <f t="shared" si="444"/>
        <v>1.2292626299477734</v>
      </c>
      <c r="AQ598" s="3">
        <v>12.561</v>
      </c>
      <c r="AR598" s="3">
        <v>3.5277500000000002</v>
      </c>
      <c r="AS598" s="3">
        <v>-553.27200000000005</v>
      </c>
      <c r="AT598" s="3">
        <v>-551.61699999999996</v>
      </c>
      <c r="AU598" s="3">
        <f t="shared" si="479"/>
        <v>-1.6550000000000864</v>
      </c>
      <c r="AV598" s="3">
        <v>-0.23699999999999999</v>
      </c>
      <c r="AW598" s="3">
        <v>-0.36899999999999999</v>
      </c>
      <c r="AX598" s="3">
        <f t="shared" si="467"/>
        <v>0.13200000000000001</v>
      </c>
      <c r="AY598" s="3">
        <v>2.8000000000000001E-2</v>
      </c>
      <c r="AZ598" s="3">
        <v>0.154</v>
      </c>
      <c r="BA598" s="3">
        <f t="shared" si="468"/>
        <v>-0.126</v>
      </c>
      <c r="BB598" s="3">
        <f t="shared" ref="BB598:BC600" si="480">-(AV598+AY598)/2</f>
        <v>0.1045</v>
      </c>
      <c r="BC598" s="3">
        <f t="shared" si="480"/>
        <v>0.1075</v>
      </c>
      <c r="BD598" s="3">
        <f t="shared" si="469"/>
        <v>-3.0000000000000027E-3</v>
      </c>
      <c r="BE598" s="3">
        <f t="shared" ref="BE598:BF600" si="481">AY598-AV598</f>
        <v>0.26500000000000001</v>
      </c>
      <c r="BF598" s="3">
        <f t="shared" si="481"/>
        <v>0.52300000000000002</v>
      </c>
      <c r="BG598" s="3">
        <f t="shared" si="470"/>
        <v>-0.25800000000000001</v>
      </c>
      <c r="BH598" s="3">
        <f t="shared" ref="BH598:BI600" si="482">(AV598+AY598)/2</f>
        <v>-0.1045</v>
      </c>
      <c r="BI598" s="3">
        <f t="shared" si="482"/>
        <v>-0.1075</v>
      </c>
      <c r="BJ598" s="3">
        <f t="shared" si="465"/>
        <v>3.0000000000000027E-3</v>
      </c>
      <c r="BK598" s="3">
        <f t="shared" si="462"/>
        <v>2.0604245283018865E-2</v>
      </c>
      <c r="BL598" s="3">
        <f t="shared" si="463"/>
        <v>1.104804015296367E-2</v>
      </c>
      <c r="BM598" s="3">
        <f t="shared" si="471"/>
        <v>9.5562051300551957E-3</v>
      </c>
      <c r="BN598" s="3">
        <v>5.4870000000000001</v>
      </c>
      <c r="BO598" s="3">
        <v>6.0839999999999996</v>
      </c>
      <c r="BP598" s="3">
        <f t="shared" si="472"/>
        <v>-0.59699999999999953</v>
      </c>
      <c r="BQ598" s="3">
        <v>-347129.96399999998</v>
      </c>
      <c r="BR598" s="3">
        <v>-346087.64600000001</v>
      </c>
      <c r="BS598" s="3">
        <f t="shared" si="473"/>
        <v>-1042.3179999999702</v>
      </c>
      <c r="BT598" s="3">
        <v>-347152.04599999997</v>
      </c>
      <c r="BU598" s="3">
        <v>-346109.22600000002</v>
      </c>
      <c r="BV598" s="3">
        <f t="shared" si="474"/>
        <v>-1042.8199999999488</v>
      </c>
    </row>
    <row r="599" spans="1:74" x14ac:dyDescent="0.25">
      <c r="A599" t="s">
        <v>673</v>
      </c>
      <c r="B599" s="1" t="s">
        <v>646</v>
      </c>
      <c r="C599" s="1" t="s">
        <v>200</v>
      </c>
      <c r="D599" s="3">
        <v>17.36</v>
      </c>
      <c r="E599" s="3">
        <v>0.71</v>
      </c>
      <c r="F599" s="3">
        <v>-1476.454</v>
      </c>
      <c r="G599" s="3">
        <v>-1481.741</v>
      </c>
      <c r="H599" s="3">
        <f t="shared" si="436"/>
        <v>-5.2870000000000346</v>
      </c>
      <c r="I599" s="3">
        <v>-0.313</v>
      </c>
      <c r="J599" s="6">
        <v>-0.188</v>
      </c>
      <c r="K599" s="3">
        <f t="shared" si="423"/>
        <v>0.125</v>
      </c>
      <c r="L599" s="3">
        <v>0.09</v>
      </c>
      <c r="M599" s="6">
        <v>-4.7E-2</v>
      </c>
      <c r="N599" s="3">
        <f t="shared" si="424"/>
        <v>-0.13700000000000001</v>
      </c>
      <c r="O599" s="3">
        <f t="shared" si="478"/>
        <v>0.1115</v>
      </c>
      <c r="P599" s="3">
        <f t="shared" si="478"/>
        <v>0.11749999999999999</v>
      </c>
      <c r="Q599" s="3">
        <f t="shared" si="425"/>
        <v>5.9999999999999915E-3</v>
      </c>
      <c r="R599" s="3">
        <f t="shared" si="426"/>
        <v>0.40300000000000002</v>
      </c>
      <c r="S599" s="3">
        <f t="shared" si="427"/>
        <v>0.14100000000000001</v>
      </c>
      <c r="T599" s="3">
        <f t="shared" si="428"/>
        <v>-0.26200000000000001</v>
      </c>
      <c r="U599" s="3">
        <f t="shared" si="429"/>
        <v>-0.1115</v>
      </c>
      <c r="V599" s="3">
        <f t="shared" si="430"/>
        <v>-0.11749999999999999</v>
      </c>
      <c r="W599" s="3">
        <f t="shared" si="464"/>
        <v>-5.9999999999999915E-3</v>
      </c>
      <c r="X599" s="3">
        <f t="shared" si="460"/>
        <v>1.5424627791563275E-2</v>
      </c>
      <c r="Y599" s="3">
        <f t="shared" si="461"/>
        <v>4.8958333333333326E-2</v>
      </c>
      <c r="Z599" s="3">
        <f t="shared" si="431"/>
        <v>3.3533705541770049E-2</v>
      </c>
      <c r="AA599" s="3">
        <v>9.4220000000000006</v>
      </c>
      <c r="AB599" s="3">
        <v>8.5410000000000004</v>
      </c>
      <c r="AC599" s="3">
        <f t="shared" si="432"/>
        <v>-0.88100000000000023</v>
      </c>
      <c r="AD599" s="3">
        <f>-1476.284599*627.50956</f>
        <v>-926382.69915326638</v>
      </c>
      <c r="AE599" s="3">
        <f>-1481.582081*627.50956</f>
        <v>-929706.91975219431</v>
      </c>
      <c r="AF599" s="3">
        <f t="shared" si="433"/>
        <v>-3324.2205989279319</v>
      </c>
      <c r="AG599" s="3">
        <f>-1476.338211*627.50956</f>
        <v>-926416.34119579708</v>
      </c>
      <c r="AH599" s="3">
        <f>-1481.63907*627.50956</f>
        <v>-929742.68089450907</v>
      </c>
      <c r="AI599" s="3">
        <f t="shared" si="434"/>
        <v>-3326.3396987119922</v>
      </c>
      <c r="AJ599" s="3">
        <v>-5.1999999999999998E-2</v>
      </c>
      <c r="AK599" s="3">
        <v>-7.9000000000000001E-2</v>
      </c>
      <c r="AL599" s="3">
        <f t="shared" si="435"/>
        <v>-2.7000000000000003E-2</v>
      </c>
      <c r="AM599" s="3">
        <v>247.2681</v>
      </c>
      <c r="AN599" s="3">
        <v>248.50899999999999</v>
      </c>
      <c r="AO599" s="3">
        <v>276.0256</v>
      </c>
      <c r="AP599" s="3">
        <f t="shared" si="444"/>
        <v>1.2123606459307357</v>
      </c>
      <c r="AQ599" s="3">
        <v>11.962</v>
      </c>
      <c r="AR599" s="3">
        <v>2.5937000000000001</v>
      </c>
      <c r="AS599" s="3">
        <v>-553.27200000000005</v>
      </c>
      <c r="AT599" s="3">
        <v>-551.61699999999996</v>
      </c>
      <c r="AU599" s="3">
        <f t="shared" si="479"/>
        <v>-1.6550000000000864</v>
      </c>
      <c r="AV599" s="3">
        <v>-0.23699999999999999</v>
      </c>
      <c r="AW599" s="3">
        <v>-0.36899999999999999</v>
      </c>
      <c r="AX599" s="3">
        <f t="shared" si="467"/>
        <v>0.13200000000000001</v>
      </c>
      <c r="AY599" s="3">
        <v>2.8000000000000001E-2</v>
      </c>
      <c r="AZ599" s="3">
        <v>0.154</v>
      </c>
      <c r="BA599" s="3">
        <f t="shared" si="468"/>
        <v>-0.126</v>
      </c>
      <c r="BB599" s="3">
        <f t="shared" si="480"/>
        <v>0.1045</v>
      </c>
      <c r="BC599" s="3">
        <f t="shared" si="480"/>
        <v>0.1075</v>
      </c>
      <c r="BD599" s="3">
        <f t="shared" si="469"/>
        <v>-3.0000000000000027E-3</v>
      </c>
      <c r="BE599" s="3">
        <f t="shared" si="481"/>
        <v>0.26500000000000001</v>
      </c>
      <c r="BF599" s="3">
        <f t="shared" si="481"/>
        <v>0.52300000000000002</v>
      </c>
      <c r="BG599" s="3">
        <f t="shared" si="470"/>
        <v>-0.25800000000000001</v>
      </c>
      <c r="BH599" s="3">
        <f t="shared" si="482"/>
        <v>-0.1045</v>
      </c>
      <c r="BI599" s="3">
        <f t="shared" si="482"/>
        <v>-0.1075</v>
      </c>
      <c r="BJ599" s="3">
        <f t="shared" si="465"/>
        <v>3.0000000000000027E-3</v>
      </c>
      <c r="BK599" s="3">
        <f t="shared" si="462"/>
        <v>2.0604245283018865E-2</v>
      </c>
      <c r="BL599" s="3">
        <f t="shared" si="463"/>
        <v>1.104804015296367E-2</v>
      </c>
      <c r="BM599" s="3">
        <f t="shared" si="471"/>
        <v>9.5562051300551957E-3</v>
      </c>
      <c r="BN599" s="3">
        <v>5.4870000000000001</v>
      </c>
      <c r="BO599" s="3">
        <v>6.0839999999999996</v>
      </c>
      <c r="BP599" s="3">
        <f t="shared" si="472"/>
        <v>-0.59699999999999953</v>
      </c>
      <c r="BQ599" s="3">
        <v>-347129.96399999998</v>
      </c>
      <c r="BR599" s="3">
        <v>-346087.64600000001</v>
      </c>
      <c r="BS599" s="3">
        <f t="shared" si="473"/>
        <v>-1042.3179999999702</v>
      </c>
      <c r="BT599" s="3">
        <v>-347152.04599999997</v>
      </c>
      <c r="BU599" s="3">
        <v>-346109.22600000002</v>
      </c>
      <c r="BV599" s="3">
        <f t="shared" si="474"/>
        <v>-1042.8199999999488</v>
      </c>
    </row>
    <row r="600" spans="1:74" x14ac:dyDescent="0.25">
      <c r="A600" s="2" t="s">
        <v>674</v>
      </c>
      <c r="B600" s="1" t="s">
        <v>646</v>
      </c>
      <c r="C600" s="1" t="s">
        <v>200</v>
      </c>
      <c r="D600" s="3">
        <v>17.46</v>
      </c>
      <c r="E600" s="3">
        <v>0.65</v>
      </c>
      <c r="F600" s="3">
        <v>-724.41899999999998</v>
      </c>
      <c r="G600" s="3">
        <v>-728.976</v>
      </c>
      <c r="H600" s="3">
        <f t="shared" si="436"/>
        <v>-4.5570000000000164</v>
      </c>
      <c r="I600" s="3">
        <v>-0.27600000000000002</v>
      </c>
      <c r="J600" s="6">
        <v>-0.183</v>
      </c>
      <c r="K600" s="3">
        <f t="shared" si="423"/>
        <v>9.3000000000000027E-2</v>
      </c>
      <c r="L600" s="3">
        <v>0.104</v>
      </c>
      <c r="M600" s="6">
        <v>-3.5000000000000003E-2</v>
      </c>
      <c r="N600" s="3">
        <f t="shared" si="424"/>
        <v>-0.13900000000000001</v>
      </c>
      <c r="O600" s="3">
        <f t="shared" si="478"/>
        <v>8.6000000000000021E-2</v>
      </c>
      <c r="P600" s="3">
        <f t="shared" si="478"/>
        <v>0.109</v>
      </c>
      <c r="Q600" s="3">
        <f t="shared" si="425"/>
        <v>2.2999999999999979E-2</v>
      </c>
      <c r="R600" s="3">
        <f t="shared" si="426"/>
        <v>0.38</v>
      </c>
      <c r="S600" s="3">
        <f t="shared" si="427"/>
        <v>0.14799999999999999</v>
      </c>
      <c r="T600" s="3">
        <f t="shared" si="428"/>
        <v>-0.23200000000000001</v>
      </c>
      <c r="U600" s="3">
        <f t="shared" si="429"/>
        <v>-8.6000000000000021E-2</v>
      </c>
      <c r="V600" s="3">
        <f t="shared" si="430"/>
        <v>-0.109</v>
      </c>
      <c r="W600" s="3">
        <f t="shared" si="464"/>
        <v>-2.2999999999999979E-2</v>
      </c>
      <c r="X600" s="3">
        <f t="shared" si="460"/>
        <v>9.7315789473684244E-3</v>
      </c>
      <c r="Y600" s="3">
        <f t="shared" si="461"/>
        <v>4.013851351351351E-2</v>
      </c>
      <c r="Z600" s="3">
        <f t="shared" si="431"/>
        <v>3.0406934566145086E-2</v>
      </c>
      <c r="AA600" s="3">
        <v>14.092000000000001</v>
      </c>
      <c r="AB600" s="3">
        <v>12.803000000000001</v>
      </c>
      <c r="AC600" s="3">
        <f t="shared" si="432"/>
        <v>-1.2889999999999997</v>
      </c>
      <c r="AD600" s="3">
        <f>-724.175254*627.50956</f>
        <v>-454426.89500042819</v>
      </c>
      <c r="AE600" s="3">
        <f>-728.746518*627.50956</f>
        <v>-457295.40686171205</v>
      </c>
      <c r="AF600" s="3">
        <f t="shared" si="433"/>
        <v>-2868.511861283856</v>
      </c>
      <c r="AG600" s="3">
        <f>-724.23034*627.50956</f>
        <v>-454461.46199205035</v>
      </c>
      <c r="AH600" s="3">
        <f>-728.802996*627.50956</f>
        <v>-457330.84734664176</v>
      </c>
      <c r="AI600" s="3">
        <f t="shared" si="434"/>
        <v>-2869.3853545914171</v>
      </c>
      <c r="AJ600" s="3">
        <v>-0.63300000000000001</v>
      </c>
      <c r="AK600" s="3">
        <v>-0.50900000000000001</v>
      </c>
      <c r="AL600" s="3">
        <f t="shared" si="435"/>
        <v>0.124</v>
      </c>
      <c r="AM600" s="3">
        <v>223.2466</v>
      </c>
      <c r="AN600" s="3">
        <v>275.78469999999999</v>
      </c>
      <c r="AO600" s="3">
        <v>321.4126</v>
      </c>
      <c r="AP600" s="3">
        <f t="shared" si="444"/>
        <v>1.215581794467256</v>
      </c>
      <c r="AQ600" s="3">
        <v>10.397</v>
      </c>
      <c r="AR600" s="3">
        <v>2.8048999999999999</v>
      </c>
      <c r="AS600" s="3">
        <v>-553.27200000000005</v>
      </c>
      <c r="AT600" s="3">
        <v>-551.61699999999996</v>
      </c>
      <c r="AU600" s="3">
        <f t="shared" si="479"/>
        <v>-1.6550000000000864</v>
      </c>
      <c r="AV600" s="3">
        <v>-0.23699999999999999</v>
      </c>
      <c r="AW600" s="3">
        <v>-0.36899999999999999</v>
      </c>
      <c r="AX600" s="3">
        <f t="shared" si="467"/>
        <v>0.13200000000000001</v>
      </c>
      <c r="AY600" s="3">
        <v>2.8000000000000001E-2</v>
      </c>
      <c r="AZ600" s="3">
        <v>0.154</v>
      </c>
      <c r="BA600" s="3">
        <f t="shared" si="468"/>
        <v>-0.126</v>
      </c>
      <c r="BB600" s="3">
        <f t="shared" si="480"/>
        <v>0.1045</v>
      </c>
      <c r="BC600" s="3">
        <f t="shared" si="480"/>
        <v>0.1075</v>
      </c>
      <c r="BD600" s="3">
        <f t="shared" si="469"/>
        <v>-3.0000000000000027E-3</v>
      </c>
      <c r="BE600" s="3">
        <f t="shared" si="481"/>
        <v>0.26500000000000001</v>
      </c>
      <c r="BF600" s="3">
        <f t="shared" si="481"/>
        <v>0.52300000000000002</v>
      </c>
      <c r="BG600" s="3">
        <f t="shared" si="470"/>
        <v>-0.25800000000000001</v>
      </c>
      <c r="BH600" s="3">
        <f t="shared" si="482"/>
        <v>-0.1045</v>
      </c>
      <c r="BI600" s="3">
        <f t="shared" si="482"/>
        <v>-0.1075</v>
      </c>
      <c r="BJ600" s="3">
        <f t="shared" si="465"/>
        <v>3.0000000000000027E-3</v>
      </c>
      <c r="BK600" s="3">
        <f t="shared" si="462"/>
        <v>2.0604245283018865E-2</v>
      </c>
      <c r="BL600" s="3">
        <f t="shared" si="463"/>
        <v>1.104804015296367E-2</v>
      </c>
      <c r="BM600" s="3">
        <f t="shared" si="471"/>
        <v>9.5562051300551957E-3</v>
      </c>
      <c r="BN600" s="3">
        <v>5.4870000000000001</v>
      </c>
      <c r="BO600" s="3">
        <v>6.0839999999999996</v>
      </c>
      <c r="BP600" s="3">
        <f t="shared" si="472"/>
        <v>-0.59699999999999953</v>
      </c>
      <c r="BQ600" s="3">
        <v>-347129.96399999998</v>
      </c>
      <c r="BR600" s="3">
        <v>-346087.64600000001</v>
      </c>
      <c r="BS600" s="3">
        <f t="shared" si="473"/>
        <v>-1042.3179999999702</v>
      </c>
      <c r="BT600" s="3">
        <v>-347152.04599999997</v>
      </c>
      <c r="BU600" s="3">
        <v>-346109.22600000002</v>
      </c>
      <c r="BV600" s="3">
        <f t="shared" si="474"/>
        <v>-1042.8199999999488</v>
      </c>
    </row>
    <row r="601" spans="1:74" x14ac:dyDescent="0.25">
      <c r="A601" t="s">
        <v>675</v>
      </c>
      <c r="B601" s="1" t="s">
        <v>646</v>
      </c>
      <c r="C601" s="1" t="s">
        <v>200</v>
      </c>
      <c r="D601" s="3">
        <v>19.579999999999998</v>
      </c>
      <c r="E601" s="3">
        <v>0.73</v>
      </c>
      <c r="F601" s="3">
        <v>-496.30500000000001</v>
      </c>
      <c r="G601" s="3">
        <v>-499.31900000000002</v>
      </c>
      <c r="H601" s="3">
        <f t="shared" si="436"/>
        <v>-3.01400000000001</v>
      </c>
      <c r="I601" s="3">
        <v>-0.26</v>
      </c>
      <c r="J601" s="6">
        <v>-0.16700000000000001</v>
      </c>
      <c r="K601" s="3">
        <f t="shared" si="423"/>
        <v>9.2999999999999999E-2</v>
      </c>
      <c r="L601" s="3">
        <v>0.16300000000000001</v>
      </c>
      <c r="M601" s="6">
        <v>2.5000000000000001E-2</v>
      </c>
      <c r="N601" s="3">
        <f t="shared" si="424"/>
        <v>-0.13800000000000001</v>
      </c>
      <c r="O601" s="3">
        <f t="shared" si="478"/>
        <v>4.8500000000000001E-2</v>
      </c>
      <c r="P601" s="3">
        <f t="shared" si="478"/>
        <v>7.1000000000000008E-2</v>
      </c>
      <c r="Q601" s="3">
        <f t="shared" si="425"/>
        <v>2.2500000000000006E-2</v>
      </c>
      <c r="R601" s="3">
        <f t="shared" si="426"/>
        <v>0.42300000000000004</v>
      </c>
      <c r="S601" s="3">
        <f t="shared" si="427"/>
        <v>0.192</v>
      </c>
      <c r="T601" s="3">
        <f t="shared" si="428"/>
        <v>-0.23100000000000004</v>
      </c>
      <c r="U601" s="3">
        <f t="shared" si="429"/>
        <v>-4.8500000000000001E-2</v>
      </c>
      <c r="V601" s="3">
        <f t="shared" si="430"/>
        <v>-7.1000000000000008E-2</v>
      </c>
      <c r="W601" s="3">
        <f t="shared" si="464"/>
        <v>-2.2500000000000006E-2</v>
      </c>
      <c r="X601" s="3">
        <f t="shared" si="460"/>
        <v>2.7804373522458629E-3</v>
      </c>
      <c r="Y601" s="3">
        <f t="shared" si="461"/>
        <v>1.3127604166666669E-2</v>
      </c>
      <c r="Z601" s="3">
        <f t="shared" si="431"/>
        <v>1.0347166814420806E-2</v>
      </c>
      <c r="AA601" s="3">
        <v>9.1560000000000006</v>
      </c>
      <c r="AB601" s="3">
        <v>8.3550000000000004</v>
      </c>
      <c r="AC601" s="3">
        <f t="shared" si="432"/>
        <v>-0.80100000000000016</v>
      </c>
      <c r="AD601" s="3">
        <f>-496.111112*627.50956</f>
        <v>-311314.46560223069</v>
      </c>
      <c r="AE601" s="3">
        <f>-499.136528*627.50956</f>
        <v>-313212.94306520768</v>
      </c>
      <c r="AF601" s="3">
        <f t="shared" si="433"/>
        <v>-1898.4774629769963</v>
      </c>
      <c r="AG601" s="3">
        <f>-496.161018*627.50956</f>
        <v>-311345.7820943321</v>
      </c>
      <c r="AH601" s="3">
        <f>-499.188356*627.50956</f>
        <v>-313245.46563068335</v>
      </c>
      <c r="AI601" s="3">
        <f t="shared" si="434"/>
        <v>-1899.683536351251</v>
      </c>
      <c r="AJ601" s="3">
        <v>-0.49299999999999999</v>
      </c>
      <c r="AK601" s="3">
        <v>-0.36899999999999999</v>
      </c>
      <c r="AL601" s="3">
        <f t="shared" si="435"/>
        <v>0.124</v>
      </c>
      <c r="AM601" s="3">
        <v>143.16040000000001</v>
      </c>
      <c r="AN601" s="3">
        <v>211.24879999999999</v>
      </c>
      <c r="AO601" s="3">
        <v>225.14570000000001</v>
      </c>
      <c r="AP601" s="3">
        <f t="shared" si="444"/>
        <v>1.180522937284348</v>
      </c>
      <c r="AQ601" s="3">
        <v>10.247999999999999</v>
      </c>
      <c r="AR601" s="3">
        <v>2.3858999999999999</v>
      </c>
      <c r="AS601" s="3">
        <v>-553.27200000000005</v>
      </c>
      <c r="AT601" s="3">
        <v>-551.61699999999996</v>
      </c>
      <c r="AU601" s="3">
        <f t="shared" si="479"/>
        <v>-1.6550000000000864</v>
      </c>
      <c r="AV601" s="3">
        <v>-0.23699999999999999</v>
      </c>
      <c r="AW601" s="3">
        <v>-0.36899999999999999</v>
      </c>
      <c r="AX601" s="3">
        <f t="shared" si="467"/>
        <v>0.13200000000000001</v>
      </c>
      <c r="AY601" s="3">
        <v>2.8000000000000001E-2</v>
      </c>
      <c r="AZ601" s="3">
        <v>0.154</v>
      </c>
      <c r="BA601" s="3">
        <f t="shared" si="468"/>
        <v>-0.126</v>
      </c>
      <c r="BB601" s="3">
        <f t="shared" ref="BB601:BC611" si="483">-(AV601+AY601)/2</f>
        <v>0.1045</v>
      </c>
      <c r="BC601" s="3">
        <f t="shared" si="483"/>
        <v>0.1075</v>
      </c>
      <c r="BD601" s="3">
        <f t="shared" si="469"/>
        <v>-3.0000000000000027E-3</v>
      </c>
      <c r="BE601" s="3">
        <f t="shared" ref="BE601:BF611" si="484">AY601-AV601</f>
        <v>0.26500000000000001</v>
      </c>
      <c r="BF601" s="3">
        <f t="shared" si="484"/>
        <v>0.52300000000000002</v>
      </c>
      <c r="BG601" s="3">
        <f t="shared" si="470"/>
        <v>-0.25800000000000001</v>
      </c>
      <c r="BH601" s="3">
        <f t="shared" ref="BH601:BI611" si="485">(AV601+AY601)/2</f>
        <v>-0.1045</v>
      </c>
      <c r="BI601" s="3">
        <f t="shared" si="485"/>
        <v>-0.1075</v>
      </c>
      <c r="BJ601" s="3">
        <f t="shared" si="465"/>
        <v>3.0000000000000027E-3</v>
      </c>
      <c r="BK601" s="3">
        <f t="shared" si="462"/>
        <v>2.0604245283018865E-2</v>
      </c>
      <c r="BL601" s="3">
        <f t="shared" si="463"/>
        <v>1.104804015296367E-2</v>
      </c>
      <c r="BM601" s="3">
        <f t="shared" si="471"/>
        <v>9.5562051300551957E-3</v>
      </c>
      <c r="BN601" s="3">
        <v>5.4870000000000001</v>
      </c>
      <c r="BO601" s="3">
        <v>6.0839999999999996</v>
      </c>
      <c r="BP601" s="3">
        <f t="shared" si="472"/>
        <v>-0.59699999999999953</v>
      </c>
      <c r="BQ601" s="3">
        <v>-347129.96399999998</v>
      </c>
      <c r="BR601" s="3">
        <v>-346087.64600000001</v>
      </c>
      <c r="BS601" s="3">
        <f t="shared" si="473"/>
        <v>-1042.3179999999702</v>
      </c>
      <c r="BT601" s="3">
        <v>-347152.04599999997</v>
      </c>
      <c r="BU601" s="3">
        <v>-346109.22600000002</v>
      </c>
      <c r="BV601" s="3">
        <f t="shared" si="474"/>
        <v>-1042.8199999999488</v>
      </c>
    </row>
    <row r="602" spans="1:74" x14ac:dyDescent="0.25">
      <c r="A602" t="s">
        <v>676</v>
      </c>
      <c r="B602" s="1" t="s">
        <v>646</v>
      </c>
      <c r="C602" s="1" t="s">
        <v>200</v>
      </c>
      <c r="D602" s="3">
        <v>19.61</v>
      </c>
      <c r="E602" s="3">
        <v>0.6</v>
      </c>
      <c r="F602" s="3">
        <v>-603.62800000000004</v>
      </c>
      <c r="G602" s="3">
        <v>-607.30899999999997</v>
      </c>
      <c r="H602" s="3">
        <f t="shared" si="436"/>
        <v>-3.6809999999999263</v>
      </c>
      <c r="I602" s="3">
        <v>-0.23</v>
      </c>
      <c r="J602" s="6">
        <v>-0.16600000000000001</v>
      </c>
      <c r="K602" s="3">
        <f t="shared" si="423"/>
        <v>6.4000000000000001E-2</v>
      </c>
      <c r="L602" s="3">
        <v>7.1999999999999995E-2</v>
      </c>
      <c r="M602" s="6">
        <v>-6.7000000000000004E-2</v>
      </c>
      <c r="N602" s="3">
        <f t="shared" si="424"/>
        <v>-0.13900000000000001</v>
      </c>
      <c r="O602" s="3">
        <f t="shared" si="478"/>
        <v>7.9000000000000015E-2</v>
      </c>
      <c r="P602" s="3">
        <f t="shared" si="478"/>
        <v>0.11650000000000001</v>
      </c>
      <c r="Q602" s="3">
        <f t="shared" si="425"/>
        <v>3.7499999999999992E-2</v>
      </c>
      <c r="R602" s="3">
        <f t="shared" si="426"/>
        <v>0.30199999999999999</v>
      </c>
      <c r="S602" s="3">
        <f t="shared" si="427"/>
        <v>9.9000000000000005E-2</v>
      </c>
      <c r="T602" s="3">
        <f t="shared" si="428"/>
        <v>-0.20299999999999999</v>
      </c>
      <c r="U602" s="3">
        <f t="shared" si="429"/>
        <v>-7.9000000000000015E-2</v>
      </c>
      <c r="V602" s="3">
        <f t="shared" si="430"/>
        <v>-0.11650000000000001</v>
      </c>
      <c r="W602" s="3">
        <f t="shared" si="464"/>
        <v>-3.7499999999999992E-2</v>
      </c>
      <c r="X602" s="3">
        <f t="shared" si="460"/>
        <v>1.0332781456953648E-2</v>
      </c>
      <c r="Y602" s="3">
        <f t="shared" si="461"/>
        <v>6.8546717171717175E-2</v>
      </c>
      <c r="Z602" s="3">
        <f t="shared" si="431"/>
        <v>5.8213935714763528E-2</v>
      </c>
      <c r="AA602" s="3">
        <v>4.702</v>
      </c>
      <c r="AB602" s="3">
        <v>5.0339999999999998</v>
      </c>
      <c r="AC602" s="3">
        <f t="shared" si="432"/>
        <v>0.33199999999999985</v>
      </c>
      <c r="AD602" s="3">
        <f>-603.462217*627.50956</f>
        <v>-378678.31026629452</v>
      </c>
      <c r="AE602" s="3">
        <f>-607.152904*627.50956</f>
        <v>-380994.25164176227</v>
      </c>
      <c r="AF602" s="3">
        <f t="shared" si="433"/>
        <v>-2315.9413754677516</v>
      </c>
      <c r="AG602" s="3">
        <f>-603.511186*627.50956</f>
        <v>-378709.03878193808</v>
      </c>
      <c r="AH602" s="3">
        <f>-607.2031*627.50956</f>
        <v>-381025.75011163595</v>
      </c>
      <c r="AI602" s="3">
        <f t="shared" si="434"/>
        <v>-2316.7113296978641</v>
      </c>
      <c r="AJ602" s="3">
        <v>-0.48699999999999999</v>
      </c>
      <c r="AK602" s="3">
        <v>-0.57399999999999995</v>
      </c>
      <c r="AL602" s="3">
        <f t="shared" si="435"/>
        <v>-8.6999999999999966E-2</v>
      </c>
      <c r="AM602" s="3">
        <v>175.16399999999999</v>
      </c>
      <c r="AN602" s="3">
        <v>218.76849999999999</v>
      </c>
      <c r="AO602" s="3">
        <v>235.72800000000001</v>
      </c>
      <c r="AP602" s="3">
        <f t="shared" si="444"/>
        <v>1.1856776270476999</v>
      </c>
      <c r="AQ602" s="5">
        <v>11.157</v>
      </c>
      <c r="AR602" s="3">
        <v>2.9214000000000002</v>
      </c>
      <c r="AS602" s="3">
        <v>-553.27200000000005</v>
      </c>
      <c r="AT602" s="3">
        <v>-551.61699999999996</v>
      </c>
      <c r="AU602" s="3">
        <f t="shared" si="479"/>
        <v>-1.6550000000000864</v>
      </c>
      <c r="AV602" s="3">
        <v>-0.23699999999999999</v>
      </c>
      <c r="AW602" s="3">
        <v>-0.36899999999999999</v>
      </c>
      <c r="AX602" s="3">
        <f t="shared" si="467"/>
        <v>0.13200000000000001</v>
      </c>
      <c r="AY602" s="3">
        <v>2.8000000000000001E-2</v>
      </c>
      <c r="AZ602" s="3">
        <v>0.154</v>
      </c>
      <c r="BA602" s="3">
        <f t="shared" si="468"/>
        <v>-0.126</v>
      </c>
      <c r="BB602" s="3">
        <f t="shared" si="483"/>
        <v>0.1045</v>
      </c>
      <c r="BC602" s="3">
        <f t="shared" si="483"/>
        <v>0.1075</v>
      </c>
      <c r="BD602" s="3">
        <f t="shared" si="469"/>
        <v>-3.0000000000000027E-3</v>
      </c>
      <c r="BE602" s="3">
        <f t="shared" si="484"/>
        <v>0.26500000000000001</v>
      </c>
      <c r="BF602" s="3">
        <f t="shared" si="484"/>
        <v>0.52300000000000002</v>
      </c>
      <c r="BG602" s="3">
        <f t="shared" si="470"/>
        <v>-0.25800000000000001</v>
      </c>
      <c r="BH602" s="3">
        <f t="shared" si="485"/>
        <v>-0.1045</v>
      </c>
      <c r="BI602" s="3">
        <f t="shared" si="485"/>
        <v>-0.1075</v>
      </c>
      <c r="BJ602" s="3">
        <f t="shared" si="465"/>
        <v>3.0000000000000027E-3</v>
      </c>
      <c r="BK602" s="3">
        <f t="shared" si="462"/>
        <v>2.0604245283018865E-2</v>
      </c>
      <c r="BL602" s="3">
        <f t="shared" si="463"/>
        <v>1.104804015296367E-2</v>
      </c>
      <c r="BM602" s="3">
        <f t="shared" si="471"/>
        <v>9.5562051300551957E-3</v>
      </c>
      <c r="BN602" s="3">
        <v>5.4870000000000001</v>
      </c>
      <c r="BO602" s="3">
        <v>6.0839999999999996</v>
      </c>
      <c r="BP602" s="3">
        <f t="shared" si="472"/>
        <v>-0.59699999999999953</v>
      </c>
      <c r="BQ602" s="3">
        <v>-347129.96399999998</v>
      </c>
      <c r="BR602" s="3">
        <v>-346087.64600000001</v>
      </c>
      <c r="BS602" s="3">
        <f t="shared" si="473"/>
        <v>-1042.3179999999702</v>
      </c>
      <c r="BT602" s="3">
        <v>-347152.04599999997</v>
      </c>
      <c r="BU602" s="3">
        <v>-346109.22600000002</v>
      </c>
      <c r="BV602" s="3">
        <f t="shared" si="474"/>
        <v>-1042.8199999999488</v>
      </c>
    </row>
    <row r="603" spans="1:74" x14ac:dyDescent="0.25">
      <c r="A603" t="s">
        <v>677</v>
      </c>
      <c r="B603" s="1" t="s">
        <v>646</v>
      </c>
      <c r="C603" s="1" t="s">
        <v>200</v>
      </c>
      <c r="D603" s="3">
        <v>19.62</v>
      </c>
      <c r="E603" s="3">
        <v>0.67</v>
      </c>
      <c r="F603" s="3">
        <v>-397.20800000000003</v>
      </c>
      <c r="G603" s="3">
        <v>-399.57</v>
      </c>
      <c r="H603" s="3">
        <f t="shared" si="436"/>
        <v>-2.3619999999999663</v>
      </c>
      <c r="I603" s="3">
        <v>-0.28000000000000003</v>
      </c>
      <c r="J603" s="6">
        <v>-0.18</v>
      </c>
      <c r="K603" s="3">
        <f t="shared" si="423"/>
        <v>0.10000000000000003</v>
      </c>
      <c r="L603" s="3">
        <v>0.17</v>
      </c>
      <c r="M603" s="6">
        <v>4.1000000000000002E-2</v>
      </c>
      <c r="N603" s="3">
        <f t="shared" si="424"/>
        <v>-0.129</v>
      </c>
      <c r="O603" s="3">
        <f t="shared" si="478"/>
        <v>5.5000000000000007E-2</v>
      </c>
      <c r="P603" s="3">
        <f t="shared" si="478"/>
        <v>6.9499999999999992E-2</v>
      </c>
      <c r="Q603" s="3">
        <f t="shared" si="425"/>
        <v>1.4499999999999985E-2</v>
      </c>
      <c r="R603" s="3">
        <f t="shared" si="426"/>
        <v>0.45000000000000007</v>
      </c>
      <c r="S603" s="3">
        <f t="shared" si="427"/>
        <v>0.221</v>
      </c>
      <c r="T603" s="3">
        <f t="shared" si="428"/>
        <v>-0.22900000000000006</v>
      </c>
      <c r="U603" s="3">
        <f t="shared" si="429"/>
        <v>-5.5000000000000007E-2</v>
      </c>
      <c r="V603" s="3">
        <f t="shared" si="430"/>
        <v>-6.9499999999999992E-2</v>
      </c>
      <c r="W603" s="3">
        <f t="shared" si="464"/>
        <v>-1.4499999999999985E-2</v>
      </c>
      <c r="X603" s="3">
        <f t="shared" si="460"/>
        <v>3.3611111111111116E-3</v>
      </c>
      <c r="Y603" s="3">
        <f t="shared" si="461"/>
        <v>1.0928167420814476E-2</v>
      </c>
      <c r="Z603" s="3">
        <f t="shared" si="431"/>
        <v>7.5670563097033645E-3</v>
      </c>
      <c r="AA603" s="3">
        <v>6.5229999999999997</v>
      </c>
      <c r="AB603" s="3">
        <v>5.9630000000000001</v>
      </c>
      <c r="AC603" s="3">
        <f t="shared" si="432"/>
        <v>-0.55999999999999961</v>
      </c>
      <c r="AD603" s="3">
        <f>-397.087877*627.50956</f>
        <v>-249176.43897760409</v>
      </c>
      <c r="AE603" s="3">
        <f>-399.457439*627.50956</f>
        <v>-250663.36178561684</v>
      </c>
      <c r="AF603" s="3">
        <f t="shared" si="433"/>
        <v>-1486.9228080127505</v>
      </c>
      <c r="AG603" s="3">
        <f>-397.130846*627.50956</f>
        <v>-249203.40243588775</v>
      </c>
      <c r="AH603" s="3">
        <f>-399.501093*627.50956</f>
        <v>-250690.75508794907</v>
      </c>
      <c r="AI603" s="3">
        <f t="shared" si="434"/>
        <v>-1487.3526520613232</v>
      </c>
      <c r="AJ603" s="3">
        <v>-0.77200000000000002</v>
      </c>
      <c r="AK603" s="3">
        <v>-0.68700000000000006</v>
      </c>
      <c r="AL603" s="3">
        <f t="shared" si="435"/>
        <v>8.4999999999999964E-2</v>
      </c>
      <c r="AM603" s="3">
        <v>112.1066</v>
      </c>
      <c r="AN603" s="3">
        <v>166.44900000000001</v>
      </c>
      <c r="AO603" s="3">
        <v>165.18039999999999</v>
      </c>
      <c r="AP603" s="3">
        <f t="shared" si="444"/>
        <v>1.1434876147421491</v>
      </c>
      <c r="AQ603" s="3">
        <v>8.5079999999999991</v>
      </c>
      <c r="AR603" s="3">
        <v>2.0966</v>
      </c>
      <c r="AS603" s="3">
        <v>-553.27200000000005</v>
      </c>
      <c r="AT603" s="3">
        <v>-551.61699999999996</v>
      </c>
      <c r="AU603" s="3">
        <f t="shared" si="479"/>
        <v>-1.6550000000000864</v>
      </c>
      <c r="AV603" s="3">
        <v>-0.23699999999999999</v>
      </c>
      <c r="AW603" s="3">
        <v>-0.36899999999999999</v>
      </c>
      <c r="AX603" s="3">
        <f t="shared" si="467"/>
        <v>0.13200000000000001</v>
      </c>
      <c r="AY603" s="3">
        <v>2.8000000000000001E-2</v>
      </c>
      <c r="AZ603" s="3">
        <v>0.154</v>
      </c>
      <c r="BA603" s="3">
        <f t="shared" si="468"/>
        <v>-0.126</v>
      </c>
      <c r="BB603" s="3">
        <f t="shared" si="483"/>
        <v>0.1045</v>
      </c>
      <c r="BC603" s="3">
        <f t="shared" si="483"/>
        <v>0.1075</v>
      </c>
      <c r="BD603" s="3">
        <f t="shared" si="469"/>
        <v>-3.0000000000000027E-3</v>
      </c>
      <c r="BE603" s="3">
        <f t="shared" si="484"/>
        <v>0.26500000000000001</v>
      </c>
      <c r="BF603" s="3">
        <f t="shared" si="484"/>
        <v>0.52300000000000002</v>
      </c>
      <c r="BG603" s="3">
        <f t="shared" si="470"/>
        <v>-0.25800000000000001</v>
      </c>
      <c r="BH603" s="3">
        <f t="shared" si="485"/>
        <v>-0.1045</v>
      </c>
      <c r="BI603" s="3">
        <f t="shared" si="485"/>
        <v>-0.1075</v>
      </c>
      <c r="BJ603" s="3">
        <f t="shared" si="465"/>
        <v>3.0000000000000027E-3</v>
      </c>
      <c r="BK603" s="3">
        <f t="shared" si="462"/>
        <v>2.0604245283018865E-2</v>
      </c>
      <c r="BL603" s="3">
        <f t="shared" si="463"/>
        <v>1.104804015296367E-2</v>
      </c>
      <c r="BM603" s="3">
        <f t="shared" si="471"/>
        <v>9.5562051300551957E-3</v>
      </c>
      <c r="BN603" s="3">
        <v>5.4870000000000001</v>
      </c>
      <c r="BO603" s="3">
        <v>6.0839999999999996</v>
      </c>
      <c r="BP603" s="3">
        <f t="shared" si="472"/>
        <v>-0.59699999999999953</v>
      </c>
      <c r="BQ603" s="3">
        <v>-347129.96399999998</v>
      </c>
      <c r="BR603" s="3">
        <v>-346087.64600000001</v>
      </c>
      <c r="BS603" s="3">
        <f t="shared" si="473"/>
        <v>-1042.3179999999702</v>
      </c>
      <c r="BT603" s="3">
        <v>-347152.04599999997</v>
      </c>
      <c r="BU603" s="3">
        <v>-346109.22600000002</v>
      </c>
      <c r="BV603" s="3">
        <f t="shared" si="474"/>
        <v>-1042.8199999999488</v>
      </c>
    </row>
    <row r="604" spans="1:74" x14ac:dyDescent="0.25">
      <c r="A604" t="s">
        <v>678</v>
      </c>
      <c r="B604" s="1" t="s">
        <v>646</v>
      </c>
      <c r="C604" s="1" t="s">
        <v>200</v>
      </c>
      <c r="D604" s="3">
        <v>19.670000000000002</v>
      </c>
      <c r="E604" s="3">
        <v>0.68</v>
      </c>
      <c r="F604" s="3">
        <v>-564.58900000000006</v>
      </c>
      <c r="G604" s="3">
        <v>-567.98699999999997</v>
      </c>
      <c r="H604" s="3">
        <f t="shared" si="436"/>
        <v>-3.3979999999999109</v>
      </c>
      <c r="I604" s="3">
        <v>-0.23699999999999999</v>
      </c>
      <c r="J604" s="6">
        <v>-0.17199999999999999</v>
      </c>
      <c r="K604" s="3">
        <f t="shared" si="423"/>
        <v>6.5000000000000002E-2</v>
      </c>
      <c r="L604" s="3">
        <v>7.1999999999999995E-2</v>
      </c>
      <c r="M604" s="6">
        <v>-6.9000000000000006E-2</v>
      </c>
      <c r="N604" s="3">
        <f t="shared" si="424"/>
        <v>-0.14100000000000001</v>
      </c>
      <c r="O604" s="3">
        <f t="shared" si="478"/>
        <v>8.249999999999999E-2</v>
      </c>
      <c r="P604" s="3">
        <f t="shared" si="478"/>
        <v>0.1205</v>
      </c>
      <c r="Q604" s="3">
        <f t="shared" si="425"/>
        <v>3.8000000000000006E-2</v>
      </c>
      <c r="R604" s="3">
        <f t="shared" si="426"/>
        <v>0.309</v>
      </c>
      <c r="S604" s="3">
        <f t="shared" si="427"/>
        <v>0.10299999999999998</v>
      </c>
      <c r="T604" s="3">
        <f t="shared" si="428"/>
        <v>-0.20600000000000002</v>
      </c>
      <c r="U604" s="3">
        <f t="shared" si="429"/>
        <v>-8.249999999999999E-2</v>
      </c>
      <c r="V604" s="3">
        <f t="shared" si="430"/>
        <v>-0.1205</v>
      </c>
      <c r="W604" s="3">
        <f t="shared" si="464"/>
        <v>-3.8000000000000006E-2</v>
      </c>
      <c r="X604" s="3">
        <f t="shared" si="460"/>
        <v>1.1013349514563104E-2</v>
      </c>
      <c r="Y604" s="3">
        <f t="shared" si="461"/>
        <v>7.0486650485436897E-2</v>
      </c>
      <c r="Z604" s="3">
        <f t="shared" si="431"/>
        <v>5.9473300970873791E-2</v>
      </c>
      <c r="AA604" s="3">
        <v>4.3259999999999996</v>
      </c>
      <c r="AB604" s="3">
        <v>3.673</v>
      </c>
      <c r="AC604" s="3">
        <f t="shared" si="432"/>
        <v>-0.65299999999999958</v>
      </c>
      <c r="AD604" s="3">
        <f>-564.454395*627.50956</f>
        <v>-354200.52904651617</v>
      </c>
      <c r="AE604" s="3">
        <f>-567.85994*627.50956</f>
        <v>-356337.54109102639</v>
      </c>
      <c r="AF604" s="3">
        <f t="shared" si="433"/>
        <v>-2137.012044510222</v>
      </c>
      <c r="AG604" s="3">
        <f>-564.500109*627.50956</f>
        <v>-354229.21501854202</v>
      </c>
      <c r="AH604" s="3">
        <f>-567.906647*627.50956</f>
        <v>-356366.85018004529</v>
      </c>
      <c r="AI604" s="3">
        <f t="shared" si="434"/>
        <v>-2137.6351615032763</v>
      </c>
      <c r="AJ604" s="3">
        <v>-0.58799999999999997</v>
      </c>
      <c r="AK604" s="3">
        <v>-0.48399999999999999</v>
      </c>
      <c r="AL604" s="3">
        <f t="shared" si="435"/>
        <v>0.10399999999999998</v>
      </c>
      <c r="AM604" s="3">
        <v>161.13749999999999</v>
      </c>
      <c r="AN604" s="3">
        <v>199.34800000000001</v>
      </c>
      <c r="AO604" s="3">
        <v>208.94900000000001</v>
      </c>
      <c r="AP604" s="3">
        <f t="shared" si="444"/>
        <v>1.1708671869326761</v>
      </c>
      <c r="AQ604" s="3">
        <v>11.436</v>
      </c>
      <c r="AR604" s="3">
        <v>2.8252999999999999</v>
      </c>
      <c r="AS604" s="3">
        <v>-553.27200000000005</v>
      </c>
      <c r="AT604" s="3">
        <v>-551.61699999999996</v>
      </c>
      <c r="AU604" s="3">
        <f t="shared" si="479"/>
        <v>-1.6550000000000864</v>
      </c>
      <c r="AV604" s="3">
        <v>-0.23699999999999999</v>
      </c>
      <c r="AW604" s="3">
        <v>-0.36899999999999999</v>
      </c>
      <c r="AX604" s="3">
        <f t="shared" si="467"/>
        <v>0.13200000000000001</v>
      </c>
      <c r="AY604" s="3">
        <v>2.8000000000000001E-2</v>
      </c>
      <c r="AZ604" s="3">
        <v>0.154</v>
      </c>
      <c r="BA604" s="3">
        <f t="shared" si="468"/>
        <v>-0.126</v>
      </c>
      <c r="BB604" s="3">
        <f t="shared" si="483"/>
        <v>0.1045</v>
      </c>
      <c r="BC604" s="3">
        <f t="shared" si="483"/>
        <v>0.1075</v>
      </c>
      <c r="BD604" s="3">
        <f t="shared" si="469"/>
        <v>-3.0000000000000027E-3</v>
      </c>
      <c r="BE604" s="3">
        <f t="shared" si="484"/>
        <v>0.26500000000000001</v>
      </c>
      <c r="BF604" s="3">
        <f t="shared" si="484"/>
        <v>0.52300000000000002</v>
      </c>
      <c r="BG604" s="3">
        <f t="shared" si="470"/>
        <v>-0.25800000000000001</v>
      </c>
      <c r="BH604" s="3">
        <f t="shared" si="485"/>
        <v>-0.1045</v>
      </c>
      <c r="BI604" s="3">
        <f t="shared" si="485"/>
        <v>-0.1075</v>
      </c>
      <c r="BJ604" s="3">
        <f t="shared" si="465"/>
        <v>3.0000000000000027E-3</v>
      </c>
      <c r="BK604" s="3">
        <f t="shared" si="462"/>
        <v>2.0604245283018865E-2</v>
      </c>
      <c r="BL604" s="3">
        <f t="shared" si="463"/>
        <v>1.104804015296367E-2</v>
      </c>
      <c r="BM604" s="3">
        <f t="shared" si="471"/>
        <v>9.5562051300551957E-3</v>
      </c>
      <c r="BN604" s="3">
        <v>5.4870000000000001</v>
      </c>
      <c r="BO604" s="3">
        <v>6.0839999999999996</v>
      </c>
      <c r="BP604" s="3">
        <f t="shared" si="472"/>
        <v>-0.59699999999999953</v>
      </c>
      <c r="BQ604" s="3">
        <v>-347129.96399999998</v>
      </c>
      <c r="BR604" s="3">
        <v>-346087.64600000001</v>
      </c>
      <c r="BS604" s="3">
        <f t="shared" si="473"/>
        <v>-1042.3179999999702</v>
      </c>
      <c r="BT604" s="3">
        <v>-347152.04599999997</v>
      </c>
      <c r="BU604" s="3">
        <v>-346109.22600000002</v>
      </c>
      <c r="BV604" s="3">
        <f t="shared" si="474"/>
        <v>-1042.8199999999488</v>
      </c>
    </row>
    <row r="605" spans="1:74" x14ac:dyDescent="0.25">
      <c r="A605" t="s">
        <v>679</v>
      </c>
      <c r="B605" s="1" t="s">
        <v>646</v>
      </c>
      <c r="C605" s="1" t="s">
        <v>200</v>
      </c>
      <c r="D605" s="3">
        <v>19.920000000000002</v>
      </c>
      <c r="E605" s="3">
        <v>0.67</v>
      </c>
      <c r="F605" s="3">
        <v>-905.94100000000003</v>
      </c>
      <c r="G605" s="3">
        <v>-911.38400000000001</v>
      </c>
      <c r="H605" s="3">
        <f t="shared" si="436"/>
        <v>-5.4429999999999836</v>
      </c>
      <c r="I605" s="3">
        <v>-0.21299999999999999</v>
      </c>
      <c r="J605" s="6">
        <v>-0.16600000000000001</v>
      </c>
      <c r="K605" s="3">
        <f t="shared" si="423"/>
        <v>4.6999999999999986E-2</v>
      </c>
      <c r="L605" s="3">
        <v>0.04</v>
      </c>
      <c r="M605" s="6">
        <v>-9.0999999999999998E-2</v>
      </c>
      <c r="N605" s="3">
        <f t="shared" si="424"/>
        <v>-0.13100000000000001</v>
      </c>
      <c r="O605" s="3">
        <f t="shared" si="478"/>
        <v>8.6499999999999994E-2</v>
      </c>
      <c r="P605" s="3">
        <f t="shared" si="478"/>
        <v>0.1285</v>
      </c>
      <c r="Q605" s="3">
        <f t="shared" si="425"/>
        <v>4.200000000000001E-2</v>
      </c>
      <c r="R605" s="3">
        <f t="shared" si="426"/>
        <v>0.253</v>
      </c>
      <c r="S605" s="3">
        <f t="shared" si="427"/>
        <v>7.5000000000000011E-2</v>
      </c>
      <c r="T605" s="3">
        <f t="shared" si="428"/>
        <v>-0.17799999999999999</v>
      </c>
      <c r="U605" s="3">
        <f t="shared" si="429"/>
        <v>-8.6499999999999994E-2</v>
      </c>
      <c r="V605" s="3">
        <f t="shared" si="430"/>
        <v>-0.1285</v>
      </c>
      <c r="W605" s="3">
        <f t="shared" si="464"/>
        <v>-4.200000000000001E-2</v>
      </c>
      <c r="X605" s="3">
        <f t="shared" si="460"/>
        <v>1.4787055335968378E-2</v>
      </c>
      <c r="Y605" s="3">
        <f t="shared" si="461"/>
        <v>0.11008166666666665</v>
      </c>
      <c r="Z605" s="3">
        <f t="shared" si="431"/>
        <v>9.5294611330698276E-2</v>
      </c>
      <c r="AA605" s="3">
        <v>2.73</v>
      </c>
      <c r="AB605" s="3">
        <v>3.6920000000000002</v>
      </c>
      <c r="AC605" s="3">
        <f t="shared" si="432"/>
        <v>0.96200000000000019</v>
      </c>
      <c r="AD605" s="3">
        <f>-905.711536*627.50956</f>
        <v>-568342.64744228416</v>
      </c>
      <c r="AE605" s="3">
        <f>-911.167604*627.50956</f>
        <v>-571766.38227229414</v>
      </c>
      <c r="AF605" s="3">
        <f t="shared" si="433"/>
        <v>-3423.7348300099839</v>
      </c>
      <c r="AG605" s="3">
        <f>-905.770905*627.50956</f>
        <v>-568379.90205735178</v>
      </c>
      <c r="AH605" s="3">
        <f>-911.228226*627.50956</f>
        <v>-571804.42315684049</v>
      </c>
      <c r="AI605" s="3">
        <f t="shared" si="434"/>
        <v>-3424.5210994887166</v>
      </c>
      <c r="AJ605" s="3">
        <v>-0.432</v>
      </c>
      <c r="AK605" s="3">
        <v>-0.28499999999999998</v>
      </c>
      <c r="AL605" s="3">
        <f t="shared" si="435"/>
        <v>0.14700000000000002</v>
      </c>
      <c r="AM605" s="3">
        <v>257.22149999999999</v>
      </c>
      <c r="AN605" s="3">
        <v>285.89100000000002</v>
      </c>
      <c r="AO605" s="3">
        <v>321.80500000000001</v>
      </c>
      <c r="AP605" s="3">
        <f t="shared" si="444"/>
        <v>1.2591029527413093</v>
      </c>
      <c r="AQ605" s="3">
        <v>15.542999999999999</v>
      </c>
      <c r="AR605" s="3">
        <v>4.2279999999999998</v>
      </c>
      <c r="AS605" s="3">
        <v>-553.27200000000005</v>
      </c>
      <c r="AT605" s="3">
        <v>-551.61699999999996</v>
      </c>
      <c r="AU605" s="3">
        <f t="shared" si="479"/>
        <v>-1.6550000000000864</v>
      </c>
      <c r="AV605" s="3">
        <v>-0.23699999999999999</v>
      </c>
      <c r="AW605" s="3">
        <v>-0.36899999999999999</v>
      </c>
      <c r="AX605" s="3">
        <f t="shared" si="467"/>
        <v>0.13200000000000001</v>
      </c>
      <c r="AY605" s="3">
        <v>2.8000000000000001E-2</v>
      </c>
      <c r="AZ605" s="3">
        <v>0.154</v>
      </c>
      <c r="BA605" s="3">
        <f t="shared" si="468"/>
        <v>-0.126</v>
      </c>
      <c r="BB605" s="3">
        <f t="shared" si="483"/>
        <v>0.1045</v>
      </c>
      <c r="BC605" s="3">
        <f t="shared" si="483"/>
        <v>0.1075</v>
      </c>
      <c r="BD605" s="3">
        <f t="shared" si="469"/>
        <v>-3.0000000000000027E-3</v>
      </c>
      <c r="BE605" s="3">
        <f t="shared" si="484"/>
        <v>0.26500000000000001</v>
      </c>
      <c r="BF605" s="3">
        <f t="shared" si="484"/>
        <v>0.52300000000000002</v>
      </c>
      <c r="BG605" s="3">
        <f t="shared" si="470"/>
        <v>-0.25800000000000001</v>
      </c>
      <c r="BH605" s="3">
        <f t="shared" si="485"/>
        <v>-0.1045</v>
      </c>
      <c r="BI605" s="3">
        <f t="shared" si="485"/>
        <v>-0.1075</v>
      </c>
      <c r="BJ605" s="3">
        <f t="shared" si="465"/>
        <v>3.0000000000000027E-3</v>
      </c>
      <c r="BK605" s="3">
        <f t="shared" si="462"/>
        <v>2.0604245283018865E-2</v>
      </c>
      <c r="BL605" s="3">
        <f t="shared" si="463"/>
        <v>1.104804015296367E-2</v>
      </c>
      <c r="BM605" s="3">
        <f t="shared" si="471"/>
        <v>9.5562051300551957E-3</v>
      </c>
      <c r="BN605" s="3">
        <v>5.4870000000000001</v>
      </c>
      <c r="BO605" s="3">
        <v>6.0839999999999996</v>
      </c>
      <c r="BP605" s="3">
        <f t="shared" si="472"/>
        <v>-0.59699999999999953</v>
      </c>
      <c r="BQ605" s="3">
        <v>-347129.96399999998</v>
      </c>
      <c r="BR605" s="3">
        <v>-346087.64600000001</v>
      </c>
      <c r="BS605" s="3">
        <f t="shared" si="473"/>
        <v>-1042.3179999999702</v>
      </c>
      <c r="BT605" s="3">
        <v>-347152.04599999997</v>
      </c>
      <c r="BU605" s="3">
        <v>-346109.22600000002</v>
      </c>
      <c r="BV605" s="3">
        <f t="shared" si="474"/>
        <v>-1042.8199999999488</v>
      </c>
    </row>
    <row r="606" spans="1:74" x14ac:dyDescent="0.25">
      <c r="A606" t="s">
        <v>680</v>
      </c>
      <c r="B606" s="1" t="s">
        <v>646</v>
      </c>
      <c r="C606" s="1" t="s">
        <v>200</v>
      </c>
      <c r="D606" s="3">
        <v>20</v>
      </c>
      <c r="E606" s="3">
        <v>0.71</v>
      </c>
      <c r="F606" s="3">
        <v>-738.577</v>
      </c>
      <c r="G606" s="3">
        <v>-742.98299999999995</v>
      </c>
      <c r="H606" s="3">
        <f t="shared" si="436"/>
        <v>-4.4059999999999491</v>
      </c>
      <c r="I606" s="3">
        <v>-0.23400000000000001</v>
      </c>
      <c r="J606" s="6">
        <v>-0.17</v>
      </c>
      <c r="K606" s="3">
        <f t="shared" ref="K606:K669" si="486">J606-I606</f>
        <v>6.4000000000000001E-2</v>
      </c>
      <c r="L606" s="3">
        <v>7.0999999999999994E-2</v>
      </c>
      <c r="M606" s="6">
        <v>-6.9000000000000006E-2</v>
      </c>
      <c r="N606" s="3">
        <f t="shared" ref="N606:N669" si="487">M606-L606</f>
        <v>-0.14000000000000001</v>
      </c>
      <c r="O606" s="3">
        <f t="shared" si="478"/>
        <v>8.1500000000000017E-2</v>
      </c>
      <c r="P606" s="3">
        <f t="shared" si="478"/>
        <v>0.11950000000000001</v>
      </c>
      <c r="Q606" s="3">
        <f t="shared" ref="Q606:Q669" si="488">P606-O606</f>
        <v>3.7999999999999992E-2</v>
      </c>
      <c r="R606" s="3">
        <f t="shared" ref="R606:R669" si="489">L606-I606</f>
        <v>0.30499999999999999</v>
      </c>
      <c r="S606" s="3">
        <f t="shared" ref="S606:S669" si="490">M606-J606</f>
        <v>0.10100000000000001</v>
      </c>
      <c r="T606" s="3">
        <f t="shared" ref="T606:T669" si="491">S606-R606</f>
        <v>-0.20399999999999999</v>
      </c>
      <c r="U606" s="3">
        <f t="shared" ref="U606:U669" si="492">(I606+L606)/2</f>
        <v>-8.1500000000000017E-2</v>
      </c>
      <c r="V606" s="3">
        <f t="shared" ref="V606:V669" si="493">(J606+M606)/2</f>
        <v>-0.11950000000000001</v>
      </c>
      <c r="W606" s="3">
        <f t="shared" si="464"/>
        <v>-3.7999999999999992E-2</v>
      </c>
      <c r="X606" s="3">
        <f t="shared" si="460"/>
        <v>1.0888934426229513E-2</v>
      </c>
      <c r="Y606" s="3">
        <f t="shared" si="461"/>
        <v>7.0694306930693077E-2</v>
      </c>
      <c r="Z606" s="3">
        <f t="shared" ref="Z606:Z669" si="494">Y606-X606</f>
        <v>5.9805372504463564E-2</v>
      </c>
      <c r="AA606" s="3">
        <v>5.4210000000000003</v>
      </c>
      <c r="AB606" s="3">
        <v>6.3380000000000001</v>
      </c>
      <c r="AC606" s="3">
        <f t="shared" ref="AC606:AC669" si="495">AB606-AA606</f>
        <v>0.91699999999999982</v>
      </c>
      <c r="AD606" s="3">
        <f>-738.361916*627.50956</f>
        <v>-463329.1610299169</v>
      </c>
      <c r="AE606" s="3">
        <f>-742.780164*627.50956</f>
        <v>-466101.65388836781</v>
      </c>
      <c r="AF606" s="3">
        <f t="shared" ref="AF606:AF669" si="496">AE606-AD606</f>
        <v>-2772.492858450918</v>
      </c>
      <c r="AG606" s="3">
        <f>-738.417587*627.50956</f>
        <v>-463364.09511463169</v>
      </c>
      <c r="AH606" s="3">
        <f>-742.837572*627.50956</f>
        <v>-466137.67795718828</v>
      </c>
      <c r="AI606" s="3">
        <f t="shared" ref="AI606:AI669" si="497">AH606-AG606</f>
        <v>-2773.5828425565851</v>
      </c>
      <c r="AJ606" s="3">
        <v>-0.56100000000000005</v>
      </c>
      <c r="AK606" s="3">
        <v>-0.435</v>
      </c>
      <c r="AL606" s="3">
        <f t="shared" ref="AL606:AL669" si="498">AK606-AJ606</f>
        <v>0.12600000000000006</v>
      </c>
      <c r="AM606" s="3">
        <v>208.19069999999999</v>
      </c>
      <c r="AN606" s="3">
        <v>257.67259999999999</v>
      </c>
      <c r="AO606" s="3">
        <v>280.78269999999998</v>
      </c>
      <c r="AP606" s="3">
        <f t="shared" si="444"/>
        <v>1.2428268469831893</v>
      </c>
      <c r="AQ606" s="3">
        <v>12.946999999999999</v>
      </c>
      <c r="AR606" s="3">
        <v>3.3502000000000001</v>
      </c>
      <c r="AS606" s="3">
        <v>-553.27200000000005</v>
      </c>
      <c r="AT606" s="3">
        <v>-551.61699999999996</v>
      </c>
      <c r="AU606" s="3">
        <f t="shared" si="479"/>
        <v>-1.6550000000000864</v>
      </c>
      <c r="AV606" s="3">
        <v>-0.23699999999999999</v>
      </c>
      <c r="AW606" s="3">
        <v>-0.36899999999999999</v>
      </c>
      <c r="AX606" s="3">
        <f t="shared" si="467"/>
        <v>0.13200000000000001</v>
      </c>
      <c r="AY606" s="3">
        <v>2.8000000000000001E-2</v>
      </c>
      <c r="AZ606" s="3">
        <v>0.154</v>
      </c>
      <c r="BA606" s="3">
        <f t="shared" si="468"/>
        <v>-0.126</v>
      </c>
      <c r="BB606" s="3">
        <f t="shared" si="483"/>
        <v>0.1045</v>
      </c>
      <c r="BC606" s="3">
        <f t="shared" si="483"/>
        <v>0.1075</v>
      </c>
      <c r="BD606" s="3">
        <f t="shared" si="469"/>
        <v>-3.0000000000000027E-3</v>
      </c>
      <c r="BE606" s="3">
        <f t="shared" si="484"/>
        <v>0.26500000000000001</v>
      </c>
      <c r="BF606" s="3">
        <f t="shared" si="484"/>
        <v>0.52300000000000002</v>
      </c>
      <c r="BG606" s="3">
        <f t="shared" si="470"/>
        <v>-0.25800000000000001</v>
      </c>
      <c r="BH606" s="3">
        <f t="shared" si="485"/>
        <v>-0.1045</v>
      </c>
      <c r="BI606" s="3">
        <f t="shared" si="485"/>
        <v>-0.1075</v>
      </c>
      <c r="BJ606" s="3">
        <f t="shared" si="465"/>
        <v>3.0000000000000027E-3</v>
      </c>
      <c r="BK606" s="3">
        <f t="shared" si="462"/>
        <v>2.0604245283018865E-2</v>
      </c>
      <c r="BL606" s="3">
        <f t="shared" si="463"/>
        <v>1.104804015296367E-2</v>
      </c>
      <c r="BM606" s="3">
        <f t="shared" si="471"/>
        <v>9.5562051300551957E-3</v>
      </c>
      <c r="BN606" s="3">
        <v>5.4870000000000001</v>
      </c>
      <c r="BO606" s="3">
        <v>6.0839999999999996</v>
      </c>
      <c r="BP606" s="3">
        <f t="shared" si="472"/>
        <v>-0.59699999999999953</v>
      </c>
      <c r="BQ606" s="3">
        <v>-347129.96399999998</v>
      </c>
      <c r="BR606" s="3">
        <v>-346087.64600000001</v>
      </c>
      <c r="BS606" s="3">
        <f t="shared" si="473"/>
        <v>-1042.3179999999702</v>
      </c>
      <c r="BT606" s="3">
        <v>-347152.04599999997</v>
      </c>
      <c r="BU606" s="3">
        <v>-346109.22600000002</v>
      </c>
      <c r="BV606" s="3">
        <f t="shared" si="474"/>
        <v>-1042.8199999999488</v>
      </c>
    </row>
    <row r="607" spans="1:74" x14ac:dyDescent="0.25">
      <c r="A607" t="s">
        <v>681</v>
      </c>
      <c r="B607" s="1" t="s">
        <v>646</v>
      </c>
      <c r="C607" s="1" t="s">
        <v>200</v>
      </c>
      <c r="D607" s="3">
        <v>20.02</v>
      </c>
      <c r="E607" s="3">
        <v>0.76</v>
      </c>
      <c r="F607" s="3">
        <v>-651.28599999999994</v>
      </c>
      <c r="G607" s="3">
        <v>-655.38</v>
      </c>
      <c r="H607" s="3">
        <f t="shared" ref="H607:H670" si="499">G607-F607</f>
        <v>-4.0940000000000509</v>
      </c>
      <c r="I607" s="3">
        <v>-0.252</v>
      </c>
      <c r="J607" s="6">
        <v>-0.161</v>
      </c>
      <c r="K607" s="3">
        <f t="shared" si="486"/>
        <v>9.0999999999999998E-2</v>
      </c>
      <c r="L607" s="3">
        <v>0.159</v>
      </c>
      <c r="M607" s="6">
        <v>1.4999999999999999E-2</v>
      </c>
      <c r="N607" s="3">
        <f t="shared" si="487"/>
        <v>-0.14400000000000002</v>
      </c>
      <c r="O607" s="3">
        <f t="shared" si="478"/>
        <v>4.65E-2</v>
      </c>
      <c r="P607" s="3">
        <f t="shared" si="478"/>
        <v>7.3000000000000009E-2</v>
      </c>
      <c r="Q607" s="3">
        <f t="shared" si="488"/>
        <v>2.650000000000001E-2</v>
      </c>
      <c r="R607" s="3">
        <f t="shared" si="489"/>
        <v>0.41100000000000003</v>
      </c>
      <c r="S607" s="3">
        <f t="shared" si="490"/>
        <v>0.17599999999999999</v>
      </c>
      <c r="T607" s="3">
        <f t="shared" si="491"/>
        <v>-0.23500000000000004</v>
      </c>
      <c r="U607" s="3">
        <f t="shared" si="492"/>
        <v>-4.65E-2</v>
      </c>
      <c r="V607" s="3">
        <f t="shared" si="493"/>
        <v>-7.3000000000000009E-2</v>
      </c>
      <c r="W607" s="3">
        <f t="shared" si="464"/>
        <v>-2.650000000000001E-2</v>
      </c>
      <c r="X607" s="3">
        <f t="shared" si="460"/>
        <v>2.6304744525547444E-3</v>
      </c>
      <c r="Y607" s="3">
        <f t="shared" si="461"/>
        <v>1.5139204545454549E-2</v>
      </c>
      <c r="Z607" s="3">
        <f t="shared" si="494"/>
        <v>1.2508730092899805E-2</v>
      </c>
      <c r="AA607" s="3">
        <v>7.4930000000000003</v>
      </c>
      <c r="AB607" s="3">
        <v>7.0170000000000003</v>
      </c>
      <c r="AC607" s="3">
        <f t="shared" si="495"/>
        <v>-0.47599999999999998</v>
      </c>
      <c r="AD607" s="3">
        <f>-650.988639*627.50956</f>
        <v>-408501.59442388883</v>
      </c>
      <c r="AE607" s="3">
        <f>-655.100703*627.50956</f>
        <v>-411081.95389522065</v>
      </c>
      <c r="AF607" s="3">
        <f t="shared" si="496"/>
        <v>-2580.3594713318162</v>
      </c>
      <c r="AG607" s="3">
        <f>-651.043373*627.50956</f>
        <v>-408535.94053214585</v>
      </c>
      <c r="AH607" s="3">
        <f>-655.157095*627.50956</f>
        <v>-411117.34041432821</v>
      </c>
      <c r="AI607" s="3">
        <f t="shared" si="497"/>
        <v>-2581.3998821823625</v>
      </c>
      <c r="AJ607" s="3">
        <v>-0.52900000000000003</v>
      </c>
      <c r="AK607" s="3">
        <v>-0.39400000000000002</v>
      </c>
      <c r="AL607" s="3">
        <f t="shared" si="498"/>
        <v>0.13500000000000001</v>
      </c>
      <c r="AM607" s="3">
        <v>197.2508</v>
      </c>
      <c r="AN607" s="3">
        <v>260.6078</v>
      </c>
      <c r="AO607" s="3">
        <v>307.87360000000001</v>
      </c>
      <c r="AP607" s="3">
        <f t="shared" si="444"/>
        <v>1.1821204408745256</v>
      </c>
      <c r="AQ607" s="3">
        <v>10.959</v>
      </c>
      <c r="AR607" s="3">
        <v>2.6385999999999998</v>
      </c>
      <c r="AS607" s="3">
        <v>-553.27200000000005</v>
      </c>
      <c r="AT607" s="3">
        <v>-551.61699999999996</v>
      </c>
      <c r="AU607" s="3">
        <f t="shared" si="479"/>
        <v>-1.6550000000000864</v>
      </c>
      <c r="AV607" s="3">
        <v>-0.23699999999999999</v>
      </c>
      <c r="AW607" s="3">
        <v>-0.36899999999999999</v>
      </c>
      <c r="AX607" s="3">
        <f t="shared" si="467"/>
        <v>0.13200000000000001</v>
      </c>
      <c r="AY607" s="3">
        <v>2.8000000000000001E-2</v>
      </c>
      <c r="AZ607" s="3">
        <v>0.154</v>
      </c>
      <c r="BA607" s="3">
        <f t="shared" si="468"/>
        <v>-0.126</v>
      </c>
      <c r="BB607" s="3">
        <f t="shared" si="483"/>
        <v>0.1045</v>
      </c>
      <c r="BC607" s="3">
        <f t="shared" si="483"/>
        <v>0.1075</v>
      </c>
      <c r="BD607" s="3">
        <f t="shared" si="469"/>
        <v>-3.0000000000000027E-3</v>
      </c>
      <c r="BE607" s="3">
        <f t="shared" si="484"/>
        <v>0.26500000000000001</v>
      </c>
      <c r="BF607" s="3">
        <f t="shared" si="484"/>
        <v>0.52300000000000002</v>
      </c>
      <c r="BG607" s="3">
        <f t="shared" si="470"/>
        <v>-0.25800000000000001</v>
      </c>
      <c r="BH607" s="3">
        <f t="shared" si="485"/>
        <v>-0.1045</v>
      </c>
      <c r="BI607" s="3">
        <f t="shared" si="485"/>
        <v>-0.1075</v>
      </c>
      <c r="BJ607" s="3">
        <f t="shared" si="465"/>
        <v>3.0000000000000027E-3</v>
      </c>
      <c r="BK607" s="3">
        <f t="shared" si="462"/>
        <v>2.0604245283018865E-2</v>
      </c>
      <c r="BL607" s="3">
        <f t="shared" si="463"/>
        <v>1.104804015296367E-2</v>
      </c>
      <c r="BM607" s="3">
        <f t="shared" si="471"/>
        <v>9.5562051300551957E-3</v>
      </c>
      <c r="BN607" s="3">
        <v>5.4870000000000001</v>
      </c>
      <c r="BO607" s="3">
        <v>6.0839999999999996</v>
      </c>
      <c r="BP607" s="3">
        <f t="shared" si="472"/>
        <v>-0.59699999999999953</v>
      </c>
      <c r="BQ607" s="3">
        <v>-347129.96399999998</v>
      </c>
      <c r="BR607" s="3">
        <v>-346087.64600000001</v>
      </c>
      <c r="BS607" s="3">
        <f t="shared" si="473"/>
        <v>-1042.3179999999702</v>
      </c>
      <c r="BT607" s="3">
        <v>-347152.04599999997</v>
      </c>
      <c r="BU607" s="3">
        <v>-346109.22600000002</v>
      </c>
      <c r="BV607" s="3">
        <f t="shared" si="474"/>
        <v>-1042.8199999999488</v>
      </c>
    </row>
    <row r="608" spans="1:74" x14ac:dyDescent="0.25">
      <c r="A608" t="s">
        <v>682</v>
      </c>
      <c r="B608" s="1" t="s">
        <v>646</v>
      </c>
      <c r="C608" s="1" t="s">
        <v>200</v>
      </c>
      <c r="D608" s="3">
        <v>20.079999999999998</v>
      </c>
      <c r="E608" s="3">
        <v>0.56999999999999995</v>
      </c>
      <c r="F608" s="3">
        <v>-780.79</v>
      </c>
      <c r="G608" s="3">
        <v>-785.79600000000005</v>
      </c>
      <c r="H608" s="3">
        <f t="shared" si="499"/>
        <v>-5.0060000000000855</v>
      </c>
      <c r="I608" s="3">
        <v>-0.27100000000000002</v>
      </c>
      <c r="J608" s="6">
        <v>-0.19600000000000001</v>
      </c>
      <c r="K608" s="3">
        <f t="shared" si="486"/>
        <v>7.5000000000000011E-2</v>
      </c>
      <c r="L608" s="3">
        <v>4.7E-2</v>
      </c>
      <c r="M608" s="6">
        <v>-8.2000000000000003E-2</v>
      </c>
      <c r="N608" s="3">
        <f t="shared" si="487"/>
        <v>-0.129</v>
      </c>
      <c r="O608" s="3">
        <f t="shared" si="478"/>
        <v>0.11200000000000002</v>
      </c>
      <c r="P608" s="3">
        <f t="shared" si="478"/>
        <v>0.13900000000000001</v>
      </c>
      <c r="Q608" s="3">
        <f t="shared" si="488"/>
        <v>2.6999999999999996E-2</v>
      </c>
      <c r="R608" s="3">
        <f t="shared" si="489"/>
        <v>0.318</v>
      </c>
      <c r="S608" s="3">
        <f t="shared" si="490"/>
        <v>0.114</v>
      </c>
      <c r="T608" s="3">
        <f t="shared" si="491"/>
        <v>-0.20400000000000001</v>
      </c>
      <c r="U608" s="3">
        <f t="shared" si="492"/>
        <v>-0.11200000000000002</v>
      </c>
      <c r="V608" s="3">
        <f t="shared" si="493"/>
        <v>-0.13900000000000001</v>
      </c>
      <c r="W608" s="3">
        <f t="shared" si="464"/>
        <v>-2.6999999999999996E-2</v>
      </c>
      <c r="X608" s="3">
        <f t="shared" si="460"/>
        <v>1.9723270440251576E-2</v>
      </c>
      <c r="Y608" s="3">
        <f t="shared" si="461"/>
        <v>8.4741228070175451E-2</v>
      </c>
      <c r="Z608" s="3">
        <f t="shared" si="494"/>
        <v>6.5017957629923878E-2</v>
      </c>
      <c r="AA608" s="3">
        <v>10.087999999999999</v>
      </c>
      <c r="AB608" s="3">
        <v>7.9539999999999997</v>
      </c>
      <c r="AC608" s="3">
        <f t="shared" si="495"/>
        <v>-2.1339999999999995</v>
      </c>
      <c r="AD608" s="3">
        <f>-780.50406*627.50956</f>
        <v>-489773.75926881353</v>
      </c>
      <c r="AE608" s="3">
        <f>-785.5264*627.50956</f>
        <v>-492925.32563238393</v>
      </c>
      <c r="AF608" s="3">
        <f t="shared" si="496"/>
        <v>-3151.5663635703968</v>
      </c>
      <c r="AG608" s="3">
        <f>-780.561132*627.50956</f>
        <v>-489809.57249442191</v>
      </c>
      <c r="AH608" s="3">
        <f>-785.584619*627.50956</f>
        <v>-492961.85861145757</v>
      </c>
      <c r="AI608" s="3">
        <f t="shared" si="497"/>
        <v>-3152.2861170356628</v>
      </c>
      <c r="AJ608" s="3">
        <v>-0.30499999999999999</v>
      </c>
      <c r="AK608" s="3">
        <v>-0.193</v>
      </c>
      <c r="AL608" s="3">
        <f t="shared" si="498"/>
        <v>0.11199999999999999</v>
      </c>
      <c r="AM608" s="3">
        <v>247.291</v>
      </c>
      <c r="AN608" s="3">
        <v>310.82749999999999</v>
      </c>
      <c r="AO608" s="3">
        <v>356.84640000000002</v>
      </c>
      <c r="AP608" s="3">
        <f t="shared" si="444"/>
        <v>1.2777753504667153</v>
      </c>
      <c r="AQ608" s="3">
        <v>16.032</v>
      </c>
      <c r="AR608" s="3">
        <v>3.8512</v>
      </c>
      <c r="AS608" s="3">
        <v>-553.27200000000005</v>
      </c>
      <c r="AT608" s="3">
        <v>-551.61699999999996</v>
      </c>
      <c r="AU608" s="3">
        <f t="shared" si="479"/>
        <v>-1.6550000000000864</v>
      </c>
      <c r="AV608" s="3">
        <v>-0.23699999999999999</v>
      </c>
      <c r="AW608" s="3">
        <v>-0.36899999999999999</v>
      </c>
      <c r="AX608" s="3">
        <f t="shared" si="467"/>
        <v>0.13200000000000001</v>
      </c>
      <c r="AY608" s="3">
        <v>2.8000000000000001E-2</v>
      </c>
      <c r="AZ608" s="3">
        <v>0.154</v>
      </c>
      <c r="BA608" s="3">
        <f t="shared" si="468"/>
        <v>-0.126</v>
      </c>
      <c r="BB608" s="3">
        <f t="shared" si="483"/>
        <v>0.1045</v>
      </c>
      <c r="BC608" s="3">
        <f t="shared" si="483"/>
        <v>0.1075</v>
      </c>
      <c r="BD608" s="3">
        <f t="shared" si="469"/>
        <v>-3.0000000000000027E-3</v>
      </c>
      <c r="BE608" s="3">
        <f t="shared" si="484"/>
        <v>0.26500000000000001</v>
      </c>
      <c r="BF608" s="3">
        <f t="shared" si="484"/>
        <v>0.52300000000000002</v>
      </c>
      <c r="BG608" s="3">
        <f t="shared" si="470"/>
        <v>-0.25800000000000001</v>
      </c>
      <c r="BH608" s="3">
        <f t="shared" si="485"/>
        <v>-0.1045</v>
      </c>
      <c r="BI608" s="3">
        <f t="shared" si="485"/>
        <v>-0.1075</v>
      </c>
      <c r="BJ608" s="3">
        <f t="shared" si="465"/>
        <v>3.0000000000000027E-3</v>
      </c>
      <c r="BK608" s="3">
        <f t="shared" si="462"/>
        <v>2.0604245283018865E-2</v>
      </c>
      <c r="BL608" s="3">
        <f t="shared" si="463"/>
        <v>1.104804015296367E-2</v>
      </c>
      <c r="BM608" s="3">
        <f t="shared" si="471"/>
        <v>9.5562051300551957E-3</v>
      </c>
      <c r="BN608" s="3">
        <v>5.4870000000000001</v>
      </c>
      <c r="BO608" s="3">
        <v>6.0839999999999996</v>
      </c>
      <c r="BP608" s="3">
        <f t="shared" si="472"/>
        <v>-0.59699999999999953</v>
      </c>
      <c r="BQ608" s="3">
        <v>-347129.96399999998</v>
      </c>
      <c r="BR608" s="3">
        <v>-346087.64600000001</v>
      </c>
      <c r="BS608" s="3">
        <f t="shared" si="473"/>
        <v>-1042.3179999999702</v>
      </c>
      <c r="BT608" s="3">
        <v>-347152.04599999997</v>
      </c>
      <c r="BU608" s="3">
        <v>-346109.22600000002</v>
      </c>
      <c r="BV608" s="3">
        <f t="shared" si="474"/>
        <v>-1042.8199999999488</v>
      </c>
    </row>
    <row r="609" spans="1:74" x14ac:dyDescent="0.25">
      <c r="A609" t="s">
        <v>683</v>
      </c>
      <c r="B609" s="1" t="s">
        <v>646</v>
      </c>
      <c r="C609" s="1" t="s">
        <v>200</v>
      </c>
      <c r="D609" s="3">
        <v>20.22</v>
      </c>
      <c r="E609" s="3">
        <v>0.65</v>
      </c>
      <c r="F609" s="3">
        <v>-571.20600000000002</v>
      </c>
      <c r="G609" s="3">
        <v>-574.57299999999998</v>
      </c>
      <c r="H609" s="3">
        <f t="shared" si="499"/>
        <v>-3.3669999999999618</v>
      </c>
      <c r="I609" s="3">
        <v>-0.27700000000000002</v>
      </c>
      <c r="J609" s="6">
        <v>-0.17599999999999999</v>
      </c>
      <c r="K609" s="3">
        <f t="shared" si="486"/>
        <v>0.10100000000000003</v>
      </c>
      <c r="L609" s="3">
        <v>0.157</v>
      </c>
      <c r="M609" s="6">
        <v>3.4000000000000002E-2</v>
      </c>
      <c r="N609" s="3">
        <f t="shared" si="487"/>
        <v>-0.123</v>
      </c>
      <c r="O609" s="3">
        <f t="shared" si="478"/>
        <v>6.0000000000000012E-2</v>
      </c>
      <c r="P609" s="3">
        <f t="shared" si="478"/>
        <v>7.0999999999999994E-2</v>
      </c>
      <c r="Q609" s="3">
        <f t="shared" si="488"/>
        <v>1.0999999999999982E-2</v>
      </c>
      <c r="R609" s="3">
        <f t="shared" si="489"/>
        <v>0.43400000000000005</v>
      </c>
      <c r="S609" s="3">
        <f t="shared" si="490"/>
        <v>0.21</v>
      </c>
      <c r="T609" s="3">
        <f t="shared" si="491"/>
        <v>-0.22400000000000006</v>
      </c>
      <c r="U609" s="3">
        <f t="shared" si="492"/>
        <v>-6.0000000000000012E-2</v>
      </c>
      <c r="V609" s="3">
        <f t="shared" si="493"/>
        <v>-7.0999999999999994E-2</v>
      </c>
      <c r="W609" s="3">
        <f t="shared" si="464"/>
        <v>-1.0999999999999982E-2</v>
      </c>
      <c r="X609" s="3">
        <f t="shared" si="460"/>
        <v>4.1474654377880197E-3</v>
      </c>
      <c r="Y609" s="3">
        <f t="shared" si="461"/>
        <v>1.2002380952380952E-2</v>
      </c>
      <c r="Z609" s="3">
        <f t="shared" si="494"/>
        <v>7.8549155145929313E-3</v>
      </c>
      <c r="AA609" s="3">
        <v>10.462</v>
      </c>
      <c r="AB609" s="3">
        <v>9.4109999999999996</v>
      </c>
      <c r="AC609" s="3">
        <f t="shared" si="495"/>
        <v>-1.0510000000000002</v>
      </c>
      <c r="AD609" s="3">
        <f>-571.005472*627.50956</f>
        <v>-358311.39249231236</v>
      </c>
      <c r="AE609" s="3">
        <f>-574.384748*627.50956</f>
        <v>-360431.92048819084</v>
      </c>
      <c r="AF609" s="3">
        <f t="shared" si="496"/>
        <v>-2120.5279958784813</v>
      </c>
      <c r="AG609" s="3">
        <f>-571.058902*627.50956</f>
        <v>-358344.92032810306</v>
      </c>
      <c r="AH609" s="3">
        <f>-574.439965*627.50956</f>
        <v>-360466.56968356541</v>
      </c>
      <c r="AI609" s="3">
        <f t="shared" si="497"/>
        <v>-2121.6493554623448</v>
      </c>
      <c r="AJ609" s="3">
        <v>-0.72099999999999997</v>
      </c>
      <c r="AK609" s="3">
        <v>-0.61899999999999999</v>
      </c>
      <c r="AL609" s="3">
        <f t="shared" si="498"/>
        <v>0.10199999999999998</v>
      </c>
      <c r="AM609" s="3">
        <v>159.15979999999999</v>
      </c>
      <c r="AN609" s="3">
        <v>233.875</v>
      </c>
      <c r="AO609" s="3">
        <v>239.85849999999999</v>
      </c>
      <c r="AP609" s="3">
        <f t="shared" si="444"/>
        <v>1.2529575053895698</v>
      </c>
      <c r="AQ609" s="3">
        <v>10.169</v>
      </c>
      <c r="AR609" s="3">
        <v>2.5832000000000002</v>
      </c>
      <c r="AS609" s="3">
        <v>-553.27200000000005</v>
      </c>
      <c r="AT609" s="3">
        <v>-551.61699999999996</v>
      </c>
      <c r="AU609" s="3">
        <f t="shared" si="479"/>
        <v>-1.6550000000000864</v>
      </c>
      <c r="AV609" s="3">
        <v>-0.23699999999999999</v>
      </c>
      <c r="AW609" s="3">
        <v>-0.36899999999999999</v>
      </c>
      <c r="AX609" s="3">
        <f t="shared" ref="AX609:AX660" si="500">AV609-AW609</f>
        <v>0.13200000000000001</v>
      </c>
      <c r="AY609" s="3">
        <v>2.8000000000000001E-2</v>
      </c>
      <c r="AZ609" s="3">
        <v>0.154</v>
      </c>
      <c r="BA609" s="3">
        <f t="shared" ref="BA609:BA660" si="501">AY609-AZ609</f>
        <v>-0.126</v>
      </c>
      <c r="BB609" s="3">
        <f t="shared" si="483"/>
        <v>0.1045</v>
      </c>
      <c r="BC609" s="3">
        <f t="shared" si="483"/>
        <v>0.1075</v>
      </c>
      <c r="BD609" s="3">
        <f t="shared" ref="BD609:BD660" si="502">BB609-BC609</f>
        <v>-3.0000000000000027E-3</v>
      </c>
      <c r="BE609" s="3">
        <f t="shared" si="484"/>
        <v>0.26500000000000001</v>
      </c>
      <c r="BF609" s="3">
        <f t="shared" si="484"/>
        <v>0.52300000000000002</v>
      </c>
      <c r="BG609" s="3">
        <f t="shared" ref="BG609:BG660" si="503">BE609-BF609</f>
        <v>-0.25800000000000001</v>
      </c>
      <c r="BH609" s="3">
        <f t="shared" si="485"/>
        <v>-0.1045</v>
      </c>
      <c r="BI609" s="3">
        <f t="shared" si="485"/>
        <v>-0.1075</v>
      </c>
      <c r="BJ609" s="3">
        <f t="shared" si="465"/>
        <v>3.0000000000000027E-3</v>
      </c>
      <c r="BK609" s="3">
        <f t="shared" si="462"/>
        <v>2.0604245283018865E-2</v>
      </c>
      <c r="BL609" s="3">
        <f t="shared" si="463"/>
        <v>1.104804015296367E-2</v>
      </c>
      <c r="BM609" s="3">
        <f t="shared" ref="BM609:BM660" si="504">BK609-BL609</f>
        <v>9.5562051300551957E-3</v>
      </c>
      <c r="BN609" s="3">
        <v>5.4870000000000001</v>
      </c>
      <c r="BO609" s="3">
        <v>6.0839999999999996</v>
      </c>
      <c r="BP609" s="3">
        <f t="shared" ref="BP609:BP660" si="505">BN609-BO609</f>
        <v>-0.59699999999999953</v>
      </c>
      <c r="BQ609" s="3">
        <v>-347129.96399999998</v>
      </c>
      <c r="BR609" s="3">
        <v>-346087.64600000001</v>
      </c>
      <c r="BS609" s="3">
        <f t="shared" ref="BS609:BS660" si="506">BQ609-BR609</f>
        <v>-1042.3179999999702</v>
      </c>
      <c r="BT609" s="3">
        <v>-347152.04599999997</v>
      </c>
      <c r="BU609" s="3">
        <v>-346109.22600000002</v>
      </c>
      <c r="BV609" s="3">
        <f t="shared" ref="BV609:BV660" si="507">BT609-BU609</f>
        <v>-1042.8199999999488</v>
      </c>
    </row>
    <row r="610" spans="1:74" x14ac:dyDescent="0.25">
      <c r="A610" t="s">
        <v>684</v>
      </c>
      <c r="B610" s="1" t="s">
        <v>646</v>
      </c>
      <c r="C610" s="1" t="s">
        <v>218</v>
      </c>
      <c r="D610" s="3">
        <v>20.41</v>
      </c>
      <c r="E610" s="3">
        <v>0.46</v>
      </c>
      <c r="F610" s="3">
        <v>-607.37900000000002</v>
      </c>
      <c r="G610" s="3">
        <v>-611.22</v>
      </c>
      <c r="H610" s="3">
        <f t="shared" si="499"/>
        <v>-3.8410000000000082</v>
      </c>
      <c r="I610" s="3">
        <v>-0.30299999999999999</v>
      </c>
      <c r="J610" s="6">
        <v>-0.218</v>
      </c>
      <c r="K610" s="3">
        <f t="shared" si="486"/>
        <v>8.4999999999999992E-2</v>
      </c>
      <c r="L610" s="3">
        <v>0.121</v>
      </c>
      <c r="M610" s="6">
        <v>-0.02</v>
      </c>
      <c r="N610" s="3">
        <f t="shared" si="487"/>
        <v>-0.14099999999999999</v>
      </c>
      <c r="O610" s="3">
        <f t="shared" si="478"/>
        <v>9.0999999999999998E-2</v>
      </c>
      <c r="P610" s="3">
        <f t="shared" si="478"/>
        <v>0.11899999999999999</v>
      </c>
      <c r="Q610" s="3">
        <f t="shared" si="488"/>
        <v>2.7999999999999997E-2</v>
      </c>
      <c r="R610" s="3">
        <f t="shared" si="489"/>
        <v>0.42399999999999999</v>
      </c>
      <c r="S610" s="3">
        <f t="shared" si="490"/>
        <v>0.19800000000000001</v>
      </c>
      <c r="T610" s="3">
        <f t="shared" si="491"/>
        <v>-0.22599999999999998</v>
      </c>
      <c r="U610" s="3">
        <f t="shared" si="492"/>
        <v>-9.0999999999999998E-2</v>
      </c>
      <c r="V610" s="3">
        <f t="shared" si="493"/>
        <v>-0.11899999999999999</v>
      </c>
      <c r="W610" s="3">
        <f t="shared" si="464"/>
        <v>-2.7999999999999997E-2</v>
      </c>
      <c r="X610" s="3">
        <f t="shared" si="460"/>
        <v>9.765330188679245E-3</v>
      </c>
      <c r="Y610" s="3">
        <f t="shared" si="461"/>
        <v>3.5760101010101006E-2</v>
      </c>
      <c r="Z610" s="3">
        <f t="shared" si="494"/>
        <v>2.5994770821421761E-2</v>
      </c>
      <c r="AA610" s="3">
        <v>2.2970000000000002</v>
      </c>
      <c r="AB610" s="3">
        <v>1.9330000000000001</v>
      </c>
      <c r="AC610" s="3">
        <f t="shared" si="495"/>
        <v>-0.3640000000000001</v>
      </c>
      <c r="AD610" s="3">
        <f>-607.140193*627.50956</f>
        <v>-380986.27536774502</v>
      </c>
      <c r="AE610" s="3">
        <f>-610.995426*627.50956</f>
        <v>-383405.47093127249</v>
      </c>
      <c r="AF610" s="3">
        <f t="shared" si="496"/>
        <v>-2419.1955635274644</v>
      </c>
      <c r="AG610" s="3">
        <f>-607.192172*627.50956</f>
        <v>-381018.89268716431</v>
      </c>
      <c r="AH610" s="3">
        <f>-611.048679*627.50956</f>
        <v>-383438.88769787119</v>
      </c>
      <c r="AI610" s="3">
        <f t="shared" si="497"/>
        <v>-2419.9950107068871</v>
      </c>
      <c r="AJ610" s="3">
        <v>0.158</v>
      </c>
      <c r="AK610" s="3">
        <v>6.2E-2</v>
      </c>
      <c r="AL610" s="3">
        <f t="shared" si="498"/>
        <v>-9.6000000000000002E-2</v>
      </c>
      <c r="AM610" s="3">
        <v>188.22569999999999</v>
      </c>
      <c r="AN610" s="3">
        <v>259.72899999999998</v>
      </c>
      <c r="AO610" s="3">
        <v>284.66699999999997</v>
      </c>
      <c r="AP610" s="3">
        <f t="shared" si="444"/>
        <v>1.2413235005442302</v>
      </c>
      <c r="AQ610" s="3">
        <v>13.708</v>
      </c>
      <c r="AR610" s="3">
        <v>3.1646999999999998</v>
      </c>
      <c r="AS610" s="3">
        <v>-232.511</v>
      </c>
      <c r="AT610" s="3">
        <v>-231.03200000000001</v>
      </c>
      <c r="AU610" s="3">
        <f t="shared" si="479"/>
        <v>-1.478999999999985</v>
      </c>
      <c r="AV610" s="3">
        <v>-0.246</v>
      </c>
      <c r="AW610" s="3">
        <v>-0.40400000000000003</v>
      </c>
      <c r="AX610" s="3">
        <f t="shared" si="500"/>
        <v>0.15800000000000003</v>
      </c>
      <c r="AY610" s="3">
        <v>3.5999999999999997E-2</v>
      </c>
      <c r="AZ610" s="3">
        <v>0.15</v>
      </c>
      <c r="BA610" s="3">
        <f t="shared" si="501"/>
        <v>-0.11399999999999999</v>
      </c>
      <c r="BB610" s="3">
        <f t="shared" si="483"/>
        <v>0.105</v>
      </c>
      <c r="BC610" s="3">
        <f t="shared" si="483"/>
        <v>0.127</v>
      </c>
      <c r="BD610" s="3">
        <f t="shared" si="502"/>
        <v>-2.2000000000000006E-2</v>
      </c>
      <c r="BE610" s="3">
        <f t="shared" si="484"/>
        <v>0.28199999999999997</v>
      </c>
      <c r="BF610" s="3">
        <f t="shared" si="484"/>
        <v>0.55400000000000005</v>
      </c>
      <c r="BG610" s="3">
        <f t="shared" si="503"/>
        <v>-0.27200000000000008</v>
      </c>
      <c r="BH610" s="3">
        <f t="shared" si="485"/>
        <v>-0.105</v>
      </c>
      <c r="BI610" s="3">
        <f t="shared" si="485"/>
        <v>-0.127</v>
      </c>
      <c r="BJ610" s="3">
        <f t="shared" si="465"/>
        <v>2.2000000000000006E-2</v>
      </c>
      <c r="BK610" s="3">
        <f t="shared" si="462"/>
        <v>1.9547872340425532E-2</v>
      </c>
      <c r="BL610" s="3">
        <f t="shared" si="463"/>
        <v>1.4556859205776172E-2</v>
      </c>
      <c r="BM610" s="3">
        <f t="shared" si="504"/>
        <v>4.9910131346493601E-3</v>
      </c>
      <c r="BN610" s="3">
        <v>2.206</v>
      </c>
      <c r="BO610" s="3">
        <v>2.2749999999999999</v>
      </c>
      <c r="BP610" s="3">
        <f t="shared" si="505"/>
        <v>-6.899999999999995E-2</v>
      </c>
      <c r="BQ610" s="3">
        <v>-145827.45000000001</v>
      </c>
      <c r="BR610" s="3">
        <v>-144894.345</v>
      </c>
      <c r="BS610" s="3">
        <f t="shared" si="506"/>
        <v>-933.10500000001048</v>
      </c>
      <c r="BT610" s="3">
        <v>-145847.03599999999</v>
      </c>
      <c r="BU610" s="3">
        <v>-144913.766</v>
      </c>
      <c r="BV610" s="3">
        <f t="shared" si="507"/>
        <v>-933.26999999998952</v>
      </c>
    </row>
    <row r="611" spans="1:74" x14ac:dyDescent="0.25">
      <c r="A611" t="s">
        <v>685</v>
      </c>
      <c r="B611" s="1" t="s">
        <v>646</v>
      </c>
      <c r="C611" s="1" t="s">
        <v>200</v>
      </c>
      <c r="D611" s="3">
        <v>20.51</v>
      </c>
      <c r="E611" s="3">
        <v>0.64</v>
      </c>
      <c r="F611" s="3">
        <v>-1181.1379999999999</v>
      </c>
      <c r="G611" s="3">
        <v>-1186.3050000000001</v>
      </c>
      <c r="H611" s="3">
        <f t="shared" si="499"/>
        <v>-5.1670000000001437</v>
      </c>
      <c r="I611" s="3">
        <v>-0.30299999999999999</v>
      </c>
      <c r="J611" s="6">
        <v>-0.192</v>
      </c>
      <c r="K611" s="3">
        <f t="shared" si="486"/>
        <v>0.11099999999999999</v>
      </c>
      <c r="L611" s="3">
        <v>0.105</v>
      </c>
      <c r="M611" s="6">
        <v>-3.3000000000000002E-2</v>
      </c>
      <c r="N611" s="3">
        <f t="shared" si="487"/>
        <v>-0.13800000000000001</v>
      </c>
      <c r="O611" s="3">
        <f t="shared" si="478"/>
        <v>9.9000000000000005E-2</v>
      </c>
      <c r="P611" s="3">
        <f t="shared" si="478"/>
        <v>0.1125</v>
      </c>
      <c r="Q611" s="3">
        <f t="shared" si="488"/>
        <v>1.3499999999999998E-2</v>
      </c>
      <c r="R611" s="3">
        <f t="shared" si="489"/>
        <v>0.40799999999999997</v>
      </c>
      <c r="S611" s="3">
        <f t="shared" si="490"/>
        <v>0.159</v>
      </c>
      <c r="T611" s="3">
        <f t="shared" si="491"/>
        <v>-0.24899999999999997</v>
      </c>
      <c r="U611" s="3">
        <f t="shared" si="492"/>
        <v>-9.9000000000000005E-2</v>
      </c>
      <c r="V611" s="3">
        <f t="shared" si="493"/>
        <v>-0.1125</v>
      </c>
      <c r="W611" s="3">
        <f t="shared" si="464"/>
        <v>-1.3499999999999998E-2</v>
      </c>
      <c r="X611" s="3">
        <f t="shared" si="460"/>
        <v>1.2011029411764707E-2</v>
      </c>
      <c r="Y611" s="3">
        <f t="shared" si="461"/>
        <v>3.9799528301886794E-2</v>
      </c>
      <c r="Z611" s="3">
        <f t="shared" si="494"/>
        <v>2.7788498890122089E-2</v>
      </c>
      <c r="AA611" s="3">
        <v>12.999000000000001</v>
      </c>
      <c r="AB611" s="3">
        <v>11.702999999999999</v>
      </c>
      <c r="AC611" s="3">
        <f t="shared" si="495"/>
        <v>-1.2960000000000012</v>
      </c>
      <c r="AD611" s="3">
        <f>-1180.921089*627.50956</f>
        <v>-741039.27295311075</v>
      </c>
      <c r="AE611" s="3">
        <f>-1186.10124*627.50956</f>
        <v>-744289.86722785432</v>
      </c>
      <c r="AF611" s="3">
        <f t="shared" si="496"/>
        <v>-3250.5942747435765</v>
      </c>
      <c r="AG611" s="3">
        <f>-1180.980487*627.50956</f>
        <v>-741076.5457659557</v>
      </c>
      <c r="AH611" s="3">
        <f>-1186.163953*627.50956</f>
        <v>-744329.22023489058</v>
      </c>
      <c r="AI611" s="3">
        <f t="shared" si="497"/>
        <v>-3252.6744689348852</v>
      </c>
      <c r="AJ611" s="3">
        <v>-0.28399999999999997</v>
      </c>
      <c r="AK611" s="3">
        <v>-0.21</v>
      </c>
      <c r="AL611" s="3">
        <f t="shared" si="498"/>
        <v>7.3999999999999982E-2</v>
      </c>
      <c r="AM611" s="3">
        <v>245.24700000000001</v>
      </c>
      <c r="AN611" s="3">
        <v>273.19400000000002</v>
      </c>
      <c r="AO611" s="3">
        <v>305.017</v>
      </c>
      <c r="AP611" s="3">
        <f t="shared" si="444"/>
        <v>1.2469367091154575</v>
      </c>
      <c r="AQ611" s="3">
        <v>10.964</v>
      </c>
      <c r="AR611" s="3">
        <v>2.7406999999999999</v>
      </c>
      <c r="AS611" s="3">
        <v>-553.27200000000005</v>
      </c>
      <c r="AT611" s="3">
        <v>-551.61699999999996</v>
      </c>
      <c r="AU611" s="3">
        <f t="shared" si="479"/>
        <v>-1.6550000000000864</v>
      </c>
      <c r="AV611" s="3">
        <v>-0.23699999999999999</v>
      </c>
      <c r="AW611" s="3">
        <v>-0.36899999999999999</v>
      </c>
      <c r="AX611" s="3">
        <f t="shared" si="500"/>
        <v>0.13200000000000001</v>
      </c>
      <c r="AY611" s="3">
        <v>2.8000000000000001E-2</v>
      </c>
      <c r="AZ611" s="3">
        <v>0.154</v>
      </c>
      <c r="BA611" s="3">
        <f t="shared" si="501"/>
        <v>-0.126</v>
      </c>
      <c r="BB611" s="3">
        <f t="shared" si="483"/>
        <v>0.1045</v>
      </c>
      <c r="BC611" s="3">
        <f t="shared" si="483"/>
        <v>0.1075</v>
      </c>
      <c r="BD611" s="3">
        <f t="shared" si="502"/>
        <v>-3.0000000000000027E-3</v>
      </c>
      <c r="BE611" s="3">
        <f t="shared" si="484"/>
        <v>0.26500000000000001</v>
      </c>
      <c r="BF611" s="3">
        <f t="shared" si="484"/>
        <v>0.52300000000000002</v>
      </c>
      <c r="BG611" s="3">
        <f t="shared" si="503"/>
        <v>-0.25800000000000001</v>
      </c>
      <c r="BH611" s="3">
        <f t="shared" si="485"/>
        <v>-0.1045</v>
      </c>
      <c r="BI611" s="3">
        <f t="shared" si="485"/>
        <v>-0.1075</v>
      </c>
      <c r="BJ611" s="3">
        <f t="shared" si="465"/>
        <v>3.0000000000000027E-3</v>
      </c>
      <c r="BK611" s="3">
        <f t="shared" si="462"/>
        <v>2.0604245283018865E-2</v>
      </c>
      <c r="BL611" s="3">
        <f t="shared" si="463"/>
        <v>1.104804015296367E-2</v>
      </c>
      <c r="BM611" s="3">
        <f t="shared" si="504"/>
        <v>9.5562051300551957E-3</v>
      </c>
      <c r="BN611" s="3">
        <v>5.4870000000000001</v>
      </c>
      <c r="BO611" s="3">
        <v>6.0839999999999996</v>
      </c>
      <c r="BP611" s="3">
        <f t="shared" si="505"/>
        <v>-0.59699999999999953</v>
      </c>
      <c r="BQ611" s="3">
        <v>-347129.96399999998</v>
      </c>
      <c r="BR611" s="3">
        <v>-346087.64600000001</v>
      </c>
      <c r="BS611" s="3">
        <f t="shared" si="506"/>
        <v>-1042.3179999999702</v>
      </c>
      <c r="BT611" s="3">
        <v>-347152.04599999997</v>
      </c>
      <c r="BU611" s="3">
        <v>-346109.22600000002</v>
      </c>
      <c r="BV611" s="3">
        <f t="shared" si="507"/>
        <v>-1042.8199999999488</v>
      </c>
    </row>
    <row r="612" spans="1:74" x14ac:dyDescent="0.25">
      <c r="A612" t="s">
        <v>686</v>
      </c>
      <c r="B612" s="1" t="s">
        <v>646</v>
      </c>
      <c r="C612" s="1" t="s">
        <v>200</v>
      </c>
      <c r="D612" s="3">
        <v>20.6</v>
      </c>
      <c r="E612" s="3">
        <v>0.63</v>
      </c>
      <c r="F612" s="3">
        <v>-843.005</v>
      </c>
      <c r="G612" s="3">
        <v>-848.36900000000003</v>
      </c>
      <c r="H612" s="3">
        <f t="shared" si="499"/>
        <v>-5.3640000000000327</v>
      </c>
      <c r="I612" s="3">
        <v>-0.24</v>
      </c>
      <c r="J612" s="6">
        <v>-0.158</v>
      </c>
      <c r="K612" s="3">
        <f t="shared" si="486"/>
        <v>8.199999999999999E-2</v>
      </c>
      <c r="L612" s="3">
        <v>0.158</v>
      </c>
      <c r="M612" s="6">
        <v>1.9E-2</v>
      </c>
      <c r="N612" s="3">
        <f t="shared" si="487"/>
        <v>-0.13900000000000001</v>
      </c>
      <c r="O612" s="3">
        <f t="shared" si="478"/>
        <v>4.0999999999999995E-2</v>
      </c>
      <c r="P612" s="3">
        <f t="shared" si="478"/>
        <v>6.9500000000000006E-2</v>
      </c>
      <c r="Q612" s="3">
        <f t="shared" si="488"/>
        <v>2.8500000000000011E-2</v>
      </c>
      <c r="R612" s="3">
        <f t="shared" si="489"/>
        <v>0.39800000000000002</v>
      </c>
      <c r="S612" s="3">
        <f t="shared" si="490"/>
        <v>0.17699999999999999</v>
      </c>
      <c r="T612" s="3">
        <f t="shared" si="491"/>
        <v>-0.22100000000000003</v>
      </c>
      <c r="U612" s="3">
        <f t="shared" si="492"/>
        <v>-4.0999999999999995E-2</v>
      </c>
      <c r="V612" s="3">
        <f t="shared" si="493"/>
        <v>-6.9500000000000006E-2</v>
      </c>
      <c r="W612" s="3">
        <f t="shared" si="464"/>
        <v>-2.8500000000000011E-2</v>
      </c>
      <c r="X612" s="3">
        <f t="shared" si="460"/>
        <v>2.1118090452261298E-3</v>
      </c>
      <c r="Y612" s="3">
        <f t="shared" si="461"/>
        <v>1.3644774011299439E-2</v>
      </c>
      <c r="Z612" s="3">
        <f t="shared" si="494"/>
        <v>1.153296496607331E-2</v>
      </c>
      <c r="AA612" s="3">
        <v>7.7080000000000002</v>
      </c>
      <c r="AB612" s="3">
        <v>7.3760000000000003</v>
      </c>
      <c r="AC612" s="3">
        <f t="shared" si="495"/>
        <v>-0.33199999999999985</v>
      </c>
      <c r="AD612" s="3">
        <f>-842.622865*627.50956</f>
        <v>-528753.90326208936</v>
      </c>
      <c r="AE612" s="3">
        <f>-848.009262*627.50956</f>
        <v>-532133.91887354467</v>
      </c>
      <c r="AF612" s="3">
        <f t="shared" si="496"/>
        <v>-3380.0156114553101</v>
      </c>
      <c r="AG612" s="3">
        <f>-842.684559*627.50956</f>
        <v>-528792.61683688406</v>
      </c>
      <c r="AH612" s="3">
        <f>-848.072501*627.50956</f>
        <v>-532173.60195060947</v>
      </c>
      <c r="AI612" s="3">
        <f t="shared" si="497"/>
        <v>-3380.9851137254154</v>
      </c>
      <c r="AJ612" s="3">
        <v>-0.52900000000000003</v>
      </c>
      <c r="AK612" s="3">
        <v>-0.40300000000000002</v>
      </c>
      <c r="AL612" s="3">
        <f t="shared" si="498"/>
        <v>0.126</v>
      </c>
      <c r="AM612" s="3">
        <v>261.33600000000001</v>
      </c>
      <c r="AN612" s="3">
        <v>321.178</v>
      </c>
      <c r="AO612" s="3">
        <v>393.34399999999999</v>
      </c>
      <c r="AP612" s="3">
        <f t="shared" si="444"/>
        <v>1.2373333533157476</v>
      </c>
      <c r="AQ612" s="3">
        <v>13.122</v>
      </c>
      <c r="AR612" s="3">
        <v>3.1566000000000001</v>
      </c>
      <c r="AS612" s="3">
        <v>-553.27200000000005</v>
      </c>
      <c r="AT612" s="3">
        <v>-551.61699999999996</v>
      </c>
      <c r="AU612" s="3">
        <f t="shared" si="479"/>
        <v>-1.6550000000000864</v>
      </c>
      <c r="AV612" s="3">
        <v>-0.23699999999999999</v>
      </c>
      <c r="AW612" s="3">
        <v>-0.36899999999999999</v>
      </c>
      <c r="AX612" s="3">
        <f t="shared" si="500"/>
        <v>0.13200000000000001</v>
      </c>
      <c r="AY612" s="3">
        <v>2.8000000000000001E-2</v>
      </c>
      <c r="AZ612" s="3">
        <v>0.154</v>
      </c>
      <c r="BA612" s="3">
        <f t="shared" si="501"/>
        <v>-0.126</v>
      </c>
      <c r="BB612" s="3">
        <f t="shared" ref="BB612:BC621" si="508">-(AV612+AY612)/2</f>
        <v>0.1045</v>
      </c>
      <c r="BC612" s="3">
        <f t="shared" si="508"/>
        <v>0.1075</v>
      </c>
      <c r="BD612" s="3">
        <f t="shared" si="502"/>
        <v>-3.0000000000000027E-3</v>
      </c>
      <c r="BE612" s="3">
        <f t="shared" ref="BE612:BF621" si="509">AY612-AV612</f>
        <v>0.26500000000000001</v>
      </c>
      <c r="BF612" s="3">
        <f t="shared" si="509"/>
        <v>0.52300000000000002</v>
      </c>
      <c r="BG612" s="3">
        <f t="shared" si="503"/>
        <v>-0.25800000000000001</v>
      </c>
      <c r="BH612" s="3">
        <f t="shared" ref="BH612:BI621" si="510">(AV612+AY612)/2</f>
        <v>-0.1045</v>
      </c>
      <c r="BI612" s="3">
        <f t="shared" si="510"/>
        <v>-0.1075</v>
      </c>
      <c r="BJ612" s="3">
        <f t="shared" si="465"/>
        <v>3.0000000000000027E-3</v>
      </c>
      <c r="BK612" s="3">
        <f t="shared" si="462"/>
        <v>2.0604245283018865E-2</v>
      </c>
      <c r="BL612" s="3">
        <f t="shared" si="463"/>
        <v>1.104804015296367E-2</v>
      </c>
      <c r="BM612" s="3">
        <f t="shared" si="504"/>
        <v>9.5562051300551957E-3</v>
      </c>
      <c r="BN612" s="3">
        <v>5.4870000000000001</v>
      </c>
      <c r="BO612" s="3">
        <v>6.0839999999999996</v>
      </c>
      <c r="BP612" s="3">
        <f t="shared" si="505"/>
        <v>-0.59699999999999953</v>
      </c>
      <c r="BQ612" s="3">
        <v>-347129.96399999998</v>
      </c>
      <c r="BR612" s="3">
        <v>-346087.64600000001</v>
      </c>
      <c r="BS612" s="3">
        <f t="shared" si="506"/>
        <v>-1042.3179999999702</v>
      </c>
      <c r="BT612" s="3">
        <v>-347152.04599999997</v>
      </c>
      <c r="BU612" s="3">
        <v>-346109.22600000002</v>
      </c>
      <c r="BV612" s="3">
        <f t="shared" si="507"/>
        <v>-1042.8199999999488</v>
      </c>
    </row>
    <row r="613" spans="1:74" x14ac:dyDescent="0.25">
      <c r="A613" t="s">
        <v>687</v>
      </c>
      <c r="B613" s="1" t="s">
        <v>646</v>
      </c>
      <c r="C613" s="1" t="s">
        <v>200</v>
      </c>
      <c r="D613" s="3">
        <v>20.61</v>
      </c>
      <c r="E613" s="3">
        <v>0.64</v>
      </c>
      <c r="F613" s="3">
        <v>-321.322</v>
      </c>
      <c r="G613" s="3">
        <v>-323.24299999999999</v>
      </c>
      <c r="H613" s="3">
        <f t="shared" si="499"/>
        <v>-1.9209999999999923</v>
      </c>
      <c r="I613" s="3">
        <v>-0.26800000000000002</v>
      </c>
      <c r="J613" s="6">
        <v>-0.154</v>
      </c>
      <c r="K613" s="3">
        <f t="shared" si="486"/>
        <v>0.11400000000000002</v>
      </c>
      <c r="L613" s="3">
        <v>0.17</v>
      </c>
      <c r="M613" s="6">
        <v>4.4999999999999998E-2</v>
      </c>
      <c r="N613" s="3">
        <f t="shared" si="487"/>
        <v>-0.125</v>
      </c>
      <c r="O613" s="3">
        <f t="shared" si="478"/>
        <v>4.9000000000000002E-2</v>
      </c>
      <c r="P613" s="3">
        <f t="shared" si="478"/>
        <v>5.45E-2</v>
      </c>
      <c r="Q613" s="3">
        <f t="shared" si="488"/>
        <v>5.4999999999999979E-3</v>
      </c>
      <c r="R613" s="3">
        <f t="shared" si="489"/>
        <v>0.43800000000000006</v>
      </c>
      <c r="S613" s="3">
        <f t="shared" si="490"/>
        <v>0.19900000000000001</v>
      </c>
      <c r="T613" s="3">
        <f t="shared" si="491"/>
        <v>-0.23900000000000005</v>
      </c>
      <c r="U613" s="3">
        <f t="shared" si="492"/>
        <v>-4.9000000000000002E-2</v>
      </c>
      <c r="V613" s="3">
        <f t="shared" si="493"/>
        <v>-5.45E-2</v>
      </c>
      <c r="W613" s="3">
        <f t="shared" si="464"/>
        <v>-5.4999999999999979E-3</v>
      </c>
      <c r="X613" s="3">
        <f t="shared" si="460"/>
        <v>2.7408675799086759E-3</v>
      </c>
      <c r="Y613" s="3">
        <f t="shared" si="461"/>
        <v>7.4629396984924618E-3</v>
      </c>
      <c r="Z613" s="3">
        <f t="shared" si="494"/>
        <v>4.7220721185837859E-3</v>
      </c>
      <c r="AA613" s="3">
        <v>8.2769999999999992</v>
      </c>
      <c r="AB613" s="3">
        <v>6.931</v>
      </c>
      <c r="AC613" s="3">
        <f t="shared" si="495"/>
        <v>-1.3459999999999992</v>
      </c>
      <c r="AD613" s="3">
        <f>-321.216532*627.50956</f>
        <v>-201566.44466004591</v>
      </c>
      <c r="AE613" s="3">
        <f>-323.143875*623.50956</f>
        <v>-201483.29531794498</v>
      </c>
      <c r="AF613" s="3">
        <f t="shared" si="496"/>
        <v>83.149342100921785</v>
      </c>
      <c r="AG613" s="3">
        <f>-321.254495*627.50956</f>
        <v>-201590.2668054722</v>
      </c>
      <c r="AH613" s="3">
        <f>-323.182404*627.50956</f>
        <v>-202800.04813378223</v>
      </c>
      <c r="AI613" s="3">
        <f t="shared" si="497"/>
        <v>-1209.7813283100259</v>
      </c>
      <c r="AJ613" s="3">
        <v>-0.52200000000000002</v>
      </c>
      <c r="AK613" s="3">
        <v>-0.60199999999999998</v>
      </c>
      <c r="AL613" s="3">
        <f t="shared" si="498"/>
        <v>-7.999999999999996E-2</v>
      </c>
      <c r="AM613" s="3">
        <v>88.0852</v>
      </c>
      <c r="AN613" s="3">
        <v>138.44460000000001</v>
      </c>
      <c r="AO613" s="3">
        <v>133.12100000000001</v>
      </c>
      <c r="AP613" s="3">
        <f t="shared" si="444"/>
        <v>1.0982492710158664</v>
      </c>
      <c r="AQ613" s="3">
        <v>7.141</v>
      </c>
      <c r="AR613" s="3">
        <v>1.6258999999999999</v>
      </c>
      <c r="AS613" s="3">
        <v>-553.27200000000005</v>
      </c>
      <c r="AT613" s="3">
        <v>-551.61699999999996</v>
      </c>
      <c r="AU613" s="3">
        <f t="shared" si="479"/>
        <v>-1.6550000000000864</v>
      </c>
      <c r="AV613" s="3">
        <v>-0.23699999999999999</v>
      </c>
      <c r="AW613" s="3">
        <v>-0.36899999999999999</v>
      </c>
      <c r="AX613" s="3">
        <f t="shared" si="500"/>
        <v>0.13200000000000001</v>
      </c>
      <c r="AY613" s="3">
        <v>2.8000000000000001E-2</v>
      </c>
      <c r="AZ613" s="3">
        <v>0.154</v>
      </c>
      <c r="BA613" s="3">
        <f t="shared" si="501"/>
        <v>-0.126</v>
      </c>
      <c r="BB613" s="3">
        <f t="shared" si="508"/>
        <v>0.1045</v>
      </c>
      <c r="BC613" s="3">
        <f t="shared" si="508"/>
        <v>0.1075</v>
      </c>
      <c r="BD613" s="3">
        <f t="shared" si="502"/>
        <v>-3.0000000000000027E-3</v>
      </c>
      <c r="BE613" s="3">
        <f t="shared" si="509"/>
        <v>0.26500000000000001</v>
      </c>
      <c r="BF613" s="3">
        <f t="shared" si="509"/>
        <v>0.52300000000000002</v>
      </c>
      <c r="BG613" s="3">
        <f t="shared" si="503"/>
        <v>-0.25800000000000001</v>
      </c>
      <c r="BH613" s="3">
        <f t="shared" si="510"/>
        <v>-0.1045</v>
      </c>
      <c r="BI613" s="3">
        <f t="shared" si="510"/>
        <v>-0.1075</v>
      </c>
      <c r="BJ613" s="3">
        <f t="shared" si="465"/>
        <v>3.0000000000000027E-3</v>
      </c>
      <c r="BK613" s="3">
        <f t="shared" si="462"/>
        <v>2.0604245283018865E-2</v>
      </c>
      <c r="BL613" s="3">
        <f t="shared" si="463"/>
        <v>1.104804015296367E-2</v>
      </c>
      <c r="BM613" s="3">
        <f t="shared" si="504"/>
        <v>9.5562051300551957E-3</v>
      </c>
      <c r="BN613" s="3">
        <v>5.4870000000000001</v>
      </c>
      <c r="BO613" s="3">
        <v>6.0839999999999996</v>
      </c>
      <c r="BP613" s="3">
        <f t="shared" si="505"/>
        <v>-0.59699999999999953</v>
      </c>
      <c r="BQ613" s="3">
        <v>-347129.96399999998</v>
      </c>
      <c r="BR613" s="3">
        <v>-346087.64600000001</v>
      </c>
      <c r="BS613" s="3">
        <f t="shared" si="506"/>
        <v>-1042.3179999999702</v>
      </c>
      <c r="BT613" s="3">
        <v>-347152.04599999997</v>
      </c>
      <c r="BU613" s="3">
        <v>-346109.22600000002</v>
      </c>
      <c r="BV613" s="3">
        <f t="shared" si="507"/>
        <v>-1042.8199999999488</v>
      </c>
    </row>
    <row r="614" spans="1:74" x14ac:dyDescent="0.25">
      <c r="A614" t="s">
        <v>688</v>
      </c>
      <c r="B614" s="1" t="s">
        <v>646</v>
      </c>
      <c r="C614" s="1" t="s">
        <v>200</v>
      </c>
      <c r="D614" s="3">
        <v>20.61</v>
      </c>
      <c r="E614" s="3">
        <v>0.69</v>
      </c>
      <c r="F614" s="3">
        <v>-816.85699999999997</v>
      </c>
      <c r="G614" s="3">
        <v>-820.04</v>
      </c>
      <c r="H614" s="3">
        <f t="shared" si="499"/>
        <v>-3.1829999999999927</v>
      </c>
      <c r="I614" s="3">
        <v>-0.28499999999999998</v>
      </c>
      <c r="J614" s="6">
        <v>-0.18099999999999999</v>
      </c>
      <c r="K614" s="3">
        <f t="shared" si="486"/>
        <v>0.10399999999999998</v>
      </c>
      <c r="L614" s="3">
        <v>0.17</v>
      </c>
      <c r="M614" s="6">
        <v>4.2000000000000003E-2</v>
      </c>
      <c r="N614" s="3">
        <f t="shared" si="487"/>
        <v>-0.128</v>
      </c>
      <c r="O614" s="3">
        <f t="shared" si="478"/>
        <v>5.7499999999999982E-2</v>
      </c>
      <c r="P614" s="3">
        <f t="shared" si="478"/>
        <v>6.9499999999999992E-2</v>
      </c>
      <c r="Q614" s="3">
        <f t="shared" si="488"/>
        <v>1.2000000000000011E-2</v>
      </c>
      <c r="R614" s="3">
        <f t="shared" si="489"/>
        <v>0.45499999999999996</v>
      </c>
      <c r="S614" s="3">
        <f t="shared" si="490"/>
        <v>0.223</v>
      </c>
      <c r="T614" s="3">
        <f t="shared" si="491"/>
        <v>-0.23199999999999996</v>
      </c>
      <c r="U614" s="3">
        <f t="shared" si="492"/>
        <v>-5.7499999999999982E-2</v>
      </c>
      <c r="V614" s="3">
        <f t="shared" si="493"/>
        <v>-6.9499999999999992E-2</v>
      </c>
      <c r="W614" s="3">
        <f t="shared" si="464"/>
        <v>-1.2000000000000011E-2</v>
      </c>
      <c r="X614" s="3">
        <f t="shared" si="460"/>
        <v>3.6332417582417564E-3</v>
      </c>
      <c r="Y614" s="3">
        <f t="shared" si="461"/>
        <v>1.0830156950672642E-2</v>
      </c>
      <c r="Z614" s="3">
        <f t="shared" si="494"/>
        <v>7.1969151924308854E-3</v>
      </c>
      <c r="AA614" s="3">
        <v>7.9359999999999999</v>
      </c>
      <c r="AB614" s="3">
        <v>7.4729999999999999</v>
      </c>
      <c r="AC614" s="3">
        <f t="shared" si="495"/>
        <v>-0.46300000000000008</v>
      </c>
      <c r="AD614" s="3">
        <f>-816.698755*627.50956</f>
        <v>-512486.27640259778</v>
      </c>
      <c r="AE614" s="3">
        <f>-819.891307*627.50956</f>
        <v>-514489.63330339489</v>
      </c>
      <c r="AF614" s="3">
        <f t="shared" si="496"/>
        <v>-2003.3569007971091</v>
      </c>
      <c r="AG614" s="3">
        <f>-816.747457*627.50956</f>
        <v>-512516.83737318893</v>
      </c>
      <c r="AH614" s="3">
        <f>-819.941388*627.50956</f>
        <v>-514521.0596096692</v>
      </c>
      <c r="AI614" s="3">
        <f t="shared" si="497"/>
        <v>-2004.2222364802728</v>
      </c>
      <c r="AJ614" s="3">
        <v>-0.88300000000000001</v>
      </c>
      <c r="AK614" s="3">
        <v>-0.80100000000000005</v>
      </c>
      <c r="AL614" s="3">
        <f t="shared" si="498"/>
        <v>8.1999999999999962E-2</v>
      </c>
      <c r="AM614" s="3">
        <v>149.18799999999999</v>
      </c>
      <c r="AN614" s="3">
        <v>207.6377</v>
      </c>
      <c r="AO614" s="3">
        <v>211.05</v>
      </c>
      <c r="AP614" s="3">
        <f t="shared" si="444"/>
        <v>1.2114493342900101</v>
      </c>
      <c r="AQ614" s="3">
        <v>11.664</v>
      </c>
      <c r="AR614" s="3">
        <v>2.5809000000000002</v>
      </c>
      <c r="AS614" s="3">
        <v>-553.27200000000005</v>
      </c>
      <c r="AT614" s="3">
        <v>-551.61699999999996</v>
      </c>
      <c r="AU614" s="3">
        <f t="shared" si="479"/>
        <v>-1.6550000000000864</v>
      </c>
      <c r="AV614" s="3">
        <v>-0.23699999999999999</v>
      </c>
      <c r="AW614" s="3">
        <v>-0.36899999999999999</v>
      </c>
      <c r="AX614" s="3">
        <f t="shared" si="500"/>
        <v>0.13200000000000001</v>
      </c>
      <c r="AY614" s="3">
        <v>2.8000000000000001E-2</v>
      </c>
      <c r="AZ614" s="3">
        <v>0.154</v>
      </c>
      <c r="BA614" s="3">
        <f t="shared" si="501"/>
        <v>-0.126</v>
      </c>
      <c r="BB614" s="3">
        <f t="shared" si="508"/>
        <v>0.1045</v>
      </c>
      <c r="BC614" s="3">
        <f t="shared" si="508"/>
        <v>0.1075</v>
      </c>
      <c r="BD614" s="3">
        <f t="shared" si="502"/>
        <v>-3.0000000000000027E-3</v>
      </c>
      <c r="BE614" s="3">
        <f t="shared" si="509"/>
        <v>0.26500000000000001</v>
      </c>
      <c r="BF614" s="3">
        <f t="shared" si="509"/>
        <v>0.52300000000000002</v>
      </c>
      <c r="BG614" s="3">
        <f t="shared" si="503"/>
        <v>-0.25800000000000001</v>
      </c>
      <c r="BH614" s="3">
        <f t="shared" si="510"/>
        <v>-0.1045</v>
      </c>
      <c r="BI614" s="3">
        <f t="shared" si="510"/>
        <v>-0.1075</v>
      </c>
      <c r="BJ614" s="3">
        <f t="shared" si="465"/>
        <v>3.0000000000000027E-3</v>
      </c>
      <c r="BK614" s="3">
        <f t="shared" si="462"/>
        <v>2.0604245283018865E-2</v>
      </c>
      <c r="BL614" s="3">
        <f t="shared" si="463"/>
        <v>1.104804015296367E-2</v>
      </c>
      <c r="BM614" s="3">
        <f t="shared" si="504"/>
        <v>9.5562051300551957E-3</v>
      </c>
      <c r="BN614" s="3">
        <v>5.4870000000000001</v>
      </c>
      <c r="BO614" s="3">
        <v>6.0839999999999996</v>
      </c>
      <c r="BP614" s="3">
        <f t="shared" si="505"/>
        <v>-0.59699999999999953</v>
      </c>
      <c r="BQ614" s="3">
        <v>-347129.96399999998</v>
      </c>
      <c r="BR614" s="3">
        <v>-346087.64600000001</v>
      </c>
      <c r="BS614" s="3">
        <f t="shared" si="506"/>
        <v>-1042.3179999999702</v>
      </c>
      <c r="BT614" s="3">
        <v>-347152.04599999997</v>
      </c>
      <c r="BU614" s="3">
        <v>-346109.22600000002</v>
      </c>
      <c r="BV614" s="3">
        <f t="shared" si="507"/>
        <v>-1042.8199999999488</v>
      </c>
    </row>
    <row r="615" spans="1:74" x14ac:dyDescent="0.25">
      <c r="A615" t="s">
        <v>689</v>
      </c>
      <c r="B615" s="1" t="s">
        <v>646</v>
      </c>
      <c r="C615" s="1" t="s">
        <v>200</v>
      </c>
      <c r="D615" s="3">
        <v>20.63</v>
      </c>
      <c r="E615" s="3">
        <v>0.76</v>
      </c>
      <c r="F615" s="3">
        <v>-670.07299999999998</v>
      </c>
      <c r="G615" s="3">
        <v>-673.827</v>
      </c>
      <c r="H615" s="3">
        <f t="shared" si="499"/>
        <v>-3.7540000000000191</v>
      </c>
      <c r="I615" s="3">
        <v>-0.27600000000000002</v>
      </c>
      <c r="J615" s="6">
        <v>-0.17100000000000001</v>
      </c>
      <c r="K615" s="3">
        <f t="shared" si="486"/>
        <v>0.10500000000000001</v>
      </c>
      <c r="L615" s="3">
        <v>0.156</v>
      </c>
      <c r="M615" s="6">
        <v>2.5999999999999999E-2</v>
      </c>
      <c r="N615" s="3">
        <f t="shared" si="487"/>
        <v>-0.13</v>
      </c>
      <c r="O615" s="3">
        <f t="shared" si="478"/>
        <v>6.0000000000000012E-2</v>
      </c>
      <c r="P615" s="3">
        <f t="shared" si="478"/>
        <v>7.2500000000000009E-2</v>
      </c>
      <c r="Q615" s="3">
        <f t="shared" si="488"/>
        <v>1.2499999999999997E-2</v>
      </c>
      <c r="R615" s="3">
        <f t="shared" si="489"/>
        <v>0.43200000000000005</v>
      </c>
      <c r="S615" s="3">
        <f t="shared" si="490"/>
        <v>0.19700000000000001</v>
      </c>
      <c r="T615" s="3">
        <f t="shared" si="491"/>
        <v>-0.23500000000000004</v>
      </c>
      <c r="U615" s="3">
        <f t="shared" si="492"/>
        <v>-6.0000000000000012E-2</v>
      </c>
      <c r="V615" s="3">
        <f t="shared" si="493"/>
        <v>-7.2500000000000009E-2</v>
      </c>
      <c r="W615" s="3">
        <f t="shared" si="464"/>
        <v>-1.2499999999999997E-2</v>
      </c>
      <c r="X615" s="3">
        <f t="shared" si="460"/>
        <v>4.1666666666666675E-3</v>
      </c>
      <c r="Y615" s="3">
        <f t="shared" si="461"/>
        <v>1.334073604060914E-2</v>
      </c>
      <c r="Z615" s="3">
        <f t="shared" si="494"/>
        <v>9.1740693739424724E-3</v>
      </c>
      <c r="AA615" s="3">
        <v>11.452</v>
      </c>
      <c r="AB615" s="3">
        <v>10.207000000000001</v>
      </c>
      <c r="AC615" s="3">
        <f t="shared" si="495"/>
        <v>-1.2449999999999992</v>
      </c>
      <c r="AD615" s="3">
        <f>-669.879648*627.50956</f>
        <v>-420355.88316943485</v>
      </c>
      <c r="AE615" s="3">
        <f>-673.645378*627.50956</f>
        <v>-422718.91474481369</v>
      </c>
      <c r="AF615" s="3">
        <f t="shared" si="496"/>
        <v>-2363.0315753788454</v>
      </c>
      <c r="AG615" s="3">
        <f>-669.935639*627.50956</f>
        <v>-420391.01805720886</v>
      </c>
      <c r="AH615" s="3">
        <f>-673.703453*627.50956</f>
        <v>-422755.35736251064</v>
      </c>
      <c r="AI615" s="3">
        <f t="shared" si="497"/>
        <v>-2364.3393053017789</v>
      </c>
      <c r="AJ615" s="3">
        <v>-4.3999999999999997E-2</v>
      </c>
      <c r="AK615" s="3">
        <v>3.3000000000000002E-2</v>
      </c>
      <c r="AL615" s="3">
        <f t="shared" si="498"/>
        <v>7.6999999999999999E-2</v>
      </c>
      <c r="AM615" s="3">
        <v>177.15029999999999</v>
      </c>
      <c r="AN615" s="3">
        <v>236.69659999999999</v>
      </c>
      <c r="AO615" s="3">
        <v>242.81100000000001</v>
      </c>
      <c r="AP615" s="3">
        <f t="shared" si="444"/>
        <v>1.2577733781467249</v>
      </c>
      <c r="AQ615" s="3">
        <v>10.162000000000001</v>
      </c>
      <c r="AR615" s="3">
        <v>2.6122000000000001</v>
      </c>
      <c r="AS615" s="3">
        <v>-553.27200000000005</v>
      </c>
      <c r="AT615" s="3">
        <v>-551.61699999999996</v>
      </c>
      <c r="AU615" s="3">
        <f t="shared" si="479"/>
        <v>-1.6550000000000864</v>
      </c>
      <c r="AV615" s="3">
        <v>-0.23699999999999999</v>
      </c>
      <c r="AW615" s="3">
        <v>-0.36899999999999999</v>
      </c>
      <c r="AX615" s="3">
        <f t="shared" si="500"/>
        <v>0.13200000000000001</v>
      </c>
      <c r="AY615" s="3">
        <v>2.8000000000000001E-2</v>
      </c>
      <c r="AZ615" s="3">
        <v>0.154</v>
      </c>
      <c r="BA615" s="3">
        <f t="shared" si="501"/>
        <v>-0.126</v>
      </c>
      <c r="BB615" s="3">
        <f t="shared" si="508"/>
        <v>0.1045</v>
      </c>
      <c r="BC615" s="3">
        <f t="shared" si="508"/>
        <v>0.1075</v>
      </c>
      <c r="BD615" s="3">
        <f t="shared" si="502"/>
        <v>-3.0000000000000027E-3</v>
      </c>
      <c r="BE615" s="3">
        <f t="shared" si="509"/>
        <v>0.26500000000000001</v>
      </c>
      <c r="BF615" s="3">
        <f t="shared" si="509"/>
        <v>0.52300000000000002</v>
      </c>
      <c r="BG615" s="3">
        <f t="shared" si="503"/>
        <v>-0.25800000000000001</v>
      </c>
      <c r="BH615" s="3">
        <f t="shared" si="510"/>
        <v>-0.1045</v>
      </c>
      <c r="BI615" s="3">
        <f t="shared" si="510"/>
        <v>-0.1075</v>
      </c>
      <c r="BJ615" s="3">
        <f t="shared" si="465"/>
        <v>3.0000000000000027E-3</v>
      </c>
      <c r="BK615" s="3">
        <f t="shared" si="462"/>
        <v>2.0604245283018865E-2</v>
      </c>
      <c r="BL615" s="3">
        <f t="shared" si="463"/>
        <v>1.104804015296367E-2</v>
      </c>
      <c r="BM615" s="3">
        <f t="shared" si="504"/>
        <v>9.5562051300551957E-3</v>
      </c>
      <c r="BN615" s="3">
        <v>5.4870000000000001</v>
      </c>
      <c r="BO615" s="3">
        <v>6.0839999999999996</v>
      </c>
      <c r="BP615" s="3">
        <f t="shared" si="505"/>
        <v>-0.59699999999999953</v>
      </c>
      <c r="BQ615" s="3">
        <v>-347129.96399999998</v>
      </c>
      <c r="BR615" s="3">
        <v>-346087.64600000001</v>
      </c>
      <c r="BS615" s="3">
        <f t="shared" si="506"/>
        <v>-1042.3179999999702</v>
      </c>
      <c r="BT615" s="3">
        <v>-347152.04599999997</v>
      </c>
      <c r="BU615" s="3">
        <v>-346109.22600000002</v>
      </c>
      <c r="BV615" s="3">
        <f t="shared" si="507"/>
        <v>-1042.8199999999488</v>
      </c>
    </row>
    <row r="616" spans="1:74" x14ac:dyDescent="0.25">
      <c r="A616" t="s">
        <v>690</v>
      </c>
      <c r="B616" s="1" t="s">
        <v>646</v>
      </c>
      <c r="C616" s="1" t="s">
        <v>200</v>
      </c>
      <c r="D616" s="3">
        <v>20.71</v>
      </c>
      <c r="E616" s="3">
        <v>0.6</v>
      </c>
      <c r="F616" s="3">
        <v>-243.23099999999999</v>
      </c>
      <c r="G616" s="3">
        <v>-244.58699999999999</v>
      </c>
      <c r="H616" s="3">
        <f t="shared" si="499"/>
        <v>-1.3559999999999945</v>
      </c>
      <c r="I616" s="3">
        <v>-0.28899999999999998</v>
      </c>
      <c r="J616" s="6">
        <v>-0.17199999999999999</v>
      </c>
      <c r="K616" s="3">
        <f t="shared" si="486"/>
        <v>0.11699999999999999</v>
      </c>
      <c r="L616" s="3">
        <v>0.19600000000000001</v>
      </c>
      <c r="M616" s="6">
        <v>3.3000000000000002E-2</v>
      </c>
      <c r="N616" s="3">
        <f t="shared" si="487"/>
        <v>-0.16300000000000001</v>
      </c>
      <c r="O616" s="3">
        <f t="shared" si="478"/>
        <v>4.6499999999999986E-2</v>
      </c>
      <c r="P616" s="3">
        <f t="shared" si="478"/>
        <v>6.9499999999999992E-2</v>
      </c>
      <c r="Q616" s="3">
        <f t="shared" si="488"/>
        <v>2.3000000000000007E-2</v>
      </c>
      <c r="R616" s="3">
        <f t="shared" si="489"/>
        <v>0.48499999999999999</v>
      </c>
      <c r="S616" s="3">
        <f t="shared" si="490"/>
        <v>0.20499999999999999</v>
      </c>
      <c r="T616" s="3">
        <f t="shared" si="491"/>
        <v>-0.28000000000000003</v>
      </c>
      <c r="U616" s="3">
        <f t="shared" si="492"/>
        <v>-4.6499999999999986E-2</v>
      </c>
      <c r="V616" s="3">
        <f t="shared" si="493"/>
        <v>-6.9499999999999992E-2</v>
      </c>
      <c r="W616" s="3">
        <f t="shared" si="464"/>
        <v>-2.3000000000000007E-2</v>
      </c>
      <c r="X616" s="3">
        <f t="shared" si="460"/>
        <v>2.229123711340205E-3</v>
      </c>
      <c r="Y616" s="3">
        <f t="shared" si="461"/>
        <v>1.1781097560975607E-2</v>
      </c>
      <c r="Z616" s="3">
        <f t="shared" si="494"/>
        <v>9.551973849635402E-3</v>
      </c>
      <c r="AA616" s="3">
        <v>4.0129999999999999</v>
      </c>
      <c r="AB616" s="3">
        <v>3.0329999999999999</v>
      </c>
      <c r="AC616" s="3">
        <f t="shared" si="495"/>
        <v>-0.98</v>
      </c>
      <c r="AD616" s="3">
        <f>-243.18729*627.50956</f>
        <v>-152602.34934549237</v>
      </c>
      <c r="AE616" s="3">
        <f>-244.546716*627.50956</f>
        <v>-153455.40215660495</v>
      </c>
      <c r="AF616" s="3">
        <f t="shared" si="496"/>
        <v>-853.052811112575</v>
      </c>
      <c r="AG616" s="3">
        <f>-243.217253*627.50956</f>
        <v>-152621.15141443867</v>
      </c>
      <c r="AH616" s="3">
        <f>-244.577233*627.50956</f>
        <v>-153474.55186584746</v>
      </c>
      <c r="AI616" s="3">
        <f t="shared" si="497"/>
        <v>-853.40045140878647</v>
      </c>
      <c r="AJ616" s="3">
        <v>-0.34899999999999998</v>
      </c>
      <c r="AK616" s="3">
        <v>-0.42199999999999999</v>
      </c>
      <c r="AL616" s="3">
        <f t="shared" si="498"/>
        <v>-7.3000000000000009E-2</v>
      </c>
      <c r="AM616" s="3">
        <v>60.031999999999996</v>
      </c>
      <c r="AN616" s="3">
        <v>93.246600000000001</v>
      </c>
      <c r="AO616" s="3">
        <v>77.066999999999993</v>
      </c>
      <c r="AP616" s="3">
        <f t="shared" si="444"/>
        <v>1.0649028436222994</v>
      </c>
      <c r="AQ616" s="3">
        <v>5.9550000000000001</v>
      </c>
      <c r="AR616" s="3">
        <v>1.1751</v>
      </c>
      <c r="AS616" s="3">
        <v>-553.27200000000005</v>
      </c>
      <c r="AT616" s="3">
        <v>-551.61699999999996</v>
      </c>
      <c r="AU616" s="3">
        <f t="shared" si="479"/>
        <v>-1.6550000000000864</v>
      </c>
      <c r="AV616" s="3">
        <v>-0.23699999999999999</v>
      </c>
      <c r="AW616" s="3">
        <v>-0.36899999999999999</v>
      </c>
      <c r="AX616" s="3">
        <f t="shared" si="500"/>
        <v>0.13200000000000001</v>
      </c>
      <c r="AY616" s="3">
        <v>2.8000000000000001E-2</v>
      </c>
      <c r="AZ616" s="3">
        <v>0.154</v>
      </c>
      <c r="BA616" s="3">
        <f t="shared" si="501"/>
        <v>-0.126</v>
      </c>
      <c r="BB616" s="3">
        <f t="shared" si="508"/>
        <v>0.1045</v>
      </c>
      <c r="BC616" s="3">
        <f t="shared" si="508"/>
        <v>0.1075</v>
      </c>
      <c r="BD616" s="3">
        <f t="shared" si="502"/>
        <v>-3.0000000000000027E-3</v>
      </c>
      <c r="BE616" s="3">
        <f t="shared" si="509"/>
        <v>0.26500000000000001</v>
      </c>
      <c r="BF616" s="3">
        <f t="shared" si="509"/>
        <v>0.52300000000000002</v>
      </c>
      <c r="BG616" s="3">
        <f t="shared" si="503"/>
        <v>-0.25800000000000001</v>
      </c>
      <c r="BH616" s="3">
        <f t="shared" si="510"/>
        <v>-0.1045</v>
      </c>
      <c r="BI616" s="3">
        <f t="shared" si="510"/>
        <v>-0.1075</v>
      </c>
      <c r="BJ616" s="3">
        <f t="shared" si="465"/>
        <v>3.0000000000000027E-3</v>
      </c>
      <c r="BK616" s="3">
        <f t="shared" si="462"/>
        <v>2.0604245283018865E-2</v>
      </c>
      <c r="BL616" s="3">
        <f t="shared" si="463"/>
        <v>1.104804015296367E-2</v>
      </c>
      <c r="BM616" s="3">
        <f t="shared" si="504"/>
        <v>9.5562051300551957E-3</v>
      </c>
      <c r="BN616" s="3">
        <v>5.4870000000000001</v>
      </c>
      <c r="BO616" s="3">
        <v>6.0839999999999996</v>
      </c>
      <c r="BP616" s="3">
        <f t="shared" si="505"/>
        <v>-0.59699999999999953</v>
      </c>
      <c r="BQ616" s="3">
        <v>-347129.96399999998</v>
      </c>
      <c r="BR616" s="3">
        <v>-346087.64600000001</v>
      </c>
      <c r="BS616" s="3">
        <f t="shared" si="506"/>
        <v>-1042.3179999999702</v>
      </c>
      <c r="BT616" s="3">
        <v>-347152.04599999997</v>
      </c>
      <c r="BU616" s="3">
        <v>-346109.22600000002</v>
      </c>
      <c r="BV616" s="3">
        <f t="shared" si="507"/>
        <v>-1042.8199999999488</v>
      </c>
    </row>
    <row r="617" spans="1:74" x14ac:dyDescent="0.25">
      <c r="A617" t="s">
        <v>691</v>
      </c>
      <c r="B617" s="1" t="s">
        <v>646</v>
      </c>
      <c r="C617" s="1" t="s">
        <v>200</v>
      </c>
      <c r="D617" s="3">
        <v>21.07</v>
      </c>
      <c r="E617" s="3">
        <v>0.68</v>
      </c>
      <c r="F617" s="3">
        <v>-837.09900000000005</v>
      </c>
      <c r="G617" s="3">
        <v>-840.702</v>
      </c>
      <c r="H617" s="3">
        <f t="shared" si="499"/>
        <v>-3.6029999999999518</v>
      </c>
      <c r="I617" s="3">
        <v>-0.245</v>
      </c>
      <c r="J617" s="6">
        <v>-0.17899999999999999</v>
      </c>
      <c r="K617" s="3">
        <f t="shared" si="486"/>
        <v>6.6000000000000003E-2</v>
      </c>
      <c r="L617" s="3">
        <v>0.107</v>
      </c>
      <c r="M617" s="6">
        <v>-3.4000000000000002E-2</v>
      </c>
      <c r="N617" s="3">
        <f t="shared" si="487"/>
        <v>-0.14100000000000001</v>
      </c>
      <c r="O617" s="3">
        <f t="shared" si="478"/>
        <v>6.9000000000000006E-2</v>
      </c>
      <c r="P617" s="3">
        <f t="shared" si="478"/>
        <v>0.1065</v>
      </c>
      <c r="Q617" s="3">
        <f t="shared" si="488"/>
        <v>3.7499999999999992E-2</v>
      </c>
      <c r="R617" s="3">
        <f t="shared" si="489"/>
        <v>0.35199999999999998</v>
      </c>
      <c r="S617" s="3">
        <f t="shared" si="490"/>
        <v>0.14499999999999999</v>
      </c>
      <c r="T617" s="3">
        <f t="shared" si="491"/>
        <v>-0.20699999999999999</v>
      </c>
      <c r="U617" s="3">
        <f t="shared" si="492"/>
        <v>-6.9000000000000006E-2</v>
      </c>
      <c r="V617" s="3">
        <f t="shared" si="493"/>
        <v>-0.1065</v>
      </c>
      <c r="W617" s="3">
        <f t="shared" si="464"/>
        <v>-3.7499999999999992E-2</v>
      </c>
      <c r="X617" s="3">
        <f t="shared" si="460"/>
        <v>6.7627840909090919E-3</v>
      </c>
      <c r="Y617" s="3">
        <f t="shared" si="461"/>
        <v>3.9111206896551724E-2</v>
      </c>
      <c r="Z617" s="3">
        <f t="shared" si="494"/>
        <v>3.2348422805642631E-2</v>
      </c>
      <c r="AA617" s="3">
        <v>17.152000000000001</v>
      </c>
      <c r="AB617" s="3">
        <v>17.068000000000001</v>
      </c>
      <c r="AC617" s="3">
        <f t="shared" si="495"/>
        <v>-8.3999999999999631E-2</v>
      </c>
      <c r="AD617" s="3">
        <f>-836.892895*627.50956</f>
        <v>-525158.29230857617</v>
      </c>
      <c r="AE617" s="3">
        <f>-840.507821*627.50956</f>
        <v>-527426.69293226872</v>
      </c>
      <c r="AF617" s="3">
        <f t="shared" si="496"/>
        <v>-2268.4006236925488</v>
      </c>
      <c r="AG617" s="3">
        <f>-836.944725*627.50956</f>
        <v>-525190.81612907094</v>
      </c>
      <c r="AH617" s="3">
        <f>-840.561278*627.50956</f>
        <v>-527460.23771081772</v>
      </c>
      <c r="AI617" s="3">
        <f t="shared" si="497"/>
        <v>-2269.4215817467775</v>
      </c>
      <c r="AJ617" s="3">
        <v>-0.73499999999999999</v>
      </c>
      <c r="AK617" s="3">
        <v>-0.64100000000000001</v>
      </c>
      <c r="AL617" s="3">
        <f t="shared" si="498"/>
        <v>9.3999999999999972E-2</v>
      </c>
      <c r="AM617" s="3">
        <v>177.26599999999999</v>
      </c>
      <c r="AN617" s="3">
        <v>249.9855</v>
      </c>
      <c r="AO617" s="3">
        <v>272.7192</v>
      </c>
      <c r="AP617" s="3">
        <f t="shared" si="444"/>
        <v>1.229401182217992</v>
      </c>
      <c r="AQ617" s="3">
        <v>12.811</v>
      </c>
      <c r="AR617" s="3">
        <v>3.0954000000000002</v>
      </c>
      <c r="AS617" s="3">
        <v>-553.27200000000005</v>
      </c>
      <c r="AT617" s="3">
        <v>-551.61699999999996</v>
      </c>
      <c r="AU617" s="3">
        <f t="shared" si="479"/>
        <v>-1.6550000000000864</v>
      </c>
      <c r="AV617" s="3">
        <v>-0.23699999999999999</v>
      </c>
      <c r="AW617" s="3">
        <v>-0.36899999999999999</v>
      </c>
      <c r="AX617" s="3">
        <f t="shared" si="500"/>
        <v>0.13200000000000001</v>
      </c>
      <c r="AY617" s="3">
        <v>2.8000000000000001E-2</v>
      </c>
      <c r="AZ617" s="3">
        <v>0.154</v>
      </c>
      <c r="BA617" s="3">
        <f t="shared" si="501"/>
        <v>-0.126</v>
      </c>
      <c r="BB617" s="3">
        <f t="shared" si="508"/>
        <v>0.1045</v>
      </c>
      <c r="BC617" s="3">
        <f t="shared" si="508"/>
        <v>0.1075</v>
      </c>
      <c r="BD617" s="3">
        <f t="shared" si="502"/>
        <v>-3.0000000000000027E-3</v>
      </c>
      <c r="BE617" s="3">
        <f t="shared" si="509"/>
        <v>0.26500000000000001</v>
      </c>
      <c r="BF617" s="3">
        <f t="shared" si="509"/>
        <v>0.52300000000000002</v>
      </c>
      <c r="BG617" s="3">
        <f t="shared" si="503"/>
        <v>-0.25800000000000001</v>
      </c>
      <c r="BH617" s="3">
        <f t="shared" si="510"/>
        <v>-0.1045</v>
      </c>
      <c r="BI617" s="3">
        <f t="shared" si="510"/>
        <v>-0.1075</v>
      </c>
      <c r="BJ617" s="3">
        <f t="shared" si="465"/>
        <v>3.0000000000000027E-3</v>
      </c>
      <c r="BK617" s="3">
        <f t="shared" si="462"/>
        <v>2.0604245283018865E-2</v>
      </c>
      <c r="BL617" s="3">
        <f t="shared" si="463"/>
        <v>1.104804015296367E-2</v>
      </c>
      <c r="BM617" s="3">
        <f t="shared" si="504"/>
        <v>9.5562051300551957E-3</v>
      </c>
      <c r="BN617" s="3">
        <v>5.4870000000000001</v>
      </c>
      <c r="BO617" s="3">
        <v>6.0839999999999996</v>
      </c>
      <c r="BP617" s="3">
        <f t="shared" si="505"/>
        <v>-0.59699999999999953</v>
      </c>
      <c r="BQ617" s="3">
        <v>-347129.96399999998</v>
      </c>
      <c r="BR617" s="3">
        <v>-346087.64600000001</v>
      </c>
      <c r="BS617" s="3">
        <f t="shared" si="506"/>
        <v>-1042.3179999999702</v>
      </c>
      <c r="BT617" s="3">
        <v>-347152.04599999997</v>
      </c>
      <c r="BU617" s="3">
        <v>-346109.22600000002</v>
      </c>
      <c r="BV617" s="3">
        <f t="shared" si="507"/>
        <v>-1042.8199999999488</v>
      </c>
    </row>
    <row r="618" spans="1:74" x14ac:dyDescent="0.25">
      <c r="A618" t="s">
        <v>692</v>
      </c>
      <c r="B618" s="1" t="s">
        <v>646</v>
      </c>
      <c r="C618" s="1" t="s">
        <v>218</v>
      </c>
      <c r="D618" s="3">
        <v>21.5</v>
      </c>
      <c r="E618" s="3">
        <v>0.45</v>
      </c>
      <c r="F618" s="3">
        <v>-610.60400000000004</v>
      </c>
      <c r="G618" s="3">
        <v>-614.64400000000001</v>
      </c>
      <c r="H618" s="3">
        <f t="shared" si="499"/>
        <v>-4.0399999999999636</v>
      </c>
      <c r="I618" s="3">
        <v>-0.32600000000000001</v>
      </c>
      <c r="J618" s="6">
        <v>-0.22500000000000001</v>
      </c>
      <c r="K618" s="3">
        <f t="shared" si="486"/>
        <v>0.10100000000000001</v>
      </c>
      <c r="L618" s="3">
        <v>0.13100000000000001</v>
      </c>
      <c r="M618" s="6">
        <v>-1.4E-2</v>
      </c>
      <c r="N618" s="3">
        <f t="shared" si="487"/>
        <v>-0.14500000000000002</v>
      </c>
      <c r="O618" s="3">
        <f t="shared" si="478"/>
        <v>9.7500000000000003E-2</v>
      </c>
      <c r="P618" s="3">
        <f t="shared" si="478"/>
        <v>0.11950000000000001</v>
      </c>
      <c r="Q618" s="3">
        <f t="shared" si="488"/>
        <v>2.2000000000000006E-2</v>
      </c>
      <c r="R618" s="3">
        <f t="shared" si="489"/>
        <v>0.45700000000000002</v>
      </c>
      <c r="S618" s="3">
        <f t="shared" si="490"/>
        <v>0.21099999999999999</v>
      </c>
      <c r="T618" s="3">
        <f t="shared" si="491"/>
        <v>-0.24600000000000002</v>
      </c>
      <c r="U618" s="3">
        <f t="shared" si="492"/>
        <v>-9.7500000000000003E-2</v>
      </c>
      <c r="V618" s="3">
        <f t="shared" si="493"/>
        <v>-0.11950000000000001</v>
      </c>
      <c r="W618" s="3">
        <f t="shared" si="464"/>
        <v>-2.2000000000000006E-2</v>
      </c>
      <c r="X618" s="3">
        <f t="shared" si="460"/>
        <v>1.0400711159737418E-2</v>
      </c>
      <c r="Y618" s="3">
        <f t="shared" si="461"/>
        <v>3.3839454976303328E-2</v>
      </c>
      <c r="Z618" s="3">
        <f t="shared" si="494"/>
        <v>2.343874381656591E-2</v>
      </c>
      <c r="AA618" s="3">
        <v>3.0819999999999999</v>
      </c>
      <c r="AB618" s="3">
        <v>3.0609999999999999</v>
      </c>
      <c r="AC618" s="3">
        <f t="shared" si="495"/>
        <v>-2.0999999999999908E-2</v>
      </c>
      <c r="AD618" s="3">
        <f>-610.310339*627.50956</f>
        <v>-382975.57228934084</v>
      </c>
      <c r="AE618" s="3">
        <f>-614.367838*627.50956</f>
        <v>-385521.69170153124</v>
      </c>
      <c r="AF618" s="3">
        <f t="shared" si="496"/>
        <v>-2546.1194121903973</v>
      </c>
      <c r="AG618" s="3">
        <f>-610.369095*627.50956</f>
        <v>-383012.44224104821</v>
      </c>
      <c r="AH618" s="3">
        <f>-614.429069*627.50956</f>
        <v>-385560.11473939964</v>
      </c>
      <c r="AI618" s="3">
        <f t="shared" si="497"/>
        <v>-2547.6724983514287</v>
      </c>
      <c r="AJ618" s="3">
        <v>0.16</v>
      </c>
      <c r="AK618" s="3">
        <v>6.2E-2</v>
      </c>
      <c r="AL618" s="3">
        <f t="shared" si="498"/>
        <v>-9.8000000000000004E-2</v>
      </c>
      <c r="AM618" s="3">
        <v>200.27950000000001</v>
      </c>
      <c r="AN618" s="3">
        <v>286.27659999999997</v>
      </c>
      <c r="AO618" s="3">
        <v>328.91699999999997</v>
      </c>
      <c r="AP618" s="3">
        <f t="shared" si="444"/>
        <v>1.2425606251244956</v>
      </c>
      <c r="AQ618" s="3">
        <v>12.688000000000001</v>
      </c>
      <c r="AR618" s="3">
        <v>2.9018999999999999</v>
      </c>
      <c r="AS618" s="3">
        <v>-232.511</v>
      </c>
      <c r="AT618" s="3">
        <v>-231.03200000000001</v>
      </c>
      <c r="AU618" s="3">
        <f t="shared" si="479"/>
        <v>-1.478999999999985</v>
      </c>
      <c r="AV618" s="3">
        <v>-0.246</v>
      </c>
      <c r="AW618" s="3">
        <v>-0.40400000000000003</v>
      </c>
      <c r="AX618" s="3">
        <f t="shared" si="500"/>
        <v>0.15800000000000003</v>
      </c>
      <c r="AY618" s="3">
        <v>3.5999999999999997E-2</v>
      </c>
      <c r="AZ618" s="3">
        <v>0.15</v>
      </c>
      <c r="BA618" s="3">
        <f t="shared" si="501"/>
        <v>-0.11399999999999999</v>
      </c>
      <c r="BB618" s="3">
        <f t="shared" si="508"/>
        <v>0.105</v>
      </c>
      <c r="BC618" s="3">
        <f t="shared" si="508"/>
        <v>0.127</v>
      </c>
      <c r="BD618" s="3">
        <f t="shared" si="502"/>
        <v>-2.2000000000000006E-2</v>
      </c>
      <c r="BE618" s="3">
        <f t="shared" si="509"/>
        <v>0.28199999999999997</v>
      </c>
      <c r="BF618" s="3">
        <f t="shared" si="509"/>
        <v>0.55400000000000005</v>
      </c>
      <c r="BG618" s="3">
        <f t="shared" si="503"/>
        <v>-0.27200000000000008</v>
      </c>
      <c r="BH618" s="3">
        <f t="shared" si="510"/>
        <v>-0.105</v>
      </c>
      <c r="BI618" s="3">
        <f t="shared" si="510"/>
        <v>-0.127</v>
      </c>
      <c r="BJ618" s="3">
        <f t="shared" si="465"/>
        <v>2.2000000000000006E-2</v>
      </c>
      <c r="BK618" s="3">
        <f t="shared" si="462"/>
        <v>1.9547872340425532E-2</v>
      </c>
      <c r="BL618" s="3">
        <f t="shared" si="463"/>
        <v>1.4556859205776172E-2</v>
      </c>
      <c r="BM618" s="3">
        <f t="shared" si="504"/>
        <v>4.9910131346493601E-3</v>
      </c>
      <c r="BN618" s="3">
        <v>2.206</v>
      </c>
      <c r="BO618" s="3">
        <v>2.2749999999999999</v>
      </c>
      <c r="BP618" s="3">
        <f t="shared" si="505"/>
        <v>-6.899999999999995E-2</v>
      </c>
      <c r="BQ618" s="3">
        <v>-145827.45000000001</v>
      </c>
      <c r="BR618" s="3">
        <v>-144894.345</v>
      </c>
      <c r="BS618" s="3">
        <f t="shared" si="506"/>
        <v>-933.10500000001048</v>
      </c>
      <c r="BT618" s="3">
        <v>-145847.03599999999</v>
      </c>
      <c r="BU618" s="3">
        <v>-144913.766</v>
      </c>
      <c r="BV618" s="3">
        <f t="shared" si="507"/>
        <v>-933.26999999998952</v>
      </c>
    </row>
    <row r="619" spans="1:74" x14ac:dyDescent="0.25">
      <c r="A619" t="s">
        <v>693</v>
      </c>
      <c r="B619" s="1" t="s">
        <v>646</v>
      </c>
      <c r="C619" s="1" t="s">
        <v>200</v>
      </c>
      <c r="D619" s="3">
        <v>21.54</v>
      </c>
      <c r="E619" s="3">
        <v>0.62</v>
      </c>
      <c r="F619" s="3">
        <v>-282.27800000000002</v>
      </c>
      <c r="G619" s="3">
        <v>-283.916</v>
      </c>
      <c r="H619" s="3">
        <f t="shared" si="499"/>
        <v>-1.6379999999999768</v>
      </c>
      <c r="I619" s="3">
        <v>-0.27800000000000002</v>
      </c>
      <c r="J619" s="6">
        <v>-0.16200000000000001</v>
      </c>
      <c r="K619" s="3">
        <f t="shared" si="486"/>
        <v>0.11600000000000002</v>
      </c>
      <c r="L619" s="3">
        <v>0.18</v>
      </c>
      <c r="M619" s="6">
        <v>0.04</v>
      </c>
      <c r="N619" s="3">
        <f t="shared" si="487"/>
        <v>-0.13999999999999999</v>
      </c>
      <c r="O619" s="3">
        <f t="shared" si="478"/>
        <v>4.9000000000000016E-2</v>
      </c>
      <c r="P619" s="3">
        <f t="shared" si="478"/>
        <v>6.0999999999999999E-2</v>
      </c>
      <c r="Q619" s="3">
        <f t="shared" si="488"/>
        <v>1.1999999999999983E-2</v>
      </c>
      <c r="R619" s="3">
        <f t="shared" si="489"/>
        <v>0.45800000000000002</v>
      </c>
      <c r="S619" s="3">
        <f t="shared" si="490"/>
        <v>0.20200000000000001</v>
      </c>
      <c r="T619" s="3">
        <f t="shared" si="491"/>
        <v>-0.25600000000000001</v>
      </c>
      <c r="U619" s="3">
        <f t="shared" si="492"/>
        <v>-4.9000000000000016E-2</v>
      </c>
      <c r="V619" s="3">
        <f t="shared" si="493"/>
        <v>-6.0999999999999999E-2</v>
      </c>
      <c r="W619" s="3">
        <f t="shared" si="464"/>
        <v>-1.1999999999999983E-2</v>
      </c>
      <c r="X619" s="3">
        <f t="shared" si="460"/>
        <v>2.6211790393013117E-3</v>
      </c>
      <c r="Y619" s="3">
        <f t="shared" si="461"/>
        <v>9.2103960396039599E-3</v>
      </c>
      <c r="Z619" s="3">
        <f t="shared" si="494"/>
        <v>6.5892170003026482E-3</v>
      </c>
      <c r="AA619" s="3">
        <v>6.8070000000000004</v>
      </c>
      <c r="AB619" s="3">
        <v>5.6059999999999999</v>
      </c>
      <c r="AC619" s="3">
        <f t="shared" si="495"/>
        <v>-1.2010000000000005</v>
      </c>
      <c r="AD619" s="3">
        <f>-282.202735*627.50956</f>
        <v>-177084.9140706466</v>
      </c>
      <c r="AE619" s="3">
        <f>-283.846068*627.50956</f>
        <v>-178116.12123841007</v>
      </c>
      <c r="AF619" s="3">
        <f t="shared" si="496"/>
        <v>-1031.2071677634667</v>
      </c>
      <c r="AG619" s="3">
        <f>-282.237025*627.50956</f>
        <v>-177106.431373459</v>
      </c>
      <c r="AH619" s="3">
        <f>-283.881242*627.50956</f>
        <v>-178138.19325967351</v>
      </c>
      <c r="AI619" s="3">
        <f t="shared" si="497"/>
        <v>-1031.7618862145173</v>
      </c>
      <c r="AJ619" s="3">
        <v>-0.53100000000000003</v>
      </c>
      <c r="AK619" s="3">
        <v>-0.61199999999999999</v>
      </c>
      <c r="AL619" s="3">
        <f t="shared" si="498"/>
        <v>-8.0999999999999961E-2</v>
      </c>
      <c r="AM619" s="3">
        <v>74.058599999999998</v>
      </c>
      <c r="AN619" s="3">
        <v>117.343</v>
      </c>
      <c r="AO619" s="3">
        <v>105.63</v>
      </c>
      <c r="AP619" s="3">
        <f t="shared" si="444"/>
        <v>1.0860628316664287</v>
      </c>
      <c r="AQ619" s="3">
        <v>7.133</v>
      </c>
      <c r="AR619" s="3">
        <v>1.4794</v>
      </c>
      <c r="AS619" s="3">
        <v>-553.27200000000005</v>
      </c>
      <c r="AT619" s="3">
        <v>-551.61699999999996</v>
      </c>
      <c r="AU619" s="3">
        <f t="shared" si="479"/>
        <v>-1.6550000000000864</v>
      </c>
      <c r="AV619" s="3">
        <v>-0.23699999999999999</v>
      </c>
      <c r="AW619" s="3">
        <v>-0.36899999999999999</v>
      </c>
      <c r="AX619" s="3">
        <f t="shared" si="500"/>
        <v>0.13200000000000001</v>
      </c>
      <c r="AY619" s="3">
        <v>2.8000000000000001E-2</v>
      </c>
      <c r="AZ619" s="3">
        <v>0.154</v>
      </c>
      <c r="BA619" s="3">
        <f t="shared" si="501"/>
        <v>-0.126</v>
      </c>
      <c r="BB619" s="3">
        <f t="shared" si="508"/>
        <v>0.1045</v>
      </c>
      <c r="BC619" s="3">
        <f t="shared" si="508"/>
        <v>0.1075</v>
      </c>
      <c r="BD619" s="3">
        <f t="shared" si="502"/>
        <v>-3.0000000000000027E-3</v>
      </c>
      <c r="BE619" s="3">
        <f t="shared" si="509"/>
        <v>0.26500000000000001</v>
      </c>
      <c r="BF619" s="3">
        <f t="shared" si="509"/>
        <v>0.52300000000000002</v>
      </c>
      <c r="BG619" s="3">
        <f t="shared" si="503"/>
        <v>-0.25800000000000001</v>
      </c>
      <c r="BH619" s="3">
        <f t="shared" si="510"/>
        <v>-0.1045</v>
      </c>
      <c r="BI619" s="3">
        <f t="shared" si="510"/>
        <v>-0.1075</v>
      </c>
      <c r="BJ619" s="3">
        <f t="shared" si="465"/>
        <v>3.0000000000000027E-3</v>
      </c>
      <c r="BK619" s="3">
        <f t="shared" si="462"/>
        <v>2.0604245283018865E-2</v>
      </c>
      <c r="BL619" s="3">
        <f t="shared" si="463"/>
        <v>1.104804015296367E-2</v>
      </c>
      <c r="BM619" s="3">
        <f t="shared" si="504"/>
        <v>9.5562051300551957E-3</v>
      </c>
      <c r="BN619" s="3">
        <v>5.4870000000000001</v>
      </c>
      <c r="BO619" s="3">
        <v>6.0839999999999996</v>
      </c>
      <c r="BP619" s="3">
        <f t="shared" si="505"/>
        <v>-0.59699999999999953</v>
      </c>
      <c r="BQ619" s="3">
        <v>-347129.96399999998</v>
      </c>
      <c r="BR619" s="3">
        <v>-346087.64600000001</v>
      </c>
      <c r="BS619" s="3">
        <f t="shared" si="506"/>
        <v>-1042.3179999999702</v>
      </c>
      <c r="BT619" s="3">
        <v>-347152.04599999997</v>
      </c>
      <c r="BU619" s="3">
        <v>-346109.22600000002</v>
      </c>
      <c r="BV619" s="3">
        <f t="shared" si="507"/>
        <v>-1042.8199999999488</v>
      </c>
    </row>
    <row r="620" spans="1:74" x14ac:dyDescent="0.25">
      <c r="A620" t="s">
        <v>694</v>
      </c>
      <c r="B620" s="1" t="s">
        <v>646</v>
      </c>
      <c r="C620" s="1" t="s">
        <v>218</v>
      </c>
      <c r="D620" s="3">
        <v>23</v>
      </c>
      <c r="E620" s="3">
        <v>0.46</v>
      </c>
      <c r="F620" s="3">
        <v>-721.28499999999997</v>
      </c>
      <c r="G620" s="3">
        <v>-725.76700000000005</v>
      </c>
      <c r="H620" s="3">
        <f t="shared" si="499"/>
        <v>-4.4820000000000846</v>
      </c>
      <c r="I620" s="3">
        <v>-0.316</v>
      </c>
      <c r="J620" s="6">
        <v>-0.221</v>
      </c>
      <c r="K620" s="3">
        <f t="shared" si="486"/>
        <v>9.5000000000000001E-2</v>
      </c>
      <c r="L620" s="3">
        <v>0.128</v>
      </c>
      <c r="M620" s="6">
        <v>-1.6E-2</v>
      </c>
      <c r="N620" s="3">
        <f t="shared" si="487"/>
        <v>-0.14400000000000002</v>
      </c>
      <c r="O620" s="3">
        <f t="shared" si="478"/>
        <v>9.4E-2</v>
      </c>
      <c r="P620" s="3">
        <f t="shared" si="478"/>
        <v>0.11849999999999999</v>
      </c>
      <c r="Q620" s="3">
        <f t="shared" si="488"/>
        <v>2.4499999999999994E-2</v>
      </c>
      <c r="R620" s="3">
        <f t="shared" si="489"/>
        <v>0.44400000000000001</v>
      </c>
      <c r="S620" s="3">
        <f t="shared" si="490"/>
        <v>0.20500000000000002</v>
      </c>
      <c r="T620" s="3">
        <f t="shared" si="491"/>
        <v>-0.23899999999999999</v>
      </c>
      <c r="U620" s="3">
        <f t="shared" si="492"/>
        <v>-9.4E-2</v>
      </c>
      <c r="V620" s="3">
        <f t="shared" si="493"/>
        <v>-0.11849999999999999</v>
      </c>
      <c r="W620" s="3">
        <f t="shared" si="464"/>
        <v>-2.4499999999999994E-2</v>
      </c>
      <c r="X620" s="3">
        <f t="shared" si="460"/>
        <v>9.9504504504504508E-3</v>
      </c>
      <c r="Y620" s="3">
        <f t="shared" si="461"/>
        <v>3.4249390243902438E-2</v>
      </c>
      <c r="Z620" s="3">
        <f t="shared" si="494"/>
        <v>2.4298939793451987E-2</v>
      </c>
      <c r="AA620" s="3">
        <v>3.1850000000000001</v>
      </c>
      <c r="AB620" s="3">
        <v>3.09</v>
      </c>
      <c r="AC620" s="3">
        <f t="shared" si="495"/>
        <v>-9.5000000000000195E-2</v>
      </c>
      <c r="AD620" s="3">
        <f>-721.008936*627.50956</f>
        <v>-452440.00018542813</v>
      </c>
      <c r="AE620" s="3">
        <f>-725.508008*627.50956</f>
        <v>-455263.21087655646</v>
      </c>
      <c r="AF620" s="3">
        <f t="shared" si="496"/>
        <v>-2823.2106911283336</v>
      </c>
      <c r="AG620" s="3">
        <f>-721.067181*627.50956</f>
        <v>-452476.54947975033</v>
      </c>
      <c r="AH620" s="3">
        <f>-725.568407*627.50956</f>
        <v>-455301.11182647088</v>
      </c>
      <c r="AI620" s="3">
        <f t="shared" si="497"/>
        <v>-2824.5623467205442</v>
      </c>
      <c r="AJ620" s="3">
        <v>0.16700000000000001</v>
      </c>
      <c r="AK620" s="3">
        <v>7.0000000000000007E-2</v>
      </c>
      <c r="AL620" s="3">
        <f t="shared" si="498"/>
        <v>-9.7000000000000003E-2</v>
      </c>
      <c r="AM620" s="3">
        <v>218.2517</v>
      </c>
      <c r="AN620" s="3">
        <v>293.26900000000001</v>
      </c>
      <c r="AO620" s="3">
        <v>324.83800000000002</v>
      </c>
      <c r="AP620" s="3">
        <f t="shared" si="444"/>
        <v>1.283544381761329</v>
      </c>
      <c r="AQ620" s="3">
        <v>11.637</v>
      </c>
      <c r="AR620" s="3">
        <v>2.8399000000000001</v>
      </c>
      <c r="AS620" s="3">
        <v>-232.511</v>
      </c>
      <c r="AT620" s="3">
        <v>-231.03200000000001</v>
      </c>
      <c r="AU620" s="3">
        <f t="shared" si="479"/>
        <v>-1.478999999999985</v>
      </c>
      <c r="AV620" s="3">
        <v>-0.246</v>
      </c>
      <c r="AW620" s="3">
        <v>-0.40400000000000003</v>
      </c>
      <c r="AX620" s="3">
        <f t="shared" si="500"/>
        <v>0.15800000000000003</v>
      </c>
      <c r="AY620" s="3">
        <v>3.5999999999999997E-2</v>
      </c>
      <c r="AZ620" s="3">
        <v>0.15</v>
      </c>
      <c r="BA620" s="3">
        <f t="shared" si="501"/>
        <v>-0.11399999999999999</v>
      </c>
      <c r="BB620" s="3">
        <f t="shared" si="508"/>
        <v>0.105</v>
      </c>
      <c r="BC620" s="3">
        <f t="shared" si="508"/>
        <v>0.127</v>
      </c>
      <c r="BD620" s="3">
        <f t="shared" si="502"/>
        <v>-2.2000000000000006E-2</v>
      </c>
      <c r="BE620" s="3">
        <f t="shared" si="509"/>
        <v>0.28199999999999997</v>
      </c>
      <c r="BF620" s="3">
        <f t="shared" si="509"/>
        <v>0.55400000000000005</v>
      </c>
      <c r="BG620" s="3">
        <f t="shared" si="503"/>
        <v>-0.27200000000000008</v>
      </c>
      <c r="BH620" s="3">
        <f t="shared" si="510"/>
        <v>-0.105</v>
      </c>
      <c r="BI620" s="3">
        <f t="shared" si="510"/>
        <v>-0.127</v>
      </c>
      <c r="BJ620" s="3">
        <f t="shared" si="465"/>
        <v>2.2000000000000006E-2</v>
      </c>
      <c r="BK620" s="3">
        <f t="shared" si="462"/>
        <v>1.9547872340425532E-2</v>
      </c>
      <c r="BL620" s="3">
        <f t="shared" si="463"/>
        <v>1.4556859205776172E-2</v>
      </c>
      <c r="BM620" s="3">
        <f t="shared" si="504"/>
        <v>4.9910131346493601E-3</v>
      </c>
      <c r="BN620" s="3">
        <v>2.206</v>
      </c>
      <c r="BO620" s="3">
        <v>2.2749999999999999</v>
      </c>
      <c r="BP620" s="3">
        <f t="shared" si="505"/>
        <v>-6.899999999999995E-2</v>
      </c>
      <c r="BQ620" s="3">
        <v>-145827.45000000001</v>
      </c>
      <c r="BR620" s="3">
        <v>-144894.345</v>
      </c>
      <c r="BS620" s="3">
        <f t="shared" si="506"/>
        <v>-933.10500000001048</v>
      </c>
      <c r="BT620" s="3">
        <v>-145847.03599999999</v>
      </c>
      <c r="BU620" s="3">
        <v>-144913.766</v>
      </c>
      <c r="BV620" s="3">
        <f t="shared" si="507"/>
        <v>-933.26999999998952</v>
      </c>
    </row>
    <row r="621" spans="1:74" x14ac:dyDescent="0.25">
      <c r="A621" t="s">
        <v>695</v>
      </c>
      <c r="B621" s="1" t="s">
        <v>646</v>
      </c>
      <c r="C621" s="1" t="s">
        <v>200</v>
      </c>
      <c r="D621" s="3">
        <v>23.15</v>
      </c>
      <c r="E621" s="3">
        <v>0.6</v>
      </c>
      <c r="F621" s="3">
        <v>-611.649</v>
      </c>
      <c r="G621" s="3">
        <v>-615.61199999999997</v>
      </c>
      <c r="H621" s="3">
        <f t="shared" si="499"/>
        <v>-3.9629999999999654</v>
      </c>
      <c r="I621" s="3">
        <v>-0.22600000000000001</v>
      </c>
      <c r="J621" s="6">
        <v>-0.153</v>
      </c>
      <c r="K621" s="3">
        <f t="shared" si="486"/>
        <v>7.3000000000000009E-2</v>
      </c>
      <c r="L621" s="3">
        <v>0.113</v>
      </c>
      <c r="M621" s="6">
        <v>-2.4E-2</v>
      </c>
      <c r="N621" s="3">
        <f t="shared" si="487"/>
        <v>-0.13700000000000001</v>
      </c>
      <c r="O621" s="3">
        <f t="shared" si="478"/>
        <v>5.6500000000000002E-2</v>
      </c>
      <c r="P621" s="3">
        <f t="shared" si="478"/>
        <v>8.8499999999999995E-2</v>
      </c>
      <c r="Q621" s="3">
        <f t="shared" si="488"/>
        <v>3.1999999999999994E-2</v>
      </c>
      <c r="R621" s="3">
        <f t="shared" si="489"/>
        <v>0.33900000000000002</v>
      </c>
      <c r="S621" s="3">
        <f t="shared" si="490"/>
        <v>0.129</v>
      </c>
      <c r="T621" s="3">
        <f t="shared" si="491"/>
        <v>-0.21000000000000002</v>
      </c>
      <c r="U621" s="3">
        <f t="shared" si="492"/>
        <v>-5.6500000000000002E-2</v>
      </c>
      <c r="V621" s="3">
        <f t="shared" si="493"/>
        <v>-8.8499999999999995E-2</v>
      </c>
      <c r="W621" s="3">
        <f t="shared" si="464"/>
        <v>-3.1999999999999994E-2</v>
      </c>
      <c r="X621" s="3">
        <f t="shared" si="460"/>
        <v>4.7083333333333335E-3</v>
      </c>
      <c r="Y621" s="3">
        <f t="shared" si="461"/>
        <v>3.035755813953488E-2</v>
      </c>
      <c r="Z621" s="3">
        <f t="shared" si="494"/>
        <v>2.5649224806201548E-2</v>
      </c>
      <c r="AA621" s="3">
        <v>5.548</v>
      </c>
      <c r="AB621" s="3">
        <v>5.298</v>
      </c>
      <c r="AC621" s="3">
        <f t="shared" si="495"/>
        <v>-0.25</v>
      </c>
      <c r="AD621" s="3">
        <f>-611.417947*627.50956</f>
        <v>-383670.60689807334</v>
      </c>
      <c r="AE621" s="3">
        <f>-615.394272*627.50956</f>
        <v>-386165.78884924029</v>
      </c>
      <c r="AF621" s="3">
        <f t="shared" si="496"/>
        <v>-2495.1819511669455</v>
      </c>
      <c r="AG621" s="3">
        <f>-611.46879*627.50956</f>
        <v>-383702.51136663236</v>
      </c>
      <c r="AH621" s="3">
        <f>-615.446661*627.50956</f>
        <v>-386198.66344757908</v>
      </c>
      <c r="AI621" s="3">
        <f t="shared" si="497"/>
        <v>-2496.1520809467183</v>
      </c>
      <c r="AJ621" s="3">
        <v>-0.54</v>
      </c>
      <c r="AK621" s="3">
        <v>-0.44500000000000001</v>
      </c>
      <c r="AL621" s="3">
        <f t="shared" si="498"/>
        <v>9.5000000000000029E-2</v>
      </c>
      <c r="AM621" s="3">
        <v>195.23650000000001</v>
      </c>
      <c r="AN621" s="3">
        <v>264.39170000000001</v>
      </c>
      <c r="AO621" s="3">
        <v>294.9674</v>
      </c>
      <c r="AP621" s="3">
        <f t="shared" si="444"/>
        <v>1.2340168436470627</v>
      </c>
      <c r="AQ621" s="3">
        <v>14.031000000000001</v>
      </c>
      <c r="AR621" s="3">
        <v>3.3368000000000002</v>
      </c>
      <c r="AS621" s="3">
        <v>-553.27200000000005</v>
      </c>
      <c r="AT621" s="3">
        <v>-551.61699999999996</v>
      </c>
      <c r="AU621" s="3">
        <f t="shared" ref="AU621:AU677" si="511">AS621-AT621</f>
        <v>-1.6550000000000864</v>
      </c>
      <c r="AV621" s="3">
        <v>-0.23699999999999999</v>
      </c>
      <c r="AW621" s="3">
        <v>-0.36899999999999999</v>
      </c>
      <c r="AX621" s="3">
        <f t="shared" si="500"/>
        <v>0.13200000000000001</v>
      </c>
      <c r="AY621" s="3">
        <v>2.8000000000000001E-2</v>
      </c>
      <c r="AZ621" s="3">
        <v>0.154</v>
      </c>
      <c r="BA621" s="3">
        <f t="shared" si="501"/>
        <v>-0.126</v>
      </c>
      <c r="BB621" s="3">
        <f t="shared" si="508"/>
        <v>0.1045</v>
      </c>
      <c r="BC621" s="3">
        <f t="shared" si="508"/>
        <v>0.1075</v>
      </c>
      <c r="BD621" s="3">
        <f t="shared" si="502"/>
        <v>-3.0000000000000027E-3</v>
      </c>
      <c r="BE621" s="3">
        <f t="shared" si="509"/>
        <v>0.26500000000000001</v>
      </c>
      <c r="BF621" s="3">
        <f t="shared" si="509"/>
        <v>0.52300000000000002</v>
      </c>
      <c r="BG621" s="3">
        <f t="shared" si="503"/>
        <v>-0.25800000000000001</v>
      </c>
      <c r="BH621" s="3">
        <f t="shared" si="510"/>
        <v>-0.1045</v>
      </c>
      <c r="BI621" s="3">
        <f t="shared" si="510"/>
        <v>-0.1075</v>
      </c>
      <c r="BJ621" s="3">
        <f t="shared" si="465"/>
        <v>3.0000000000000027E-3</v>
      </c>
      <c r="BK621" s="3">
        <f t="shared" si="462"/>
        <v>2.0604245283018865E-2</v>
      </c>
      <c r="BL621" s="3">
        <f t="shared" si="463"/>
        <v>1.104804015296367E-2</v>
      </c>
      <c r="BM621" s="3">
        <f t="shared" si="504"/>
        <v>9.5562051300551957E-3</v>
      </c>
      <c r="BN621" s="3">
        <v>5.4870000000000001</v>
      </c>
      <c r="BO621" s="3">
        <v>6.0839999999999996</v>
      </c>
      <c r="BP621" s="3">
        <f t="shared" si="505"/>
        <v>-0.59699999999999953</v>
      </c>
      <c r="BQ621" s="3">
        <v>-347129.96399999998</v>
      </c>
      <c r="BR621" s="3">
        <v>-346087.64600000001</v>
      </c>
      <c r="BS621" s="3">
        <f t="shared" si="506"/>
        <v>-1042.3179999999702</v>
      </c>
      <c r="BT621" s="3">
        <v>-347152.04599999997</v>
      </c>
      <c r="BU621" s="3">
        <v>-346109.22600000002</v>
      </c>
      <c r="BV621" s="3">
        <f t="shared" si="507"/>
        <v>-1042.8199999999488</v>
      </c>
    </row>
    <row r="622" spans="1:74" x14ac:dyDescent="0.25">
      <c r="A622" t="s">
        <v>696</v>
      </c>
      <c r="B622" s="1" t="s">
        <v>646</v>
      </c>
      <c r="C622" s="1" t="s">
        <v>200</v>
      </c>
      <c r="D622" s="3">
        <v>23.27</v>
      </c>
      <c r="E622" s="3">
        <v>0.7</v>
      </c>
      <c r="F622" s="3">
        <v>-551.04100000000005</v>
      </c>
      <c r="G622" s="3">
        <v>-554.452</v>
      </c>
      <c r="H622" s="3">
        <f t="shared" si="499"/>
        <v>-3.4109999999999445</v>
      </c>
      <c r="I622" s="3">
        <v>-0.23599999999999999</v>
      </c>
      <c r="J622" s="6">
        <v>-0.159</v>
      </c>
      <c r="K622" s="3">
        <f t="shared" si="486"/>
        <v>7.6999999999999985E-2</v>
      </c>
      <c r="L622" s="3">
        <v>0.14299999999999999</v>
      </c>
      <c r="M622" s="6">
        <v>0</v>
      </c>
      <c r="N622" s="3">
        <f t="shared" si="487"/>
        <v>-0.14299999999999999</v>
      </c>
      <c r="O622" s="3">
        <f t="shared" si="478"/>
        <v>4.65E-2</v>
      </c>
      <c r="P622" s="3">
        <f t="shared" si="478"/>
        <v>7.9500000000000001E-2</v>
      </c>
      <c r="Q622" s="3">
        <f t="shared" si="488"/>
        <v>3.3000000000000002E-2</v>
      </c>
      <c r="R622" s="3">
        <f t="shared" si="489"/>
        <v>0.379</v>
      </c>
      <c r="S622" s="3">
        <f t="shared" si="490"/>
        <v>0.159</v>
      </c>
      <c r="T622" s="3">
        <f t="shared" si="491"/>
        <v>-0.22</v>
      </c>
      <c r="U622" s="3">
        <f t="shared" si="492"/>
        <v>-4.65E-2</v>
      </c>
      <c r="V622" s="3">
        <f t="shared" si="493"/>
        <v>-7.9500000000000001E-2</v>
      </c>
      <c r="W622" s="3">
        <f t="shared" si="464"/>
        <v>-3.3000000000000002E-2</v>
      </c>
      <c r="X622" s="3">
        <f t="shared" si="460"/>
        <v>2.8525725593667546E-3</v>
      </c>
      <c r="Y622" s="3">
        <f t="shared" si="461"/>
        <v>1.9875E-2</v>
      </c>
      <c r="Z622" s="3">
        <f t="shared" si="494"/>
        <v>1.7022427440633245E-2</v>
      </c>
      <c r="AA622" s="3">
        <v>5.1280000000000001</v>
      </c>
      <c r="AB622" s="3">
        <v>4.6440000000000001</v>
      </c>
      <c r="AC622" s="3">
        <f t="shared" si="495"/>
        <v>-0.48399999999999999</v>
      </c>
      <c r="AD622" s="3">
        <f>-550.84396*627.50956</f>
        <v>-345659.85096825758</v>
      </c>
      <c r="AE622" s="3">
        <f>-554.266034*627.50956</f>
        <v>-347807.235118285</v>
      </c>
      <c r="AF622" s="3">
        <f t="shared" si="496"/>
        <v>-2147.3841500274139</v>
      </c>
      <c r="AG622" s="3">
        <f>-550.892724*627.50956</f>
        <v>-345690.45084444142</v>
      </c>
      <c r="AH622" s="3">
        <f>-554.316273*627.50956</f>
        <v>-347838.7605710699</v>
      </c>
      <c r="AI622" s="3">
        <f t="shared" si="497"/>
        <v>-2148.3097266284749</v>
      </c>
      <c r="AJ622" s="3">
        <v>-0.61499999999999999</v>
      </c>
      <c r="AK622" s="3">
        <v>-0.50900000000000001</v>
      </c>
      <c r="AL622" s="3">
        <f t="shared" si="498"/>
        <v>0.10599999999999998</v>
      </c>
      <c r="AM622" s="3">
        <v>164.18100000000001</v>
      </c>
      <c r="AN622" s="3">
        <v>228.90299999999999</v>
      </c>
      <c r="AO622" s="3">
        <v>245.31899999999999</v>
      </c>
      <c r="AP622" s="3">
        <f t="shared" si="444"/>
        <v>1.2080548256401733</v>
      </c>
      <c r="AQ622" s="3">
        <v>11.8</v>
      </c>
      <c r="AR622" s="3">
        <v>2.7709999999999999</v>
      </c>
      <c r="AS622" s="3">
        <v>-553.27200000000005</v>
      </c>
      <c r="AT622" s="3">
        <v>-551.61699999999996</v>
      </c>
      <c r="AU622" s="3">
        <f t="shared" si="511"/>
        <v>-1.6550000000000864</v>
      </c>
      <c r="AV622" s="3">
        <v>-0.23699999999999999</v>
      </c>
      <c r="AW622" s="3">
        <v>-0.36899999999999999</v>
      </c>
      <c r="AX622" s="3">
        <f t="shared" si="500"/>
        <v>0.13200000000000001</v>
      </c>
      <c r="AY622" s="3">
        <v>2.8000000000000001E-2</v>
      </c>
      <c r="AZ622" s="3">
        <v>0.154</v>
      </c>
      <c r="BA622" s="3">
        <f t="shared" si="501"/>
        <v>-0.126</v>
      </c>
      <c r="BB622" s="3">
        <f t="shared" ref="BB622:BC634" si="512">-(AV622+AY622)/2</f>
        <v>0.1045</v>
      </c>
      <c r="BC622" s="3">
        <f t="shared" si="512"/>
        <v>0.1075</v>
      </c>
      <c r="BD622" s="3">
        <f t="shared" si="502"/>
        <v>-3.0000000000000027E-3</v>
      </c>
      <c r="BE622" s="3">
        <f t="shared" ref="BE622:BF634" si="513">AY622-AV622</f>
        <v>0.26500000000000001</v>
      </c>
      <c r="BF622" s="3">
        <f t="shared" si="513"/>
        <v>0.52300000000000002</v>
      </c>
      <c r="BG622" s="3">
        <f t="shared" si="503"/>
        <v>-0.25800000000000001</v>
      </c>
      <c r="BH622" s="3">
        <f t="shared" ref="BH622:BI634" si="514">(AV622+AY622)/2</f>
        <v>-0.1045</v>
      </c>
      <c r="BI622" s="3">
        <f t="shared" si="514"/>
        <v>-0.1075</v>
      </c>
      <c r="BJ622" s="3">
        <f t="shared" si="465"/>
        <v>3.0000000000000027E-3</v>
      </c>
      <c r="BK622" s="3">
        <f t="shared" si="462"/>
        <v>2.0604245283018865E-2</v>
      </c>
      <c r="BL622" s="3">
        <f t="shared" si="463"/>
        <v>1.104804015296367E-2</v>
      </c>
      <c r="BM622" s="3">
        <f t="shared" si="504"/>
        <v>9.5562051300551957E-3</v>
      </c>
      <c r="BN622" s="3">
        <v>5.4870000000000001</v>
      </c>
      <c r="BO622" s="3">
        <v>6.0839999999999996</v>
      </c>
      <c r="BP622" s="3">
        <f t="shared" si="505"/>
        <v>-0.59699999999999953</v>
      </c>
      <c r="BQ622" s="3">
        <v>-347129.96399999998</v>
      </c>
      <c r="BR622" s="3">
        <v>-346087.64600000001</v>
      </c>
      <c r="BS622" s="3">
        <f t="shared" si="506"/>
        <v>-1042.3179999999702</v>
      </c>
      <c r="BT622" s="3">
        <v>-347152.04599999997</v>
      </c>
      <c r="BU622" s="3">
        <v>-346109.22600000002</v>
      </c>
      <c r="BV622" s="3">
        <f t="shared" si="507"/>
        <v>-1042.8199999999488</v>
      </c>
    </row>
    <row r="623" spans="1:74" x14ac:dyDescent="0.25">
      <c r="A623" t="s">
        <v>697</v>
      </c>
      <c r="B623" s="1" t="s">
        <v>646</v>
      </c>
      <c r="C623" s="1" t="s">
        <v>218</v>
      </c>
      <c r="D623" s="3">
        <v>23.35</v>
      </c>
      <c r="E623" s="3">
        <v>0.4</v>
      </c>
      <c r="F623" s="3">
        <v>-919.45600000000002</v>
      </c>
      <c r="G623" s="3">
        <v>-925.61</v>
      </c>
      <c r="H623" s="3">
        <f t="shared" si="499"/>
        <v>-6.1539999999999964</v>
      </c>
      <c r="I623" s="3">
        <v>-0.31900000000000001</v>
      </c>
      <c r="J623" s="6">
        <v>-0.219</v>
      </c>
      <c r="K623" s="3">
        <f t="shared" si="486"/>
        <v>0.1</v>
      </c>
      <c r="L623" s="3">
        <v>0.13</v>
      </c>
      <c r="M623" s="6">
        <v>-1.2999999999999999E-2</v>
      </c>
      <c r="N623" s="3">
        <f t="shared" si="487"/>
        <v>-0.14300000000000002</v>
      </c>
      <c r="O623" s="3">
        <f t="shared" si="478"/>
        <v>9.4500000000000001E-2</v>
      </c>
      <c r="P623" s="3">
        <f t="shared" si="478"/>
        <v>0.11600000000000001</v>
      </c>
      <c r="Q623" s="3">
        <f t="shared" si="488"/>
        <v>2.1500000000000005E-2</v>
      </c>
      <c r="R623" s="3">
        <f t="shared" si="489"/>
        <v>0.44900000000000001</v>
      </c>
      <c r="S623" s="3">
        <f t="shared" si="490"/>
        <v>0.20599999999999999</v>
      </c>
      <c r="T623" s="3">
        <f t="shared" si="491"/>
        <v>-0.24300000000000002</v>
      </c>
      <c r="U623" s="3">
        <f t="shared" si="492"/>
        <v>-9.4500000000000001E-2</v>
      </c>
      <c r="V623" s="3">
        <f t="shared" si="493"/>
        <v>-0.11600000000000001</v>
      </c>
      <c r="W623" s="3">
        <f t="shared" si="464"/>
        <v>-2.1500000000000005E-2</v>
      </c>
      <c r="X623" s="3">
        <f t="shared" si="460"/>
        <v>9.9445991091314037E-3</v>
      </c>
      <c r="Y623" s="3">
        <f t="shared" si="461"/>
        <v>3.2660194174757289E-2</v>
      </c>
      <c r="Z623" s="3">
        <f t="shared" si="494"/>
        <v>2.2715595065625885E-2</v>
      </c>
      <c r="AA623" s="3">
        <v>3.48</v>
      </c>
      <c r="AB623" s="3">
        <v>3.5680000000000001</v>
      </c>
      <c r="AC623" s="3">
        <f t="shared" si="495"/>
        <v>8.8000000000000078E-2</v>
      </c>
      <c r="AD623" s="3">
        <f>-918.986228*627.50956</f>
        <v>-576672.6435783396</v>
      </c>
      <c r="AE623" s="3">
        <f>-925.166972*627.50956</f>
        <v>-580551.11952625227</v>
      </c>
      <c r="AF623" s="3">
        <f t="shared" si="496"/>
        <v>-3878.475947912666</v>
      </c>
      <c r="AG623" s="3">
        <f>-919.066613*627.50956</f>
        <v>-576723.08593432023</v>
      </c>
      <c r="AH623" s="3">
        <f>-925.24886*627.50956</f>
        <v>-580602.50502910162</v>
      </c>
      <c r="AI623" s="3">
        <f t="shared" si="497"/>
        <v>-3879.4190947813913</v>
      </c>
      <c r="AJ623" s="3">
        <v>0.27800000000000002</v>
      </c>
      <c r="AK623" s="3">
        <v>0.17100000000000001</v>
      </c>
      <c r="AL623" s="3">
        <f t="shared" si="498"/>
        <v>-0.10700000000000001</v>
      </c>
      <c r="AM623" s="3">
        <v>306.44450000000001</v>
      </c>
      <c r="AN623" s="3">
        <v>400.108</v>
      </c>
      <c r="AO623" s="3">
        <v>503.40699999999998</v>
      </c>
      <c r="AP623" s="3">
        <f t="shared" si="444"/>
        <v>1.3076364520019097</v>
      </c>
      <c r="AQ623" s="3">
        <v>16.757999999999999</v>
      </c>
      <c r="AR623" s="3">
        <v>3.9460000000000002</v>
      </c>
      <c r="AS623" s="3">
        <v>-232.511</v>
      </c>
      <c r="AT623" s="3">
        <v>-231.03200000000001</v>
      </c>
      <c r="AU623" s="3">
        <f t="shared" si="511"/>
        <v>-1.478999999999985</v>
      </c>
      <c r="AV623" s="3">
        <v>-0.246</v>
      </c>
      <c r="AW623" s="3">
        <v>-0.40400000000000003</v>
      </c>
      <c r="AX623" s="3">
        <f t="shared" si="500"/>
        <v>0.15800000000000003</v>
      </c>
      <c r="AY623" s="3">
        <v>3.5999999999999997E-2</v>
      </c>
      <c r="AZ623" s="3">
        <v>0.15</v>
      </c>
      <c r="BA623" s="3">
        <f t="shared" si="501"/>
        <v>-0.11399999999999999</v>
      </c>
      <c r="BB623" s="3">
        <f t="shared" si="512"/>
        <v>0.105</v>
      </c>
      <c r="BC623" s="3">
        <f t="shared" si="512"/>
        <v>0.127</v>
      </c>
      <c r="BD623" s="3">
        <f t="shared" si="502"/>
        <v>-2.2000000000000006E-2</v>
      </c>
      <c r="BE623" s="3">
        <f t="shared" si="513"/>
        <v>0.28199999999999997</v>
      </c>
      <c r="BF623" s="3">
        <f t="shared" si="513"/>
        <v>0.55400000000000005</v>
      </c>
      <c r="BG623" s="3">
        <f t="shared" si="503"/>
        <v>-0.27200000000000008</v>
      </c>
      <c r="BH623" s="3">
        <f t="shared" si="514"/>
        <v>-0.105</v>
      </c>
      <c r="BI623" s="3">
        <f t="shared" si="514"/>
        <v>-0.127</v>
      </c>
      <c r="BJ623" s="3">
        <f t="shared" si="465"/>
        <v>2.2000000000000006E-2</v>
      </c>
      <c r="BK623" s="3">
        <f t="shared" si="462"/>
        <v>1.9547872340425532E-2</v>
      </c>
      <c r="BL623" s="3">
        <f t="shared" si="463"/>
        <v>1.4556859205776172E-2</v>
      </c>
      <c r="BM623" s="3">
        <f t="shared" si="504"/>
        <v>4.9910131346493601E-3</v>
      </c>
      <c r="BN623" s="3">
        <v>2.206</v>
      </c>
      <c r="BO623" s="3">
        <v>2.2749999999999999</v>
      </c>
      <c r="BP623" s="3">
        <f t="shared" si="505"/>
        <v>-6.899999999999995E-2</v>
      </c>
      <c r="BQ623" s="3">
        <v>-145827.45000000001</v>
      </c>
      <c r="BR623" s="3">
        <v>-144894.345</v>
      </c>
      <c r="BS623" s="3">
        <f t="shared" si="506"/>
        <v>-933.10500000001048</v>
      </c>
      <c r="BT623" s="3">
        <v>-145847.03599999999</v>
      </c>
      <c r="BU623" s="3">
        <v>-144913.766</v>
      </c>
      <c r="BV623" s="3">
        <f t="shared" si="507"/>
        <v>-933.26999999998952</v>
      </c>
    </row>
    <row r="624" spans="1:74" x14ac:dyDescent="0.25">
      <c r="A624" t="s">
        <v>698</v>
      </c>
      <c r="B624" s="1" t="s">
        <v>646</v>
      </c>
      <c r="C624" s="1" t="s">
        <v>200</v>
      </c>
      <c r="D624" s="3">
        <v>23.64</v>
      </c>
      <c r="E624" s="3">
        <v>0.65</v>
      </c>
      <c r="F624" s="3">
        <v>-626.80200000000002</v>
      </c>
      <c r="G624" s="3">
        <v>-630.68399999999997</v>
      </c>
      <c r="H624" s="3">
        <f t="shared" si="499"/>
        <v>-3.8819999999999482</v>
      </c>
      <c r="I624" s="3">
        <v>-0.22800000000000001</v>
      </c>
      <c r="J624" s="6">
        <v>-0.16</v>
      </c>
      <c r="K624" s="3">
        <f t="shared" si="486"/>
        <v>6.8000000000000005E-2</v>
      </c>
      <c r="L624" s="3">
        <v>0.111</v>
      </c>
      <c r="M624" s="6">
        <v>-2.5999999999999999E-2</v>
      </c>
      <c r="N624" s="3">
        <f t="shared" si="487"/>
        <v>-0.13700000000000001</v>
      </c>
      <c r="O624" s="3">
        <f t="shared" si="478"/>
        <v>5.8500000000000003E-2</v>
      </c>
      <c r="P624" s="3">
        <f t="shared" si="478"/>
        <v>9.2999999999999999E-2</v>
      </c>
      <c r="Q624" s="3">
        <f t="shared" si="488"/>
        <v>3.4499999999999996E-2</v>
      </c>
      <c r="R624" s="3">
        <f t="shared" si="489"/>
        <v>0.33900000000000002</v>
      </c>
      <c r="S624" s="3">
        <f t="shared" si="490"/>
        <v>0.13400000000000001</v>
      </c>
      <c r="T624" s="3">
        <f t="shared" si="491"/>
        <v>-0.20500000000000002</v>
      </c>
      <c r="U624" s="3">
        <f t="shared" si="492"/>
        <v>-5.8500000000000003E-2</v>
      </c>
      <c r="V624" s="3">
        <f t="shared" si="493"/>
        <v>-9.2999999999999999E-2</v>
      </c>
      <c r="W624" s="3">
        <f t="shared" si="464"/>
        <v>-3.4499999999999996E-2</v>
      </c>
      <c r="X624" s="3">
        <f t="shared" si="460"/>
        <v>5.0475663716814164E-3</v>
      </c>
      <c r="Y624" s="3">
        <f t="shared" si="461"/>
        <v>3.2272388059701493E-2</v>
      </c>
      <c r="Z624" s="3">
        <f t="shared" si="494"/>
        <v>2.7224821688020075E-2</v>
      </c>
      <c r="AA624" s="3">
        <v>4.835</v>
      </c>
      <c r="AB624" s="3">
        <v>5.0460000000000003</v>
      </c>
      <c r="AC624" s="3">
        <f t="shared" si="495"/>
        <v>0.2110000000000003</v>
      </c>
      <c r="AD624" s="3">
        <f>-626.591998*627.50956</f>
        <v>-393192.46896450088</v>
      </c>
      <c r="AE624" s="3">
        <f>-630.48562*627.50956</f>
        <v>-395635.7539925272</v>
      </c>
      <c r="AF624" s="3">
        <f t="shared" si="496"/>
        <v>-2443.2850280263228</v>
      </c>
      <c r="AG624" s="3">
        <f>-626.645728*627.50956</f>
        <v>-393226.18505315966</v>
      </c>
      <c r="AH624" s="3">
        <f>-630.541227*627.50956</f>
        <v>-395670.64791663014</v>
      </c>
      <c r="AI624" s="3">
        <f t="shared" si="497"/>
        <v>-2444.4628634704859</v>
      </c>
      <c r="AJ624" s="3">
        <v>-0.6</v>
      </c>
      <c r="AK624" s="3">
        <v>-0.48299999999999998</v>
      </c>
      <c r="AL624" s="3">
        <f t="shared" si="498"/>
        <v>0.11699999999999999</v>
      </c>
      <c r="AM624" s="3">
        <v>188.20259999999999</v>
      </c>
      <c r="AN624" s="3">
        <v>255.8536</v>
      </c>
      <c r="AO624" s="3">
        <v>276.53570000000002</v>
      </c>
      <c r="AP624" s="3">
        <f t="shared" si="444"/>
        <v>1.246656135675198</v>
      </c>
      <c r="AQ624" s="3">
        <v>12.801</v>
      </c>
      <c r="AR624" s="3">
        <v>3.2305999999999999</v>
      </c>
      <c r="AS624" s="3">
        <v>-553.27200000000005</v>
      </c>
      <c r="AT624" s="3">
        <v>-551.61699999999996</v>
      </c>
      <c r="AU624" s="3">
        <f t="shared" si="511"/>
        <v>-1.6550000000000864</v>
      </c>
      <c r="AV624" s="3">
        <v>-0.23699999999999999</v>
      </c>
      <c r="AW624" s="3">
        <v>-0.36899999999999999</v>
      </c>
      <c r="AX624" s="3">
        <f t="shared" si="500"/>
        <v>0.13200000000000001</v>
      </c>
      <c r="AY624" s="3">
        <v>2.8000000000000001E-2</v>
      </c>
      <c r="AZ624" s="3">
        <v>0.154</v>
      </c>
      <c r="BA624" s="3">
        <f t="shared" si="501"/>
        <v>-0.126</v>
      </c>
      <c r="BB624" s="3">
        <f t="shared" si="512"/>
        <v>0.1045</v>
      </c>
      <c r="BC624" s="3">
        <f t="shared" si="512"/>
        <v>0.1075</v>
      </c>
      <c r="BD624" s="3">
        <f t="shared" si="502"/>
        <v>-3.0000000000000027E-3</v>
      </c>
      <c r="BE624" s="3">
        <f t="shared" si="513"/>
        <v>0.26500000000000001</v>
      </c>
      <c r="BF624" s="3">
        <f t="shared" si="513"/>
        <v>0.52300000000000002</v>
      </c>
      <c r="BG624" s="3">
        <f t="shared" si="503"/>
        <v>-0.25800000000000001</v>
      </c>
      <c r="BH624" s="3">
        <f t="shared" si="514"/>
        <v>-0.1045</v>
      </c>
      <c r="BI624" s="3">
        <f t="shared" si="514"/>
        <v>-0.1075</v>
      </c>
      <c r="BJ624" s="3">
        <f t="shared" si="465"/>
        <v>3.0000000000000027E-3</v>
      </c>
      <c r="BK624" s="3">
        <f t="shared" si="462"/>
        <v>2.0604245283018865E-2</v>
      </c>
      <c r="BL624" s="3">
        <f t="shared" si="463"/>
        <v>1.104804015296367E-2</v>
      </c>
      <c r="BM624" s="3">
        <f t="shared" si="504"/>
        <v>9.5562051300551957E-3</v>
      </c>
      <c r="BN624" s="3">
        <v>5.4870000000000001</v>
      </c>
      <c r="BO624" s="3">
        <v>6.0839999999999996</v>
      </c>
      <c r="BP624" s="3">
        <f t="shared" si="505"/>
        <v>-0.59699999999999953</v>
      </c>
      <c r="BQ624" s="3">
        <v>-347129.96399999998</v>
      </c>
      <c r="BR624" s="3">
        <v>-346087.64600000001</v>
      </c>
      <c r="BS624" s="3">
        <f t="shared" si="506"/>
        <v>-1042.3179999999702</v>
      </c>
      <c r="BT624" s="3">
        <v>-347152.04599999997</v>
      </c>
      <c r="BU624" s="3">
        <v>-346109.22600000002</v>
      </c>
      <c r="BV624" s="3">
        <f t="shared" si="507"/>
        <v>-1042.8199999999488</v>
      </c>
    </row>
    <row r="625" spans="1:74" x14ac:dyDescent="0.25">
      <c r="A625" t="s">
        <v>699</v>
      </c>
      <c r="B625" s="1" t="s">
        <v>646</v>
      </c>
      <c r="C625" s="1" t="s">
        <v>200</v>
      </c>
      <c r="D625" s="3">
        <v>23.74</v>
      </c>
      <c r="E625" s="3">
        <v>0.71</v>
      </c>
      <c r="F625" s="3">
        <v>-506.84500000000003</v>
      </c>
      <c r="G625" s="3">
        <v>-509.59699999999998</v>
      </c>
      <c r="H625" s="3">
        <f t="shared" si="499"/>
        <v>-2.7519999999999527</v>
      </c>
      <c r="I625" s="3">
        <v>-0.21199999999999999</v>
      </c>
      <c r="J625" s="6">
        <v>-0.14499999999999999</v>
      </c>
      <c r="K625" s="3">
        <f t="shared" si="486"/>
        <v>6.7000000000000004E-2</v>
      </c>
      <c r="L625" s="3">
        <v>3.1E-2</v>
      </c>
      <c r="M625" s="6">
        <v>-1.2E-2</v>
      </c>
      <c r="N625" s="3">
        <f t="shared" si="487"/>
        <v>-4.2999999999999997E-2</v>
      </c>
      <c r="O625" s="3">
        <f t="shared" si="478"/>
        <v>9.0499999999999997E-2</v>
      </c>
      <c r="P625" s="3">
        <f t="shared" si="478"/>
        <v>7.85E-2</v>
      </c>
      <c r="Q625" s="3">
        <f t="shared" si="488"/>
        <v>-1.1999999999999997E-2</v>
      </c>
      <c r="R625" s="3">
        <f t="shared" si="489"/>
        <v>0.24299999999999999</v>
      </c>
      <c r="S625" s="3">
        <f t="shared" si="490"/>
        <v>0.13299999999999998</v>
      </c>
      <c r="T625" s="3">
        <f t="shared" si="491"/>
        <v>-0.11000000000000001</v>
      </c>
      <c r="U625" s="3">
        <f t="shared" si="492"/>
        <v>-9.0499999999999997E-2</v>
      </c>
      <c r="V625" s="3">
        <f t="shared" si="493"/>
        <v>-7.85E-2</v>
      </c>
      <c r="W625" s="3">
        <f t="shared" si="464"/>
        <v>1.1999999999999997E-2</v>
      </c>
      <c r="X625" s="3">
        <f t="shared" si="460"/>
        <v>1.6852366255144031E-2</v>
      </c>
      <c r="Y625" s="3">
        <f t="shared" si="461"/>
        <v>2.3166353383458651E-2</v>
      </c>
      <c r="Z625" s="3">
        <f t="shared" si="494"/>
        <v>6.3139871283146194E-3</v>
      </c>
      <c r="AA625" s="3">
        <v>27.055</v>
      </c>
      <c r="AB625" s="3">
        <v>27.085000000000001</v>
      </c>
      <c r="AC625" s="3">
        <f t="shared" si="495"/>
        <v>3.0000000000001137E-2</v>
      </c>
      <c r="AD625" s="3">
        <f>-506.702368*627.50956</f>
        <v>-317960.57999463804</v>
      </c>
      <c r="AE625" s="3">
        <f>-509.462128*627.50956</f>
        <v>-319692.35577794368</v>
      </c>
      <c r="AF625" s="3">
        <f t="shared" si="496"/>
        <v>-1731.7757833056385</v>
      </c>
      <c r="AG625" s="3">
        <f>-506.744948*627.50956</f>
        <v>-317987.29935170285</v>
      </c>
      <c r="AH625" s="3">
        <f>-509.505368*627.50956</f>
        <v>-319719.48929131805</v>
      </c>
      <c r="AI625" s="3">
        <f t="shared" si="497"/>
        <v>-1732.1899396152003</v>
      </c>
      <c r="AJ625" s="3">
        <v>-0.40400000000000003</v>
      </c>
      <c r="AK625" s="3">
        <v>-0.378</v>
      </c>
      <c r="AL625" s="3">
        <f t="shared" si="498"/>
        <v>2.6000000000000023E-2</v>
      </c>
      <c r="AM625" s="3">
        <v>138.14160000000001</v>
      </c>
      <c r="AN625" s="3">
        <v>225.803</v>
      </c>
      <c r="AO625" s="3">
        <v>234.37899999999999</v>
      </c>
      <c r="AP625" s="3">
        <f t="shared" si="444"/>
        <v>1.2284944346449509</v>
      </c>
      <c r="AQ625" s="3">
        <v>12.741</v>
      </c>
      <c r="AR625" s="3">
        <v>2.8672</v>
      </c>
      <c r="AS625" s="3">
        <v>-553.27200000000005</v>
      </c>
      <c r="AT625" s="3">
        <v>-551.61699999999996</v>
      </c>
      <c r="AU625" s="3">
        <f t="shared" si="511"/>
        <v>-1.6550000000000864</v>
      </c>
      <c r="AV625" s="3">
        <v>-0.23699999999999999</v>
      </c>
      <c r="AW625" s="3">
        <v>-0.36899999999999999</v>
      </c>
      <c r="AX625" s="3">
        <f t="shared" si="500"/>
        <v>0.13200000000000001</v>
      </c>
      <c r="AY625" s="3">
        <v>2.8000000000000001E-2</v>
      </c>
      <c r="AZ625" s="3">
        <v>0.154</v>
      </c>
      <c r="BA625" s="3">
        <f t="shared" si="501"/>
        <v>-0.126</v>
      </c>
      <c r="BB625" s="3">
        <f t="shared" si="512"/>
        <v>0.1045</v>
      </c>
      <c r="BC625" s="3">
        <f t="shared" si="512"/>
        <v>0.1075</v>
      </c>
      <c r="BD625" s="3">
        <f t="shared" si="502"/>
        <v>-3.0000000000000027E-3</v>
      </c>
      <c r="BE625" s="3">
        <f t="shared" si="513"/>
        <v>0.26500000000000001</v>
      </c>
      <c r="BF625" s="3">
        <f t="shared" si="513"/>
        <v>0.52300000000000002</v>
      </c>
      <c r="BG625" s="3">
        <f t="shared" si="503"/>
        <v>-0.25800000000000001</v>
      </c>
      <c r="BH625" s="3">
        <f t="shared" si="514"/>
        <v>-0.1045</v>
      </c>
      <c r="BI625" s="3">
        <f t="shared" si="514"/>
        <v>-0.1075</v>
      </c>
      <c r="BJ625" s="3">
        <f t="shared" si="465"/>
        <v>3.0000000000000027E-3</v>
      </c>
      <c r="BK625" s="3">
        <f t="shared" si="462"/>
        <v>2.0604245283018865E-2</v>
      </c>
      <c r="BL625" s="3">
        <f t="shared" si="463"/>
        <v>1.104804015296367E-2</v>
      </c>
      <c r="BM625" s="3">
        <f t="shared" si="504"/>
        <v>9.5562051300551957E-3</v>
      </c>
      <c r="BN625" s="3">
        <v>5.4870000000000001</v>
      </c>
      <c r="BO625" s="3">
        <v>6.0839999999999996</v>
      </c>
      <c r="BP625" s="3">
        <f t="shared" si="505"/>
        <v>-0.59699999999999953</v>
      </c>
      <c r="BQ625" s="3">
        <v>-347129.96399999998</v>
      </c>
      <c r="BR625" s="3">
        <v>-346087.64600000001</v>
      </c>
      <c r="BS625" s="3">
        <f t="shared" si="506"/>
        <v>-1042.3179999999702</v>
      </c>
      <c r="BT625" s="3">
        <v>-347152.04599999997</v>
      </c>
      <c r="BU625" s="3">
        <v>-346109.22600000002</v>
      </c>
      <c r="BV625" s="3">
        <f t="shared" si="507"/>
        <v>-1042.8199999999488</v>
      </c>
    </row>
    <row r="626" spans="1:74" x14ac:dyDescent="0.25">
      <c r="A626" t="s">
        <v>700</v>
      </c>
      <c r="B626" s="1" t="s">
        <v>646</v>
      </c>
      <c r="C626" s="1" t="s">
        <v>200</v>
      </c>
      <c r="D626" s="3">
        <v>23.9</v>
      </c>
      <c r="E626" s="3">
        <v>0.62</v>
      </c>
      <c r="F626" s="3">
        <v>-3388.2939999999999</v>
      </c>
      <c r="G626" s="3">
        <v>-3393.31</v>
      </c>
      <c r="H626" s="3">
        <f t="shared" si="499"/>
        <v>-5.0160000000000764</v>
      </c>
      <c r="I626" s="3">
        <v>-0.30499999999999999</v>
      </c>
      <c r="J626" s="6">
        <v>-0.191</v>
      </c>
      <c r="K626" s="3">
        <f t="shared" si="486"/>
        <v>0.11399999999999999</v>
      </c>
      <c r="L626" s="3">
        <v>9.6000000000000002E-2</v>
      </c>
      <c r="M626" s="6">
        <v>-4.2000000000000003E-2</v>
      </c>
      <c r="N626" s="3">
        <f t="shared" si="487"/>
        <v>-0.13800000000000001</v>
      </c>
      <c r="O626" s="3">
        <f t="shared" si="478"/>
        <v>0.1045</v>
      </c>
      <c r="P626" s="3">
        <f t="shared" si="478"/>
        <v>0.11650000000000001</v>
      </c>
      <c r="Q626" s="3">
        <f t="shared" si="488"/>
        <v>1.2000000000000011E-2</v>
      </c>
      <c r="R626" s="3">
        <f t="shared" si="489"/>
        <v>0.40100000000000002</v>
      </c>
      <c r="S626" s="3">
        <f t="shared" si="490"/>
        <v>0.14899999999999999</v>
      </c>
      <c r="T626" s="3">
        <f t="shared" si="491"/>
        <v>-0.252</v>
      </c>
      <c r="U626" s="3">
        <f t="shared" si="492"/>
        <v>-0.1045</v>
      </c>
      <c r="V626" s="3">
        <f t="shared" si="493"/>
        <v>-0.11650000000000001</v>
      </c>
      <c r="W626" s="3">
        <f t="shared" si="464"/>
        <v>-1.2000000000000011E-2</v>
      </c>
      <c r="X626" s="3">
        <f t="shared" si="460"/>
        <v>1.3616271820448876E-2</v>
      </c>
      <c r="Y626" s="3">
        <f t="shared" si="461"/>
        <v>4.5544463087248327E-2</v>
      </c>
      <c r="Z626" s="3">
        <f t="shared" si="494"/>
        <v>3.1928191266799452E-2</v>
      </c>
      <c r="AA626" s="3">
        <v>10.882999999999999</v>
      </c>
      <c r="AB626" s="3">
        <v>9.907</v>
      </c>
      <c r="AC626" s="3">
        <f t="shared" si="495"/>
        <v>-0.97599999999999909</v>
      </c>
      <c r="AD626" s="3">
        <f>-3388.160289*627.50956</f>
        <v>-2126102.9721598625</v>
      </c>
      <c r="AE626" s="3">
        <f>-3393.18436*627.50956</f>
        <v>-2129255.6247424814</v>
      </c>
      <c r="AF626" s="3">
        <f t="shared" si="496"/>
        <v>-3152.6525826188736</v>
      </c>
      <c r="AG626" s="3">
        <f>-3388.208808*627.50956</f>
        <v>-2126133.4182962044</v>
      </c>
      <c r="AH626" s="3">
        <f>-3393.234302*627.50956</f>
        <v>-2129286.9638249269</v>
      </c>
      <c r="AI626" s="3">
        <f t="shared" si="497"/>
        <v>-3153.5455287224613</v>
      </c>
      <c r="AJ626" s="3">
        <v>-0.88300000000000001</v>
      </c>
      <c r="AK626" s="3">
        <v>-0.878</v>
      </c>
      <c r="AL626" s="3">
        <f t="shared" si="498"/>
        <v>5.0000000000000044E-3</v>
      </c>
      <c r="AM626" s="3">
        <v>234.09030000000001</v>
      </c>
      <c r="AN626" s="3">
        <v>216.47800000000001</v>
      </c>
      <c r="AO626" s="3">
        <v>233.63589999999999</v>
      </c>
      <c r="AP626" s="3">
        <f t="shared" si="444"/>
        <v>1.1802572215539728</v>
      </c>
      <c r="AQ626" s="3">
        <v>11.265000000000001</v>
      </c>
      <c r="AR626" s="3">
        <v>2.7054999999999998</v>
      </c>
      <c r="AS626" s="3">
        <v>-553.27200000000005</v>
      </c>
      <c r="AT626" s="3">
        <v>-551.61699999999996</v>
      </c>
      <c r="AU626" s="3">
        <f t="shared" si="511"/>
        <v>-1.6550000000000864</v>
      </c>
      <c r="AV626" s="3">
        <v>-0.23699999999999999</v>
      </c>
      <c r="AW626" s="3">
        <v>-0.36899999999999999</v>
      </c>
      <c r="AX626" s="3">
        <f t="shared" si="500"/>
        <v>0.13200000000000001</v>
      </c>
      <c r="AY626" s="3">
        <v>2.8000000000000001E-2</v>
      </c>
      <c r="AZ626" s="3">
        <v>0.154</v>
      </c>
      <c r="BA626" s="3">
        <f t="shared" si="501"/>
        <v>-0.126</v>
      </c>
      <c r="BB626" s="3">
        <f t="shared" si="512"/>
        <v>0.1045</v>
      </c>
      <c r="BC626" s="3">
        <f t="shared" si="512"/>
        <v>0.1075</v>
      </c>
      <c r="BD626" s="3">
        <f t="shared" si="502"/>
        <v>-3.0000000000000027E-3</v>
      </c>
      <c r="BE626" s="3">
        <f t="shared" si="513"/>
        <v>0.26500000000000001</v>
      </c>
      <c r="BF626" s="3">
        <f t="shared" si="513"/>
        <v>0.52300000000000002</v>
      </c>
      <c r="BG626" s="3">
        <f t="shared" si="503"/>
        <v>-0.25800000000000001</v>
      </c>
      <c r="BH626" s="3">
        <f t="shared" si="514"/>
        <v>-0.1045</v>
      </c>
      <c r="BI626" s="3">
        <f t="shared" si="514"/>
        <v>-0.1075</v>
      </c>
      <c r="BJ626" s="3">
        <f t="shared" si="465"/>
        <v>3.0000000000000027E-3</v>
      </c>
      <c r="BK626" s="3">
        <f t="shared" si="462"/>
        <v>2.0604245283018865E-2</v>
      </c>
      <c r="BL626" s="3">
        <f t="shared" si="463"/>
        <v>1.104804015296367E-2</v>
      </c>
      <c r="BM626" s="3">
        <f t="shared" si="504"/>
        <v>9.5562051300551957E-3</v>
      </c>
      <c r="BN626" s="3">
        <v>5.4870000000000001</v>
      </c>
      <c r="BO626" s="3">
        <v>6.0839999999999996</v>
      </c>
      <c r="BP626" s="3">
        <f t="shared" si="505"/>
        <v>-0.59699999999999953</v>
      </c>
      <c r="BQ626" s="3">
        <v>-347129.96399999998</v>
      </c>
      <c r="BR626" s="3">
        <v>-346087.64600000001</v>
      </c>
      <c r="BS626" s="3">
        <f t="shared" si="506"/>
        <v>-1042.3179999999702</v>
      </c>
      <c r="BT626" s="3">
        <v>-347152.04599999997</v>
      </c>
      <c r="BU626" s="3">
        <v>-346109.22600000002</v>
      </c>
      <c r="BV626" s="3">
        <f t="shared" si="507"/>
        <v>-1042.8199999999488</v>
      </c>
    </row>
    <row r="627" spans="1:74" x14ac:dyDescent="0.25">
      <c r="A627" t="s">
        <v>701</v>
      </c>
      <c r="B627" s="1" t="s">
        <v>646</v>
      </c>
      <c r="C627" s="1" t="s">
        <v>200</v>
      </c>
      <c r="D627" s="3">
        <v>24.3</v>
      </c>
      <c r="E627" s="3">
        <v>0.51</v>
      </c>
      <c r="F627" s="3">
        <v>-1381.8230000000001</v>
      </c>
      <c r="G627" s="3">
        <v>-1388.0319999999999</v>
      </c>
      <c r="H627" s="3">
        <f t="shared" si="499"/>
        <v>-6.2089999999998327</v>
      </c>
      <c r="I627" s="3">
        <v>-0.247</v>
      </c>
      <c r="J627" s="6">
        <v>-0.17100000000000001</v>
      </c>
      <c r="K627" s="3">
        <f t="shared" si="486"/>
        <v>7.5999999999999984E-2</v>
      </c>
      <c r="L627" s="3">
        <v>0.107</v>
      </c>
      <c r="M627" s="6">
        <v>-3.1E-2</v>
      </c>
      <c r="N627" s="3">
        <f t="shared" si="487"/>
        <v>-0.13800000000000001</v>
      </c>
      <c r="O627" s="3">
        <f t="shared" si="478"/>
        <v>7.0000000000000007E-2</v>
      </c>
      <c r="P627" s="3">
        <f t="shared" si="478"/>
        <v>0.10100000000000001</v>
      </c>
      <c r="Q627" s="3">
        <f t="shared" si="488"/>
        <v>3.1E-2</v>
      </c>
      <c r="R627" s="3">
        <f t="shared" si="489"/>
        <v>0.35399999999999998</v>
      </c>
      <c r="S627" s="3">
        <f t="shared" si="490"/>
        <v>0.14000000000000001</v>
      </c>
      <c r="T627" s="3">
        <f t="shared" si="491"/>
        <v>-0.21399999999999997</v>
      </c>
      <c r="U627" s="3">
        <f t="shared" si="492"/>
        <v>-7.0000000000000007E-2</v>
      </c>
      <c r="V627" s="3">
        <f t="shared" si="493"/>
        <v>-0.10100000000000001</v>
      </c>
      <c r="W627" s="3">
        <f t="shared" si="464"/>
        <v>-3.1E-2</v>
      </c>
      <c r="X627" s="3">
        <f t="shared" si="460"/>
        <v>6.9209039548022615E-3</v>
      </c>
      <c r="Y627" s="3">
        <f t="shared" si="461"/>
        <v>3.6432142857142857E-2</v>
      </c>
      <c r="Z627" s="3">
        <f t="shared" si="494"/>
        <v>2.9511238902340597E-2</v>
      </c>
      <c r="AA627" s="3">
        <v>10.919</v>
      </c>
      <c r="AB627" s="3">
        <v>9.3640000000000008</v>
      </c>
      <c r="AC627" s="3">
        <f t="shared" si="495"/>
        <v>-1.5549999999999997</v>
      </c>
      <c r="AD627" s="3">
        <f>-1381.581107*627.50956</f>
        <v>-866955.3525578829</v>
      </c>
      <c r="AE627" s="3">
        <f>-1387.805001*627.50956</f>
        <v>-870860.90554330952</v>
      </c>
      <c r="AF627" s="3">
        <f t="shared" si="496"/>
        <v>-3905.5529854266206</v>
      </c>
      <c r="AG627" s="3">
        <f>-1381.646034*627.50956</f>
        <v>-866996.09487108502</v>
      </c>
      <c r="AH627" s="3">
        <f>-1387.871528*627.50956</f>
        <v>-870902.65187180752</v>
      </c>
      <c r="AI627" s="3">
        <f t="shared" si="497"/>
        <v>-3906.5570007225033</v>
      </c>
      <c r="AJ627" s="3">
        <v>-0.86099999999999999</v>
      </c>
      <c r="AK627" s="3">
        <v>-0.73899999999999999</v>
      </c>
      <c r="AL627" s="3">
        <f t="shared" si="498"/>
        <v>0.122</v>
      </c>
      <c r="AM627" s="3">
        <v>299.28800000000001</v>
      </c>
      <c r="AN627" s="3">
        <v>305.80200000000002</v>
      </c>
      <c r="AO627" s="3">
        <v>351.30880000000002</v>
      </c>
      <c r="AP627" s="3">
        <f t="shared" si="444"/>
        <v>1.2702920674347351</v>
      </c>
      <c r="AQ627" s="3">
        <v>13.288</v>
      </c>
      <c r="AR627" s="3">
        <v>3.6922000000000001</v>
      </c>
      <c r="AS627" s="3">
        <v>-553.27200000000005</v>
      </c>
      <c r="AT627" s="3">
        <v>-551.61699999999996</v>
      </c>
      <c r="AU627" s="3">
        <f t="shared" si="511"/>
        <v>-1.6550000000000864</v>
      </c>
      <c r="AV627" s="3">
        <v>-0.23699999999999999</v>
      </c>
      <c r="AW627" s="3">
        <v>-0.36899999999999999</v>
      </c>
      <c r="AX627" s="3">
        <f t="shared" si="500"/>
        <v>0.13200000000000001</v>
      </c>
      <c r="AY627" s="3">
        <v>2.8000000000000001E-2</v>
      </c>
      <c r="AZ627" s="3">
        <v>0.154</v>
      </c>
      <c r="BA627" s="3">
        <f t="shared" si="501"/>
        <v>-0.126</v>
      </c>
      <c r="BB627" s="3">
        <f t="shared" si="512"/>
        <v>0.1045</v>
      </c>
      <c r="BC627" s="3">
        <f t="shared" si="512"/>
        <v>0.1075</v>
      </c>
      <c r="BD627" s="3">
        <f t="shared" si="502"/>
        <v>-3.0000000000000027E-3</v>
      </c>
      <c r="BE627" s="3">
        <f t="shared" si="513"/>
        <v>0.26500000000000001</v>
      </c>
      <c r="BF627" s="3">
        <f t="shared" si="513"/>
        <v>0.52300000000000002</v>
      </c>
      <c r="BG627" s="3">
        <f t="shared" si="503"/>
        <v>-0.25800000000000001</v>
      </c>
      <c r="BH627" s="3">
        <f t="shared" si="514"/>
        <v>-0.1045</v>
      </c>
      <c r="BI627" s="3">
        <f t="shared" si="514"/>
        <v>-0.1075</v>
      </c>
      <c r="BJ627" s="3">
        <f t="shared" si="465"/>
        <v>3.0000000000000027E-3</v>
      </c>
      <c r="BK627" s="3">
        <f t="shared" si="462"/>
        <v>2.0604245283018865E-2</v>
      </c>
      <c r="BL627" s="3">
        <f t="shared" si="463"/>
        <v>1.104804015296367E-2</v>
      </c>
      <c r="BM627" s="3">
        <f t="shared" si="504"/>
        <v>9.5562051300551957E-3</v>
      </c>
      <c r="BN627" s="3">
        <v>5.4870000000000001</v>
      </c>
      <c r="BO627" s="3">
        <v>6.0839999999999996</v>
      </c>
      <c r="BP627" s="3">
        <f t="shared" si="505"/>
        <v>-0.59699999999999953</v>
      </c>
      <c r="BQ627" s="3">
        <v>-347129.96399999998</v>
      </c>
      <c r="BR627" s="3">
        <v>-346087.64600000001</v>
      </c>
      <c r="BS627" s="3">
        <f t="shared" si="506"/>
        <v>-1042.3179999999702</v>
      </c>
      <c r="BT627" s="3">
        <v>-347152.04599999997</v>
      </c>
      <c r="BU627" s="3">
        <v>-346109.22600000002</v>
      </c>
      <c r="BV627" s="3">
        <f t="shared" si="507"/>
        <v>-1042.8199999999488</v>
      </c>
    </row>
    <row r="628" spans="1:74" x14ac:dyDescent="0.25">
      <c r="A628" t="s">
        <v>702</v>
      </c>
      <c r="B628" s="1" t="s">
        <v>646</v>
      </c>
      <c r="C628" s="1" t="s">
        <v>200</v>
      </c>
      <c r="D628" s="3">
        <v>24.99</v>
      </c>
      <c r="E628" s="3">
        <v>0.66</v>
      </c>
      <c r="F628" s="3">
        <v>-421.08600000000001</v>
      </c>
      <c r="G628" s="3">
        <v>-423.81700000000001</v>
      </c>
      <c r="H628" s="3">
        <f t="shared" si="499"/>
        <v>-2.7309999999999945</v>
      </c>
      <c r="I628" s="3">
        <v>-0.222</v>
      </c>
      <c r="J628" s="6">
        <v>-0.14499999999999999</v>
      </c>
      <c r="K628" s="3">
        <f t="shared" si="486"/>
        <v>7.7000000000000013E-2</v>
      </c>
      <c r="L628" s="3">
        <v>0.14499999999999999</v>
      </c>
      <c r="M628" s="6">
        <v>8.0000000000000002E-3</v>
      </c>
      <c r="N628" s="3">
        <f t="shared" si="487"/>
        <v>-0.13699999999999998</v>
      </c>
      <c r="O628" s="3">
        <f t="shared" si="478"/>
        <v>3.8500000000000006E-2</v>
      </c>
      <c r="P628" s="3">
        <f t="shared" si="478"/>
        <v>6.8499999999999991E-2</v>
      </c>
      <c r="Q628" s="3">
        <f t="shared" si="488"/>
        <v>2.9999999999999985E-2</v>
      </c>
      <c r="R628" s="3">
        <f t="shared" si="489"/>
        <v>0.36699999999999999</v>
      </c>
      <c r="S628" s="3">
        <f t="shared" si="490"/>
        <v>0.153</v>
      </c>
      <c r="T628" s="3">
        <f t="shared" si="491"/>
        <v>-0.214</v>
      </c>
      <c r="U628" s="3">
        <f t="shared" si="492"/>
        <v>-3.8500000000000006E-2</v>
      </c>
      <c r="V628" s="3">
        <f t="shared" si="493"/>
        <v>-6.8499999999999991E-2</v>
      </c>
      <c r="W628" s="3">
        <f t="shared" si="464"/>
        <v>-2.9999999999999985E-2</v>
      </c>
      <c r="X628" s="3">
        <f t="shared" si="460"/>
        <v>2.0194141689373305E-3</v>
      </c>
      <c r="Y628" s="3">
        <f t="shared" si="461"/>
        <v>1.533415032679738E-2</v>
      </c>
      <c r="Z628" s="3">
        <f t="shared" si="494"/>
        <v>1.331473615786005E-2</v>
      </c>
      <c r="AA628" s="3">
        <v>10.054</v>
      </c>
      <c r="AB628" s="3">
        <v>8.19</v>
      </c>
      <c r="AC628" s="3">
        <f t="shared" si="495"/>
        <v>-1.8640000000000008</v>
      </c>
      <c r="AD628" s="3">
        <f>-420.915076*627.50956</f>
        <v>-264128.23413812654</v>
      </c>
      <c r="AE628" s="3">
        <f>-423.655553*627.50956</f>
        <v>-265847.90965458669</v>
      </c>
      <c r="AF628" s="3">
        <f t="shared" si="496"/>
        <v>-1719.6755164601491</v>
      </c>
      <c r="AG628" s="3">
        <f>-420.958471*627.50956</f>
        <v>-264155.46491548273</v>
      </c>
      <c r="AH628" s="3">
        <f>-423.699647*627.50956</f>
        <v>-265875.57906112535</v>
      </c>
      <c r="AI628" s="3">
        <f t="shared" si="497"/>
        <v>-1720.1141456426121</v>
      </c>
      <c r="AJ628" s="3">
        <v>-0.58099999999999996</v>
      </c>
      <c r="AK628" s="3">
        <v>-0.48099999999999998</v>
      </c>
      <c r="AL628" s="3">
        <f t="shared" si="498"/>
        <v>9.9999999999999978E-2</v>
      </c>
      <c r="AM628" s="3">
        <v>133.167</v>
      </c>
      <c r="AN628" s="3">
        <v>198.107</v>
      </c>
      <c r="AO628" s="3">
        <v>212.46799999999999</v>
      </c>
      <c r="AP628" s="3">
        <f t="shared" si="444"/>
        <v>1.1506946269379614</v>
      </c>
      <c r="AQ628" s="3">
        <v>10.090999999999999</v>
      </c>
      <c r="AR628" s="3">
        <v>2.4769000000000001</v>
      </c>
      <c r="AS628" s="3">
        <v>-553.27200000000005</v>
      </c>
      <c r="AT628" s="3">
        <v>-551.61699999999996</v>
      </c>
      <c r="AU628" s="3">
        <f t="shared" si="511"/>
        <v>-1.6550000000000864</v>
      </c>
      <c r="AV628" s="3">
        <v>-0.23699999999999999</v>
      </c>
      <c r="AW628" s="3">
        <v>-0.36899999999999999</v>
      </c>
      <c r="AX628" s="3">
        <f t="shared" si="500"/>
        <v>0.13200000000000001</v>
      </c>
      <c r="AY628" s="3">
        <v>2.8000000000000001E-2</v>
      </c>
      <c r="AZ628" s="3">
        <v>0.154</v>
      </c>
      <c r="BA628" s="3">
        <f t="shared" si="501"/>
        <v>-0.126</v>
      </c>
      <c r="BB628" s="3">
        <f t="shared" si="512"/>
        <v>0.1045</v>
      </c>
      <c r="BC628" s="3">
        <f t="shared" si="512"/>
        <v>0.1075</v>
      </c>
      <c r="BD628" s="3">
        <f t="shared" si="502"/>
        <v>-3.0000000000000027E-3</v>
      </c>
      <c r="BE628" s="3">
        <f t="shared" si="513"/>
        <v>0.26500000000000001</v>
      </c>
      <c r="BF628" s="3">
        <f t="shared" si="513"/>
        <v>0.52300000000000002</v>
      </c>
      <c r="BG628" s="3">
        <f t="shared" si="503"/>
        <v>-0.25800000000000001</v>
      </c>
      <c r="BH628" s="3">
        <f t="shared" si="514"/>
        <v>-0.1045</v>
      </c>
      <c r="BI628" s="3">
        <f t="shared" si="514"/>
        <v>-0.1075</v>
      </c>
      <c r="BJ628" s="3">
        <f t="shared" si="465"/>
        <v>3.0000000000000027E-3</v>
      </c>
      <c r="BK628" s="3">
        <f t="shared" si="462"/>
        <v>2.0604245283018865E-2</v>
      </c>
      <c r="BL628" s="3">
        <f t="shared" si="463"/>
        <v>1.104804015296367E-2</v>
      </c>
      <c r="BM628" s="3">
        <f t="shared" si="504"/>
        <v>9.5562051300551957E-3</v>
      </c>
      <c r="BN628" s="3">
        <v>5.4870000000000001</v>
      </c>
      <c r="BO628" s="3">
        <v>6.0839999999999996</v>
      </c>
      <c r="BP628" s="3">
        <f t="shared" si="505"/>
        <v>-0.59699999999999953</v>
      </c>
      <c r="BQ628" s="3">
        <v>-347129.96399999998</v>
      </c>
      <c r="BR628" s="3">
        <v>-346087.64600000001</v>
      </c>
      <c r="BS628" s="3">
        <f t="shared" si="506"/>
        <v>-1042.3179999999702</v>
      </c>
      <c r="BT628" s="3">
        <v>-347152.04599999997</v>
      </c>
      <c r="BU628" s="3">
        <v>-346109.22600000002</v>
      </c>
      <c r="BV628" s="3">
        <f t="shared" si="507"/>
        <v>-1042.8199999999488</v>
      </c>
    </row>
    <row r="629" spans="1:74" x14ac:dyDescent="0.25">
      <c r="A629" t="s">
        <v>703</v>
      </c>
      <c r="B629" s="1" t="s">
        <v>646</v>
      </c>
      <c r="C629" s="1" t="s">
        <v>200</v>
      </c>
      <c r="D629" s="3">
        <v>25.11</v>
      </c>
      <c r="E629" s="3">
        <v>0.54</v>
      </c>
      <c r="F629" s="3">
        <v>-452.81400000000002</v>
      </c>
      <c r="G629" s="3">
        <v>-455.68799999999999</v>
      </c>
      <c r="H629" s="3">
        <f t="shared" si="499"/>
        <v>-2.8739999999999668</v>
      </c>
      <c r="I629" s="3">
        <v>-0.22800000000000001</v>
      </c>
      <c r="J629" s="6">
        <v>-0.16</v>
      </c>
      <c r="K629" s="3">
        <f t="shared" si="486"/>
        <v>6.8000000000000005E-2</v>
      </c>
      <c r="L629" s="3">
        <v>0.114</v>
      </c>
      <c r="M629" s="6">
        <v>-2.3E-2</v>
      </c>
      <c r="N629" s="3">
        <f t="shared" si="487"/>
        <v>-0.13700000000000001</v>
      </c>
      <c r="O629" s="3">
        <f t="shared" si="478"/>
        <v>5.7000000000000002E-2</v>
      </c>
      <c r="P629" s="3">
        <f t="shared" si="478"/>
        <v>9.1499999999999998E-2</v>
      </c>
      <c r="Q629" s="3">
        <f t="shared" si="488"/>
        <v>3.4499999999999996E-2</v>
      </c>
      <c r="R629" s="3">
        <f t="shared" si="489"/>
        <v>0.34200000000000003</v>
      </c>
      <c r="S629" s="3">
        <f t="shared" si="490"/>
        <v>0.13700000000000001</v>
      </c>
      <c r="T629" s="3">
        <f t="shared" si="491"/>
        <v>-0.20500000000000002</v>
      </c>
      <c r="U629" s="3">
        <f t="shared" si="492"/>
        <v>-5.7000000000000002E-2</v>
      </c>
      <c r="V629" s="3">
        <f t="shared" si="493"/>
        <v>-9.1499999999999998E-2</v>
      </c>
      <c r="W629" s="3">
        <f t="shared" si="464"/>
        <v>-3.4499999999999996E-2</v>
      </c>
      <c r="X629" s="3">
        <f t="shared" si="460"/>
        <v>4.7499999999999999E-3</v>
      </c>
      <c r="Y629" s="3">
        <f t="shared" si="461"/>
        <v>3.0555656934306567E-2</v>
      </c>
      <c r="Z629" s="3">
        <f t="shared" si="494"/>
        <v>2.5805656934306566E-2</v>
      </c>
      <c r="AA629" s="3">
        <v>4.944</v>
      </c>
      <c r="AB629" s="3">
        <v>4.3019999999999996</v>
      </c>
      <c r="AC629" s="3">
        <f t="shared" si="495"/>
        <v>-0.64200000000000035</v>
      </c>
      <c r="AD629" s="3">
        <f>-452.684449*627.50956</f>
        <v>-284063.81941083242</v>
      </c>
      <c r="AE629" s="3">
        <f>-455.565409*627.50956</f>
        <v>-285871.64935281</v>
      </c>
      <c r="AF629" s="3">
        <f t="shared" si="496"/>
        <v>-1807.8299419775722</v>
      </c>
      <c r="AG629" s="3">
        <f>-452.728209*627.50956</f>
        <v>-284091.27922917804</v>
      </c>
      <c r="AH629" s="3">
        <f>-455.610114*627.50956</f>
        <v>-285899.70216768986</v>
      </c>
      <c r="AI629" s="3">
        <f t="shared" si="497"/>
        <v>-1808.4229385118233</v>
      </c>
      <c r="AJ629" s="3">
        <v>-0.63500000000000001</v>
      </c>
      <c r="AK629" s="3">
        <v>-0.53700000000000003</v>
      </c>
      <c r="AL629" s="3">
        <f t="shared" si="498"/>
        <v>9.7999999999999976E-2</v>
      </c>
      <c r="AM629" s="3">
        <v>141.149</v>
      </c>
      <c r="AN629" s="3">
        <v>197.57259999999999</v>
      </c>
      <c r="AO629" s="3">
        <v>204.7139</v>
      </c>
      <c r="AP629" s="3">
        <f t="shared" si="444"/>
        <v>1.1763894220551865</v>
      </c>
      <c r="AQ629" s="3">
        <v>11.680999999999999</v>
      </c>
      <c r="AR629" s="3">
        <v>2.7464</v>
      </c>
      <c r="AS629" s="3">
        <v>-553.27200000000005</v>
      </c>
      <c r="AT629" s="3">
        <v>-551.61699999999996</v>
      </c>
      <c r="AU629" s="3">
        <f t="shared" si="511"/>
        <v>-1.6550000000000864</v>
      </c>
      <c r="AV629" s="3">
        <v>-0.23699999999999999</v>
      </c>
      <c r="AW629" s="3">
        <v>-0.36899999999999999</v>
      </c>
      <c r="AX629" s="3">
        <f t="shared" si="500"/>
        <v>0.13200000000000001</v>
      </c>
      <c r="AY629" s="3">
        <v>2.8000000000000001E-2</v>
      </c>
      <c r="AZ629" s="3">
        <v>0.154</v>
      </c>
      <c r="BA629" s="3">
        <f t="shared" si="501"/>
        <v>-0.126</v>
      </c>
      <c r="BB629" s="3">
        <f t="shared" si="512"/>
        <v>0.1045</v>
      </c>
      <c r="BC629" s="3">
        <f t="shared" si="512"/>
        <v>0.1075</v>
      </c>
      <c r="BD629" s="3">
        <f t="shared" si="502"/>
        <v>-3.0000000000000027E-3</v>
      </c>
      <c r="BE629" s="3">
        <f t="shared" si="513"/>
        <v>0.26500000000000001</v>
      </c>
      <c r="BF629" s="3">
        <f t="shared" si="513"/>
        <v>0.52300000000000002</v>
      </c>
      <c r="BG629" s="3">
        <f t="shared" si="503"/>
        <v>-0.25800000000000001</v>
      </c>
      <c r="BH629" s="3">
        <f t="shared" si="514"/>
        <v>-0.1045</v>
      </c>
      <c r="BI629" s="3">
        <f t="shared" si="514"/>
        <v>-0.1075</v>
      </c>
      <c r="BJ629" s="3">
        <f t="shared" si="465"/>
        <v>3.0000000000000027E-3</v>
      </c>
      <c r="BK629" s="3">
        <f t="shared" si="462"/>
        <v>2.0604245283018865E-2</v>
      </c>
      <c r="BL629" s="3">
        <f t="shared" si="463"/>
        <v>1.104804015296367E-2</v>
      </c>
      <c r="BM629" s="3">
        <f t="shared" si="504"/>
        <v>9.5562051300551957E-3</v>
      </c>
      <c r="BN629" s="3">
        <v>5.4870000000000001</v>
      </c>
      <c r="BO629" s="3">
        <v>6.0839999999999996</v>
      </c>
      <c r="BP629" s="3">
        <f t="shared" si="505"/>
        <v>-0.59699999999999953</v>
      </c>
      <c r="BQ629" s="3">
        <v>-347129.96399999998</v>
      </c>
      <c r="BR629" s="3">
        <v>-346087.64600000001</v>
      </c>
      <c r="BS629" s="3">
        <f t="shared" si="506"/>
        <v>-1042.3179999999702</v>
      </c>
      <c r="BT629" s="3">
        <v>-347152.04599999997</v>
      </c>
      <c r="BU629" s="3">
        <v>-346109.22600000002</v>
      </c>
      <c r="BV629" s="3">
        <f t="shared" si="507"/>
        <v>-1042.8199999999488</v>
      </c>
    </row>
    <row r="630" spans="1:74" x14ac:dyDescent="0.25">
      <c r="A630" t="s">
        <v>704</v>
      </c>
      <c r="B630" s="1" t="s">
        <v>646</v>
      </c>
      <c r="C630" s="1" t="s">
        <v>200</v>
      </c>
      <c r="D630" s="3">
        <v>25.35</v>
      </c>
      <c r="E630" s="3">
        <v>0.56000000000000005</v>
      </c>
      <c r="F630" s="3">
        <v>-491.85199999999998</v>
      </c>
      <c r="G630" s="3">
        <v>-495.00900000000001</v>
      </c>
      <c r="H630" s="3">
        <f t="shared" si="499"/>
        <v>-3.1570000000000391</v>
      </c>
      <c r="I630" s="3">
        <v>-0.221</v>
      </c>
      <c r="J630" s="6">
        <v>-0.155</v>
      </c>
      <c r="K630" s="3">
        <f t="shared" si="486"/>
        <v>6.6000000000000003E-2</v>
      </c>
      <c r="L630" s="3">
        <v>0.114</v>
      </c>
      <c r="M630" s="6">
        <v>-2.3E-2</v>
      </c>
      <c r="N630" s="3">
        <f t="shared" si="487"/>
        <v>-0.13700000000000001</v>
      </c>
      <c r="O630" s="3">
        <f t="shared" si="478"/>
        <v>5.3499999999999999E-2</v>
      </c>
      <c r="P630" s="3">
        <f t="shared" si="478"/>
        <v>8.8999999999999996E-2</v>
      </c>
      <c r="Q630" s="3">
        <f t="shared" si="488"/>
        <v>3.5499999999999997E-2</v>
      </c>
      <c r="R630" s="3">
        <f t="shared" si="489"/>
        <v>0.33500000000000002</v>
      </c>
      <c r="S630" s="3">
        <f t="shared" si="490"/>
        <v>0.13200000000000001</v>
      </c>
      <c r="T630" s="3">
        <f t="shared" si="491"/>
        <v>-0.20300000000000001</v>
      </c>
      <c r="U630" s="3">
        <f t="shared" si="492"/>
        <v>-5.3499999999999999E-2</v>
      </c>
      <c r="V630" s="3">
        <f t="shared" si="493"/>
        <v>-8.8999999999999996E-2</v>
      </c>
      <c r="W630" s="3">
        <f t="shared" si="464"/>
        <v>-3.5499999999999997E-2</v>
      </c>
      <c r="X630" s="3">
        <f t="shared" si="460"/>
        <v>4.2720149253731333E-3</v>
      </c>
      <c r="Y630" s="3">
        <f t="shared" si="461"/>
        <v>3.0003787878787873E-2</v>
      </c>
      <c r="Z630" s="3">
        <f t="shared" si="494"/>
        <v>2.5731772953414739E-2</v>
      </c>
      <c r="AA630" s="3">
        <v>4.8710000000000004</v>
      </c>
      <c r="AB630" s="3">
        <v>4.7729999999999997</v>
      </c>
      <c r="AC630" s="3">
        <f t="shared" si="495"/>
        <v>-9.8000000000000753E-2</v>
      </c>
      <c r="AD630" s="3">
        <f>-491.691548*627.50956</f>
        <v>-308541.14694119885</v>
      </c>
      <c r="AE630" s="3">
        <f>-494.857647*627.50956</f>
        <v>-310527.9043316053</v>
      </c>
      <c r="AF630" s="3">
        <f t="shared" si="496"/>
        <v>-1986.7573904064484</v>
      </c>
      <c r="AG630" s="3">
        <f>-491.738532*627.50956</f>
        <v>-308570.62985036592</v>
      </c>
      <c r="AH630" s="3">
        <f>-494.905778*627.50956</f>
        <v>-310558.10699423763</v>
      </c>
      <c r="AI630" s="3">
        <f t="shared" si="497"/>
        <v>-1987.4771438717144</v>
      </c>
      <c r="AJ630" s="3">
        <v>-0.42299999999999999</v>
      </c>
      <c r="AK630" s="3">
        <v>-0.318</v>
      </c>
      <c r="AL630" s="3">
        <f t="shared" si="498"/>
        <v>0.10499999999999998</v>
      </c>
      <c r="AM630" s="3">
        <v>155.17590000000001</v>
      </c>
      <c r="AN630" s="3">
        <v>217.00700000000001</v>
      </c>
      <c r="AO630" s="3">
        <v>231.50899999999999</v>
      </c>
      <c r="AP630" s="3">
        <f t="shared" si="444"/>
        <v>1.1903767637246689</v>
      </c>
      <c r="AQ630" s="3">
        <v>11.545999999999999</v>
      </c>
      <c r="AR630" s="3">
        <v>2.8241999999999998</v>
      </c>
      <c r="AS630" s="3">
        <v>-553.27200000000005</v>
      </c>
      <c r="AT630" s="3">
        <v>-551.61699999999996</v>
      </c>
      <c r="AU630" s="3">
        <f t="shared" si="511"/>
        <v>-1.6550000000000864</v>
      </c>
      <c r="AV630" s="3">
        <v>-0.23699999999999999</v>
      </c>
      <c r="AW630" s="3">
        <v>-0.36899999999999999</v>
      </c>
      <c r="AX630" s="3">
        <f t="shared" si="500"/>
        <v>0.13200000000000001</v>
      </c>
      <c r="AY630" s="3">
        <v>2.8000000000000001E-2</v>
      </c>
      <c r="AZ630" s="3">
        <v>0.154</v>
      </c>
      <c r="BA630" s="3">
        <f t="shared" si="501"/>
        <v>-0.126</v>
      </c>
      <c r="BB630" s="3">
        <f t="shared" si="512"/>
        <v>0.1045</v>
      </c>
      <c r="BC630" s="3">
        <f t="shared" si="512"/>
        <v>0.1075</v>
      </c>
      <c r="BD630" s="3">
        <f t="shared" si="502"/>
        <v>-3.0000000000000027E-3</v>
      </c>
      <c r="BE630" s="3">
        <f t="shared" si="513"/>
        <v>0.26500000000000001</v>
      </c>
      <c r="BF630" s="3">
        <f t="shared" si="513"/>
        <v>0.52300000000000002</v>
      </c>
      <c r="BG630" s="3">
        <f t="shared" si="503"/>
        <v>-0.25800000000000001</v>
      </c>
      <c r="BH630" s="3">
        <f t="shared" si="514"/>
        <v>-0.1045</v>
      </c>
      <c r="BI630" s="3">
        <f t="shared" si="514"/>
        <v>-0.1075</v>
      </c>
      <c r="BJ630" s="3">
        <f t="shared" si="465"/>
        <v>3.0000000000000027E-3</v>
      </c>
      <c r="BK630" s="3">
        <f t="shared" si="462"/>
        <v>2.0604245283018865E-2</v>
      </c>
      <c r="BL630" s="3">
        <f t="shared" si="463"/>
        <v>1.104804015296367E-2</v>
      </c>
      <c r="BM630" s="3">
        <f t="shared" si="504"/>
        <v>9.5562051300551957E-3</v>
      </c>
      <c r="BN630" s="3">
        <v>5.4870000000000001</v>
      </c>
      <c r="BO630" s="3">
        <v>6.0839999999999996</v>
      </c>
      <c r="BP630" s="3">
        <f t="shared" si="505"/>
        <v>-0.59699999999999953</v>
      </c>
      <c r="BQ630" s="3">
        <v>-347129.96399999998</v>
      </c>
      <c r="BR630" s="3">
        <v>-346087.64600000001</v>
      </c>
      <c r="BS630" s="3">
        <f t="shared" si="506"/>
        <v>-1042.3179999999702</v>
      </c>
      <c r="BT630" s="3">
        <v>-347152.04599999997</v>
      </c>
      <c r="BU630" s="3">
        <v>-346109.22600000002</v>
      </c>
      <c r="BV630" s="3">
        <f t="shared" si="507"/>
        <v>-1042.8199999999488</v>
      </c>
    </row>
    <row r="631" spans="1:74" x14ac:dyDescent="0.25">
      <c r="A631" t="s">
        <v>705</v>
      </c>
      <c r="B631" s="1" t="s">
        <v>646</v>
      </c>
      <c r="C631" s="1" t="s">
        <v>200</v>
      </c>
      <c r="D631" s="3">
        <v>25.59</v>
      </c>
      <c r="E631" s="3">
        <v>0.71</v>
      </c>
      <c r="F631" s="3">
        <v>-1367.183</v>
      </c>
      <c r="G631" s="3">
        <v>-1371.653</v>
      </c>
      <c r="H631" s="3">
        <f t="shared" si="499"/>
        <v>-4.4700000000000273</v>
      </c>
      <c r="I631" s="3">
        <v>-0.311</v>
      </c>
      <c r="J631" s="6">
        <v>-0.193</v>
      </c>
      <c r="K631" s="3">
        <f t="shared" si="486"/>
        <v>0.11799999999999999</v>
      </c>
      <c r="L631" s="3">
        <v>6.0999999999999999E-2</v>
      </c>
      <c r="M631" s="6">
        <v>-7.3999999999999996E-2</v>
      </c>
      <c r="N631" s="3">
        <f t="shared" si="487"/>
        <v>-0.13500000000000001</v>
      </c>
      <c r="O631" s="3">
        <f t="shared" si="478"/>
        <v>0.125</v>
      </c>
      <c r="P631" s="3">
        <f t="shared" si="478"/>
        <v>0.13350000000000001</v>
      </c>
      <c r="Q631" s="3">
        <f t="shared" si="488"/>
        <v>8.5000000000000075E-3</v>
      </c>
      <c r="R631" s="3">
        <f t="shared" si="489"/>
        <v>0.372</v>
      </c>
      <c r="S631" s="3">
        <f t="shared" si="490"/>
        <v>0.11900000000000001</v>
      </c>
      <c r="T631" s="3">
        <f t="shared" si="491"/>
        <v>-0.253</v>
      </c>
      <c r="U631" s="3">
        <f t="shared" si="492"/>
        <v>-0.125</v>
      </c>
      <c r="V631" s="3">
        <f t="shared" si="493"/>
        <v>-0.13350000000000001</v>
      </c>
      <c r="W631" s="3">
        <f t="shared" si="464"/>
        <v>-8.5000000000000075E-3</v>
      </c>
      <c r="X631" s="3">
        <f t="shared" si="460"/>
        <v>2.1001344086021504E-2</v>
      </c>
      <c r="Y631" s="3">
        <f t="shared" si="461"/>
        <v>7.4883403361344539E-2</v>
      </c>
      <c r="Z631" s="3">
        <f t="shared" si="494"/>
        <v>5.3882059275323038E-2</v>
      </c>
      <c r="AA631" s="3">
        <v>10.021000000000001</v>
      </c>
      <c r="AB631" s="3">
        <v>9.0549999999999997</v>
      </c>
      <c r="AC631" s="3">
        <f t="shared" si="495"/>
        <v>-0.96600000000000108</v>
      </c>
      <c r="AD631" s="3">
        <f>-1367.04827*627.50956</f>
        <v>-857835.85840646119</v>
      </c>
      <c r="AE631" s="3">
        <f>-1371.526437*627.50956</f>
        <v>-860645.95101023768</v>
      </c>
      <c r="AF631" s="3">
        <f t="shared" si="496"/>
        <v>-2810.0926037764875</v>
      </c>
      <c r="AG631" s="3">
        <f>-1367.099727*627.50956</f>
        <v>-857868.14816589013</v>
      </c>
      <c r="AH631" s="3">
        <f>-1371.580104*627.50956</f>
        <v>-860679.62756579416</v>
      </c>
      <c r="AI631" s="3">
        <f t="shared" si="497"/>
        <v>-2811.4793999040266</v>
      </c>
      <c r="AJ631" s="3">
        <v>-0.82199999999999995</v>
      </c>
      <c r="AK631" s="3">
        <v>-0.81899999999999995</v>
      </c>
      <c r="AL631" s="3">
        <f t="shared" si="498"/>
        <v>3.0000000000000027E-3</v>
      </c>
      <c r="AM631" s="3">
        <v>214.64879999999999</v>
      </c>
      <c r="AN631" s="3">
        <v>231.01580000000001</v>
      </c>
      <c r="AO631" s="3">
        <v>248.51499999999999</v>
      </c>
      <c r="AP631" s="3">
        <f t="shared" si="444"/>
        <v>1.2087298002821807</v>
      </c>
      <c r="AQ631" s="3">
        <v>12.803000000000001</v>
      </c>
      <c r="AR631" s="3">
        <v>3.0525000000000002</v>
      </c>
      <c r="AS631" s="3">
        <v>-553.27200000000005</v>
      </c>
      <c r="AT631" s="3">
        <v>-551.61699999999996</v>
      </c>
      <c r="AU631" s="3">
        <f t="shared" si="511"/>
        <v>-1.6550000000000864</v>
      </c>
      <c r="AV631" s="3">
        <v>-0.23699999999999999</v>
      </c>
      <c r="AW631" s="3">
        <v>-0.36899999999999999</v>
      </c>
      <c r="AX631" s="3">
        <f t="shared" si="500"/>
        <v>0.13200000000000001</v>
      </c>
      <c r="AY631" s="3">
        <v>2.8000000000000001E-2</v>
      </c>
      <c r="AZ631" s="3">
        <v>0.154</v>
      </c>
      <c r="BA631" s="3">
        <f t="shared" si="501"/>
        <v>-0.126</v>
      </c>
      <c r="BB631" s="3">
        <f t="shared" si="512"/>
        <v>0.1045</v>
      </c>
      <c r="BC631" s="3">
        <f t="shared" si="512"/>
        <v>0.1075</v>
      </c>
      <c r="BD631" s="3">
        <f t="shared" si="502"/>
        <v>-3.0000000000000027E-3</v>
      </c>
      <c r="BE631" s="3">
        <f t="shared" si="513"/>
        <v>0.26500000000000001</v>
      </c>
      <c r="BF631" s="3">
        <f t="shared" si="513"/>
        <v>0.52300000000000002</v>
      </c>
      <c r="BG631" s="3">
        <f t="shared" si="503"/>
        <v>-0.25800000000000001</v>
      </c>
      <c r="BH631" s="3">
        <f t="shared" si="514"/>
        <v>-0.1045</v>
      </c>
      <c r="BI631" s="3">
        <f t="shared" si="514"/>
        <v>-0.1075</v>
      </c>
      <c r="BJ631" s="3">
        <f t="shared" si="465"/>
        <v>3.0000000000000027E-3</v>
      </c>
      <c r="BK631" s="3">
        <f t="shared" si="462"/>
        <v>2.0604245283018865E-2</v>
      </c>
      <c r="BL631" s="3">
        <f t="shared" si="463"/>
        <v>1.104804015296367E-2</v>
      </c>
      <c r="BM631" s="3">
        <f t="shared" si="504"/>
        <v>9.5562051300551957E-3</v>
      </c>
      <c r="BN631" s="3">
        <v>5.4870000000000001</v>
      </c>
      <c r="BO631" s="3">
        <v>6.0839999999999996</v>
      </c>
      <c r="BP631" s="3">
        <f t="shared" si="505"/>
        <v>-0.59699999999999953</v>
      </c>
      <c r="BQ631" s="3">
        <v>-347129.96399999998</v>
      </c>
      <c r="BR631" s="3">
        <v>-346087.64600000001</v>
      </c>
      <c r="BS631" s="3">
        <f t="shared" si="506"/>
        <v>-1042.3179999999702</v>
      </c>
      <c r="BT631" s="3">
        <v>-347152.04599999997</v>
      </c>
      <c r="BU631" s="3">
        <v>-346109.22600000002</v>
      </c>
      <c r="BV631" s="3">
        <f t="shared" si="507"/>
        <v>-1042.8199999999488</v>
      </c>
    </row>
    <row r="632" spans="1:74" x14ac:dyDescent="0.25">
      <c r="A632" t="s">
        <v>706</v>
      </c>
      <c r="B632" s="1" t="s">
        <v>646</v>
      </c>
      <c r="C632" s="1" t="s">
        <v>200</v>
      </c>
      <c r="D632" s="3">
        <v>25.77</v>
      </c>
      <c r="E632" s="3">
        <v>0.56000000000000005</v>
      </c>
      <c r="F632" s="3">
        <v>-1046.106</v>
      </c>
      <c r="G632" s="3">
        <v>-1050.885</v>
      </c>
      <c r="H632" s="3">
        <f t="shared" si="499"/>
        <v>-4.7789999999999964</v>
      </c>
      <c r="I632" s="3">
        <v>-0.24099999999999999</v>
      </c>
      <c r="J632" s="6">
        <v>-0.16300000000000001</v>
      </c>
      <c r="K632" s="3">
        <f t="shared" si="486"/>
        <v>7.7999999999999986E-2</v>
      </c>
      <c r="L632" s="3">
        <v>0.112</v>
      </c>
      <c r="M632" s="6">
        <v>-2.5999999999999999E-2</v>
      </c>
      <c r="N632" s="3">
        <f t="shared" si="487"/>
        <v>-0.13800000000000001</v>
      </c>
      <c r="O632" s="3">
        <f t="shared" si="478"/>
        <v>6.4500000000000002E-2</v>
      </c>
      <c r="P632" s="3">
        <f t="shared" si="478"/>
        <v>9.4500000000000001E-2</v>
      </c>
      <c r="Q632" s="3">
        <f t="shared" si="488"/>
        <v>0.03</v>
      </c>
      <c r="R632" s="3">
        <f t="shared" si="489"/>
        <v>0.35299999999999998</v>
      </c>
      <c r="S632" s="3">
        <f t="shared" si="490"/>
        <v>0.13700000000000001</v>
      </c>
      <c r="T632" s="3">
        <f t="shared" si="491"/>
        <v>-0.21599999999999997</v>
      </c>
      <c r="U632" s="3">
        <f t="shared" si="492"/>
        <v>-6.4500000000000002E-2</v>
      </c>
      <c r="V632" s="3">
        <f t="shared" si="493"/>
        <v>-9.4500000000000001E-2</v>
      </c>
      <c r="W632" s="3">
        <f t="shared" si="464"/>
        <v>-0.03</v>
      </c>
      <c r="X632" s="3">
        <f t="shared" si="460"/>
        <v>5.8927053824362604E-3</v>
      </c>
      <c r="Y632" s="3">
        <f t="shared" si="461"/>
        <v>3.2592153284671535E-2</v>
      </c>
      <c r="Z632" s="3">
        <f t="shared" si="494"/>
        <v>2.6699447902235274E-2</v>
      </c>
      <c r="AA632" s="3">
        <v>11.552</v>
      </c>
      <c r="AB632" s="3">
        <v>9.98</v>
      </c>
      <c r="AC632" s="3">
        <f t="shared" si="495"/>
        <v>-1.5719999999999992</v>
      </c>
      <c r="AD632" s="3">
        <f>-1045.872591*627.50956</f>
        <v>-656295.04939446994</v>
      </c>
      <c r="AE632" s="3">
        <f>-1050.665893*627.50956</f>
        <v>-659302.89222343708</v>
      </c>
      <c r="AF632" s="3">
        <f t="shared" si="496"/>
        <v>-3007.8428289671429</v>
      </c>
      <c r="AG632" s="3">
        <f>-1045.927425*627.50956</f>
        <v>-656329.45825368306</v>
      </c>
      <c r="AH632" s="3">
        <f>-1050.72227*627.50956</f>
        <v>-659338.2693299012</v>
      </c>
      <c r="AI632" s="3">
        <f t="shared" si="497"/>
        <v>-3008.8110762181459</v>
      </c>
      <c r="AJ632" s="3">
        <v>-0.88200000000000001</v>
      </c>
      <c r="AK632" s="3">
        <v>-0.77</v>
      </c>
      <c r="AL632" s="3">
        <f t="shared" si="498"/>
        <v>0.11199999999999999</v>
      </c>
      <c r="AM632" s="3">
        <v>231.29</v>
      </c>
      <c r="AN632" s="3">
        <v>275.9658</v>
      </c>
      <c r="AO632" s="3">
        <v>315.72750000000002</v>
      </c>
      <c r="AP632" s="3">
        <f t="shared" si="444"/>
        <v>1.2309382691283595</v>
      </c>
      <c r="AQ632" s="3">
        <v>11.316000000000001</v>
      </c>
      <c r="AR632" s="3">
        <v>2.9215</v>
      </c>
      <c r="AS632" s="3">
        <v>-553.27200000000005</v>
      </c>
      <c r="AT632" s="3">
        <v>-551.61699999999996</v>
      </c>
      <c r="AU632" s="3">
        <f t="shared" si="511"/>
        <v>-1.6550000000000864</v>
      </c>
      <c r="AV632" s="3">
        <v>-0.23699999999999999</v>
      </c>
      <c r="AW632" s="3">
        <v>-0.36899999999999999</v>
      </c>
      <c r="AX632" s="3">
        <f t="shared" si="500"/>
        <v>0.13200000000000001</v>
      </c>
      <c r="AY632" s="3">
        <v>2.8000000000000001E-2</v>
      </c>
      <c r="AZ632" s="3">
        <v>0.154</v>
      </c>
      <c r="BA632" s="3">
        <f t="shared" si="501"/>
        <v>-0.126</v>
      </c>
      <c r="BB632" s="3">
        <f t="shared" si="512"/>
        <v>0.1045</v>
      </c>
      <c r="BC632" s="3">
        <f t="shared" si="512"/>
        <v>0.1075</v>
      </c>
      <c r="BD632" s="3">
        <f t="shared" si="502"/>
        <v>-3.0000000000000027E-3</v>
      </c>
      <c r="BE632" s="3">
        <f t="shared" si="513"/>
        <v>0.26500000000000001</v>
      </c>
      <c r="BF632" s="3">
        <f t="shared" si="513"/>
        <v>0.52300000000000002</v>
      </c>
      <c r="BG632" s="3">
        <f t="shared" si="503"/>
        <v>-0.25800000000000001</v>
      </c>
      <c r="BH632" s="3">
        <f t="shared" si="514"/>
        <v>-0.1045</v>
      </c>
      <c r="BI632" s="3">
        <f t="shared" si="514"/>
        <v>-0.1075</v>
      </c>
      <c r="BJ632" s="3">
        <f t="shared" si="465"/>
        <v>3.0000000000000027E-3</v>
      </c>
      <c r="BK632" s="3">
        <f t="shared" si="462"/>
        <v>2.0604245283018865E-2</v>
      </c>
      <c r="BL632" s="3">
        <f t="shared" si="463"/>
        <v>1.104804015296367E-2</v>
      </c>
      <c r="BM632" s="3">
        <f t="shared" si="504"/>
        <v>9.5562051300551957E-3</v>
      </c>
      <c r="BN632" s="3">
        <v>5.4870000000000001</v>
      </c>
      <c r="BO632" s="3">
        <v>6.0839999999999996</v>
      </c>
      <c r="BP632" s="3">
        <f t="shared" si="505"/>
        <v>-0.59699999999999953</v>
      </c>
      <c r="BQ632" s="3">
        <v>-347129.96399999998</v>
      </c>
      <c r="BR632" s="3">
        <v>-346087.64600000001</v>
      </c>
      <c r="BS632" s="3">
        <f t="shared" si="506"/>
        <v>-1042.3179999999702</v>
      </c>
      <c r="BT632" s="3">
        <v>-347152.04599999997</v>
      </c>
      <c r="BU632" s="3">
        <v>-346109.22600000002</v>
      </c>
      <c r="BV632" s="3">
        <f t="shared" si="507"/>
        <v>-1042.8199999999488</v>
      </c>
    </row>
    <row r="633" spans="1:74" x14ac:dyDescent="0.25">
      <c r="A633" t="s">
        <v>707</v>
      </c>
      <c r="B633" s="1" t="s">
        <v>646</v>
      </c>
      <c r="C633" s="1" t="s">
        <v>200</v>
      </c>
      <c r="D633" s="3">
        <v>25.94</v>
      </c>
      <c r="E633" s="3">
        <v>0.42</v>
      </c>
      <c r="F633" s="3">
        <v>-377.488</v>
      </c>
      <c r="G633" s="3">
        <v>-379.90100000000001</v>
      </c>
      <c r="H633" s="3">
        <f t="shared" si="499"/>
        <v>-2.4130000000000109</v>
      </c>
      <c r="I633" s="3">
        <v>-0.26400000000000001</v>
      </c>
      <c r="J633" s="6">
        <v>-0.191</v>
      </c>
      <c r="K633" s="3">
        <f t="shared" si="486"/>
        <v>7.3000000000000009E-2</v>
      </c>
      <c r="L633" s="3">
        <v>6.6000000000000003E-2</v>
      </c>
      <c r="M633" s="6">
        <v>-6.5000000000000002E-2</v>
      </c>
      <c r="N633" s="3">
        <f t="shared" si="487"/>
        <v>-0.13100000000000001</v>
      </c>
      <c r="O633" s="3">
        <f t="shared" si="478"/>
        <v>9.9000000000000005E-2</v>
      </c>
      <c r="P633" s="3">
        <f t="shared" si="478"/>
        <v>0.128</v>
      </c>
      <c r="Q633" s="3">
        <f t="shared" si="488"/>
        <v>2.8999999999999998E-2</v>
      </c>
      <c r="R633" s="3">
        <f t="shared" si="489"/>
        <v>0.33</v>
      </c>
      <c r="S633" s="3">
        <f t="shared" si="490"/>
        <v>0.126</v>
      </c>
      <c r="T633" s="3">
        <f t="shared" si="491"/>
        <v>-0.20400000000000001</v>
      </c>
      <c r="U633" s="3">
        <f t="shared" si="492"/>
        <v>-9.9000000000000005E-2</v>
      </c>
      <c r="V633" s="3">
        <f t="shared" si="493"/>
        <v>-0.128</v>
      </c>
      <c r="W633" s="3">
        <f t="shared" si="464"/>
        <v>-2.8999999999999998E-2</v>
      </c>
      <c r="X633" s="3">
        <f t="shared" si="460"/>
        <v>1.485E-2</v>
      </c>
      <c r="Y633" s="3">
        <f t="shared" si="461"/>
        <v>6.5015873015873013E-2</v>
      </c>
      <c r="Z633" s="3">
        <f t="shared" si="494"/>
        <v>5.0165873015873011E-2</v>
      </c>
      <c r="AA633" s="3">
        <v>11.548999999999999</v>
      </c>
      <c r="AB633" s="3">
        <v>8.9369999999999994</v>
      </c>
      <c r="AC633" s="3">
        <f t="shared" si="495"/>
        <v>-2.6120000000000001</v>
      </c>
      <c r="AD633" s="3">
        <f>-377.358768*627.50956</f>
        <v>-236796.23446982205</v>
      </c>
      <c r="AE633" s="3">
        <f>-379.778125*627.50956</f>
        <v>-238314.40411637499</v>
      </c>
      <c r="AF633" s="3">
        <f t="shared" si="496"/>
        <v>-1518.1696465529385</v>
      </c>
      <c r="AG633" s="3">
        <f>-377.397375*627.50956</f>
        <v>-236820.46073140501</v>
      </c>
      <c r="AH633" s="3">
        <f>-379.818391*627.50956</f>
        <v>-238339.67141631796</v>
      </c>
      <c r="AI633" s="3">
        <f t="shared" si="497"/>
        <v>-1519.2106849129486</v>
      </c>
      <c r="AJ633" s="3">
        <v>-0.43</v>
      </c>
      <c r="AK633" s="3">
        <v>-0.29299999999999998</v>
      </c>
      <c r="AL633" s="3">
        <f t="shared" si="498"/>
        <v>0.13700000000000001</v>
      </c>
      <c r="AM633" s="3">
        <v>118.13590000000001</v>
      </c>
      <c r="AN633" s="3">
        <v>174.28299999999999</v>
      </c>
      <c r="AO633" s="3">
        <v>178.541</v>
      </c>
      <c r="AP633" s="3">
        <f t="shared" ref="AP633:AP696" si="515">(AN633/(4*3.14*POWER(((3*AO633)/(4*3.14)),2/3)))</f>
        <v>1.1368041982554473</v>
      </c>
      <c r="AQ633" s="3">
        <v>9.7530000000000001</v>
      </c>
      <c r="AR633" s="3">
        <v>2.2029999999999998</v>
      </c>
      <c r="AS633" s="3">
        <v>-553.27200000000005</v>
      </c>
      <c r="AT633" s="3">
        <v>-551.61699999999996</v>
      </c>
      <c r="AU633" s="3">
        <f t="shared" si="511"/>
        <v>-1.6550000000000864</v>
      </c>
      <c r="AV633" s="3">
        <v>-0.23699999999999999</v>
      </c>
      <c r="AW633" s="3">
        <v>-0.36899999999999999</v>
      </c>
      <c r="AX633" s="3">
        <f t="shared" si="500"/>
        <v>0.13200000000000001</v>
      </c>
      <c r="AY633" s="3">
        <v>2.8000000000000001E-2</v>
      </c>
      <c r="AZ633" s="3">
        <v>0.154</v>
      </c>
      <c r="BA633" s="3">
        <f t="shared" si="501"/>
        <v>-0.126</v>
      </c>
      <c r="BB633" s="3">
        <f t="shared" si="512"/>
        <v>0.1045</v>
      </c>
      <c r="BC633" s="3">
        <f t="shared" si="512"/>
        <v>0.1075</v>
      </c>
      <c r="BD633" s="3">
        <f t="shared" si="502"/>
        <v>-3.0000000000000027E-3</v>
      </c>
      <c r="BE633" s="3">
        <f t="shared" si="513"/>
        <v>0.26500000000000001</v>
      </c>
      <c r="BF633" s="3">
        <f t="shared" si="513"/>
        <v>0.52300000000000002</v>
      </c>
      <c r="BG633" s="3">
        <f t="shared" si="503"/>
        <v>-0.25800000000000001</v>
      </c>
      <c r="BH633" s="3">
        <f t="shared" si="514"/>
        <v>-0.1045</v>
      </c>
      <c r="BI633" s="3">
        <f t="shared" si="514"/>
        <v>-0.1075</v>
      </c>
      <c r="BJ633" s="3">
        <f t="shared" si="465"/>
        <v>3.0000000000000027E-3</v>
      </c>
      <c r="BK633" s="3">
        <f t="shared" si="462"/>
        <v>2.0604245283018865E-2</v>
      </c>
      <c r="BL633" s="3">
        <f t="shared" si="463"/>
        <v>1.104804015296367E-2</v>
      </c>
      <c r="BM633" s="3">
        <f t="shared" si="504"/>
        <v>9.5562051300551957E-3</v>
      </c>
      <c r="BN633" s="3">
        <v>5.4870000000000001</v>
      </c>
      <c r="BO633" s="3">
        <v>6.0839999999999996</v>
      </c>
      <c r="BP633" s="3">
        <f t="shared" si="505"/>
        <v>-0.59699999999999953</v>
      </c>
      <c r="BQ633" s="3">
        <v>-347129.96399999998</v>
      </c>
      <c r="BR633" s="3">
        <v>-346087.64600000001</v>
      </c>
      <c r="BS633" s="3">
        <f t="shared" si="506"/>
        <v>-1042.3179999999702</v>
      </c>
      <c r="BT633" s="3">
        <v>-347152.04599999997</v>
      </c>
      <c r="BU633" s="3">
        <v>-346109.22600000002</v>
      </c>
      <c r="BV633" s="3">
        <f t="shared" si="507"/>
        <v>-1042.8199999999488</v>
      </c>
    </row>
    <row r="634" spans="1:74" x14ac:dyDescent="0.25">
      <c r="A634" t="s">
        <v>708</v>
      </c>
      <c r="B634" s="1" t="s">
        <v>646</v>
      </c>
      <c r="C634" s="1" t="s">
        <v>200</v>
      </c>
      <c r="D634" s="3">
        <v>26.71</v>
      </c>
      <c r="E634" s="3">
        <v>0.37</v>
      </c>
      <c r="F634" s="3">
        <v>-551.48900000000003</v>
      </c>
      <c r="G634" s="3">
        <v>-554.90800000000002</v>
      </c>
      <c r="H634" s="3">
        <f t="shared" si="499"/>
        <v>-3.4189999999999827</v>
      </c>
      <c r="I634" s="3">
        <v>-0.27</v>
      </c>
      <c r="J634" s="6">
        <v>-0.192</v>
      </c>
      <c r="K634" s="3">
        <f t="shared" si="486"/>
        <v>7.8000000000000014E-2</v>
      </c>
      <c r="L634" s="3">
        <v>6.9000000000000006E-2</v>
      </c>
      <c r="M634" s="6">
        <v>-6.4000000000000001E-2</v>
      </c>
      <c r="N634" s="3">
        <f t="shared" si="487"/>
        <v>-0.13300000000000001</v>
      </c>
      <c r="O634" s="3">
        <f t="shared" si="478"/>
        <v>0.10050000000000001</v>
      </c>
      <c r="P634" s="3">
        <f t="shared" si="478"/>
        <v>0.128</v>
      </c>
      <c r="Q634" s="3">
        <f t="shared" si="488"/>
        <v>2.7499999999999997E-2</v>
      </c>
      <c r="R634" s="3">
        <f t="shared" si="489"/>
        <v>0.33900000000000002</v>
      </c>
      <c r="S634" s="3">
        <f t="shared" si="490"/>
        <v>0.128</v>
      </c>
      <c r="T634" s="3">
        <f t="shared" si="491"/>
        <v>-0.21100000000000002</v>
      </c>
      <c r="U634" s="3">
        <f t="shared" si="492"/>
        <v>-0.10050000000000001</v>
      </c>
      <c r="V634" s="3">
        <f t="shared" si="493"/>
        <v>-0.128</v>
      </c>
      <c r="W634" s="3">
        <f t="shared" si="464"/>
        <v>-2.7499999999999997E-2</v>
      </c>
      <c r="X634" s="3">
        <f t="shared" si="460"/>
        <v>1.4897123893805311E-2</v>
      </c>
      <c r="Y634" s="3">
        <f t="shared" si="461"/>
        <v>6.4000000000000001E-2</v>
      </c>
      <c r="Z634" s="3">
        <f t="shared" si="494"/>
        <v>4.9102876106194689E-2</v>
      </c>
      <c r="AA634" s="3">
        <v>7.9630000000000001</v>
      </c>
      <c r="AB634" s="3">
        <v>5.4340000000000002</v>
      </c>
      <c r="AC634" s="3">
        <f t="shared" si="495"/>
        <v>-2.5289999999999999</v>
      </c>
      <c r="AD634" s="3">
        <f>-551.277408*627.50956</f>
        <v>-345931.84373202047</v>
      </c>
      <c r="AE634" s="3">
        <f>-554.708514*627.50956</f>
        <v>-348084.89554839383</v>
      </c>
      <c r="AF634" s="3">
        <f t="shared" si="496"/>
        <v>-2153.051816373365</v>
      </c>
      <c r="AG634" s="3">
        <f>-551.327109*627.50956</f>
        <v>-345963.03158466198</v>
      </c>
      <c r="AH634" s="3">
        <f>-554.758651*627.50956</f>
        <v>-348116.35699520353</v>
      </c>
      <c r="AI634" s="3">
        <f t="shared" si="497"/>
        <v>-2153.3254105415544</v>
      </c>
      <c r="AJ634" s="3">
        <v>-0.38100000000000001</v>
      </c>
      <c r="AK634" s="3">
        <v>-0.247</v>
      </c>
      <c r="AL634" s="3">
        <f t="shared" si="498"/>
        <v>0.13400000000000001</v>
      </c>
      <c r="AM634" s="3">
        <v>165.18899999999999</v>
      </c>
      <c r="AN634" s="3">
        <v>233.3065</v>
      </c>
      <c r="AO634" s="3">
        <v>249.7159</v>
      </c>
      <c r="AP634" s="3">
        <f t="shared" si="515"/>
        <v>1.2167984796829356</v>
      </c>
      <c r="AQ634" s="3">
        <v>12.531000000000001</v>
      </c>
      <c r="AR634" s="3">
        <v>2.86</v>
      </c>
      <c r="AS634" s="3">
        <v>-553.27200000000005</v>
      </c>
      <c r="AT634" s="3">
        <v>-551.61699999999996</v>
      </c>
      <c r="AU634" s="3">
        <f t="shared" si="511"/>
        <v>-1.6550000000000864</v>
      </c>
      <c r="AV634" s="3">
        <v>-0.23699999999999999</v>
      </c>
      <c r="AW634" s="3">
        <v>-0.36899999999999999</v>
      </c>
      <c r="AX634" s="3">
        <f t="shared" si="500"/>
        <v>0.13200000000000001</v>
      </c>
      <c r="AY634" s="3">
        <v>2.8000000000000001E-2</v>
      </c>
      <c r="AZ634" s="3">
        <v>0.154</v>
      </c>
      <c r="BA634" s="3">
        <f t="shared" si="501"/>
        <v>-0.126</v>
      </c>
      <c r="BB634" s="3">
        <f t="shared" si="512"/>
        <v>0.1045</v>
      </c>
      <c r="BC634" s="3">
        <f t="shared" si="512"/>
        <v>0.1075</v>
      </c>
      <c r="BD634" s="3">
        <f t="shared" si="502"/>
        <v>-3.0000000000000027E-3</v>
      </c>
      <c r="BE634" s="3">
        <f t="shared" si="513"/>
        <v>0.26500000000000001</v>
      </c>
      <c r="BF634" s="3">
        <f t="shared" si="513"/>
        <v>0.52300000000000002</v>
      </c>
      <c r="BG634" s="3">
        <f t="shared" si="503"/>
        <v>-0.25800000000000001</v>
      </c>
      <c r="BH634" s="3">
        <f t="shared" si="514"/>
        <v>-0.1045</v>
      </c>
      <c r="BI634" s="3">
        <f t="shared" si="514"/>
        <v>-0.1075</v>
      </c>
      <c r="BJ634" s="3">
        <f t="shared" si="465"/>
        <v>3.0000000000000027E-3</v>
      </c>
      <c r="BK634" s="3">
        <f t="shared" si="462"/>
        <v>2.0604245283018865E-2</v>
      </c>
      <c r="BL634" s="3">
        <f t="shared" si="463"/>
        <v>1.104804015296367E-2</v>
      </c>
      <c r="BM634" s="3">
        <f t="shared" si="504"/>
        <v>9.5562051300551957E-3</v>
      </c>
      <c r="BN634" s="3">
        <v>5.4870000000000001</v>
      </c>
      <c r="BO634" s="3">
        <v>6.0839999999999996</v>
      </c>
      <c r="BP634" s="3">
        <f t="shared" si="505"/>
        <v>-0.59699999999999953</v>
      </c>
      <c r="BQ634" s="3">
        <v>-347129.96399999998</v>
      </c>
      <c r="BR634" s="3">
        <v>-346087.64600000001</v>
      </c>
      <c r="BS634" s="3">
        <f t="shared" si="506"/>
        <v>-1042.3179999999702</v>
      </c>
      <c r="BT634" s="3">
        <v>-347152.04599999997</v>
      </c>
      <c r="BU634" s="3">
        <v>-346109.22600000002</v>
      </c>
      <c r="BV634" s="3">
        <f t="shared" si="507"/>
        <v>-1042.8199999999488</v>
      </c>
    </row>
    <row r="635" spans="1:74" x14ac:dyDescent="0.25">
      <c r="A635" t="s">
        <v>709</v>
      </c>
      <c r="B635" s="1" t="s">
        <v>646</v>
      </c>
      <c r="C635" s="1" t="s">
        <v>200</v>
      </c>
      <c r="D635" s="3">
        <v>26.9</v>
      </c>
      <c r="E635" s="3">
        <v>0.45</v>
      </c>
      <c r="F635" s="3">
        <v>-1734.3489999999999</v>
      </c>
      <c r="G635" s="3">
        <v>-1739.0070000000001</v>
      </c>
      <c r="H635" s="3">
        <f t="shared" si="499"/>
        <v>-4.6580000000001291</v>
      </c>
      <c r="I635" s="3">
        <v>-0.31</v>
      </c>
      <c r="J635" s="6">
        <v>-0.192</v>
      </c>
      <c r="K635" s="3">
        <f t="shared" si="486"/>
        <v>0.11799999999999999</v>
      </c>
      <c r="L635" s="3">
        <v>0.09</v>
      </c>
      <c r="M635" s="6">
        <v>-4.8000000000000001E-2</v>
      </c>
      <c r="N635" s="3">
        <f t="shared" si="487"/>
        <v>-0.13800000000000001</v>
      </c>
      <c r="O635" s="3">
        <f t="shared" si="478"/>
        <v>0.11</v>
      </c>
      <c r="P635" s="3">
        <f t="shared" si="478"/>
        <v>0.12</v>
      </c>
      <c r="Q635" s="3">
        <f t="shared" si="488"/>
        <v>9.999999999999995E-3</v>
      </c>
      <c r="R635" s="3">
        <f t="shared" si="489"/>
        <v>0.4</v>
      </c>
      <c r="S635" s="3">
        <f t="shared" si="490"/>
        <v>0.14400000000000002</v>
      </c>
      <c r="T635" s="3">
        <f t="shared" si="491"/>
        <v>-0.25600000000000001</v>
      </c>
      <c r="U635" s="3">
        <f t="shared" si="492"/>
        <v>-0.11</v>
      </c>
      <c r="V635" s="3">
        <f t="shared" si="493"/>
        <v>-0.12</v>
      </c>
      <c r="W635" s="3">
        <f t="shared" si="464"/>
        <v>-9.999999999999995E-3</v>
      </c>
      <c r="X635" s="3">
        <f t="shared" si="460"/>
        <v>1.5125E-2</v>
      </c>
      <c r="Y635" s="3">
        <f t="shared" si="461"/>
        <v>4.9999999999999996E-2</v>
      </c>
      <c r="Z635" s="3">
        <f t="shared" si="494"/>
        <v>3.4874999999999996E-2</v>
      </c>
      <c r="AA635" s="3">
        <v>14.154</v>
      </c>
      <c r="AB635" s="3">
        <v>13.459</v>
      </c>
      <c r="AC635" s="3">
        <f t="shared" si="495"/>
        <v>-0.69500000000000028</v>
      </c>
      <c r="AD635" s="3">
        <f>-1734.223718*627.50956</f>
        <v>-1088241.962223744</v>
      </c>
      <c r="AE635" s="3">
        <f>-1738.889385*627.50956</f>
        <v>-1091169.7128700204</v>
      </c>
      <c r="AF635" s="3">
        <f t="shared" si="496"/>
        <v>-2927.7506462763995</v>
      </c>
      <c r="AG635" s="3">
        <f>-1734.274214*627.50956</f>
        <v>-1088273.6489464857</v>
      </c>
      <c r="AH635" s="3">
        <f>-1738.941931*627.50956</f>
        <v>-1091202.6859873603</v>
      </c>
      <c r="AI635" s="3">
        <f t="shared" si="497"/>
        <v>-2929.0370408745948</v>
      </c>
      <c r="AJ635" s="3">
        <v>-0.81899999999999995</v>
      </c>
      <c r="AK635" s="3">
        <v>-0.81799999999999995</v>
      </c>
      <c r="AL635" s="3">
        <f t="shared" si="498"/>
        <v>1.0000000000000009E-3</v>
      </c>
      <c r="AM635" s="3">
        <v>224.084</v>
      </c>
      <c r="AN635" s="3">
        <v>226.53899999999999</v>
      </c>
      <c r="AO635" s="3">
        <v>244.75839999999999</v>
      </c>
      <c r="AP635" s="3">
        <f t="shared" si="515"/>
        <v>1.1974035070205711</v>
      </c>
      <c r="AQ635" s="3">
        <v>12.196</v>
      </c>
      <c r="AR635" s="3">
        <v>3.0817000000000001</v>
      </c>
      <c r="AS635" s="3">
        <v>-553.27200000000005</v>
      </c>
      <c r="AT635" s="3">
        <v>-551.61699999999996</v>
      </c>
      <c r="AU635" s="3">
        <f t="shared" si="511"/>
        <v>-1.6550000000000864</v>
      </c>
      <c r="AV635" s="3">
        <v>-0.23699999999999999</v>
      </c>
      <c r="AW635" s="3">
        <v>-0.36899999999999999</v>
      </c>
      <c r="AX635" s="3">
        <f t="shared" si="500"/>
        <v>0.13200000000000001</v>
      </c>
      <c r="AY635" s="3">
        <v>2.8000000000000001E-2</v>
      </c>
      <c r="AZ635" s="3">
        <v>0.154</v>
      </c>
      <c r="BA635" s="3">
        <f t="shared" si="501"/>
        <v>-0.126</v>
      </c>
      <c r="BB635" s="3">
        <f t="shared" ref="BB635:BC649" si="516">-(AV635+AY635)/2</f>
        <v>0.1045</v>
      </c>
      <c r="BC635" s="3">
        <f t="shared" si="516"/>
        <v>0.1075</v>
      </c>
      <c r="BD635" s="3">
        <f t="shared" si="502"/>
        <v>-3.0000000000000027E-3</v>
      </c>
      <c r="BE635" s="3">
        <f t="shared" ref="BE635:BF649" si="517">AY635-AV635</f>
        <v>0.26500000000000001</v>
      </c>
      <c r="BF635" s="3">
        <f t="shared" si="517"/>
        <v>0.52300000000000002</v>
      </c>
      <c r="BG635" s="3">
        <f t="shared" si="503"/>
        <v>-0.25800000000000001</v>
      </c>
      <c r="BH635" s="3">
        <f t="shared" ref="BH635:BI649" si="518">(AV635+AY635)/2</f>
        <v>-0.1045</v>
      </c>
      <c r="BI635" s="3">
        <f t="shared" si="518"/>
        <v>-0.1075</v>
      </c>
      <c r="BJ635" s="3">
        <f t="shared" si="465"/>
        <v>3.0000000000000027E-3</v>
      </c>
      <c r="BK635" s="3">
        <f t="shared" si="462"/>
        <v>2.0604245283018865E-2</v>
      </c>
      <c r="BL635" s="3">
        <f t="shared" si="463"/>
        <v>1.104804015296367E-2</v>
      </c>
      <c r="BM635" s="3">
        <f t="shared" si="504"/>
        <v>9.5562051300551957E-3</v>
      </c>
      <c r="BN635" s="3">
        <v>5.4870000000000001</v>
      </c>
      <c r="BO635" s="3">
        <v>6.0839999999999996</v>
      </c>
      <c r="BP635" s="3">
        <f t="shared" si="505"/>
        <v>-0.59699999999999953</v>
      </c>
      <c r="BQ635" s="3">
        <v>-347129.96399999998</v>
      </c>
      <c r="BR635" s="3">
        <v>-346087.64600000001</v>
      </c>
      <c r="BS635" s="3">
        <f t="shared" si="506"/>
        <v>-1042.3179999999702</v>
      </c>
      <c r="BT635" s="3">
        <v>-347152.04599999997</v>
      </c>
      <c r="BU635" s="3">
        <v>-346109.22600000002</v>
      </c>
      <c r="BV635" s="3">
        <f t="shared" si="507"/>
        <v>-1042.8199999999488</v>
      </c>
    </row>
    <row r="636" spans="1:74" x14ac:dyDescent="0.25">
      <c r="A636" t="s">
        <v>710</v>
      </c>
      <c r="B636" s="1" t="s">
        <v>646</v>
      </c>
      <c r="C636" s="1" t="s">
        <v>200</v>
      </c>
      <c r="D636" s="3">
        <v>26.95</v>
      </c>
      <c r="E636" s="3">
        <v>0.52</v>
      </c>
      <c r="F636" s="3">
        <v>-857.505</v>
      </c>
      <c r="G636" s="3">
        <v>-862.96100000000001</v>
      </c>
      <c r="H636" s="3">
        <f t="shared" si="499"/>
        <v>-5.4560000000000173</v>
      </c>
      <c r="I636" s="3">
        <v>-0.22600000000000001</v>
      </c>
      <c r="J636" s="6">
        <v>-0.14899999999999999</v>
      </c>
      <c r="K636" s="3">
        <f t="shared" si="486"/>
        <v>7.7000000000000013E-2</v>
      </c>
      <c r="L636" s="3">
        <v>0.111</v>
      </c>
      <c r="M636" s="6">
        <v>-2.9000000000000001E-2</v>
      </c>
      <c r="N636" s="3">
        <f t="shared" si="487"/>
        <v>-0.14000000000000001</v>
      </c>
      <c r="O636" s="3">
        <f t="shared" si="478"/>
        <v>5.7500000000000002E-2</v>
      </c>
      <c r="P636" s="3">
        <f t="shared" si="478"/>
        <v>8.8999999999999996E-2</v>
      </c>
      <c r="Q636" s="3">
        <f t="shared" si="488"/>
        <v>3.1499999999999993E-2</v>
      </c>
      <c r="R636" s="3">
        <f t="shared" si="489"/>
        <v>0.33700000000000002</v>
      </c>
      <c r="S636" s="3">
        <f t="shared" si="490"/>
        <v>0.12</v>
      </c>
      <c r="T636" s="3">
        <f t="shared" si="491"/>
        <v>-0.21700000000000003</v>
      </c>
      <c r="U636" s="3">
        <f t="shared" si="492"/>
        <v>-5.7500000000000002E-2</v>
      </c>
      <c r="V636" s="3">
        <f t="shared" si="493"/>
        <v>-8.8999999999999996E-2</v>
      </c>
      <c r="W636" s="3">
        <f t="shared" si="464"/>
        <v>-3.1499999999999993E-2</v>
      </c>
      <c r="X636" s="3">
        <f t="shared" si="460"/>
        <v>4.9054154302670622E-3</v>
      </c>
      <c r="Y636" s="3">
        <f t="shared" si="461"/>
        <v>3.3004166666666668E-2</v>
      </c>
      <c r="Z636" s="3">
        <f t="shared" si="494"/>
        <v>2.8098751236399606E-2</v>
      </c>
      <c r="AA636" s="3">
        <v>7.1820000000000004</v>
      </c>
      <c r="AB636" s="3">
        <v>4.766</v>
      </c>
      <c r="AC636" s="3">
        <f t="shared" si="495"/>
        <v>-2.4160000000000004</v>
      </c>
      <c r="AD636" s="3">
        <f>-857.180207*627.50956</f>
        <v>-537888.77453527891</v>
      </c>
      <c r="AE636" s="3">
        <f>-862.655572*627.50956</f>
        <v>-541324.61841726827</v>
      </c>
      <c r="AF636" s="3">
        <f t="shared" si="496"/>
        <v>-3435.8438819893636</v>
      </c>
      <c r="AG636" s="3">
        <f>-857.244869*627.50956</f>
        <v>-537929.35055844765</v>
      </c>
      <c r="AH636" s="3">
        <f>-862.722185*627.50956</f>
        <v>-541366.4187115886</v>
      </c>
      <c r="AI636" s="3">
        <f t="shared" si="497"/>
        <v>-3437.06815314095</v>
      </c>
      <c r="AJ636" s="3">
        <v>-0.43</v>
      </c>
      <c r="AK636" s="3">
        <v>-0.29099999999999998</v>
      </c>
      <c r="AL636" s="3">
        <f t="shared" si="498"/>
        <v>0.13900000000000001</v>
      </c>
      <c r="AM636" s="3">
        <v>266.31439999999998</v>
      </c>
      <c r="AN636" s="3">
        <v>339.67700000000002</v>
      </c>
      <c r="AO636" s="3">
        <v>397.04880000000003</v>
      </c>
      <c r="AP636" s="3">
        <f t="shared" si="515"/>
        <v>1.3004475267645608</v>
      </c>
      <c r="AQ636" s="3">
        <v>13.682</v>
      </c>
      <c r="AR636" s="3">
        <v>3.4157999999999999</v>
      </c>
      <c r="AS636" s="3">
        <v>-553.27200000000005</v>
      </c>
      <c r="AT636" s="3">
        <v>-551.61699999999996</v>
      </c>
      <c r="AU636" s="3">
        <f t="shared" si="511"/>
        <v>-1.6550000000000864</v>
      </c>
      <c r="AV636" s="3">
        <v>-0.23699999999999999</v>
      </c>
      <c r="AW636" s="3">
        <v>-0.36899999999999999</v>
      </c>
      <c r="AX636" s="3">
        <f t="shared" si="500"/>
        <v>0.13200000000000001</v>
      </c>
      <c r="AY636" s="3">
        <v>2.8000000000000001E-2</v>
      </c>
      <c r="AZ636" s="3">
        <v>0.154</v>
      </c>
      <c r="BA636" s="3">
        <f t="shared" si="501"/>
        <v>-0.126</v>
      </c>
      <c r="BB636" s="3">
        <f t="shared" si="516"/>
        <v>0.1045</v>
      </c>
      <c r="BC636" s="3">
        <f t="shared" si="516"/>
        <v>0.1075</v>
      </c>
      <c r="BD636" s="3">
        <f t="shared" si="502"/>
        <v>-3.0000000000000027E-3</v>
      </c>
      <c r="BE636" s="3">
        <f t="shared" si="517"/>
        <v>0.26500000000000001</v>
      </c>
      <c r="BF636" s="3">
        <f t="shared" si="517"/>
        <v>0.52300000000000002</v>
      </c>
      <c r="BG636" s="3">
        <f t="shared" si="503"/>
        <v>-0.25800000000000001</v>
      </c>
      <c r="BH636" s="3">
        <f t="shared" si="518"/>
        <v>-0.1045</v>
      </c>
      <c r="BI636" s="3">
        <f t="shared" si="518"/>
        <v>-0.1075</v>
      </c>
      <c r="BJ636" s="3">
        <f t="shared" si="465"/>
        <v>3.0000000000000027E-3</v>
      </c>
      <c r="BK636" s="3">
        <f t="shared" si="462"/>
        <v>2.0604245283018865E-2</v>
      </c>
      <c r="BL636" s="3">
        <f t="shared" si="463"/>
        <v>1.104804015296367E-2</v>
      </c>
      <c r="BM636" s="3">
        <f t="shared" si="504"/>
        <v>9.5562051300551957E-3</v>
      </c>
      <c r="BN636" s="3">
        <v>5.4870000000000001</v>
      </c>
      <c r="BO636" s="3">
        <v>6.0839999999999996</v>
      </c>
      <c r="BP636" s="3">
        <f t="shared" si="505"/>
        <v>-0.59699999999999953</v>
      </c>
      <c r="BQ636" s="3">
        <v>-347129.96399999998</v>
      </c>
      <c r="BR636" s="3">
        <v>-346087.64600000001</v>
      </c>
      <c r="BS636" s="3">
        <f t="shared" si="506"/>
        <v>-1042.3179999999702</v>
      </c>
      <c r="BT636" s="3">
        <v>-347152.04599999997</v>
      </c>
      <c r="BU636" s="3">
        <v>-346109.22600000002</v>
      </c>
      <c r="BV636" s="3">
        <f t="shared" si="507"/>
        <v>-1042.8199999999488</v>
      </c>
    </row>
    <row r="637" spans="1:74" x14ac:dyDescent="0.25">
      <c r="A637" t="s">
        <v>711</v>
      </c>
      <c r="B637" s="1" t="s">
        <v>646</v>
      </c>
      <c r="C637" s="1" t="s">
        <v>200</v>
      </c>
      <c r="D637" s="3">
        <v>27.45</v>
      </c>
      <c r="E637" s="3">
        <v>0.38</v>
      </c>
      <c r="F637" s="3">
        <v>-609.72400000000005</v>
      </c>
      <c r="G637" s="3">
        <v>-613.67200000000003</v>
      </c>
      <c r="H637" s="3">
        <f t="shared" si="499"/>
        <v>-3.9479999999999791</v>
      </c>
      <c r="I637" s="3">
        <v>-0.26700000000000002</v>
      </c>
      <c r="J637" s="6">
        <v>-0.182</v>
      </c>
      <c r="K637" s="3">
        <f t="shared" si="486"/>
        <v>8.500000000000002E-2</v>
      </c>
      <c r="L637" s="3">
        <v>7.1999999999999995E-2</v>
      </c>
      <c r="M637" s="6">
        <v>-5.7000000000000002E-2</v>
      </c>
      <c r="N637" s="3">
        <f t="shared" si="487"/>
        <v>-0.129</v>
      </c>
      <c r="O637" s="3">
        <f t="shared" si="478"/>
        <v>9.7500000000000003E-2</v>
      </c>
      <c r="P637" s="3">
        <f t="shared" si="478"/>
        <v>0.1195</v>
      </c>
      <c r="Q637" s="3">
        <f t="shared" si="488"/>
        <v>2.1999999999999992E-2</v>
      </c>
      <c r="R637" s="3">
        <f t="shared" si="489"/>
        <v>0.33900000000000002</v>
      </c>
      <c r="S637" s="3">
        <f t="shared" si="490"/>
        <v>0.125</v>
      </c>
      <c r="T637" s="3">
        <f t="shared" si="491"/>
        <v>-0.21400000000000002</v>
      </c>
      <c r="U637" s="3">
        <f t="shared" si="492"/>
        <v>-9.7500000000000003E-2</v>
      </c>
      <c r="V637" s="3">
        <f t="shared" si="493"/>
        <v>-0.1195</v>
      </c>
      <c r="W637" s="3">
        <f t="shared" si="464"/>
        <v>-2.1999999999999992E-2</v>
      </c>
      <c r="X637" s="3">
        <f t="shared" si="460"/>
        <v>1.4021017699115044E-2</v>
      </c>
      <c r="Y637" s="3">
        <f t="shared" si="461"/>
        <v>5.7120999999999998E-2</v>
      </c>
      <c r="Z637" s="3">
        <f t="shared" si="494"/>
        <v>4.3099982300884951E-2</v>
      </c>
      <c r="AA637" s="3">
        <v>7.5060000000000002</v>
      </c>
      <c r="AB637" s="3">
        <v>5.3029999999999999</v>
      </c>
      <c r="AC637" s="3">
        <f t="shared" si="495"/>
        <v>-2.2030000000000003</v>
      </c>
      <c r="AD637" s="3">
        <f>-609.437514*627.50956</f>
        <v>-382427.86625763378</v>
      </c>
      <c r="AE637" s="3">
        <f>-613.401864*627.50956</f>
        <v>-384915.53378181986</v>
      </c>
      <c r="AF637" s="3">
        <f t="shared" si="496"/>
        <v>-2487.6675241860794</v>
      </c>
      <c r="AG637" s="3">
        <f>-609.493872*627.50956</f>
        <v>-382463.23144141631</v>
      </c>
      <c r="AH637" s="3">
        <f>-613.459529*627.50956</f>
        <v>-384951.71912059718</v>
      </c>
      <c r="AI637" s="3">
        <f t="shared" si="497"/>
        <v>-2488.4876791808638</v>
      </c>
      <c r="AJ637" s="3">
        <v>-0.45</v>
      </c>
      <c r="AK637" s="3">
        <v>-0.23400000000000001</v>
      </c>
      <c r="AL637" s="3">
        <f t="shared" si="498"/>
        <v>0.216</v>
      </c>
      <c r="AM637" s="3">
        <v>192.25749999999999</v>
      </c>
      <c r="AN637" s="3">
        <v>272.697</v>
      </c>
      <c r="AO637" s="3">
        <v>309.55099999999999</v>
      </c>
      <c r="AP637" s="3">
        <f t="shared" si="515"/>
        <v>1.2324846045198337</v>
      </c>
      <c r="AQ637" s="3">
        <v>12.583</v>
      </c>
      <c r="AR637" s="3">
        <v>3.0287999999999999</v>
      </c>
      <c r="AS637" s="3">
        <v>-553.27200000000005</v>
      </c>
      <c r="AT637" s="3">
        <v>-551.61699999999996</v>
      </c>
      <c r="AU637" s="3">
        <f t="shared" si="511"/>
        <v>-1.6550000000000864</v>
      </c>
      <c r="AV637" s="3">
        <v>-0.23699999999999999</v>
      </c>
      <c r="AW637" s="3">
        <v>-0.36899999999999999</v>
      </c>
      <c r="AX637" s="3">
        <f t="shared" si="500"/>
        <v>0.13200000000000001</v>
      </c>
      <c r="AY637" s="3">
        <v>2.8000000000000001E-2</v>
      </c>
      <c r="AZ637" s="3">
        <v>0.154</v>
      </c>
      <c r="BA637" s="3">
        <f t="shared" si="501"/>
        <v>-0.126</v>
      </c>
      <c r="BB637" s="3">
        <f t="shared" si="516"/>
        <v>0.1045</v>
      </c>
      <c r="BC637" s="3">
        <f t="shared" si="516"/>
        <v>0.1075</v>
      </c>
      <c r="BD637" s="3">
        <f t="shared" si="502"/>
        <v>-3.0000000000000027E-3</v>
      </c>
      <c r="BE637" s="3">
        <f t="shared" si="517"/>
        <v>0.26500000000000001</v>
      </c>
      <c r="BF637" s="3">
        <f t="shared" si="517"/>
        <v>0.52300000000000002</v>
      </c>
      <c r="BG637" s="3">
        <f t="shared" si="503"/>
        <v>-0.25800000000000001</v>
      </c>
      <c r="BH637" s="3">
        <f t="shared" si="518"/>
        <v>-0.1045</v>
      </c>
      <c r="BI637" s="3">
        <f t="shared" si="518"/>
        <v>-0.1075</v>
      </c>
      <c r="BJ637" s="3">
        <f t="shared" si="465"/>
        <v>3.0000000000000027E-3</v>
      </c>
      <c r="BK637" s="3">
        <f t="shared" si="462"/>
        <v>2.0604245283018865E-2</v>
      </c>
      <c r="BL637" s="3">
        <f t="shared" si="463"/>
        <v>1.104804015296367E-2</v>
      </c>
      <c r="BM637" s="3">
        <f t="shared" si="504"/>
        <v>9.5562051300551957E-3</v>
      </c>
      <c r="BN637" s="3">
        <v>5.4870000000000001</v>
      </c>
      <c r="BO637" s="3">
        <v>6.0839999999999996</v>
      </c>
      <c r="BP637" s="3">
        <f t="shared" si="505"/>
        <v>-0.59699999999999953</v>
      </c>
      <c r="BQ637" s="3">
        <v>-347129.96399999998</v>
      </c>
      <c r="BR637" s="3">
        <v>-346087.64600000001</v>
      </c>
      <c r="BS637" s="3">
        <f t="shared" si="506"/>
        <v>-1042.3179999999702</v>
      </c>
      <c r="BT637" s="3">
        <v>-347152.04599999997</v>
      </c>
      <c r="BU637" s="3">
        <v>-346109.22600000002</v>
      </c>
      <c r="BV637" s="3">
        <f t="shared" si="507"/>
        <v>-1042.8199999999488</v>
      </c>
    </row>
    <row r="638" spans="1:74" x14ac:dyDescent="0.25">
      <c r="A638" t="s">
        <v>712</v>
      </c>
      <c r="B638" s="1" t="s">
        <v>646</v>
      </c>
      <c r="C638" s="1" t="s">
        <v>200</v>
      </c>
      <c r="D638" s="3">
        <v>27.54</v>
      </c>
      <c r="E638" s="3">
        <v>0.56999999999999995</v>
      </c>
      <c r="F638" s="3">
        <v>-535.03</v>
      </c>
      <c r="G638" s="3">
        <v>-538.399</v>
      </c>
      <c r="H638" s="3">
        <f t="shared" si="499"/>
        <v>-3.3690000000000282</v>
      </c>
      <c r="I638" s="3">
        <v>-0.219</v>
      </c>
      <c r="J638" s="6">
        <v>-0.14499999999999999</v>
      </c>
      <c r="K638" s="3">
        <f t="shared" si="486"/>
        <v>7.400000000000001E-2</v>
      </c>
      <c r="L638" s="3">
        <v>0.152</v>
      </c>
      <c r="M638" s="6">
        <v>1.2E-2</v>
      </c>
      <c r="N638" s="3">
        <f t="shared" si="487"/>
        <v>-0.13999999999999999</v>
      </c>
      <c r="O638" s="3">
        <f t="shared" si="478"/>
        <v>3.3500000000000002E-2</v>
      </c>
      <c r="P638" s="3">
        <f t="shared" si="478"/>
        <v>6.649999999999999E-2</v>
      </c>
      <c r="Q638" s="3">
        <f t="shared" si="488"/>
        <v>3.2999999999999988E-2</v>
      </c>
      <c r="R638" s="3">
        <f t="shared" si="489"/>
        <v>0.371</v>
      </c>
      <c r="S638" s="3">
        <f t="shared" si="490"/>
        <v>0.157</v>
      </c>
      <c r="T638" s="3">
        <f t="shared" si="491"/>
        <v>-0.214</v>
      </c>
      <c r="U638" s="3">
        <f t="shared" si="492"/>
        <v>-3.3500000000000002E-2</v>
      </c>
      <c r="V638" s="3">
        <f t="shared" si="493"/>
        <v>-6.649999999999999E-2</v>
      </c>
      <c r="W638" s="3">
        <f t="shared" si="464"/>
        <v>-3.2999999999999988E-2</v>
      </c>
      <c r="X638" s="3">
        <f t="shared" si="460"/>
        <v>1.5124663072776283E-3</v>
      </c>
      <c r="Y638" s="3">
        <f t="shared" si="461"/>
        <v>1.4083598726114643E-2</v>
      </c>
      <c r="Z638" s="3">
        <f t="shared" si="494"/>
        <v>1.2571132418837016E-2</v>
      </c>
      <c r="AA638" s="3">
        <v>6.7030000000000003</v>
      </c>
      <c r="AB638" s="3">
        <v>5.5709999999999997</v>
      </c>
      <c r="AC638" s="3">
        <f t="shared" si="495"/>
        <v>-1.1320000000000006</v>
      </c>
      <c r="AD638" s="3">
        <f>-534.821138*627.50956</f>
        <v>-335605.37698507926</v>
      </c>
      <c r="AE638" s="3">
        <f>-538.202317*627.50956</f>
        <v>-337727.09913165052</v>
      </c>
      <c r="AF638" s="3">
        <f t="shared" si="496"/>
        <v>-2121.7221465712646</v>
      </c>
      <c r="AG638" s="3">
        <f>-534.870401*627.50956</f>
        <v>-335636.28998853354</v>
      </c>
      <c r="AH638" s="3">
        <f>-538.252961*627.50956</f>
        <v>-337758.87872580718</v>
      </c>
      <c r="AI638" s="3">
        <f t="shared" si="497"/>
        <v>-2122.588737273647</v>
      </c>
      <c r="AJ638" s="3">
        <v>-0.624</v>
      </c>
      <c r="AK638" s="3">
        <v>-0.52500000000000002</v>
      </c>
      <c r="AL638" s="3">
        <f t="shared" si="498"/>
        <v>9.8999999999999977E-2</v>
      </c>
      <c r="AM638" s="3">
        <v>163.19300000000001</v>
      </c>
      <c r="AN638" s="3">
        <v>235.81489999999999</v>
      </c>
      <c r="AO638" s="3">
        <v>254.37790000000001</v>
      </c>
      <c r="AP638" s="3">
        <f t="shared" si="515"/>
        <v>1.2148079009065587</v>
      </c>
      <c r="AQ638" s="3">
        <v>11.868</v>
      </c>
      <c r="AR638" s="3">
        <v>2.7844000000000002</v>
      </c>
      <c r="AS638" s="3">
        <v>-553.27200000000005</v>
      </c>
      <c r="AT638" s="3">
        <v>-551.61699999999996</v>
      </c>
      <c r="AU638" s="3">
        <f t="shared" si="511"/>
        <v>-1.6550000000000864</v>
      </c>
      <c r="AV638" s="3">
        <v>-0.23699999999999999</v>
      </c>
      <c r="AW638" s="3">
        <v>-0.36899999999999999</v>
      </c>
      <c r="AX638" s="3">
        <f t="shared" si="500"/>
        <v>0.13200000000000001</v>
      </c>
      <c r="AY638" s="3">
        <v>2.8000000000000001E-2</v>
      </c>
      <c r="AZ638" s="3">
        <v>0.154</v>
      </c>
      <c r="BA638" s="3">
        <f t="shared" si="501"/>
        <v>-0.126</v>
      </c>
      <c r="BB638" s="3">
        <f t="shared" si="516"/>
        <v>0.1045</v>
      </c>
      <c r="BC638" s="3">
        <f t="shared" si="516"/>
        <v>0.1075</v>
      </c>
      <c r="BD638" s="3">
        <f t="shared" si="502"/>
        <v>-3.0000000000000027E-3</v>
      </c>
      <c r="BE638" s="3">
        <f t="shared" si="517"/>
        <v>0.26500000000000001</v>
      </c>
      <c r="BF638" s="3">
        <f t="shared" si="517"/>
        <v>0.52300000000000002</v>
      </c>
      <c r="BG638" s="3">
        <f t="shared" si="503"/>
        <v>-0.25800000000000001</v>
      </c>
      <c r="BH638" s="3">
        <f t="shared" si="518"/>
        <v>-0.1045</v>
      </c>
      <c r="BI638" s="3">
        <f t="shared" si="518"/>
        <v>-0.1075</v>
      </c>
      <c r="BJ638" s="3">
        <f t="shared" si="465"/>
        <v>3.0000000000000027E-3</v>
      </c>
      <c r="BK638" s="3">
        <f t="shared" si="462"/>
        <v>2.0604245283018865E-2</v>
      </c>
      <c r="BL638" s="3">
        <f t="shared" si="463"/>
        <v>1.104804015296367E-2</v>
      </c>
      <c r="BM638" s="3">
        <f t="shared" si="504"/>
        <v>9.5562051300551957E-3</v>
      </c>
      <c r="BN638" s="3">
        <v>5.4870000000000001</v>
      </c>
      <c r="BO638" s="3">
        <v>6.0839999999999996</v>
      </c>
      <c r="BP638" s="3">
        <f t="shared" si="505"/>
        <v>-0.59699999999999953</v>
      </c>
      <c r="BQ638" s="3">
        <v>-347129.96399999998</v>
      </c>
      <c r="BR638" s="3">
        <v>-346087.64600000001</v>
      </c>
      <c r="BS638" s="3">
        <f t="shared" si="506"/>
        <v>-1042.3179999999702</v>
      </c>
      <c r="BT638" s="3">
        <v>-347152.04599999997</v>
      </c>
      <c r="BU638" s="3">
        <v>-346109.22600000002</v>
      </c>
      <c r="BV638" s="3">
        <f t="shared" si="507"/>
        <v>-1042.8199999999488</v>
      </c>
    </row>
    <row r="639" spans="1:74" x14ac:dyDescent="0.25">
      <c r="A639" t="s">
        <v>713</v>
      </c>
      <c r="B639" s="1" t="s">
        <v>646</v>
      </c>
      <c r="C639" s="1" t="s">
        <v>200</v>
      </c>
      <c r="D639" s="3">
        <v>27.57</v>
      </c>
      <c r="E639" s="3">
        <v>0.53</v>
      </c>
      <c r="F639" s="3">
        <v>-993.95799999999997</v>
      </c>
      <c r="G639" s="3">
        <v>-998.02700000000004</v>
      </c>
      <c r="H639" s="3">
        <f t="shared" si="499"/>
        <v>-4.0690000000000737</v>
      </c>
      <c r="I639" s="3">
        <v>-0.22500000000000001</v>
      </c>
      <c r="J639" s="6">
        <v>-0.151</v>
      </c>
      <c r="K639" s="3">
        <f t="shared" si="486"/>
        <v>7.400000000000001E-2</v>
      </c>
      <c r="L639" s="3">
        <v>0.14099999999999999</v>
      </c>
      <c r="M639" s="6">
        <v>2E-3</v>
      </c>
      <c r="N639" s="3">
        <f t="shared" si="487"/>
        <v>-0.13899999999999998</v>
      </c>
      <c r="O639" s="3">
        <f t="shared" si="478"/>
        <v>4.200000000000001E-2</v>
      </c>
      <c r="P639" s="3">
        <f t="shared" si="478"/>
        <v>7.4499999999999997E-2</v>
      </c>
      <c r="Q639" s="3">
        <f t="shared" si="488"/>
        <v>3.2499999999999987E-2</v>
      </c>
      <c r="R639" s="3">
        <f t="shared" si="489"/>
        <v>0.36599999999999999</v>
      </c>
      <c r="S639" s="3">
        <f t="shared" si="490"/>
        <v>0.153</v>
      </c>
      <c r="T639" s="3">
        <f t="shared" si="491"/>
        <v>-0.21299999999999999</v>
      </c>
      <c r="U639" s="3">
        <f t="shared" si="492"/>
        <v>-4.200000000000001E-2</v>
      </c>
      <c r="V639" s="3">
        <f t="shared" si="493"/>
        <v>-7.4499999999999997E-2</v>
      </c>
      <c r="W639" s="3">
        <f t="shared" si="464"/>
        <v>-3.2499999999999987E-2</v>
      </c>
      <c r="X639" s="3">
        <f t="shared" si="460"/>
        <v>2.4098360655737715E-3</v>
      </c>
      <c r="Y639" s="3">
        <f t="shared" si="461"/>
        <v>1.8138071895424837E-2</v>
      </c>
      <c r="Z639" s="3">
        <f t="shared" si="494"/>
        <v>1.5728235829851066E-2</v>
      </c>
      <c r="AA639" s="3">
        <v>7.0970000000000004</v>
      </c>
      <c r="AB639" s="3">
        <v>5.8970000000000002</v>
      </c>
      <c r="AC639" s="3">
        <f t="shared" si="495"/>
        <v>-1.2000000000000002</v>
      </c>
      <c r="AD639" s="3">
        <f>-993.757207*627.50956</f>
        <v>-623592.14771139889</v>
      </c>
      <c r="AE639" s="3">
        <f>-997.837983*627.50956</f>
        <v>-626152.87366361741</v>
      </c>
      <c r="AF639" s="3">
        <f t="shared" si="496"/>
        <v>-2560.7259522185195</v>
      </c>
      <c r="AG639" s="3">
        <f>-993.809525*627.50956</f>
        <v>-623624.97775655892</v>
      </c>
      <c r="AH639" s="3">
        <f>-997.891937*627.50956</f>
        <v>-626186.73031441763</v>
      </c>
      <c r="AI639" s="3">
        <f t="shared" si="497"/>
        <v>-2561.7525578587083</v>
      </c>
      <c r="AJ639" s="3">
        <v>-0.62</v>
      </c>
      <c r="AK639" s="3">
        <v>-0.51600000000000001</v>
      </c>
      <c r="AL639" s="3">
        <f t="shared" si="498"/>
        <v>0.10399999999999998</v>
      </c>
      <c r="AM639" s="3">
        <v>197.63800000000001</v>
      </c>
      <c r="AN639" s="3">
        <v>251.386</v>
      </c>
      <c r="AO639" s="3">
        <v>272.99590000000001</v>
      </c>
      <c r="AP639" s="3">
        <f t="shared" si="515"/>
        <v>1.2354531705561322</v>
      </c>
      <c r="AQ639" s="3">
        <v>13.074</v>
      </c>
      <c r="AR639" s="3">
        <v>3.2185999999999999</v>
      </c>
      <c r="AS639" s="3">
        <v>-553.27200000000005</v>
      </c>
      <c r="AT639" s="3">
        <v>-551.61699999999996</v>
      </c>
      <c r="AU639" s="3">
        <f t="shared" si="511"/>
        <v>-1.6550000000000864</v>
      </c>
      <c r="AV639" s="3">
        <v>-0.23699999999999999</v>
      </c>
      <c r="AW639" s="3">
        <v>-0.36899999999999999</v>
      </c>
      <c r="AX639" s="3">
        <f t="shared" si="500"/>
        <v>0.13200000000000001</v>
      </c>
      <c r="AY639" s="3">
        <v>2.8000000000000001E-2</v>
      </c>
      <c r="AZ639" s="3">
        <v>0.154</v>
      </c>
      <c r="BA639" s="3">
        <f t="shared" si="501"/>
        <v>-0.126</v>
      </c>
      <c r="BB639" s="3">
        <f t="shared" si="516"/>
        <v>0.1045</v>
      </c>
      <c r="BC639" s="3">
        <f t="shared" si="516"/>
        <v>0.1075</v>
      </c>
      <c r="BD639" s="3">
        <f t="shared" si="502"/>
        <v>-3.0000000000000027E-3</v>
      </c>
      <c r="BE639" s="3">
        <f t="shared" si="517"/>
        <v>0.26500000000000001</v>
      </c>
      <c r="BF639" s="3">
        <f t="shared" si="517"/>
        <v>0.52300000000000002</v>
      </c>
      <c r="BG639" s="3">
        <f t="shared" si="503"/>
        <v>-0.25800000000000001</v>
      </c>
      <c r="BH639" s="3">
        <f t="shared" si="518"/>
        <v>-0.1045</v>
      </c>
      <c r="BI639" s="3">
        <f t="shared" si="518"/>
        <v>-0.1075</v>
      </c>
      <c r="BJ639" s="3">
        <f t="shared" si="465"/>
        <v>3.0000000000000027E-3</v>
      </c>
      <c r="BK639" s="3">
        <f t="shared" si="462"/>
        <v>2.0604245283018865E-2</v>
      </c>
      <c r="BL639" s="3">
        <f t="shared" si="463"/>
        <v>1.104804015296367E-2</v>
      </c>
      <c r="BM639" s="3">
        <f t="shared" si="504"/>
        <v>9.5562051300551957E-3</v>
      </c>
      <c r="BN639" s="3">
        <v>5.4870000000000001</v>
      </c>
      <c r="BO639" s="3">
        <v>6.0839999999999996</v>
      </c>
      <c r="BP639" s="3">
        <f t="shared" si="505"/>
        <v>-0.59699999999999953</v>
      </c>
      <c r="BQ639" s="3">
        <v>-347129.96399999998</v>
      </c>
      <c r="BR639" s="3">
        <v>-346087.64600000001</v>
      </c>
      <c r="BS639" s="3">
        <f t="shared" si="506"/>
        <v>-1042.3179999999702</v>
      </c>
      <c r="BT639" s="3">
        <v>-347152.04599999997</v>
      </c>
      <c r="BU639" s="3">
        <v>-346109.22600000002</v>
      </c>
      <c r="BV639" s="3">
        <f t="shared" si="507"/>
        <v>-1042.8199999999488</v>
      </c>
    </row>
    <row r="640" spans="1:74" x14ac:dyDescent="0.25">
      <c r="A640" t="s">
        <v>714</v>
      </c>
      <c r="B640" s="1" t="s">
        <v>646</v>
      </c>
      <c r="C640" s="1" t="s">
        <v>200</v>
      </c>
      <c r="D640" s="3">
        <v>27.62</v>
      </c>
      <c r="E640" s="3">
        <v>0.53</v>
      </c>
      <c r="F640" s="3">
        <v>-3106.819</v>
      </c>
      <c r="G640" s="3">
        <v>-3111.9459999999999</v>
      </c>
      <c r="H640" s="3">
        <f t="shared" si="499"/>
        <v>-5.1269999999999527</v>
      </c>
      <c r="I640" s="3">
        <v>-0.222</v>
      </c>
      <c r="J640" s="6">
        <v>-0.14899999999999999</v>
      </c>
      <c r="K640" s="3">
        <f t="shared" si="486"/>
        <v>7.3000000000000009E-2</v>
      </c>
      <c r="L640" s="3">
        <v>0.14099999999999999</v>
      </c>
      <c r="M640" s="6">
        <v>1E-3</v>
      </c>
      <c r="N640" s="3">
        <f t="shared" si="487"/>
        <v>-0.13999999999999999</v>
      </c>
      <c r="O640" s="3">
        <f t="shared" si="478"/>
        <v>4.0500000000000008E-2</v>
      </c>
      <c r="P640" s="3">
        <f t="shared" si="478"/>
        <v>7.3999999999999996E-2</v>
      </c>
      <c r="Q640" s="3">
        <f t="shared" si="488"/>
        <v>3.3499999999999988E-2</v>
      </c>
      <c r="R640" s="3">
        <f t="shared" si="489"/>
        <v>0.36299999999999999</v>
      </c>
      <c r="S640" s="3">
        <f t="shared" si="490"/>
        <v>0.15</v>
      </c>
      <c r="T640" s="3">
        <f t="shared" si="491"/>
        <v>-0.21299999999999999</v>
      </c>
      <c r="U640" s="3">
        <f t="shared" si="492"/>
        <v>-4.0500000000000008E-2</v>
      </c>
      <c r="V640" s="3">
        <f t="shared" si="493"/>
        <v>-7.3999999999999996E-2</v>
      </c>
      <c r="W640" s="3">
        <f t="shared" si="464"/>
        <v>-3.3499999999999988E-2</v>
      </c>
      <c r="X640" s="3">
        <f t="shared" si="460"/>
        <v>2.2592975206611578E-3</v>
      </c>
      <c r="Y640" s="3">
        <f t="shared" si="461"/>
        <v>1.825333333333333E-2</v>
      </c>
      <c r="Z640" s="3">
        <f t="shared" si="494"/>
        <v>1.5994035812672173E-2</v>
      </c>
      <c r="AA640" s="3">
        <v>9.0609999999999999</v>
      </c>
      <c r="AB640" s="3">
        <v>8.0299999999999994</v>
      </c>
      <c r="AC640" s="3">
        <f t="shared" si="495"/>
        <v>-1.0310000000000006</v>
      </c>
      <c r="AD640" s="3">
        <f>-3106.618508*627.50956</f>
        <v>-1949432.8130429364</v>
      </c>
      <c r="AE640" s="3">
        <f>-3111.757837*627.50956</f>
        <v>-1952657.7911224216</v>
      </c>
      <c r="AF640" s="3">
        <f t="shared" si="496"/>
        <v>-3224.9780794852413</v>
      </c>
      <c r="AG640" s="3">
        <f>-3106.672485*627.50956</f>
        <v>-1949466.6841264565</v>
      </c>
      <c r="AH640" s="3">
        <f>-3111.813569*627.50956</f>
        <v>-1952692.7634852196</v>
      </c>
      <c r="AI640" s="3">
        <f t="shared" si="497"/>
        <v>-3226.0793587630615</v>
      </c>
      <c r="AJ640" s="3">
        <v>-0.621</v>
      </c>
      <c r="AK640" s="3">
        <v>-0.51800000000000002</v>
      </c>
      <c r="AL640" s="3">
        <f t="shared" si="498"/>
        <v>0.10299999999999998</v>
      </c>
      <c r="AM640" s="3">
        <v>242.089</v>
      </c>
      <c r="AN640" s="3">
        <v>257.12900000000002</v>
      </c>
      <c r="AO640" s="3">
        <v>280.3433</v>
      </c>
      <c r="AP640" s="3">
        <f t="shared" si="515"/>
        <v>1.2415004759156123</v>
      </c>
      <c r="AQ640" s="3">
        <v>12.531000000000001</v>
      </c>
      <c r="AR640" s="3">
        <v>3.4460000000000002</v>
      </c>
      <c r="AS640" s="3">
        <v>-553.27200000000005</v>
      </c>
      <c r="AT640" s="3">
        <v>-551.61699999999996</v>
      </c>
      <c r="AU640" s="3">
        <f t="shared" si="511"/>
        <v>-1.6550000000000864</v>
      </c>
      <c r="AV640" s="3">
        <v>-0.23699999999999999</v>
      </c>
      <c r="AW640" s="3">
        <v>-0.36899999999999999</v>
      </c>
      <c r="AX640" s="3">
        <f t="shared" si="500"/>
        <v>0.13200000000000001</v>
      </c>
      <c r="AY640" s="3">
        <v>2.8000000000000001E-2</v>
      </c>
      <c r="AZ640" s="3">
        <v>0.154</v>
      </c>
      <c r="BA640" s="3">
        <f t="shared" si="501"/>
        <v>-0.126</v>
      </c>
      <c r="BB640" s="3">
        <f t="shared" si="516"/>
        <v>0.1045</v>
      </c>
      <c r="BC640" s="3">
        <f t="shared" si="516"/>
        <v>0.1075</v>
      </c>
      <c r="BD640" s="3">
        <f t="shared" si="502"/>
        <v>-3.0000000000000027E-3</v>
      </c>
      <c r="BE640" s="3">
        <f t="shared" si="517"/>
        <v>0.26500000000000001</v>
      </c>
      <c r="BF640" s="3">
        <f t="shared" si="517"/>
        <v>0.52300000000000002</v>
      </c>
      <c r="BG640" s="3">
        <f t="shared" si="503"/>
        <v>-0.25800000000000001</v>
      </c>
      <c r="BH640" s="3">
        <f t="shared" si="518"/>
        <v>-0.1045</v>
      </c>
      <c r="BI640" s="3">
        <f t="shared" si="518"/>
        <v>-0.1075</v>
      </c>
      <c r="BJ640" s="3">
        <f t="shared" si="465"/>
        <v>3.0000000000000027E-3</v>
      </c>
      <c r="BK640" s="3">
        <f t="shared" si="462"/>
        <v>2.0604245283018865E-2</v>
      </c>
      <c r="BL640" s="3">
        <f t="shared" si="463"/>
        <v>1.104804015296367E-2</v>
      </c>
      <c r="BM640" s="3">
        <f t="shared" si="504"/>
        <v>9.5562051300551957E-3</v>
      </c>
      <c r="BN640" s="3">
        <v>5.4870000000000001</v>
      </c>
      <c r="BO640" s="3">
        <v>6.0839999999999996</v>
      </c>
      <c r="BP640" s="3">
        <f t="shared" si="505"/>
        <v>-0.59699999999999953</v>
      </c>
      <c r="BQ640" s="3">
        <v>-347129.96399999998</v>
      </c>
      <c r="BR640" s="3">
        <v>-346087.64600000001</v>
      </c>
      <c r="BS640" s="3">
        <f t="shared" si="506"/>
        <v>-1042.3179999999702</v>
      </c>
      <c r="BT640" s="3">
        <v>-347152.04599999997</v>
      </c>
      <c r="BU640" s="3">
        <v>-346109.22600000002</v>
      </c>
      <c r="BV640" s="3">
        <f t="shared" si="507"/>
        <v>-1042.8199999999488</v>
      </c>
    </row>
    <row r="641" spans="1:74" x14ac:dyDescent="0.25">
      <c r="A641" t="s">
        <v>715</v>
      </c>
      <c r="B641" s="1" t="s">
        <v>646</v>
      </c>
      <c r="C641" s="1" t="s">
        <v>200</v>
      </c>
      <c r="D641" s="3">
        <v>27.77</v>
      </c>
      <c r="E641" s="3">
        <v>0.47</v>
      </c>
      <c r="F641" s="3">
        <v>-935.601</v>
      </c>
      <c r="G641" s="3">
        <v>-941.62</v>
      </c>
      <c r="H641" s="3">
        <f t="shared" si="499"/>
        <v>-6.0190000000000055</v>
      </c>
      <c r="I641" s="3">
        <v>-0.219</v>
      </c>
      <c r="J641" s="6">
        <v>-0.14599999999999999</v>
      </c>
      <c r="K641" s="3">
        <f t="shared" si="486"/>
        <v>7.3000000000000009E-2</v>
      </c>
      <c r="L641" s="3">
        <v>0.113</v>
      </c>
      <c r="M641" s="6">
        <v>-2.7E-2</v>
      </c>
      <c r="N641" s="3">
        <f t="shared" si="487"/>
        <v>-0.14000000000000001</v>
      </c>
      <c r="O641" s="3">
        <f t="shared" si="478"/>
        <v>5.2999999999999999E-2</v>
      </c>
      <c r="P641" s="3">
        <f t="shared" si="478"/>
        <v>8.6499999999999994E-2</v>
      </c>
      <c r="Q641" s="3">
        <f t="shared" si="488"/>
        <v>3.3499999999999995E-2</v>
      </c>
      <c r="R641" s="3">
        <f t="shared" si="489"/>
        <v>0.33200000000000002</v>
      </c>
      <c r="S641" s="3">
        <f t="shared" si="490"/>
        <v>0.11899999999999999</v>
      </c>
      <c r="T641" s="3">
        <f t="shared" si="491"/>
        <v>-0.21300000000000002</v>
      </c>
      <c r="U641" s="3">
        <f t="shared" si="492"/>
        <v>-5.2999999999999999E-2</v>
      </c>
      <c r="V641" s="3">
        <f t="shared" si="493"/>
        <v>-8.6499999999999994E-2</v>
      </c>
      <c r="W641" s="3">
        <f t="shared" si="464"/>
        <v>-3.3499999999999995E-2</v>
      </c>
      <c r="X641" s="3">
        <f t="shared" si="460"/>
        <v>4.2304216867469872E-3</v>
      </c>
      <c r="Y641" s="3">
        <f t="shared" si="461"/>
        <v>3.1438025210084035E-2</v>
      </c>
      <c r="Z641" s="3">
        <f t="shared" si="494"/>
        <v>2.7207603523337048E-2</v>
      </c>
      <c r="AA641" s="3">
        <v>3.992</v>
      </c>
      <c r="AB641" s="3">
        <v>3.8180000000000001</v>
      </c>
      <c r="AC641" s="3">
        <f t="shared" si="495"/>
        <v>-0.17399999999999993</v>
      </c>
      <c r="AD641" s="3">
        <f>-935.216192*627.50956</f>
        <v>-586857.10114679544</v>
      </c>
      <c r="AE641" s="3">
        <f>-941.257204*627.50956</f>
        <v>-590647.89392887021</v>
      </c>
      <c r="AF641" s="3">
        <f t="shared" si="496"/>
        <v>-3790.7927820747718</v>
      </c>
      <c r="AG641" s="3">
        <f>-935.286693*627.50956</f>
        <v>-586901.34119828511</v>
      </c>
      <c r="AH641" s="3">
        <f>-941.329717*627.50956</f>
        <v>-590693.39652959444</v>
      </c>
      <c r="AI641" s="3">
        <f t="shared" si="497"/>
        <v>-3792.055331309326</v>
      </c>
      <c r="AJ641" s="3">
        <v>-0.39700000000000002</v>
      </c>
      <c r="AK641" s="3">
        <v>-0.248</v>
      </c>
      <c r="AL641" s="3">
        <f t="shared" si="498"/>
        <v>0.14900000000000002</v>
      </c>
      <c r="AM641" s="3">
        <v>294.36759999999998</v>
      </c>
      <c r="AN641" s="3">
        <v>380.82400000000001</v>
      </c>
      <c r="AO641" s="3">
        <v>451.41789999999997</v>
      </c>
      <c r="AP641" s="3">
        <f t="shared" si="515"/>
        <v>1.3384261400837882</v>
      </c>
      <c r="AQ641" s="3">
        <v>15.394</v>
      </c>
      <c r="AR641" s="3">
        <v>3.72</v>
      </c>
      <c r="AS641" s="3">
        <v>-553.27200000000005</v>
      </c>
      <c r="AT641" s="3">
        <v>-551.61699999999996</v>
      </c>
      <c r="AU641" s="3">
        <f t="shared" si="511"/>
        <v>-1.6550000000000864</v>
      </c>
      <c r="AV641" s="3">
        <v>-0.23699999999999999</v>
      </c>
      <c r="AW641" s="3">
        <v>-0.36899999999999999</v>
      </c>
      <c r="AX641" s="3">
        <f t="shared" si="500"/>
        <v>0.13200000000000001</v>
      </c>
      <c r="AY641" s="3">
        <v>2.8000000000000001E-2</v>
      </c>
      <c r="AZ641" s="3">
        <v>0.154</v>
      </c>
      <c r="BA641" s="3">
        <f t="shared" si="501"/>
        <v>-0.126</v>
      </c>
      <c r="BB641" s="3">
        <f t="shared" si="516"/>
        <v>0.1045</v>
      </c>
      <c r="BC641" s="3">
        <f t="shared" si="516"/>
        <v>0.1075</v>
      </c>
      <c r="BD641" s="3">
        <f t="shared" si="502"/>
        <v>-3.0000000000000027E-3</v>
      </c>
      <c r="BE641" s="3">
        <f t="shared" si="517"/>
        <v>0.26500000000000001</v>
      </c>
      <c r="BF641" s="3">
        <f t="shared" si="517"/>
        <v>0.52300000000000002</v>
      </c>
      <c r="BG641" s="3">
        <f t="shared" si="503"/>
        <v>-0.25800000000000001</v>
      </c>
      <c r="BH641" s="3">
        <f t="shared" si="518"/>
        <v>-0.1045</v>
      </c>
      <c r="BI641" s="3">
        <f t="shared" si="518"/>
        <v>-0.1075</v>
      </c>
      <c r="BJ641" s="3">
        <f t="shared" si="465"/>
        <v>3.0000000000000027E-3</v>
      </c>
      <c r="BK641" s="3">
        <f t="shared" si="462"/>
        <v>2.0604245283018865E-2</v>
      </c>
      <c r="BL641" s="3">
        <f t="shared" si="463"/>
        <v>1.104804015296367E-2</v>
      </c>
      <c r="BM641" s="3">
        <f t="shared" si="504"/>
        <v>9.5562051300551957E-3</v>
      </c>
      <c r="BN641" s="3">
        <v>5.4870000000000001</v>
      </c>
      <c r="BO641" s="3">
        <v>6.0839999999999996</v>
      </c>
      <c r="BP641" s="3">
        <f t="shared" si="505"/>
        <v>-0.59699999999999953</v>
      </c>
      <c r="BQ641" s="3">
        <v>-347129.96399999998</v>
      </c>
      <c r="BR641" s="3">
        <v>-346087.64600000001</v>
      </c>
      <c r="BS641" s="3">
        <f t="shared" si="506"/>
        <v>-1042.3179999999702</v>
      </c>
      <c r="BT641" s="3">
        <v>-347152.04599999997</v>
      </c>
      <c r="BU641" s="3">
        <v>-346109.22600000002</v>
      </c>
      <c r="BV641" s="3">
        <f t="shared" si="507"/>
        <v>-1042.8199999999488</v>
      </c>
    </row>
    <row r="642" spans="1:74" x14ac:dyDescent="0.25">
      <c r="A642" t="s">
        <v>716</v>
      </c>
      <c r="B642" s="1" t="s">
        <v>646</v>
      </c>
      <c r="C642" s="1" t="s">
        <v>200</v>
      </c>
      <c r="D642" s="3">
        <v>28.27</v>
      </c>
      <c r="E642" s="3">
        <v>0.42</v>
      </c>
      <c r="F642" s="3">
        <v>-1275.4280000000001</v>
      </c>
      <c r="G642" s="3">
        <v>-1279.386</v>
      </c>
      <c r="H642" s="3">
        <f t="shared" si="499"/>
        <v>-3.9579999999998563</v>
      </c>
      <c r="I642" s="3">
        <v>-0.308</v>
      </c>
      <c r="J642" s="6">
        <v>-0.19</v>
      </c>
      <c r="K642" s="3">
        <f t="shared" si="486"/>
        <v>0.11799999999999999</v>
      </c>
      <c r="L642" s="3">
        <v>9.9000000000000005E-2</v>
      </c>
      <c r="M642" s="6">
        <v>-3.9E-2</v>
      </c>
      <c r="N642" s="3">
        <f t="shared" si="487"/>
        <v>-0.13800000000000001</v>
      </c>
      <c r="O642" s="3">
        <f t="shared" si="478"/>
        <v>0.1045</v>
      </c>
      <c r="P642" s="3">
        <f t="shared" si="478"/>
        <v>0.1145</v>
      </c>
      <c r="Q642" s="3">
        <f t="shared" si="488"/>
        <v>1.0000000000000009E-2</v>
      </c>
      <c r="R642" s="3">
        <f t="shared" si="489"/>
        <v>0.40700000000000003</v>
      </c>
      <c r="S642" s="3">
        <f t="shared" si="490"/>
        <v>0.151</v>
      </c>
      <c r="T642" s="3">
        <f t="shared" si="491"/>
        <v>-0.25600000000000001</v>
      </c>
      <c r="U642" s="3">
        <f t="shared" si="492"/>
        <v>-0.1045</v>
      </c>
      <c r="V642" s="3">
        <f t="shared" si="493"/>
        <v>-0.1145</v>
      </c>
      <c r="W642" s="3">
        <f t="shared" si="464"/>
        <v>-1.0000000000000009E-2</v>
      </c>
      <c r="X642" s="3">
        <f t="shared" ref="X642:X705" si="519">(U642*U642)/(2*R642)</f>
        <v>1.341554054054054E-2</v>
      </c>
      <c r="Y642" s="3">
        <f t="shared" ref="Y642:Y705" si="520">(V642*V642)/(2*S642)</f>
        <v>4.3411423841059608E-2</v>
      </c>
      <c r="Z642" s="3">
        <f t="shared" si="494"/>
        <v>2.9995883300519069E-2</v>
      </c>
      <c r="AA642" s="3">
        <v>13.276999999999999</v>
      </c>
      <c r="AB642" s="3">
        <v>12.398</v>
      </c>
      <c r="AC642" s="3">
        <f t="shared" si="495"/>
        <v>-0.87899999999999956</v>
      </c>
      <c r="AD642" s="3">
        <f>-1275.293823*627.50956</f>
        <v>-800259.06574144785</v>
      </c>
      <c r="AE642" s="3">
        <f>-1279.259681*627.50956</f>
        <v>-802747.67955005029</v>
      </c>
      <c r="AF642" s="3">
        <f t="shared" si="496"/>
        <v>-2488.6138086024439</v>
      </c>
      <c r="AG642" s="3">
        <f>-1275.340927*627.50956</f>
        <v>-800288.6239517621</v>
      </c>
      <c r="AH642" s="3">
        <f>-1279.308725*627.50956</f>
        <v>-802778.45512891107</v>
      </c>
      <c r="AI642" s="3">
        <f t="shared" si="497"/>
        <v>-2489.831177148968</v>
      </c>
      <c r="AJ642" s="3">
        <v>-0.81799999999999995</v>
      </c>
      <c r="AK642" s="3">
        <v>-0.81799999999999995</v>
      </c>
      <c r="AL642" s="3">
        <f t="shared" si="498"/>
        <v>0</v>
      </c>
      <c r="AM642" s="3">
        <v>189.63900000000001</v>
      </c>
      <c r="AN642" s="3">
        <v>210.96180000000001</v>
      </c>
      <c r="AO642" s="3">
        <v>226.33860000000001</v>
      </c>
      <c r="AP642" s="3">
        <f t="shared" si="515"/>
        <v>1.1747731786919575</v>
      </c>
      <c r="AQ642" s="3">
        <v>11.016</v>
      </c>
      <c r="AR642" s="3">
        <v>2.5543999999999998</v>
      </c>
      <c r="AS642" s="3">
        <v>-553.27200000000005</v>
      </c>
      <c r="AT642" s="3">
        <v>-551.61699999999996</v>
      </c>
      <c r="AU642" s="3">
        <f t="shared" si="511"/>
        <v>-1.6550000000000864</v>
      </c>
      <c r="AV642" s="3">
        <v>-0.23699999999999999</v>
      </c>
      <c r="AW642" s="3">
        <v>-0.36899999999999999</v>
      </c>
      <c r="AX642" s="3">
        <f t="shared" si="500"/>
        <v>0.13200000000000001</v>
      </c>
      <c r="AY642" s="3">
        <v>2.8000000000000001E-2</v>
      </c>
      <c r="AZ642" s="3">
        <v>0.154</v>
      </c>
      <c r="BA642" s="3">
        <f t="shared" si="501"/>
        <v>-0.126</v>
      </c>
      <c r="BB642" s="3">
        <f t="shared" si="516"/>
        <v>0.1045</v>
      </c>
      <c r="BC642" s="3">
        <f t="shared" si="516"/>
        <v>0.1075</v>
      </c>
      <c r="BD642" s="3">
        <f t="shared" si="502"/>
        <v>-3.0000000000000027E-3</v>
      </c>
      <c r="BE642" s="3">
        <f t="shared" si="517"/>
        <v>0.26500000000000001</v>
      </c>
      <c r="BF642" s="3">
        <f t="shared" si="517"/>
        <v>0.52300000000000002</v>
      </c>
      <c r="BG642" s="3">
        <f t="shared" si="503"/>
        <v>-0.25800000000000001</v>
      </c>
      <c r="BH642" s="3">
        <f t="shared" si="518"/>
        <v>-0.1045</v>
      </c>
      <c r="BI642" s="3">
        <f t="shared" si="518"/>
        <v>-0.1075</v>
      </c>
      <c r="BJ642" s="3">
        <f t="shared" si="465"/>
        <v>3.0000000000000027E-3</v>
      </c>
      <c r="BK642" s="3">
        <f t="shared" ref="BK642:BK705" si="521">(BH642*BH642)/(2*BE642)</f>
        <v>2.0604245283018865E-2</v>
      </c>
      <c r="BL642" s="3">
        <f t="shared" ref="BL642:BL705" si="522">(BI642*BI642)/(2*BF642)</f>
        <v>1.104804015296367E-2</v>
      </c>
      <c r="BM642" s="3">
        <f t="shared" si="504"/>
        <v>9.5562051300551957E-3</v>
      </c>
      <c r="BN642" s="3">
        <v>5.4870000000000001</v>
      </c>
      <c r="BO642" s="3">
        <v>6.0839999999999996</v>
      </c>
      <c r="BP642" s="3">
        <f t="shared" si="505"/>
        <v>-0.59699999999999953</v>
      </c>
      <c r="BQ642" s="3">
        <v>-347129.96399999998</v>
      </c>
      <c r="BR642" s="3">
        <v>-346087.64600000001</v>
      </c>
      <c r="BS642" s="3">
        <f t="shared" si="506"/>
        <v>-1042.3179999999702</v>
      </c>
      <c r="BT642" s="3">
        <v>-347152.04599999997</v>
      </c>
      <c r="BU642" s="3">
        <v>-346109.22600000002</v>
      </c>
      <c r="BV642" s="3">
        <f t="shared" si="507"/>
        <v>-1042.8199999999488</v>
      </c>
    </row>
    <row r="643" spans="1:74" x14ac:dyDescent="0.25">
      <c r="A643" t="s">
        <v>717</v>
      </c>
      <c r="B643" s="1" t="s">
        <v>646</v>
      </c>
      <c r="C643" s="1" t="s">
        <v>200</v>
      </c>
      <c r="D643" s="3">
        <v>28.95</v>
      </c>
      <c r="E643" s="3">
        <v>0.57999999999999996</v>
      </c>
      <c r="F643" s="3">
        <v>-400.07900000000001</v>
      </c>
      <c r="G643" s="3">
        <v>-402.72399999999999</v>
      </c>
      <c r="H643" s="3">
        <f t="shared" si="499"/>
        <v>-2.6449999999999818</v>
      </c>
      <c r="I643" s="3">
        <v>-0.20699999999999999</v>
      </c>
      <c r="J643" s="6">
        <v>-0.13700000000000001</v>
      </c>
      <c r="K643" s="3">
        <f t="shared" si="486"/>
        <v>6.9999999999999979E-2</v>
      </c>
      <c r="L643" s="3">
        <v>0.14899999999999999</v>
      </c>
      <c r="M643" s="6">
        <v>0.01</v>
      </c>
      <c r="N643" s="3">
        <f t="shared" si="487"/>
        <v>-0.13899999999999998</v>
      </c>
      <c r="O643" s="3">
        <f t="shared" si="478"/>
        <v>2.8999999999999998E-2</v>
      </c>
      <c r="P643" s="3">
        <f t="shared" si="478"/>
        <v>6.3500000000000001E-2</v>
      </c>
      <c r="Q643" s="3">
        <f t="shared" si="488"/>
        <v>3.4500000000000003E-2</v>
      </c>
      <c r="R643" s="3">
        <f t="shared" si="489"/>
        <v>0.35599999999999998</v>
      </c>
      <c r="S643" s="3">
        <f t="shared" si="490"/>
        <v>0.14700000000000002</v>
      </c>
      <c r="T643" s="3">
        <f t="shared" si="491"/>
        <v>-0.20899999999999996</v>
      </c>
      <c r="U643" s="3">
        <f t="shared" si="492"/>
        <v>-2.8999999999999998E-2</v>
      </c>
      <c r="V643" s="3">
        <f t="shared" si="493"/>
        <v>-6.3500000000000001E-2</v>
      </c>
      <c r="W643" s="3">
        <f t="shared" ref="W643:W706" si="523">(V643-U643)</f>
        <v>-3.4500000000000003E-2</v>
      </c>
      <c r="X643" s="3">
        <f t="shared" si="519"/>
        <v>1.1811797752808988E-3</v>
      </c>
      <c r="Y643" s="3">
        <f t="shared" si="520"/>
        <v>1.3715136054421768E-2</v>
      </c>
      <c r="Z643" s="3">
        <f t="shared" si="494"/>
        <v>1.2533956279140869E-2</v>
      </c>
      <c r="AA643" s="3">
        <v>8.3190000000000008</v>
      </c>
      <c r="AB643" s="3">
        <v>7.5880000000000001</v>
      </c>
      <c r="AC643" s="3">
        <f t="shared" si="495"/>
        <v>-0.73100000000000076</v>
      </c>
      <c r="AD643" s="3">
        <f>-399.919684*627.50956</f>
        <v>-250953.42494217903</v>
      </c>
      <c r="AE643" s="3">
        <f>-402.573587*627.50956</f>
        <v>-252618.7744459917</v>
      </c>
      <c r="AF643" s="3">
        <f t="shared" si="496"/>
        <v>-1665.3495038126712</v>
      </c>
      <c r="AG643" s="3">
        <f>-399.96269*627.50956</f>
        <v>-250980.4116183164</v>
      </c>
      <c r="AH643" s="3">
        <f>-402.617482*627.50956</f>
        <v>-252646.31897812791</v>
      </c>
      <c r="AI643" s="3">
        <f t="shared" si="497"/>
        <v>-1665.9073598115065</v>
      </c>
      <c r="AJ643" s="3">
        <v>-0.47</v>
      </c>
      <c r="AK643" s="3">
        <v>-0.56399999999999995</v>
      </c>
      <c r="AL643" s="3">
        <f t="shared" si="498"/>
        <v>-9.3999999999999972E-2</v>
      </c>
      <c r="AM643" s="3">
        <v>130.16650000000001</v>
      </c>
      <c r="AN643" s="3">
        <v>196.90950000000001</v>
      </c>
      <c r="AO643" s="3">
        <v>209.28299999999999</v>
      </c>
      <c r="AP643" s="3">
        <f t="shared" si="515"/>
        <v>1.1553138640738594</v>
      </c>
      <c r="AQ643" s="3">
        <v>9.7289999999999992</v>
      </c>
      <c r="AR643" s="3">
        <v>2.347</v>
      </c>
      <c r="AS643" s="3">
        <v>-553.27200000000005</v>
      </c>
      <c r="AT643" s="3">
        <v>-551.61699999999996</v>
      </c>
      <c r="AU643" s="3">
        <f t="shared" si="511"/>
        <v>-1.6550000000000864</v>
      </c>
      <c r="AV643" s="3">
        <v>-0.23699999999999999</v>
      </c>
      <c r="AW643" s="3">
        <v>-0.36899999999999999</v>
      </c>
      <c r="AX643" s="3">
        <f t="shared" si="500"/>
        <v>0.13200000000000001</v>
      </c>
      <c r="AY643" s="3">
        <v>2.8000000000000001E-2</v>
      </c>
      <c r="AZ643" s="3">
        <v>0.154</v>
      </c>
      <c r="BA643" s="3">
        <f t="shared" si="501"/>
        <v>-0.126</v>
      </c>
      <c r="BB643" s="3">
        <f t="shared" si="516"/>
        <v>0.1045</v>
      </c>
      <c r="BC643" s="3">
        <f t="shared" si="516"/>
        <v>0.1075</v>
      </c>
      <c r="BD643" s="3">
        <f t="shared" si="502"/>
        <v>-3.0000000000000027E-3</v>
      </c>
      <c r="BE643" s="3">
        <f t="shared" si="517"/>
        <v>0.26500000000000001</v>
      </c>
      <c r="BF643" s="3">
        <f t="shared" si="517"/>
        <v>0.52300000000000002</v>
      </c>
      <c r="BG643" s="3">
        <f t="shared" si="503"/>
        <v>-0.25800000000000001</v>
      </c>
      <c r="BH643" s="3">
        <f t="shared" si="518"/>
        <v>-0.1045</v>
      </c>
      <c r="BI643" s="3">
        <f t="shared" si="518"/>
        <v>-0.1075</v>
      </c>
      <c r="BJ643" s="3">
        <f t="shared" ref="BJ643:BJ706" si="524">(BH643-BI643)</f>
        <v>3.0000000000000027E-3</v>
      </c>
      <c r="BK643" s="3">
        <f t="shared" si="521"/>
        <v>2.0604245283018865E-2</v>
      </c>
      <c r="BL643" s="3">
        <f t="shared" si="522"/>
        <v>1.104804015296367E-2</v>
      </c>
      <c r="BM643" s="3">
        <f t="shared" si="504"/>
        <v>9.5562051300551957E-3</v>
      </c>
      <c r="BN643" s="3">
        <v>5.4870000000000001</v>
      </c>
      <c r="BO643" s="3">
        <v>6.0839999999999996</v>
      </c>
      <c r="BP643" s="3">
        <f t="shared" si="505"/>
        <v>-0.59699999999999953</v>
      </c>
      <c r="BQ643" s="3">
        <v>-347129.96399999998</v>
      </c>
      <c r="BR643" s="3">
        <v>-346087.64600000001</v>
      </c>
      <c r="BS643" s="3">
        <f t="shared" si="506"/>
        <v>-1042.3179999999702</v>
      </c>
      <c r="BT643" s="3">
        <v>-347152.04599999997</v>
      </c>
      <c r="BU643" s="3">
        <v>-346109.22600000002</v>
      </c>
      <c r="BV643" s="3">
        <f t="shared" si="507"/>
        <v>-1042.8199999999488</v>
      </c>
    </row>
    <row r="644" spans="1:74" x14ac:dyDescent="0.25">
      <c r="A644" t="s">
        <v>718</v>
      </c>
      <c r="B644" s="1" t="s">
        <v>646</v>
      </c>
      <c r="C644" s="1" t="s">
        <v>200</v>
      </c>
      <c r="D644" s="3">
        <v>29.02</v>
      </c>
      <c r="E644" s="3">
        <v>0.49</v>
      </c>
      <c r="F644" s="3">
        <v>-1086.8520000000001</v>
      </c>
      <c r="G644" s="3">
        <v>-1091.4939999999999</v>
      </c>
      <c r="H644" s="3">
        <f t="shared" si="499"/>
        <v>-4.6419999999998254</v>
      </c>
      <c r="I644" s="3">
        <v>-0.221</v>
      </c>
      <c r="J644" s="6">
        <v>-0.152</v>
      </c>
      <c r="K644" s="3">
        <f t="shared" si="486"/>
        <v>6.9000000000000006E-2</v>
      </c>
      <c r="L644" s="3">
        <v>0.10100000000000001</v>
      </c>
      <c r="M644" s="6">
        <v>-3.3000000000000002E-2</v>
      </c>
      <c r="N644" s="3">
        <f t="shared" si="487"/>
        <v>-0.13400000000000001</v>
      </c>
      <c r="O644" s="3">
        <f t="shared" si="478"/>
        <v>0.06</v>
      </c>
      <c r="P644" s="3">
        <f t="shared" si="478"/>
        <v>9.2499999999999999E-2</v>
      </c>
      <c r="Q644" s="3">
        <f t="shared" si="488"/>
        <v>3.2500000000000001E-2</v>
      </c>
      <c r="R644" s="3">
        <f t="shared" si="489"/>
        <v>0.32200000000000001</v>
      </c>
      <c r="S644" s="3">
        <f t="shared" si="490"/>
        <v>0.11899999999999999</v>
      </c>
      <c r="T644" s="3">
        <f t="shared" si="491"/>
        <v>-0.20300000000000001</v>
      </c>
      <c r="U644" s="3">
        <f t="shared" si="492"/>
        <v>-0.06</v>
      </c>
      <c r="V644" s="3">
        <f t="shared" si="493"/>
        <v>-9.2499999999999999E-2</v>
      </c>
      <c r="W644" s="3">
        <f t="shared" si="523"/>
        <v>-3.2500000000000001E-2</v>
      </c>
      <c r="X644" s="3">
        <f t="shared" si="519"/>
        <v>5.5900621118012417E-3</v>
      </c>
      <c r="Y644" s="3">
        <f t="shared" si="520"/>
        <v>3.5950630252100838E-2</v>
      </c>
      <c r="Z644" s="3">
        <f t="shared" si="494"/>
        <v>3.0360568140299596E-2</v>
      </c>
      <c r="AA644" s="3">
        <v>14.622</v>
      </c>
      <c r="AB644" s="3">
        <v>11.086</v>
      </c>
      <c r="AC644" s="3">
        <f t="shared" si="495"/>
        <v>-3.5359999999999996</v>
      </c>
      <c r="AD644" s="3">
        <f>-1086.628008*627.50956</f>
        <v>-681869.46318375634</v>
      </c>
      <c r="AE644" s="3">
        <f>-1091.281708*627.50956</f>
        <v>-684789.70442312839</v>
      </c>
      <c r="AF644" s="3">
        <f t="shared" si="496"/>
        <v>-2920.2412393720588</v>
      </c>
      <c r="AG644" s="3">
        <f>-1086.683185*627.50956</f>
        <v>-681904.08727874863</v>
      </c>
      <c r="AH644" s="3">
        <f>-1091.341837*627.50956</f>
        <v>-684827.43594546162</v>
      </c>
      <c r="AI644" s="3">
        <f t="shared" si="497"/>
        <v>-2923.348666712991</v>
      </c>
      <c r="AJ644" s="3">
        <v>-0.38400000000000001</v>
      </c>
      <c r="AK644" s="3">
        <v>-0.248</v>
      </c>
      <c r="AL644" s="3">
        <f t="shared" si="498"/>
        <v>0.13600000000000001</v>
      </c>
      <c r="AM644" s="3">
        <v>224.6635</v>
      </c>
      <c r="AN644" s="3">
        <v>280.63799999999998</v>
      </c>
      <c r="AO644" s="3">
        <v>308.62169999999998</v>
      </c>
      <c r="AP644" s="3">
        <f t="shared" si="515"/>
        <v>1.2709197273330279</v>
      </c>
      <c r="AQ644" s="3">
        <v>13.701000000000001</v>
      </c>
      <c r="AR644" s="3">
        <v>3.7435</v>
      </c>
      <c r="AS644" s="3">
        <v>-553.27200000000005</v>
      </c>
      <c r="AT644" s="3">
        <v>-551.61699999999996</v>
      </c>
      <c r="AU644" s="3">
        <f t="shared" si="511"/>
        <v>-1.6550000000000864</v>
      </c>
      <c r="AV644" s="3">
        <v>-0.23699999999999999</v>
      </c>
      <c r="AW644" s="3">
        <v>-0.36899999999999999</v>
      </c>
      <c r="AX644" s="3">
        <f t="shared" si="500"/>
        <v>0.13200000000000001</v>
      </c>
      <c r="AY644" s="3">
        <v>2.8000000000000001E-2</v>
      </c>
      <c r="AZ644" s="3">
        <v>0.154</v>
      </c>
      <c r="BA644" s="3">
        <f t="shared" si="501"/>
        <v>-0.126</v>
      </c>
      <c r="BB644" s="3">
        <f t="shared" si="516"/>
        <v>0.1045</v>
      </c>
      <c r="BC644" s="3">
        <f t="shared" si="516"/>
        <v>0.1075</v>
      </c>
      <c r="BD644" s="3">
        <f t="shared" si="502"/>
        <v>-3.0000000000000027E-3</v>
      </c>
      <c r="BE644" s="3">
        <f t="shared" si="517"/>
        <v>0.26500000000000001</v>
      </c>
      <c r="BF644" s="3">
        <f t="shared" si="517"/>
        <v>0.52300000000000002</v>
      </c>
      <c r="BG644" s="3">
        <f t="shared" si="503"/>
        <v>-0.25800000000000001</v>
      </c>
      <c r="BH644" s="3">
        <f t="shared" si="518"/>
        <v>-0.1045</v>
      </c>
      <c r="BI644" s="3">
        <f t="shared" si="518"/>
        <v>-0.1075</v>
      </c>
      <c r="BJ644" s="3">
        <f t="shared" si="524"/>
        <v>3.0000000000000027E-3</v>
      </c>
      <c r="BK644" s="3">
        <f t="shared" si="521"/>
        <v>2.0604245283018865E-2</v>
      </c>
      <c r="BL644" s="3">
        <f t="shared" si="522"/>
        <v>1.104804015296367E-2</v>
      </c>
      <c r="BM644" s="3">
        <f t="shared" si="504"/>
        <v>9.5562051300551957E-3</v>
      </c>
      <c r="BN644" s="3">
        <v>5.4870000000000001</v>
      </c>
      <c r="BO644" s="3">
        <v>6.0839999999999996</v>
      </c>
      <c r="BP644" s="3">
        <f t="shared" si="505"/>
        <v>-0.59699999999999953</v>
      </c>
      <c r="BQ644" s="3">
        <v>-347129.96399999998</v>
      </c>
      <c r="BR644" s="3">
        <v>-346087.64600000001</v>
      </c>
      <c r="BS644" s="3">
        <f t="shared" si="506"/>
        <v>-1042.3179999999702</v>
      </c>
      <c r="BT644" s="3">
        <v>-347152.04599999997</v>
      </c>
      <c r="BU644" s="3">
        <v>-346109.22600000002</v>
      </c>
      <c r="BV644" s="3">
        <f t="shared" si="507"/>
        <v>-1042.8199999999488</v>
      </c>
    </row>
    <row r="645" spans="1:74" x14ac:dyDescent="0.25">
      <c r="A645" t="s">
        <v>719</v>
      </c>
      <c r="B645" s="1" t="s">
        <v>646</v>
      </c>
      <c r="C645" s="1" t="s">
        <v>200</v>
      </c>
      <c r="D645" s="3">
        <v>29.1</v>
      </c>
      <c r="E645" s="3">
        <v>0.5</v>
      </c>
      <c r="F645" s="3">
        <v>-627.93899999999996</v>
      </c>
      <c r="G645" s="3">
        <v>-631.86900000000003</v>
      </c>
      <c r="H645" s="3">
        <f t="shared" si="499"/>
        <v>-3.9300000000000637</v>
      </c>
      <c r="I645" s="3">
        <v>-0.217</v>
      </c>
      <c r="J645" s="6">
        <v>-0.152</v>
      </c>
      <c r="K645" s="3">
        <f t="shared" si="486"/>
        <v>6.5000000000000002E-2</v>
      </c>
      <c r="L645" s="3">
        <v>0.11</v>
      </c>
      <c r="M645" s="6">
        <v>-0.03</v>
      </c>
      <c r="N645" s="3">
        <f t="shared" si="487"/>
        <v>-0.14000000000000001</v>
      </c>
      <c r="O645" s="3">
        <f t="shared" si="478"/>
        <v>5.3499999999999999E-2</v>
      </c>
      <c r="P645" s="3">
        <f t="shared" si="478"/>
        <v>9.0999999999999998E-2</v>
      </c>
      <c r="Q645" s="3">
        <f t="shared" si="488"/>
        <v>3.7499999999999999E-2</v>
      </c>
      <c r="R645" s="3">
        <f t="shared" si="489"/>
        <v>0.32700000000000001</v>
      </c>
      <c r="S645" s="3">
        <f t="shared" si="490"/>
        <v>0.122</v>
      </c>
      <c r="T645" s="3">
        <f t="shared" si="491"/>
        <v>-0.20500000000000002</v>
      </c>
      <c r="U645" s="3">
        <f t="shared" si="492"/>
        <v>-5.3499999999999999E-2</v>
      </c>
      <c r="V645" s="3">
        <f t="shared" si="493"/>
        <v>-9.0999999999999998E-2</v>
      </c>
      <c r="W645" s="3">
        <f t="shared" si="523"/>
        <v>-3.7499999999999999E-2</v>
      </c>
      <c r="X645" s="3">
        <f t="shared" si="519"/>
        <v>4.3765290519877671E-3</v>
      </c>
      <c r="Y645" s="3">
        <f t="shared" si="520"/>
        <v>3.3938524590163936E-2</v>
      </c>
      <c r="Z645" s="3">
        <f t="shared" si="494"/>
        <v>2.9561995538176171E-2</v>
      </c>
      <c r="AA645" s="3">
        <v>9.4280000000000008</v>
      </c>
      <c r="AB645" s="3">
        <v>10.4</v>
      </c>
      <c r="AC645" s="3">
        <f t="shared" si="495"/>
        <v>0.97199999999999953</v>
      </c>
      <c r="AD645" s="3">
        <f>-627.705023*627.50956</f>
        <v>-393890.90279251983</v>
      </c>
      <c r="AE645" s="3">
        <f>-631.648272*627.50956</f>
        <v>-396365.3292374803</v>
      </c>
      <c r="AF645" s="3">
        <f t="shared" si="496"/>
        <v>-2474.4264449604671</v>
      </c>
      <c r="AG645" s="3">
        <f>-627.760467*627.50956</f>
        <v>-393925.69443256449</v>
      </c>
      <c r="AH645" s="3">
        <f>-631.704837*627.50956</f>
        <v>-396400.82431574172</v>
      </c>
      <c r="AI645" s="3">
        <f t="shared" si="497"/>
        <v>-2475.1298831772292</v>
      </c>
      <c r="AJ645" s="3">
        <v>-0.38200000000000001</v>
      </c>
      <c r="AK645" s="3">
        <v>-0.25900000000000001</v>
      </c>
      <c r="AL645" s="3">
        <f t="shared" si="498"/>
        <v>0.123</v>
      </c>
      <c r="AM645" s="3">
        <v>190.2184</v>
      </c>
      <c r="AN645" s="3">
        <v>268.43700000000001</v>
      </c>
      <c r="AO645" s="3">
        <v>290.93060000000003</v>
      </c>
      <c r="AP645" s="3">
        <f t="shared" si="515"/>
        <v>1.2644608632201324</v>
      </c>
      <c r="AQ645" s="3">
        <v>12.6</v>
      </c>
      <c r="AR645" s="3">
        <v>3.2658</v>
      </c>
      <c r="AS645" s="3">
        <v>-553.27200000000005</v>
      </c>
      <c r="AT645" s="3">
        <v>-551.61699999999996</v>
      </c>
      <c r="AU645" s="3">
        <f t="shared" si="511"/>
        <v>-1.6550000000000864</v>
      </c>
      <c r="AV645" s="3">
        <v>-0.23699999999999999</v>
      </c>
      <c r="AW645" s="3">
        <v>-0.36899999999999999</v>
      </c>
      <c r="AX645" s="3">
        <f t="shared" si="500"/>
        <v>0.13200000000000001</v>
      </c>
      <c r="AY645" s="3">
        <v>2.8000000000000001E-2</v>
      </c>
      <c r="AZ645" s="3">
        <v>0.154</v>
      </c>
      <c r="BA645" s="3">
        <f t="shared" si="501"/>
        <v>-0.126</v>
      </c>
      <c r="BB645" s="3">
        <f t="shared" si="516"/>
        <v>0.1045</v>
      </c>
      <c r="BC645" s="3">
        <f t="shared" si="516"/>
        <v>0.1075</v>
      </c>
      <c r="BD645" s="3">
        <f t="shared" si="502"/>
        <v>-3.0000000000000027E-3</v>
      </c>
      <c r="BE645" s="3">
        <f t="shared" si="517"/>
        <v>0.26500000000000001</v>
      </c>
      <c r="BF645" s="3">
        <f t="shared" si="517"/>
        <v>0.52300000000000002</v>
      </c>
      <c r="BG645" s="3">
        <f t="shared" si="503"/>
        <v>-0.25800000000000001</v>
      </c>
      <c r="BH645" s="3">
        <f t="shared" si="518"/>
        <v>-0.1045</v>
      </c>
      <c r="BI645" s="3">
        <f t="shared" si="518"/>
        <v>-0.1075</v>
      </c>
      <c r="BJ645" s="3">
        <f t="shared" si="524"/>
        <v>3.0000000000000027E-3</v>
      </c>
      <c r="BK645" s="3">
        <f t="shared" si="521"/>
        <v>2.0604245283018865E-2</v>
      </c>
      <c r="BL645" s="3">
        <f t="shared" si="522"/>
        <v>1.104804015296367E-2</v>
      </c>
      <c r="BM645" s="3">
        <f t="shared" si="504"/>
        <v>9.5562051300551957E-3</v>
      </c>
      <c r="BN645" s="3">
        <v>5.4870000000000001</v>
      </c>
      <c r="BO645" s="3">
        <v>6.0839999999999996</v>
      </c>
      <c r="BP645" s="3">
        <f t="shared" si="505"/>
        <v>-0.59699999999999953</v>
      </c>
      <c r="BQ645" s="3">
        <v>-347129.96399999998</v>
      </c>
      <c r="BR645" s="3">
        <v>-346087.64600000001</v>
      </c>
      <c r="BS645" s="3">
        <f t="shared" si="506"/>
        <v>-1042.3179999999702</v>
      </c>
      <c r="BT645" s="3">
        <v>-347152.04599999997</v>
      </c>
      <c r="BU645" s="3">
        <v>-346109.22600000002</v>
      </c>
      <c r="BV645" s="3">
        <f t="shared" si="507"/>
        <v>-1042.8199999999488</v>
      </c>
    </row>
    <row r="646" spans="1:74" x14ac:dyDescent="0.25">
      <c r="A646" t="s">
        <v>720</v>
      </c>
      <c r="B646" s="1" t="s">
        <v>646</v>
      </c>
      <c r="C646" s="1" t="s">
        <v>200</v>
      </c>
      <c r="D646" s="3">
        <v>29.5</v>
      </c>
      <c r="E646" s="3">
        <v>0.5</v>
      </c>
      <c r="F646" s="3">
        <v>-453.94200000000001</v>
      </c>
      <c r="G646" s="3">
        <v>-456.87599999999998</v>
      </c>
      <c r="H646" s="3">
        <f t="shared" si="499"/>
        <v>-2.9339999999999691</v>
      </c>
      <c r="I646" s="3">
        <v>-0.216</v>
      </c>
      <c r="J646" s="6">
        <v>-0.14799999999999999</v>
      </c>
      <c r="K646" s="3">
        <f t="shared" si="486"/>
        <v>6.8000000000000005E-2</v>
      </c>
      <c r="L646" s="3">
        <v>0.112</v>
      </c>
      <c r="M646" s="6">
        <v>-2.4E-2</v>
      </c>
      <c r="N646" s="3">
        <f t="shared" si="487"/>
        <v>-0.13600000000000001</v>
      </c>
      <c r="O646" s="3">
        <f t="shared" si="478"/>
        <v>5.1999999999999998E-2</v>
      </c>
      <c r="P646" s="3">
        <f t="shared" si="478"/>
        <v>8.5999999999999993E-2</v>
      </c>
      <c r="Q646" s="3">
        <f t="shared" si="488"/>
        <v>3.3999999999999996E-2</v>
      </c>
      <c r="R646" s="3">
        <f t="shared" si="489"/>
        <v>0.32800000000000001</v>
      </c>
      <c r="S646" s="3">
        <f t="shared" si="490"/>
        <v>0.124</v>
      </c>
      <c r="T646" s="3">
        <f t="shared" si="491"/>
        <v>-0.20400000000000001</v>
      </c>
      <c r="U646" s="3">
        <f t="shared" si="492"/>
        <v>-5.1999999999999998E-2</v>
      </c>
      <c r="V646" s="3">
        <f t="shared" si="493"/>
        <v>-8.5999999999999993E-2</v>
      </c>
      <c r="W646" s="3">
        <f t="shared" si="523"/>
        <v>-3.3999999999999996E-2</v>
      </c>
      <c r="X646" s="3">
        <f t="shared" si="519"/>
        <v>4.1219512195121944E-3</v>
      </c>
      <c r="Y646" s="3">
        <f t="shared" si="520"/>
        <v>2.9822580645161287E-2</v>
      </c>
      <c r="Z646" s="3">
        <f t="shared" si="494"/>
        <v>2.5700629425649092E-2</v>
      </c>
      <c r="AA646" s="3">
        <v>12.615</v>
      </c>
      <c r="AB646" s="3">
        <v>10.17</v>
      </c>
      <c r="AC646" s="3">
        <f t="shared" si="495"/>
        <v>-2.4450000000000003</v>
      </c>
      <c r="AD646" s="3">
        <f>-453.788344*627.50956</f>
        <v>-284756.5240765686</v>
      </c>
      <c r="AE646" s="3">
        <f>-456.730807*627.50956</f>
        <v>-286602.94773901493</v>
      </c>
      <c r="AF646" s="3">
        <f t="shared" si="496"/>
        <v>-1846.4236624463229</v>
      </c>
      <c r="AG646" s="3">
        <f>-453.83301*627.50956</f>
        <v>-284784.55241857556</v>
      </c>
      <c r="AH646" s="3">
        <f>-456.776306*627.50956</f>
        <v>-286631.49879648531</v>
      </c>
      <c r="AI646" s="3">
        <f t="shared" si="497"/>
        <v>-1846.9463779097423</v>
      </c>
      <c r="AJ646" s="3">
        <v>-5.8000000000000003E-2</v>
      </c>
      <c r="AK646" s="3">
        <v>-8.2000000000000003E-2</v>
      </c>
      <c r="AL646" s="3">
        <f t="shared" si="498"/>
        <v>-2.4E-2</v>
      </c>
      <c r="AM646" s="3">
        <v>143.16499999999999</v>
      </c>
      <c r="AN646" s="3">
        <v>209.82159999999999</v>
      </c>
      <c r="AO646" s="3">
        <v>218.09</v>
      </c>
      <c r="AP646" s="3">
        <f t="shared" si="515"/>
        <v>1.1977025563040546</v>
      </c>
      <c r="AQ646" s="3">
        <v>11.744999999999999</v>
      </c>
      <c r="AR646" s="3">
        <v>2.8290000000000002</v>
      </c>
      <c r="AS646" s="3">
        <v>-553.27200000000005</v>
      </c>
      <c r="AT646" s="3">
        <v>-551.61699999999996</v>
      </c>
      <c r="AU646" s="3">
        <f t="shared" si="511"/>
        <v>-1.6550000000000864</v>
      </c>
      <c r="AV646" s="3">
        <v>-0.23699999999999999</v>
      </c>
      <c r="AW646" s="3">
        <v>-0.36899999999999999</v>
      </c>
      <c r="AX646" s="3">
        <f t="shared" si="500"/>
        <v>0.13200000000000001</v>
      </c>
      <c r="AY646" s="3">
        <v>2.8000000000000001E-2</v>
      </c>
      <c r="AZ646" s="3">
        <v>0.154</v>
      </c>
      <c r="BA646" s="3">
        <f t="shared" si="501"/>
        <v>-0.126</v>
      </c>
      <c r="BB646" s="3">
        <f t="shared" si="516"/>
        <v>0.1045</v>
      </c>
      <c r="BC646" s="3">
        <f t="shared" si="516"/>
        <v>0.1075</v>
      </c>
      <c r="BD646" s="3">
        <f t="shared" si="502"/>
        <v>-3.0000000000000027E-3</v>
      </c>
      <c r="BE646" s="3">
        <f t="shared" si="517"/>
        <v>0.26500000000000001</v>
      </c>
      <c r="BF646" s="3">
        <f t="shared" si="517"/>
        <v>0.52300000000000002</v>
      </c>
      <c r="BG646" s="3">
        <f t="shared" si="503"/>
        <v>-0.25800000000000001</v>
      </c>
      <c r="BH646" s="3">
        <f t="shared" si="518"/>
        <v>-0.1045</v>
      </c>
      <c r="BI646" s="3">
        <f t="shared" si="518"/>
        <v>-0.1075</v>
      </c>
      <c r="BJ646" s="3">
        <f t="shared" si="524"/>
        <v>3.0000000000000027E-3</v>
      </c>
      <c r="BK646" s="3">
        <f t="shared" si="521"/>
        <v>2.0604245283018865E-2</v>
      </c>
      <c r="BL646" s="3">
        <f t="shared" si="522"/>
        <v>1.104804015296367E-2</v>
      </c>
      <c r="BM646" s="3">
        <f t="shared" si="504"/>
        <v>9.5562051300551957E-3</v>
      </c>
      <c r="BN646" s="3">
        <v>5.4870000000000001</v>
      </c>
      <c r="BO646" s="3">
        <v>6.0839999999999996</v>
      </c>
      <c r="BP646" s="3">
        <f t="shared" si="505"/>
        <v>-0.59699999999999953</v>
      </c>
      <c r="BQ646" s="3">
        <v>-347129.96399999998</v>
      </c>
      <c r="BR646" s="3">
        <v>-346087.64600000001</v>
      </c>
      <c r="BS646" s="3">
        <f t="shared" si="506"/>
        <v>-1042.3179999999702</v>
      </c>
      <c r="BT646" s="3">
        <v>-347152.04599999997</v>
      </c>
      <c r="BU646" s="3">
        <v>-346109.22600000002</v>
      </c>
      <c r="BV646" s="3">
        <f t="shared" si="507"/>
        <v>-1042.8199999999488</v>
      </c>
    </row>
    <row r="647" spans="1:74" x14ac:dyDescent="0.25">
      <c r="A647" t="s">
        <v>721</v>
      </c>
      <c r="B647" s="1" t="s">
        <v>646</v>
      </c>
      <c r="C647" s="1" t="s">
        <v>200</v>
      </c>
      <c r="D647" s="3">
        <v>30.82</v>
      </c>
      <c r="E647" s="3">
        <v>0.41</v>
      </c>
      <c r="F647" s="3">
        <v>-666.98099999999999</v>
      </c>
      <c r="G647" s="3">
        <v>-671.20399999999995</v>
      </c>
      <c r="H647" s="3">
        <f t="shared" si="499"/>
        <v>-4.2229999999999563</v>
      </c>
      <c r="I647" s="3">
        <v>-0.20899999999999999</v>
      </c>
      <c r="J647" s="6">
        <v>-0.14399999999999999</v>
      </c>
      <c r="K647" s="3">
        <f t="shared" si="486"/>
        <v>6.5000000000000002E-2</v>
      </c>
      <c r="L647" s="3">
        <v>0.113</v>
      </c>
      <c r="M647" s="6">
        <v>-2.1999999999999999E-2</v>
      </c>
      <c r="N647" s="3">
        <f t="shared" si="487"/>
        <v>-0.13500000000000001</v>
      </c>
      <c r="O647" s="3">
        <f t="shared" si="478"/>
        <v>4.7999999999999994E-2</v>
      </c>
      <c r="P647" s="3">
        <f t="shared" si="478"/>
        <v>8.299999999999999E-2</v>
      </c>
      <c r="Q647" s="3">
        <f t="shared" si="488"/>
        <v>3.4999999999999996E-2</v>
      </c>
      <c r="R647" s="3">
        <f t="shared" si="489"/>
        <v>0.32200000000000001</v>
      </c>
      <c r="S647" s="3">
        <f t="shared" si="490"/>
        <v>0.122</v>
      </c>
      <c r="T647" s="3">
        <f t="shared" si="491"/>
        <v>-0.2</v>
      </c>
      <c r="U647" s="3">
        <f t="shared" si="492"/>
        <v>-4.7999999999999994E-2</v>
      </c>
      <c r="V647" s="3">
        <f t="shared" si="493"/>
        <v>-8.299999999999999E-2</v>
      </c>
      <c r="W647" s="3">
        <f t="shared" si="523"/>
        <v>-3.4999999999999996E-2</v>
      </c>
      <c r="X647" s="3">
        <f t="shared" si="519"/>
        <v>3.5776397515527945E-3</v>
      </c>
      <c r="Y647" s="3">
        <f t="shared" si="520"/>
        <v>2.8233606557377042E-2</v>
      </c>
      <c r="Z647" s="3">
        <f t="shared" si="494"/>
        <v>2.4655966805824249E-2</v>
      </c>
      <c r="AA647" s="3">
        <v>7.7619999999999996</v>
      </c>
      <c r="AB647" s="3">
        <v>4.9139999999999997</v>
      </c>
      <c r="AC647" s="3">
        <f t="shared" si="495"/>
        <v>-2.8479999999999999</v>
      </c>
      <c r="AD647" s="3">
        <f>-666.71633*627.50956</f>
        <v>-418370.87088311475</v>
      </c>
      <c r="AE647" s="3">
        <f>-670.954849*627.50956</f>
        <v>-421030.58207585639</v>
      </c>
      <c r="AF647" s="3">
        <f t="shared" si="496"/>
        <v>-2659.7111927416408</v>
      </c>
      <c r="AG647" s="3">
        <f>-666.773661*627.50956</f>
        <v>-418406.84663369908</v>
      </c>
      <c r="AH647" s="3">
        <f>-671.013962*627.50956</f>
        <v>-421067.67604847671</v>
      </c>
      <c r="AI647" s="3">
        <f t="shared" si="497"/>
        <v>-2660.8294147776323</v>
      </c>
      <c r="AJ647" s="3">
        <v>-0.16200000000000001</v>
      </c>
      <c r="AK647" s="3">
        <v>-9.8000000000000004E-2</v>
      </c>
      <c r="AL647" s="3">
        <f t="shared" si="498"/>
        <v>6.4000000000000001E-2</v>
      </c>
      <c r="AM647" s="3">
        <v>204.245</v>
      </c>
      <c r="AN647" s="3">
        <v>292.92020000000002</v>
      </c>
      <c r="AO647" s="3">
        <v>317.89839999999998</v>
      </c>
      <c r="AP647" s="3">
        <f t="shared" si="515"/>
        <v>1.3006078701425925</v>
      </c>
      <c r="AQ647" s="3">
        <v>13.228999999999999</v>
      </c>
      <c r="AR647" s="3">
        <v>3.3772000000000002</v>
      </c>
      <c r="AS647" s="3">
        <v>-553.27200000000005</v>
      </c>
      <c r="AT647" s="3">
        <v>-551.61699999999996</v>
      </c>
      <c r="AU647" s="3">
        <f t="shared" si="511"/>
        <v>-1.6550000000000864</v>
      </c>
      <c r="AV647" s="3">
        <v>-0.23699999999999999</v>
      </c>
      <c r="AW647" s="3">
        <v>-0.36899999999999999</v>
      </c>
      <c r="AX647" s="3">
        <f t="shared" si="500"/>
        <v>0.13200000000000001</v>
      </c>
      <c r="AY647" s="3">
        <v>2.8000000000000001E-2</v>
      </c>
      <c r="AZ647" s="3">
        <v>0.154</v>
      </c>
      <c r="BA647" s="3">
        <f t="shared" si="501"/>
        <v>-0.126</v>
      </c>
      <c r="BB647" s="3">
        <f t="shared" si="516"/>
        <v>0.1045</v>
      </c>
      <c r="BC647" s="3">
        <f t="shared" si="516"/>
        <v>0.1075</v>
      </c>
      <c r="BD647" s="3">
        <f t="shared" si="502"/>
        <v>-3.0000000000000027E-3</v>
      </c>
      <c r="BE647" s="3">
        <f t="shared" si="517"/>
        <v>0.26500000000000001</v>
      </c>
      <c r="BF647" s="3">
        <f t="shared" si="517"/>
        <v>0.52300000000000002</v>
      </c>
      <c r="BG647" s="3">
        <f t="shared" si="503"/>
        <v>-0.25800000000000001</v>
      </c>
      <c r="BH647" s="3">
        <f t="shared" si="518"/>
        <v>-0.1045</v>
      </c>
      <c r="BI647" s="3">
        <f t="shared" si="518"/>
        <v>-0.1075</v>
      </c>
      <c r="BJ647" s="3">
        <f t="shared" si="524"/>
        <v>3.0000000000000027E-3</v>
      </c>
      <c r="BK647" s="3">
        <f t="shared" si="521"/>
        <v>2.0604245283018865E-2</v>
      </c>
      <c r="BL647" s="3">
        <f t="shared" si="522"/>
        <v>1.104804015296367E-2</v>
      </c>
      <c r="BM647" s="3">
        <f t="shared" si="504"/>
        <v>9.5562051300551957E-3</v>
      </c>
      <c r="BN647" s="3">
        <v>5.4870000000000001</v>
      </c>
      <c r="BO647" s="3">
        <v>6.0839999999999996</v>
      </c>
      <c r="BP647" s="3">
        <f t="shared" si="505"/>
        <v>-0.59699999999999953</v>
      </c>
      <c r="BQ647" s="3">
        <v>-347129.96399999998</v>
      </c>
      <c r="BR647" s="3">
        <v>-346087.64600000001</v>
      </c>
      <c r="BS647" s="3">
        <f t="shared" si="506"/>
        <v>-1042.3179999999702</v>
      </c>
      <c r="BT647" s="3">
        <v>-347152.04599999997</v>
      </c>
      <c r="BU647" s="3">
        <v>-346109.22600000002</v>
      </c>
      <c r="BV647" s="3">
        <f t="shared" si="507"/>
        <v>-1042.8199999999488</v>
      </c>
    </row>
    <row r="648" spans="1:74" x14ac:dyDescent="0.25">
      <c r="A648" t="s">
        <v>97</v>
      </c>
      <c r="B648" t="s">
        <v>728</v>
      </c>
      <c r="C648" t="s">
        <v>99</v>
      </c>
      <c r="D648" s="3">
        <v>-8.8000000000000007</v>
      </c>
      <c r="E648" s="3">
        <v>0.82</v>
      </c>
      <c r="F648" s="3">
        <v>-846.11900000000003</v>
      </c>
      <c r="G648" s="3">
        <v>-851.82600000000002</v>
      </c>
      <c r="H648" s="3">
        <f t="shared" si="499"/>
        <v>-5.7069999999999936</v>
      </c>
      <c r="I648" s="3">
        <v>-0.30499999999999999</v>
      </c>
      <c r="J648" s="6">
        <v>-0.23200000000000001</v>
      </c>
      <c r="K648" s="3">
        <f t="shared" si="486"/>
        <v>7.2999999999999982E-2</v>
      </c>
      <c r="L648" s="3">
        <v>0.113</v>
      </c>
      <c r="M648" s="6">
        <v>-2.1999999999999999E-2</v>
      </c>
      <c r="N648" s="3">
        <f t="shared" si="487"/>
        <v>-0.13500000000000001</v>
      </c>
      <c r="O648" s="3">
        <f t="shared" si="478"/>
        <v>9.6000000000000002E-2</v>
      </c>
      <c r="P648" s="3">
        <f t="shared" si="478"/>
        <v>0.127</v>
      </c>
      <c r="Q648" s="3">
        <f t="shared" si="488"/>
        <v>3.1E-2</v>
      </c>
      <c r="R648" s="3">
        <f t="shared" si="489"/>
        <v>0.41799999999999998</v>
      </c>
      <c r="S648" s="3">
        <f t="shared" si="490"/>
        <v>0.21000000000000002</v>
      </c>
      <c r="T648" s="3">
        <f t="shared" si="491"/>
        <v>-0.20799999999999996</v>
      </c>
      <c r="U648" s="3">
        <f t="shared" si="492"/>
        <v>-9.6000000000000002E-2</v>
      </c>
      <c r="V648" s="3">
        <f t="shared" si="493"/>
        <v>-0.127</v>
      </c>
      <c r="W648" s="3">
        <f t="shared" si="523"/>
        <v>-3.1E-2</v>
      </c>
      <c r="X648" s="3">
        <f t="shared" si="519"/>
        <v>1.1023923444976077E-2</v>
      </c>
      <c r="Y648" s="3">
        <f t="shared" si="520"/>
        <v>3.8402380952380952E-2</v>
      </c>
      <c r="Z648" s="3">
        <f t="shared" si="494"/>
        <v>2.7378457507404877E-2</v>
      </c>
      <c r="AA648" s="3">
        <v>9.9000000000000005E-2</v>
      </c>
      <c r="AB648" s="3">
        <v>5.6000000000000001E-2</v>
      </c>
      <c r="AC648" s="3">
        <f t="shared" si="495"/>
        <v>-4.3000000000000003E-2</v>
      </c>
      <c r="AD648" s="3">
        <f>-845.706*627.50956</f>
        <v>-530688.59994936001</v>
      </c>
      <c r="AE648" s="3">
        <f>-851.433944*627.50956</f>
        <v>-534282.93956850457</v>
      </c>
      <c r="AF648" s="3">
        <f t="shared" si="496"/>
        <v>-3594.3396191445645</v>
      </c>
      <c r="AG648" s="3">
        <f>-845.769399*627.50956</f>
        <v>-530728.3834279544</v>
      </c>
      <c r="AH648" s="3">
        <f>-851.509124*627.50956</f>
        <v>-534330.11573722539</v>
      </c>
      <c r="AI648" s="3">
        <f t="shared" si="497"/>
        <v>-3601.7323092709994</v>
      </c>
      <c r="AJ648" s="3">
        <v>0.19900000000000001</v>
      </c>
      <c r="AK648" s="3">
        <v>0.22500000000000001</v>
      </c>
      <c r="AL648" s="3">
        <f t="shared" si="498"/>
        <v>2.5999999999999995E-2</v>
      </c>
      <c r="AM648" s="3">
        <v>286.41000000000003</v>
      </c>
      <c r="AN648" s="3">
        <v>390.3913</v>
      </c>
      <c r="AO648" s="3">
        <v>467.73860000000002</v>
      </c>
      <c r="AP648" s="3">
        <f t="shared" si="515"/>
        <v>1.339945928683671</v>
      </c>
      <c r="AQ648" s="3">
        <v>13.994</v>
      </c>
      <c r="AR648" s="3">
        <v>3.6842000000000001</v>
      </c>
      <c r="AS648" s="3">
        <v>-132.80099999999999</v>
      </c>
      <c r="AT648" s="3">
        <v>-131.97</v>
      </c>
      <c r="AU648" s="3">
        <f t="shared" si="511"/>
        <v>-0.83099999999998886</v>
      </c>
      <c r="AV648" s="3">
        <v>-0.34100000000000003</v>
      </c>
      <c r="AW648" s="3">
        <v>-0.47499999999999998</v>
      </c>
      <c r="AX648" s="3">
        <f t="shared" si="500"/>
        <v>0.13399999999999995</v>
      </c>
      <c r="AY648" s="3">
        <v>2.9000000000000001E-2</v>
      </c>
      <c r="AZ648" s="3">
        <v>0.156</v>
      </c>
      <c r="BA648" s="3">
        <f t="shared" si="501"/>
        <v>-0.127</v>
      </c>
      <c r="BB648" s="3">
        <f t="shared" si="516"/>
        <v>0.156</v>
      </c>
      <c r="BC648" s="3">
        <f t="shared" si="516"/>
        <v>0.15949999999999998</v>
      </c>
      <c r="BD648" s="3">
        <f t="shared" si="502"/>
        <v>-3.4999999999999754E-3</v>
      </c>
      <c r="BE648" s="3">
        <f t="shared" si="517"/>
        <v>0.37000000000000005</v>
      </c>
      <c r="BF648" s="3">
        <f t="shared" si="517"/>
        <v>0.63100000000000001</v>
      </c>
      <c r="BG648" s="3">
        <f t="shared" si="503"/>
        <v>-0.26099999999999995</v>
      </c>
      <c r="BH648" s="3">
        <f t="shared" si="518"/>
        <v>-0.156</v>
      </c>
      <c r="BI648" s="3">
        <f t="shared" si="518"/>
        <v>-0.15949999999999998</v>
      </c>
      <c r="BJ648" s="3">
        <f t="shared" si="524"/>
        <v>3.4999999999999754E-3</v>
      </c>
      <c r="BK648" s="3">
        <f t="shared" si="521"/>
        <v>3.2886486486486483E-2</v>
      </c>
      <c r="BL648" s="3">
        <f t="shared" si="522"/>
        <v>2.0158676703645E-2</v>
      </c>
      <c r="BM648" s="3">
        <f t="shared" si="504"/>
        <v>1.2727809782841482E-2</v>
      </c>
      <c r="BN648" s="3">
        <v>4.7279999999999998</v>
      </c>
      <c r="BO648" s="3">
        <v>4.9340000000000002</v>
      </c>
      <c r="BP648" s="3">
        <f t="shared" si="505"/>
        <v>-0.20600000000000041</v>
      </c>
      <c r="BQ648" s="3">
        <v>-83302.89</v>
      </c>
      <c r="BR648" s="3">
        <v>-82779.224000000002</v>
      </c>
      <c r="BS648" s="3">
        <f t="shared" si="506"/>
        <v>-523.66599999999744</v>
      </c>
      <c r="BT648" s="3">
        <v>-83320.774999999994</v>
      </c>
      <c r="BU648" s="3">
        <v>-82796.997000000003</v>
      </c>
      <c r="BV648" s="3">
        <f t="shared" si="507"/>
        <v>-523.77799999999115</v>
      </c>
    </row>
    <row r="649" spans="1:74" x14ac:dyDescent="0.25">
      <c r="A649" t="s">
        <v>100</v>
      </c>
      <c r="B649" t="s">
        <v>728</v>
      </c>
      <c r="C649" t="s">
        <v>99</v>
      </c>
      <c r="D649" s="3">
        <v>-7</v>
      </c>
      <c r="E649" s="3">
        <v>0.82</v>
      </c>
      <c r="F649" s="3">
        <v>-1070.7159999999999</v>
      </c>
      <c r="G649" s="3">
        <v>-1077.508</v>
      </c>
      <c r="H649" s="3">
        <f t="shared" si="499"/>
        <v>-6.7920000000001437</v>
      </c>
      <c r="I649" s="3">
        <v>-0.29499999999999998</v>
      </c>
      <c r="J649" s="6">
        <v>-0.215</v>
      </c>
      <c r="K649" s="3">
        <f t="shared" si="486"/>
        <v>7.9999999999999988E-2</v>
      </c>
      <c r="L649" s="3">
        <v>0.11</v>
      </c>
      <c r="M649" s="6">
        <v>-2.5000000000000001E-2</v>
      </c>
      <c r="N649" s="3">
        <f t="shared" si="487"/>
        <v>-0.13500000000000001</v>
      </c>
      <c r="O649" s="3">
        <f t="shared" si="478"/>
        <v>9.2499999999999999E-2</v>
      </c>
      <c r="P649" s="3">
        <f t="shared" si="478"/>
        <v>0.12</v>
      </c>
      <c r="Q649" s="3">
        <f t="shared" si="488"/>
        <v>2.7499999999999997E-2</v>
      </c>
      <c r="R649" s="3">
        <f t="shared" si="489"/>
        <v>0.40499999999999997</v>
      </c>
      <c r="S649" s="3">
        <f t="shared" si="490"/>
        <v>0.19</v>
      </c>
      <c r="T649" s="3">
        <f t="shared" si="491"/>
        <v>-0.21499999999999997</v>
      </c>
      <c r="U649" s="3">
        <f t="shared" si="492"/>
        <v>-9.2499999999999999E-2</v>
      </c>
      <c r="V649" s="3">
        <f t="shared" si="493"/>
        <v>-0.12</v>
      </c>
      <c r="W649" s="3">
        <f t="shared" si="523"/>
        <v>-2.7499999999999997E-2</v>
      </c>
      <c r="X649" s="3">
        <f t="shared" si="519"/>
        <v>1.0563271604938272E-2</v>
      </c>
      <c r="Y649" s="3">
        <f t="shared" si="520"/>
        <v>3.7894736842105259E-2</v>
      </c>
      <c r="Z649" s="3">
        <f t="shared" si="494"/>
        <v>2.7331465237166987E-2</v>
      </c>
      <c r="AA649" s="3">
        <v>4.1529999999999996</v>
      </c>
      <c r="AB649" s="3">
        <v>3.7949999999999999</v>
      </c>
      <c r="AC649" s="3">
        <f t="shared" si="495"/>
        <v>-0.35799999999999965</v>
      </c>
      <c r="AD649" s="3">
        <f>-1070.280584*627.50956</f>
        <v>-671611.298342383</v>
      </c>
      <c r="AE649" s="3">
        <f>-1077.098494*627.50956</f>
        <v>-675889.60204660264</v>
      </c>
      <c r="AF649" s="3">
        <f t="shared" si="496"/>
        <v>-4278.3037042196374</v>
      </c>
      <c r="AG649" s="3">
        <f>-1070.357557*627.50956</f>
        <v>-671659.59963574493</v>
      </c>
      <c r="AH649" s="3">
        <f>-1077.178235*627.50956</f>
        <v>-675939.64028642664</v>
      </c>
      <c r="AI649" s="3">
        <f t="shared" si="497"/>
        <v>-4280.0406506817089</v>
      </c>
      <c r="AJ649" s="3">
        <v>0.19400000000000001</v>
      </c>
      <c r="AK649" s="3">
        <v>0.223</v>
      </c>
      <c r="AL649" s="3">
        <f t="shared" si="498"/>
        <v>2.8999999999999998E-2</v>
      </c>
      <c r="AM649" s="3">
        <v>334.40820000000002</v>
      </c>
      <c r="AN649" s="3">
        <v>419.81700000000001</v>
      </c>
      <c r="AO649" s="3">
        <v>500.29050000000001</v>
      </c>
      <c r="AP649" s="3">
        <f t="shared" si="515"/>
        <v>1.3777416908092839</v>
      </c>
      <c r="AQ649" s="3">
        <v>15.332000000000001</v>
      </c>
      <c r="AR649" s="3">
        <v>4.1654</v>
      </c>
      <c r="AS649" s="3">
        <v>-132.80099999999999</v>
      </c>
      <c r="AT649" s="3">
        <v>-131.97</v>
      </c>
      <c r="AU649" s="3">
        <f t="shared" si="511"/>
        <v>-0.83099999999998886</v>
      </c>
      <c r="AV649" s="3">
        <v>-0.34100000000000003</v>
      </c>
      <c r="AW649" s="3">
        <v>-0.47499999999999998</v>
      </c>
      <c r="AX649" s="3">
        <f t="shared" si="500"/>
        <v>0.13399999999999995</v>
      </c>
      <c r="AY649" s="3">
        <v>2.9000000000000001E-2</v>
      </c>
      <c r="AZ649" s="3">
        <v>0.156</v>
      </c>
      <c r="BA649" s="3">
        <f t="shared" si="501"/>
        <v>-0.127</v>
      </c>
      <c r="BB649" s="3">
        <f t="shared" si="516"/>
        <v>0.156</v>
      </c>
      <c r="BC649" s="3">
        <f t="shared" si="516"/>
        <v>0.15949999999999998</v>
      </c>
      <c r="BD649" s="3">
        <f t="shared" si="502"/>
        <v>-3.4999999999999754E-3</v>
      </c>
      <c r="BE649" s="3">
        <f t="shared" si="517"/>
        <v>0.37000000000000005</v>
      </c>
      <c r="BF649" s="3">
        <f t="shared" si="517"/>
        <v>0.63100000000000001</v>
      </c>
      <c r="BG649" s="3">
        <f t="shared" si="503"/>
        <v>-0.26099999999999995</v>
      </c>
      <c r="BH649" s="3">
        <f t="shared" si="518"/>
        <v>-0.156</v>
      </c>
      <c r="BI649" s="3">
        <f t="shared" si="518"/>
        <v>-0.15949999999999998</v>
      </c>
      <c r="BJ649" s="3">
        <f t="shared" si="524"/>
        <v>3.4999999999999754E-3</v>
      </c>
      <c r="BK649" s="3">
        <f t="shared" si="521"/>
        <v>3.2886486486486483E-2</v>
      </c>
      <c r="BL649" s="3">
        <f t="shared" si="522"/>
        <v>2.0158676703645E-2</v>
      </c>
      <c r="BM649" s="3">
        <f t="shared" si="504"/>
        <v>1.2727809782841482E-2</v>
      </c>
      <c r="BN649" s="3">
        <v>4.7279999999999998</v>
      </c>
      <c r="BO649" s="3">
        <v>4.9340000000000002</v>
      </c>
      <c r="BP649" s="3">
        <f t="shared" si="505"/>
        <v>-0.20600000000000041</v>
      </c>
      <c r="BQ649" s="3">
        <v>-83302.89</v>
      </c>
      <c r="BR649" s="3">
        <v>-82779.224000000002</v>
      </c>
      <c r="BS649" s="3">
        <f t="shared" si="506"/>
        <v>-523.66599999999744</v>
      </c>
      <c r="BT649" s="3">
        <v>-83320.774999999994</v>
      </c>
      <c r="BU649" s="3">
        <v>-82796.997000000003</v>
      </c>
      <c r="BV649" s="3">
        <f t="shared" si="507"/>
        <v>-523.77799999999115</v>
      </c>
    </row>
    <row r="650" spans="1:74" x14ac:dyDescent="0.25">
      <c r="A650" t="s">
        <v>101</v>
      </c>
      <c r="B650" t="s">
        <v>728</v>
      </c>
      <c r="C650" t="s">
        <v>99</v>
      </c>
      <c r="D650" s="3">
        <v>-6.5</v>
      </c>
      <c r="E650" s="3">
        <v>1.1000000000000001</v>
      </c>
      <c r="F650" s="3">
        <v>-603.63599999999997</v>
      </c>
      <c r="G650" s="3">
        <v>-606.54700000000003</v>
      </c>
      <c r="H650" s="3">
        <f t="shared" si="499"/>
        <v>-2.9110000000000582</v>
      </c>
      <c r="I650" s="3">
        <v>-0.39200000000000002</v>
      </c>
      <c r="J650" s="6">
        <v>-0.27200000000000002</v>
      </c>
      <c r="K650" s="3">
        <f t="shared" si="486"/>
        <v>0.12</v>
      </c>
      <c r="L650" s="3">
        <v>0.14499999999999999</v>
      </c>
      <c r="M650" s="6">
        <v>3.1E-2</v>
      </c>
      <c r="N650" s="3">
        <f t="shared" si="487"/>
        <v>-0.11399999999999999</v>
      </c>
      <c r="O650" s="3">
        <f t="shared" si="478"/>
        <v>0.12350000000000001</v>
      </c>
      <c r="P650" s="3">
        <f t="shared" si="478"/>
        <v>0.12050000000000001</v>
      </c>
      <c r="Q650" s="3">
        <f t="shared" si="488"/>
        <v>-3.0000000000000027E-3</v>
      </c>
      <c r="R650" s="3">
        <f t="shared" si="489"/>
        <v>0.53700000000000003</v>
      </c>
      <c r="S650" s="3">
        <f t="shared" si="490"/>
        <v>0.30300000000000005</v>
      </c>
      <c r="T650" s="3">
        <f t="shared" si="491"/>
        <v>-0.23399999999999999</v>
      </c>
      <c r="U650" s="3">
        <f t="shared" si="492"/>
        <v>-0.12350000000000001</v>
      </c>
      <c r="V650" s="3">
        <f t="shared" si="493"/>
        <v>-0.12050000000000001</v>
      </c>
      <c r="W650" s="3">
        <f t="shared" si="523"/>
        <v>3.0000000000000027E-3</v>
      </c>
      <c r="X650" s="3">
        <f t="shared" si="519"/>
        <v>1.4201350093109872E-2</v>
      </c>
      <c r="Y650" s="3">
        <f t="shared" si="520"/>
        <v>2.3960808580858084E-2</v>
      </c>
      <c r="Z650" s="3">
        <f t="shared" si="494"/>
        <v>9.759458487748212E-3</v>
      </c>
      <c r="AA650" s="3">
        <v>5.6000000000000001E-2</v>
      </c>
      <c r="AB650" s="3">
        <v>7.9000000000000001E-2</v>
      </c>
      <c r="AC650" s="3">
        <f t="shared" si="495"/>
        <v>2.3E-2</v>
      </c>
      <c r="AD650" s="3">
        <f>-603.343768*627.50956</f>
        <v>-378603.98238642205</v>
      </c>
      <c r="AE650" s="3">
        <f>-606.269971*627.50956</f>
        <v>-380440.20274342276</v>
      </c>
      <c r="AF650" s="3">
        <f t="shared" si="496"/>
        <v>-1836.2203570007114</v>
      </c>
      <c r="AG650" s="3">
        <f>-603.399808*627.50956</f>
        <v>-378639.14802216447</v>
      </c>
      <c r="AH650" s="3">
        <f>-606.327213*627.50956</f>
        <v>-380476.12264565629</v>
      </c>
      <c r="AI650" s="3">
        <f t="shared" si="497"/>
        <v>-1836.974623491813</v>
      </c>
      <c r="AJ650" s="3">
        <v>0.186</v>
      </c>
      <c r="AK650" s="3">
        <v>0.21199999999999999</v>
      </c>
      <c r="AL650" s="3">
        <f t="shared" si="498"/>
        <v>2.5999999999999995E-2</v>
      </c>
      <c r="AM650" s="3">
        <v>144.32990000000001</v>
      </c>
      <c r="AN650" s="3">
        <v>243.2936</v>
      </c>
      <c r="AO650" s="3">
        <v>294.46730000000002</v>
      </c>
      <c r="AP650" s="3">
        <f t="shared" si="515"/>
        <v>1.1368292839988063</v>
      </c>
      <c r="AQ650" s="3">
        <v>9.0519999999999996</v>
      </c>
      <c r="AR650" s="3">
        <v>2.3159000000000001</v>
      </c>
      <c r="AS650" s="3">
        <v>-132.80099999999999</v>
      </c>
      <c r="AT650" s="3">
        <v>-131.97</v>
      </c>
      <c r="AU650" s="3">
        <f t="shared" si="511"/>
        <v>-0.83099999999998886</v>
      </c>
      <c r="AV650" s="3">
        <v>-0.34100000000000003</v>
      </c>
      <c r="AW650" s="3">
        <v>-0.47499999999999998</v>
      </c>
      <c r="AX650" s="3">
        <f t="shared" si="500"/>
        <v>0.13399999999999995</v>
      </c>
      <c r="AY650" s="3">
        <v>2.9000000000000001E-2</v>
      </c>
      <c r="AZ650" s="3">
        <v>0.156</v>
      </c>
      <c r="BA650" s="3">
        <f t="shared" si="501"/>
        <v>-0.127</v>
      </c>
      <c r="BB650" s="3">
        <f t="shared" ref="BB650:BC665" si="525">-(AV650+AY650)/2</f>
        <v>0.156</v>
      </c>
      <c r="BC650" s="3">
        <f t="shared" si="525"/>
        <v>0.15949999999999998</v>
      </c>
      <c r="BD650" s="3">
        <f t="shared" si="502"/>
        <v>-3.4999999999999754E-3</v>
      </c>
      <c r="BE650" s="3">
        <f t="shared" ref="BE650:BF665" si="526">AY650-AV650</f>
        <v>0.37000000000000005</v>
      </c>
      <c r="BF650" s="3">
        <f t="shared" si="526"/>
        <v>0.63100000000000001</v>
      </c>
      <c r="BG650" s="3">
        <f t="shared" si="503"/>
        <v>-0.26099999999999995</v>
      </c>
      <c r="BH650" s="3">
        <f t="shared" ref="BH650:BI665" si="527">(AV650+AY650)/2</f>
        <v>-0.156</v>
      </c>
      <c r="BI650" s="3">
        <f t="shared" si="527"/>
        <v>-0.15949999999999998</v>
      </c>
      <c r="BJ650" s="3">
        <f t="shared" si="524"/>
        <v>3.4999999999999754E-3</v>
      </c>
      <c r="BK650" s="3">
        <f t="shared" si="521"/>
        <v>3.2886486486486483E-2</v>
      </c>
      <c r="BL650" s="3">
        <f t="shared" si="522"/>
        <v>2.0158676703645E-2</v>
      </c>
      <c r="BM650" s="3">
        <f t="shared" si="504"/>
        <v>1.2727809782841482E-2</v>
      </c>
      <c r="BN650" s="3">
        <v>4.7279999999999998</v>
      </c>
      <c r="BO650" s="3">
        <v>4.9340000000000002</v>
      </c>
      <c r="BP650" s="3">
        <f t="shared" si="505"/>
        <v>-0.20600000000000041</v>
      </c>
      <c r="BQ650" s="3">
        <v>-83302.89</v>
      </c>
      <c r="BR650" s="3">
        <v>-82779.224000000002</v>
      </c>
      <c r="BS650" s="3">
        <f t="shared" si="506"/>
        <v>-523.66599999999744</v>
      </c>
      <c r="BT650" s="3">
        <v>-83320.774999999994</v>
      </c>
      <c r="BU650" s="3">
        <v>-82796.997000000003</v>
      </c>
      <c r="BV650" s="3">
        <f t="shared" si="507"/>
        <v>-523.77799999999115</v>
      </c>
    </row>
    <row r="651" spans="1:74" x14ac:dyDescent="0.25">
      <c r="A651" t="s">
        <v>102</v>
      </c>
      <c r="B651" t="s">
        <v>728</v>
      </c>
      <c r="C651" t="s">
        <v>103</v>
      </c>
      <c r="D651" s="3">
        <v>-6.4</v>
      </c>
      <c r="E651" s="3">
        <v>1.1000000000000001</v>
      </c>
      <c r="F651" s="3">
        <v>-1023.779</v>
      </c>
      <c r="G651" s="3">
        <v>-1029.434</v>
      </c>
      <c r="H651" s="3">
        <f t="shared" si="499"/>
        <v>-5.6549999999999727</v>
      </c>
      <c r="I651" s="3">
        <v>-0.31900000000000001</v>
      </c>
      <c r="J651" s="6">
        <v>-0.24299999999999999</v>
      </c>
      <c r="K651" s="3">
        <f t="shared" si="486"/>
        <v>7.6000000000000012E-2</v>
      </c>
      <c r="L651" s="3">
        <v>0.11799999999999999</v>
      </c>
      <c r="M651" s="6">
        <v>-2.3E-2</v>
      </c>
      <c r="N651" s="3">
        <f t="shared" si="487"/>
        <v>-0.14099999999999999</v>
      </c>
      <c r="O651" s="3">
        <f t="shared" si="478"/>
        <v>0.10050000000000001</v>
      </c>
      <c r="P651" s="3">
        <f t="shared" si="478"/>
        <v>0.13300000000000001</v>
      </c>
      <c r="Q651" s="3">
        <f t="shared" si="488"/>
        <v>3.2500000000000001E-2</v>
      </c>
      <c r="R651" s="3">
        <f t="shared" si="489"/>
        <v>0.437</v>
      </c>
      <c r="S651" s="3">
        <f t="shared" si="490"/>
        <v>0.22</v>
      </c>
      <c r="T651" s="3">
        <f t="shared" si="491"/>
        <v>-0.217</v>
      </c>
      <c r="U651" s="3">
        <f t="shared" si="492"/>
        <v>-0.10050000000000001</v>
      </c>
      <c r="V651" s="3">
        <f t="shared" si="493"/>
        <v>-0.13300000000000001</v>
      </c>
      <c r="W651" s="3">
        <f t="shared" si="523"/>
        <v>-3.2500000000000001E-2</v>
      </c>
      <c r="X651" s="3">
        <f t="shared" si="519"/>
        <v>1.1556350114416478E-2</v>
      </c>
      <c r="Y651" s="3">
        <f t="shared" si="520"/>
        <v>4.0202272727272732E-2</v>
      </c>
      <c r="Z651" s="3">
        <f t="shared" si="494"/>
        <v>2.8645922612856256E-2</v>
      </c>
      <c r="AA651" s="3">
        <v>0.36699999999999999</v>
      </c>
      <c r="AB651" s="3">
        <v>0.36</v>
      </c>
      <c r="AC651" s="3">
        <f t="shared" si="495"/>
        <v>-7.0000000000000062E-3</v>
      </c>
      <c r="AD651" s="3">
        <f>-1023.337153*627.50956</f>
        <v>-642153.84661068255</v>
      </c>
      <c r="AE651" s="3">
        <f>-1029.016077*627.50956</f>
        <v>-645717.42571119603</v>
      </c>
      <c r="AF651" s="3">
        <f t="shared" si="496"/>
        <v>-3563.5791005134815</v>
      </c>
      <c r="AG651" s="3">
        <f>-1023.411492*627.50956</f>
        <v>-642200.49504386343</v>
      </c>
      <c r="AH651" s="3">
        <f>-1029.09254*627.50956</f>
        <v>-645765.40697468247</v>
      </c>
      <c r="AI651" s="3">
        <f t="shared" si="497"/>
        <v>-3564.911930819042</v>
      </c>
      <c r="AJ651" s="3">
        <v>0.18</v>
      </c>
      <c r="AK651" s="3">
        <v>0.21</v>
      </c>
      <c r="AL651" s="3">
        <f t="shared" si="498"/>
        <v>0.03</v>
      </c>
      <c r="AM651" s="3">
        <v>282.495</v>
      </c>
      <c r="AN651" s="3">
        <v>377.16899999999998</v>
      </c>
      <c r="AO651" s="3">
        <v>483.108</v>
      </c>
      <c r="AP651" s="3">
        <f t="shared" si="515"/>
        <v>1.2669586896809459</v>
      </c>
      <c r="AQ651" s="3">
        <v>13.236000000000001</v>
      </c>
      <c r="AR651" s="3">
        <v>3.4479000000000002</v>
      </c>
      <c r="AS651" s="3">
        <v>-959.76900000000001</v>
      </c>
      <c r="AT651" s="3">
        <v>-958.05</v>
      </c>
      <c r="AU651" s="3">
        <f t="shared" si="511"/>
        <v>-1.7190000000000509</v>
      </c>
      <c r="AV651" s="3">
        <v>-0.317</v>
      </c>
      <c r="AW651" s="3">
        <v>-0.45</v>
      </c>
      <c r="AX651" s="3">
        <f t="shared" si="500"/>
        <v>0.13300000000000001</v>
      </c>
      <c r="AY651" s="3">
        <v>-2.4E-2</v>
      </c>
      <c r="AZ651" s="3">
        <v>0.13500000000000001</v>
      </c>
      <c r="BA651" s="3">
        <f t="shared" si="501"/>
        <v>-0.159</v>
      </c>
      <c r="BB651" s="3">
        <f t="shared" si="525"/>
        <v>0.17050000000000001</v>
      </c>
      <c r="BC651" s="3">
        <f t="shared" si="525"/>
        <v>0.1575</v>
      </c>
      <c r="BD651" s="3">
        <f t="shared" si="502"/>
        <v>1.3000000000000012E-2</v>
      </c>
      <c r="BE651" s="3">
        <f t="shared" si="526"/>
        <v>0.29299999999999998</v>
      </c>
      <c r="BF651" s="3">
        <f t="shared" si="526"/>
        <v>0.58499999999999996</v>
      </c>
      <c r="BG651" s="3">
        <f t="shared" si="503"/>
        <v>-0.29199999999999998</v>
      </c>
      <c r="BH651" s="3">
        <f t="shared" si="527"/>
        <v>-0.17050000000000001</v>
      </c>
      <c r="BI651" s="3">
        <f t="shared" si="527"/>
        <v>-0.1575</v>
      </c>
      <c r="BJ651" s="3">
        <f t="shared" si="524"/>
        <v>-1.3000000000000012E-2</v>
      </c>
      <c r="BK651" s="3">
        <f t="shared" si="521"/>
        <v>4.9607935153583631E-2</v>
      </c>
      <c r="BL651" s="3">
        <f t="shared" si="522"/>
        <v>2.120192307692308E-2</v>
      </c>
      <c r="BM651" s="3">
        <f t="shared" si="504"/>
        <v>2.8406012076660551E-2</v>
      </c>
      <c r="BN651" s="3">
        <v>2.2370000000000001</v>
      </c>
      <c r="BO651" s="3">
        <v>2.431</v>
      </c>
      <c r="BP651" s="3">
        <f t="shared" si="505"/>
        <v>-0.19399999999999995</v>
      </c>
      <c r="BQ651" s="3">
        <v>-602243.07700000005</v>
      </c>
      <c r="BR651" s="3">
        <v>-601163.24300000002</v>
      </c>
      <c r="BS651" s="3">
        <f t="shared" si="506"/>
        <v>-1079.8340000000317</v>
      </c>
      <c r="BT651" s="3">
        <v>-602262.36399999994</v>
      </c>
      <c r="BU651" s="3">
        <v>-601182.38500000001</v>
      </c>
      <c r="BV651" s="3">
        <f t="shared" si="507"/>
        <v>-1079.9789999999339</v>
      </c>
    </row>
    <row r="652" spans="1:74" x14ac:dyDescent="0.25">
      <c r="A652" t="s">
        <v>104</v>
      </c>
      <c r="B652" t="s">
        <v>728</v>
      </c>
      <c r="C652" t="s">
        <v>103</v>
      </c>
      <c r="D652" s="3">
        <v>-5.4</v>
      </c>
      <c r="E652" s="3">
        <v>1.1000000000000001</v>
      </c>
      <c r="F652" s="3">
        <v>-564.61</v>
      </c>
      <c r="G652" s="3">
        <v>-567.24</v>
      </c>
      <c r="H652" s="3">
        <f t="shared" si="499"/>
        <v>-2.6299999999999955</v>
      </c>
      <c r="I652" s="3">
        <v>-0.39500000000000002</v>
      </c>
      <c r="J652" s="6">
        <v>-0.27600000000000002</v>
      </c>
      <c r="K652" s="3">
        <f t="shared" si="486"/>
        <v>0.11899999999999999</v>
      </c>
      <c r="L652" s="3">
        <v>0.14099999999999999</v>
      </c>
      <c r="M652" s="6">
        <v>3.1E-2</v>
      </c>
      <c r="N652" s="3">
        <f t="shared" si="487"/>
        <v>-0.10999999999999999</v>
      </c>
      <c r="O652" s="3">
        <f t="shared" si="478"/>
        <v>0.127</v>
      </c>
      <c r="P652" s="3">
        <f t="shared" si="478"/>
        <v>0.12250000000000001</v>
      </c>
      <c r="Q652" s="3">
        <f t="shared" si="488"/>
        <v>-4.4999999999999901E-3</v>
      </c>
      <c r="R652" s="3">
        <f t="shared" si="489"/>
        <v>0.53600000000000003</v>
      </c>
      <c r="S652" s="3">
        <f t="shared" si="490"/>
        <v>0.30700000000000005</v>
      </c>
      <c r="T652" s="3">
        <f t="shared" si="491"/>
        <v>-0.22899999999999998</v>
      </c>
      <c r="U652" s="3">
        <f t="shared" si="492"/>
        <v>-0.127</v>
      </c>
      <c r="V652" s="3">
        <f t="shared" si="493"/>
        <v>-0.12250000000000001</v>
      </c>
      <c r="W652" s="3">
        <f t="shared" si="523"/>
        <v>4.4999999999999901E-3</v>
      </c>
      <c r="X652" s="3">
        <f t="shared" si="519"/>
        <v>1.5045708955223881E-2</v>
      </c>
      <c r="Y652" s="3">
        <f t="shared" si="520"/>
        <v>2.4440146579804561E-2</v>
      </c>
      <c r="Z652" s="3">
        <f t="shared" si="494"/>
        <v>9.3944376245806809E-3</v>
      </c>
      <c r="AA652" s="3">
        <v>9.7000000000000003E-2</v>
      </c>
      <c r="AB652" s="3">
        <v>7.8E-2</v>
      </c>
      <c r="AC652" s="3">
        <f t="shared" si="495"/>
        <v>-1.9000000000000003E-2</v>
      </c>
      <c r="AD652" s="3">
        <f>-564.35109*627.50956</f>
        <v>-354135.70417142037</v>
      </c>
      <c r="AE652" s="3">
        <f>-566.993905*627.50956</f>
        <v>-355794.09584923182</v>
      </c>
      <c r="AF652" s="3">
        <f t="shared" si="496"/>
        <v>-1658.3916778114508</v>
      </c>
      <c r="AG652" s="3">
        <f>-564.403581*627.50956</f>
        <v>-354168.64277573436</v>
      </c>
      <c r="AH652" s="3">
        <f>-567.047862*627.50956</f>
        <v>-355827.95438256068</v>
      </c>
      <c r="AI652" s="3">
        <f t="shared" si="497"/>
        <v>-1659.3116068263189</v>
      </c>
      <c r="AJ652" s="3">
        <v>0.156</v>
      </c>
      <c r="AK652" s="3">
        <v>0.21099999999999999</v>
      </c>
      <c r="AL652" s="3">
        <f t="shared" si="498"/>
        <v>5.4999999999999993E-2</v>
      </c>
      <c r="AM652" s="3">
        <v>130.30330000000001</v>
      </c>
      <c r="AN652" s="3">
        <v>238.8066</v>
      </c>
      <c r="AO652" s="3">
        <v>270.96899999999999</v>
      </c>
      <c r="AP652" s="3">
        <f t="shared" si="515"/>
        <v>1.1794762583288321</v>
      </c>
      <c r="AQ652" s="3">
        <v>11.18</v>
      </c>
      <c r="AR652" s="3">
        <v>2.5476999999999999</v>
      </c>
      <c r="AS652" s="3">
        <v>-959.76900000000001</v>
      </c>
      <c r="AT652" s="3">
        <v>-958.05</v>
      </c>
      <c r="AU652" s="3">
        <f t="shared" si="511"/>
        <v>-1.7190000000000509</v>
      </c>
      <c r="AV652" s="3">
        <v>-0.317</v>
      </c>
      <c r="AW652" s="3">
        <v>-0.45</v>
      </c>
      <c r="AX652" s="3">
        <f t="shared" si="500"/>
        <v>0.13300000000000001</v>
      </c>
      <c r="AY652" s="3">
        <v>-2.4E-2</v>
      </c>
      <c r="AZ652" s="3">
        <v>0.13500000000000001</v>
      </c>
      <c r="BA652" s="3">
        <f t="shared" si="501"/>
        <v>-0.159</v>
      </c>
      <c r="BB652" s="3">
        <f t="shared" si="525"/>
        <v>0.17050000000000001</v>
      </c>
      <c r="BC652" s="3">
        <f t="shared" si="525"/>
        <v>0.1575</v>
      </c>
      <c r="BD652" s="3">
        <f t="shared" si="502"/>
        <v>1.3000000000000012E-2</v>
      </c>
      <c r="BE652" s="3">
        <f t="shared" si="526"/>
        <v>0.29299999999999998</v>
      </c>
      <c r="BF652" s="3">
        <f t="shared" si="526"/>
        <v>0.58499999999999996</v>
      </c>
      <c r="BG652" s="3">
        <f t="shared" si="503"/>
        <v>-0.29199999999999998</v>
      </c>
      <c r="BH652" s="3">
        <f t="shared" si="527"/>
        <v>-0.17050000000000001</v>
      </c>
      <c r="BI652" s="3">
        <f t="shared" si="527"/>
        <v>-0.1575</v>
      </c>
      <c r="BJ652" s="3">
        <f t="shared" si="524"/>
        <v>-1.3000000000000012E-2</v>
      </c>
      <c r="BK652" s="3">
        <f t="shared" si="521"/>
        <v>4.9607935153583631E-2</v>
      </c>
      <c r="BL652" s="3">
        <f t="shared" si="522"/>
        <v>2.120192307692308E-2</v>
      </c>
      <c r="BM652" s="3">
        <f t="shared" si="504"/>
        <v>2.8406012076660551E-2</v>
      </c>
      <c r="BN652" s="3">
        <v>2.2370000000000001</v>
      </c>
      <c r="BO652" s="3">
        <v>2.431</v>
      </c>
      <c r="BP652" s="3">
        <f t="shared" si="505"/>
        <v>-0.19399999999999995</v>
      </c>
      <c r="BQ652" s="3">
        <v>-602243.07700000005</v>
      </c>
      <c r="BR652" s="3">
        <v>-601163.24300000002</v>
      </c>
      <c r="BS652" s="3">
        <f t="shared" si="506"/>
        <v>-1079.8340000000317</v>
      </c>
      <c r="BT652" s="3">
        <v>-602262.36399999994</v>
      </c>
      <c r="BU652" s="3">
        <v>-601182.38500000001</v>
      </c>
      <c r="BV652" s="3">
        <f t="shared" si="507"/>
        <v>-1079.9789999999339</v>
      </c>
    </row>
    <row r="653" spans="1:74" x14ac:dyDescent="0.25">
      <c r="A653" t="s">
        <v>105</v>
      </c>
      <c r="B653" t="s">
        <v>728</v>
      </c>
      <c r="C653" t="s">
        <v>103</v>
      </c>
      <c r="D653" s="3">
        <v>-5.3</v>
      </c>
      <c r="E653" s="3">
        <v>1.1000000000000001</v>
      </c>
      <c r="F653" s="3">
        <v>-932.83500000000004</v>
      </c>
      <c r="G653" s="3">
        <v>-936.65</v>
      </c>
      <c r="H653" s="3">
        <f t="shared" si="499"/>
        <v>-3.8149999999999409</v>
      </c>
      <c r="I653" s="3">
        <v>-0.379</v>
      </c>
      <c r="J653" s="6">
        <v>-0.26300000000000001</v>
      </c>
      <c r="K653" s="3">
        <f t="shared" si="486"/>
        <v>0.11599999999999999</v>
      </c>
      <c r="L653" s="3">
        <v>0.13600000000000001</v>
      </c>
      <c r="M653" s="6">
        <v>2.5999999999999999E-2</v>
      </c>
      <c r="N653" s="3">
        <f t="shared" si="487"/>
        <v>-0.11000000000000001</v>
      </c>
      <c r="O653" s="3">
        <f t="shared" ref="O653:P716" si="528">-(I653+L653)/2</f>
        <v>0.1215</v>
      </c>
      <c r="P653" s="3">
        <f t="shared" si="528"/>
        <v>0.11850000000000001</v>
      </c>
      <c r="Q653" s="3">
        <f t="shared" si="488"/>
        <v>-2.9999999999999888E-3</v>
      </c>
      <c r="R653" s="3">
        <f t="shared" si="489"/>
        <v>0.51500000000000001</v>
      </c>
      <c r="S653" s="3">
        <f t="shared" si="490"/>
        <v>0.28900000000000003</v>
      </c>
      <c r="T653" s="3">
        <f t="shared" si="491"/>
        <v>-0.22599999999999998</v>
      </c>
      <c r="U653" s="3">
        <f t="shared" si="492"/>
        <v>-0.1215</v>
      </c>
      <c r="V653" s="3">
        <f t="shared" si="493"/>
        <v>-0.11850000000000001</v>
      </c>
      <c r="W653" s="3">
        <f t="shared" si="523"/>
        <v>2.9999999999999888E-3</v>
      </c>
      <c r="X653" s="3">
        <f t="shared" si="519"/>
        <v>1.4332281553398057E-2</v>
      </c>
      <c r="Y653" s="3">
        <f t="shared" si="520"/>
        <v>2.4294550173010382E-2</v>
      </c>
      <c r="Z653" s="3">
        <f t="shared" si="494"/>
        <v>9.9622686196123248E-3</v>
      </c>
      <c r="AA653" s="3">
        <v>9.6000000000000002E-2</v>
      </c>
      <c r="AB653" s="3">
        <v>7.9000000000000001E-2</v>
      </c>
      <c r="AC653" s="3">
        <f t="shared" si="495"/>
        <v>-1.7000000000000001E-2</v>
      </c>
      <c r="AD653" s="3">
        <f>-932.494444*627.50956</f>
        <v>-585149.17825688468</v>
      </c>
      <c r="AE653" s="3">
        <f>-936.325547*627.50956</f>
        <v>-587553.23201472929</v>
      </c>
      <c r="AF653" s="3">
        <f t="shared" si="496"/>
        <v>-2404.0537578446092</v>
      </c>
      <c r="AG653" s="3">
        <f>-932.560707*627.50956</f>
        <v>-585190.75892285886</v>
      </c>
      <c r="AH653" s="3">
        <f>-936.393368*627.50956</f>
        <v>-587595.79034059809</v>
      </c>
      <c r="AI653" s="3">
        <f t="shared" si="497"/>
        <v>-2405.0314177392283</v>
      </c>
      <c r="AJ653" s="3">
        <v>0.157</v>
      </c>
      <c r="AK653" s="3">
        <v>0.185</v>
      </c>
      <c r="AL653" s="3">
        <f t="shared" si="498"/>
        <v>2.7999999999999997E-2</v>
      </c>
      <c r="AM653" s="3">
        <v>188.45779999999999</v>
      </c>
      <c r="AN653" s="3">
        <v>313.92559999999997</v>
      </c>
      <c r="AO653" s="3">
        <v>374.73599999999999</v>
      </c>
      <c r="AP653" s="3">
        <f t="shared" si="515"/>
        <v>1.2491053607471962</v>
      </c>
      <c r="AQ653" s="3">
        <v>13.05</v>
      </c>
      <c r="AR653" s="3">
        <v>3.2765</v>
      </c>
      <c r="AS653" s="3">
        <v>-959.76900000000001</v>
      </c>
      <c r="AT653" s="3">
        <v>-958.05</v>
      </c>
      <c r="AU653" s="3">
        <f t="shared" si="511"/>
        <v>-1.7190000000000509</v>
      </c>
      <c r="AV653" s="3">
        <v>-0.317</v>
      </c>
      <c r="AW653" s="3">
        <v>-0.45</v>
      </c>
      <c r="AX653" s="3">
        <f t="shared" si="500"/>
        <v>0.13300000000000001</v>
      </c>
      <c r="AY653" s="3">
        <v>-2.4E-2</v>
      </c>
      <c r="AZ653" s="3">
        <v>0.13500000000000001</v>
      </c>
      <c r="BA653" s="3">
        <f t="shared" si="501"/>
        <v>-0.159</v>
      </c>
      <c r="BB653" s="3">
        <f t="shared" si="525"/>
        <v>0.17050000000000001</v>
      </c>
      <c r="BC653" s="3">
        <f t="shared" si="525"/>
        <v>0.1575</v>
      </c>
      <c r="BD653" s="3">
        <f t="shared" si="502"/>
        <v>1.3000000000000012E-2</v>
      </c>
      <c r="BE653" s="3">
        <f t="shared" si="526"/>
        <v>0.29299999999999998</v>
      </c>
      <c r="BF653" s="3">
        <f t="shared" si="526"/>
        <v>0.58499999999999996</v>
      </c>
      <c r="BG653" s="3">
        <f t="shared" si="503"/>
        <v>-0.29199999999999998</v>
      </c>
      <c r="BH653" s="3">
        <f t="shared" si="527"/>
        <v>-0.17050000000000001</v>
      </c>
      <c r="BI653" s="3">
        <f t="shared" si="527"/>
        <v>-0.1575</v>
      </c>
      <c r="BJ653" s="3">
        <f t="shared" si="524"/>
        <v>-1.3000000000000012E-2</v>
      </c>
      <c r="BK653" s="3">
        <f t="shared" si="521"/>
        <v>4.9607935153583631E-2</v>
      </c>
      <c r="BL653" s="3">
        <f t="shared" si="522"/>
        <v>2.120192307692308E-2</v>
      </c>
      <c r="BM653" s="3">
        <f t="shared" si="504"/>
        <v>2.8406012076660551E-2</v>
      </c>
      <c r="BN653" s="3">
        <v>2.2370000000000001</v>
      </c>
      <c r="BO653" s="3">
        <v>2.431</v>
      </c>
      <c r="BP653" s="3">
        <f t="shared" si="505"/>
        <v>-0.19399999999999995</v>
      </c>
      <c r="BQ653" s="3">
        <v>-602243.07700000005</v>
      </c>
      <c r="BR653" s="3">
        <v>-601163.24300000002</v>
      </c>
      <c r="BS653" s="3">
        <f t="shared" si="506"/>
        <v>-1079.8340000000317</v>
      </c>
      <c r="BT653" s="3">
        <v>-602262.36399999994</v>
      </c>
      <c r="BU653" s="3">
        <v>-601182.38500000001</v>
      </c>
      <c r="BV653" s="3">
        <f t="shared" si="507"/>
        <v>-1079.9789999999339</v>
      </c>
    </row>
    <row r="654" spans="1:74" x14ac:dyDescent="0.25">
      <c r="A654" t="s">
        <v>106</v>
      </c>
      <c r="B654" t="s">
        <v>728</v>
      </c>
      <c r="C654" t="s">
        <v>99</v>
      </c>
      <c r="D654" s="3">
        <v>-5.18</v>
      </c>
      <c r="E654" s="3">
        <v>0.82</v>
      </c>
      <c r="F654" s="3">
        <v>-1070.7139999999999</v>
      </c>
      <c r="G654" s="3">
        <v>-1077.509</v>
      </c>
      <c r="H654" s="3">
        <f t="shared" si="499"/>
        <v>-6.7950000000000728</v>
      </c>
      <c r="I654" s="3">
        <v>-0.29799999999999999</v>
      </c>
      <c r="J654" s="6">
        <v>-0.215</v>
      </c>
      <c r="K654" s="3">
        <f t="shared" si="486"/>
        <v>8.299999999999999E-2</v>
      </c>
      <c r="L654" s="3">
        <v>0.11</v>
      </c>
      <c r="M654" s="6">
        <v>-2.5000000000000001E-2</v>
      </c>
      <c r="N654" s="3">
        <f t="shared" si="487"/>
        <v>-0.13500000000000001</v>
      </c>
      <c r="O654" s="3">
        <f t="shared" si="528"/>
        <v>9.4E-2</v>
      </c>
      <c r="P654" s="3">
        <f t="shared" si="528"/>
        <v>0.12</v>
      </c>
      <c r="Q654" s="3">
        <f t="shared" si="488"/>
        <v>2.5999999999999995E-2</v>
      </c>
      <c r="R654" s="3">
        <f t="shared" si="489"/>
        <v>0.40799999999999997</v>
      </c>
      <c r="S654" s="3">
        <f t="shared" si="490"/>
        <v>0.19</v>
      </c>
      <c r="T654" s="3">
        <f t="shared" si="491"/>
        <v>-0.21799999999999997</v>
      </c>
      <c r="U654" s="3">
        <f t="shared" si="492"/>
        <v>-9.4E-2</v>
      </c>
      <c r="V654" s="3">
        <f t="shared" si="493"/>
        <v>-0.12</v>
      </c>
      <c r="W654" s="3">
        <f t="shared" si="523"/>
        <v>-2.5999999999999995E-2</v>
      </c>
      <c r="X654" s="3">
        <f t="shared" si="519"/>
        <v>1.0828431372549021E-2</v>
      </c>
      <c r="Y654" s="3">
        <f t="shared" si="520"/>
        <v>3.7894736842105259E-2</v>
      </c>
      <c r="Z654" s="3">
        <f t="shared" si="494"/>
        <v>2.706630546955624E-2</v>
      </c>
      <c r="AA654" s="3">
        <v>4.6970000000000001</v>
      </c>
      <c r="AB654" s="3">
        <v>3.7789999999999999</v>
      </c>
      <c r="AC654" s="3">
        <f t="shared" si="495"/>
        <v>-0.91800000000000015</v>
      </c>
      <c r="AD654" s="3">
        <f>-1070.278749*627.50956</f>
        <v>-671610.14686234039</v>
      </c>
      <c r="AE654" s="3">
        <f>-1077.098496*627.50956</f>
        <v>-675889.60330162174</v>
      </c>
      <c r="AF654" s="3">
        <f t="shared" si="496"/>
        <v>-4279.4564392813481</v>
      </c>
      <c r="AG654" s="3">
        <f>-1070.356354*627.50956</f>
        <v>-671658.84474174422</v>
      </c>
      <c r="AH654" s="3">
        <f>-1077.178389*627.50956</f>
        <v>-675939.7369228988</v>
      </c>
      <c r="AI654" s="3">
        <f t="shared" si="497"/>
        <v>-4280.8921811545733</v>
      </c>
      <c r="AJ654" s="3">
        <v>0.19500000000000001</v>
      </c>
      <c r="AK654" s="3">
        <v>0.223</v>
      </c>
      <c r="AL654" s="3">
        <f t="shared" si="498"/>
        <v>2.7999999999999997E-2</v>
      </c>
      <c r="AM654" s="3">
        <v>334.40800000000002</v>
      </c>
      <c r="AN654" s="3">
        <v>419.80900000000003</v>
      </c>
      <c r="AO654" s="3">
        <v>500.30079999999998</v>
      </c>
      <c r="AP654" s="3">
        <f t="shared" si="515"/>
        <v>1.3776965273566992</v>
      </c>
      <c r="AQ654" s="3">
        <v>15.317</v>
      </c>
      <c r="AR654" s="3">
        <v>4.165</v>
      </c>
      <c r="AS654" s="3">
        <v>-132.80099999999999</v>
      </c>
      <c r="AT654" s="3">
        <v>-131.97</v>
      </c>
      <c r="AU654" s="3">
        <f t="shared" si="511"/>
        <v>-0.83099999999998886</v>
      </c>
      <c r="AV654" s="3">
        <v>-0.34100000000000003</v>
      </c>
      <c r="AW654" s="3">
        <v>-0.47499999999999998</v>
      </c>
      <c r="AX654" s="3">
        <f t="shared" si="500"/>
        <v>0.13399999999999995</v>
      </c>
      <c r="AY654" s="3">
        <v>2.9000000000000001E-2</v>
      </c>
      <c r="AZ654" s="3">
        <v>0.156</v>
      </c>
      <c r="BA654" s="3">
        <f t="shared" si="501"/>
        <v>-0.127</v>
      </c>
      <c r="BB654" s="3">
        <f t="shared" si="525"/>
        <v>0.156</v>
      </c>
      <c r="BC654" s="3">
        <f t="shared" si="525"/>
        <v>0.15949999999999998</v>
      </c>
      <c r="BD654" s="3">
        <f t="shared" si="502"/>
        <v>-3.4999999999999754E-3</v>
      </c>
      <c r="BE654" s="3">
        <f t="shared" si="526"/>
        <v>0.37000000000000005</v>
      </c>
      <c r="BF654" s="3">
        <f t="shared" si="526"/>
        <v>0.63100000000000001</v>
      </c>
      <c r="BG654" s="3">
        <f t="shared" si="503"/>
        <v>-0.26099999999999995</v>
      </c>
      <c r="BH654" s="3">
        <f t="shared" si="527"/>
        <v>-0.156</v>
      </c>
      <c r="BI654" s="3">
        <f t="shared" si="527"/>
        <v>-0.15949999999999998</v>
      </c>
      <c r="BJ654" s="3">
        <f t="shared" si="524"/>
        <v>3.4999999999999754E-3</v>
      </c>
      <c r="BK654" s="3">
        <f t="shared" si="521"/>
        <v>3.2886486486486483E-2</v>
      </c>
      <c r="BL654" s="3">
        <f t="shared" si="522"/>
        <v>2.0158676703645E-2</v>
      </c>
      <c r="BM654" s="3">
        <f t="shared" si="504"/>
        <v>1.2727809782841482E-2</v>
      </c>
      <c r="BN654" s="3">
        <v>4.7279999999999998</v>
      </c>
      <c r="BO654" s="3">
        <v>4.9340000000000002</v>
      </c>
      <c r="BP654" s="3">
        <f t="shared" si="505"/>
        <v>-0.20600000000000041</v>
      </c>
      <c r="BQ654" s="3">
        <v>-83302.89</v>
      </c>
      <c r="BR654" s="3">
        <v>-82779.224000000002</v>
      </c>
      <c r="BS654" s="3">
        <f t="shared" si="506"/>
        <v>-523.66599999999744</v>
      </c>
      <c r="BT654" s="3">
        <v>-83320.774999999994</v>
      </c>
      <c r="BU654" s="3">
        <v>-82796.997000000003</v>
      </c>
      <c r="BV654" s="3">
        <f t="shared" si="507"/>
        <v>-523.77799999999115</v>
      </c>
    </row>
    <row r="655" spans="1:74" x14ac:dyDescent="0.25">
      <c r="A655" t="s">
        <v>107</v>
      </c>
      <c r="B655" t="s">
        <v>728</v>
      </c>
      <c r="C655" t="s">
        <v>103</v>
      </c>
      <c r="D655" s="3">
        <v>-5.0999999999999996</v>
      </c>
      <c r="E655" s="3">
        <v>0.8</v>
      </c>
      <c r="F655" s="3">
        <v>-232.21</v>
      </c>
      <c r="G655" s="3">
        <v>-233.73400000000001</v>
      </c>
      <c r="H655" s="3">
        <f t="shared" si="499"/>
        <v>-1.5240000000000009</v>
      </c>
      <c r="I655" s="3">
        <v>-0.41699999999999998</v>
      </c>
      <c r="J655" s="6">
        <v>-0.25900000000000001</v>
      </c>
      <c r="K655" s="3">
        <f t="shared" si="486"/>
        <v>0.15799999999999997</v>
      </c>
      <c r="L655" s="3">
        <v>0.161</v>
      </c>
      <c r="M655" s="6">
        <v>4.7E-2</v>
      </c>
      <c r="N655" s="3">
        <f t="shared" si="487"/>
        <v>-0.114</v>
      </c>
      <c r="O655" s="3">
        <f t="shared" si="528"/>
        <v>0.128</v>
      </c>
      <c r="P655" s="3">
        <f t="shared" si="528"/>
        <v>0.10600000000000001</v>
      </c>
      <c r="Q655" s="3">
        <f t="shared" si="488"/>
        <v>-2.1999999999999992E-2</v>
      </c>
      <c r="R655" s="3">
        <f t="shared" si="489"/>
        <v>0.57799999999999996</v>
      </c>
      <c r="S655" s="3">
        <f t="shared" si="490"/>
        <v>0.30599999999999999</v>
      </c>
      <c r="T655" s="3">
        <f t="shared" si="491"/>
        <v>-0.27199999999999996</v>
      </c>
      <c r="U655" s="3">
        <f t="shared" si="492"/>
        <v>-0.128</v>
      </c>
      <c r="V655" s="3">
        <f t="shared" si="493"/>
        <v>-0.10600000000000001</v>
      </c>
      <c r="W655" s="3">
        <f t="shared" si="523"/>
        <v>2.1999999999999992E-2</v>
      </c>
      <c r="X655" s="3">
        <f t="shared" si="519"/>
        <v>1.4173010380622839E-2</v>
      </c>
      <c r="Y655" s="3">
        <f t="shared" si="520"/>
        <v>1.835947712418301E-2</v>
      </c>
      <c r="Z655" s="3">
        <f t="shared" si="494"/>
        <v>4.1864667435601716E-3</v>
      </c>
      <c r="AA655" s="3">
        <v>1.61</v>
      </c>
      <c r="AB655" s="3">
        <v>1.4610000000000001</v>
      </c>
      <c r="AC655" s="3">
        <f t="shared" si="495"/>
        <v>-0.14900000000000002</v>
      </c>
      <c r="AD655" s="3">
        <f>-232.057993*627.50956</f>
        <v>-145618.60908191308</v>
      </c>
      <c r="AE655" s="3">
        <f>-233.590837*627.50956</f>
        <v>-146580.48334590171</v>
      </c>
      <c r="AF655" s="3">
        <f t="shared" si="496"/>
        <v>-961.87426398863317</v>
      </c>
      <c r="AG655" s="3">
        <f>-232.094937*627.50956</f>
        <v>-145641.7917950977</v>
      </c>
      <c r="AH655" s="3">
        <f>-233.628185*627.50956</f>
        <v>-146603.91957294859</v>
      </c>
      <c r="AI655" s="3">
        <f t="shared" si="497"/>
        <v>-962.12777785089565</v>
      </c>
      <c r="AJ655" s="3">
        <v>0.124</v>
      </c>
      <c r="AK655" s="3">
        <v>0.152</v>
      </c>
      <c r="AL655" s="3">
        <f t="shared" si="498"/>
        <v>2.7999999999999997E-2</v>
      </c>
      <c r="AM655" s="3">
        <v>74.121600000000001</v>
      </c>
      <c r="AN655" s="3">
        <v>156.3458</v>
      </c>
      <c r="AO655" s="3">
        <v>152.16399999999999</v>
      </c>
      <c r="AP655" s="3">
        <f t="shared" si="515"/>
        <v>1.1344905742264837</v>
      </c>
      <c r="AQ655" s="3">
        <v>9.0310000000000006</v>
      </c>
      <c r="AR655" s="3">
        <v>1.8338000000000001</v>
      </c>
      <c r="AS655" s="3">
        <v>-959.76900000000001</v>
      </c>
      <c r="AT655" s="3">
        <v>-958.05</v>
      </c>
      <c r="AU655" s="3">
        <f t="shared" si="511"/>
        <v>-1.7190000000000509</v>
      </c>
      <c r="AV655" s="3">
        <v>-0.317</v>
      </c>
      <c r="AW655" s="3">
        <v>-0.45</v>
      </c>
      <c r="AX655" s="3">
        <f t="shared" si="500"/>
        <v>0.13300000000000001</v>
      </c>
      <c r="AY655" s="3">
        <v>-2.4E-2</v>
      </c>
      <c r="AZ655" s="3">
        <v>0.13500000000000001</v>
      </c>
      <c r="BA655" s="3">
        <f t="shared" si="501"/>
        <v>-0.159</v>
      </c>
      <c r="BB655" s="3">
        <f t="shared" si="525"/>
        <v>0.17050000000000001</v>
      </c>
      <c r="BC655" s="3">
        <f t="shared" si="525"/>
        <v>0.1575</v>
      </c>
      <c r="BD655" s="3">
        <f t="shared" si="502"/>
        <v>1.3000000000000012E-2</v>
      </c>
      <c r="BE655" s="3">
        <f t="shared" si="526"/>
        <v>0.29299999999999998</v>
      </c>
      <c r="BF655" s="3">
        <f t="shared" si="526"/>
        <v>0.58499999999999996</v>
      </c>
      <c r="BG655" s="3">
        <f t="shared" si="503"/>
        <v>-0.29199999999999998</v>
      </c>
      <c r="BH655" s="3">
        <f t="shared" si="527"/>
        <v>-0.17050000000000001</v>
      </c>
      <c r="BI655" s="3">
        <f t="shared" si="527"/>
        <v>-0.1575</v>
      </c>
      <c r="BJ655" s="3">
        <f t="shared" si="524"/>
        <v>-1.3000000000000012E-2</v>
      </c>
      <c r="BK655" s="3">
        <f t="shared" si="521"/>
        <v>4.9607935153583631E-2</v>
      </c>
      <c r="BL655" s="3">
        <f t="shared" si="522"/>
        <v>2.120192307692308E-2</v>
      </c>
      <c r="BM655" s="3">
        <f t="shared" si="504"/>
        <v>2.8406012076660551E-2</v>
      </c>
      <c r="BN655" s="3">
        <v>2.2370000000000001</v>
      </c>
      <c r="BO655" s="3">
        <v>2.431</v>
      </c>
      <c r="BP655" s="3">
        <f t="shared" si="505"/>
        <v>-0.19399999999999995</v>
      </c>
      <c r="BQ655" s="3">
        <v>-602243.07700000005</v>
      </c>
      <c r="BR655" s="3">
        <v>-601163.24300000002</v>
      </c>
      <c r="BS655" s="3">
        <f t="shared" si="506"/>
        <v>-1079.8340000000317</v>
      </c>
      <c r="BT655" s="3">
        <v>-602262.36399999994</v>
      </c>
      <c r="BU655" s="3">
        <v>-601182.38500000001</v>
      </c>
      <c r="BV655" s="3">
        <f t="shared" si="507"/>
        <v>-1079.9789999999339</v>
      </c>
    </row>
    <row r="656" spans="1:74" x14ac:dyDescent="0.25">
      <c r="A656" t="s">
        <v>108</v>
      </c>
      <c r="B656" t="s">
        <v>728</v>
      </c>
      <c r="C656" t="s">
        <v>103</v>
      </c>
      <c r="D656" s="3">
        <v>-4.9000000000000004</v>
      </c>
      <c r="E656" s="3">
        <v>0.8</v>
      </c>
      <c r="F656" s="3">
        <v>-268.029</v>
      </c>
      <c r="G656" s="3">
        <v>-269.63099999999997</v>
      </c>
      <c r="H656" s="3">
        <f t="shared" si="499"/>
        <v>-1.6019999999999754</v>
      </c>
      <c r="I656" s="3">
        <v>-0.42499999999999999</v>
      </c>
      <c r="J656" s="6">
        <v>-0.26600000000000001</v>
      </c>
      <c r="K656" s="3">
        <f t="shared" si="486"/>
        <v>0.15899999999999997</v>
      </c>
      <c r="L656" s="3">
        <v>0.159</v>
      </c>
      <c r="M656" s="6">
        <v>4.5999999999999999E-2</v>
      </c>
      <c r="N656" s="3">
        <f t="shared" si="487"/>
        <v>-0.113</v>
      </c>
      <c r="O656" s="3">
        <f t="shared" si="528"/>
        <v>0.13300000000000001</v>
      </c>
      <c r="P656" s="3">
        <f t="shared" si="528"/>
        <v>0.11000000000000001</v>
      </c>
      <c r="Q656" s="3">
        <f t="shared" si="488"/>
        <v>-2.2999999999999993E-2</v>
      </c>
      <c r="R656" s="3">
        <f t="shared" si="489"/>
        <v>0.58399999999999996</v>
      </c>
      <c r="S656" s="3">
        <f t="shared" si="490"/>
        <v>0.312</v>
      </c>
      <c r="T656" s="3">
        <f t="shared" si="491"/>
        <v>-0.27199999999999996</v>
      </c>
      <c r="U656" s="3">
        <f t="shared" si="492"/>
        <v>-0.13300000000000001</v>
      </c>
      <c r="V656" s="3">
        <f t="shared" si="493"/>
        <v>-0.11000000000000001</v>
      </c>
      <c r="W656" s="3">
        <f t="shared" si="523"/>
        <v>2.2999999999999993E-2</v>
      </c>
      <c r="X656" s="3">
        <f t="shared" si="519"/>
        <v>1.5144691780821921E-2</v>
      </c>
      <c r="Y656" s="3">
        <f t="shared" si="520"/>
        <v>1.9391025641025645E-2</v>
      </c>
      <c r="Z656" s="3">
        <f t="shared" si="494"/>
        <v>4.2463338602037239E-3</v>
      </c>
      <c r="AA656" s="3">
        <v>2.54</v>
      </c>
      <c r="AB656" s="3">
        <v>2.3370000000000002</v>
      </c>
      <c r="AC656" s="3">
        <f t="shared" si="495"/>
        <v>-0.20299999999999985</v>
      </c>
      <c r="AD656" s="3">
        <f>-267.901164*627.50956</f>
        <v>-168110.54154512784</v>
      </c>
      <c r="AE656" s="3">
        <f>-269.511161*627.50956</f>
        <v>-169120.83005419915</v>
      </c>
      <c r="AF656" s="3">
        <f t="shared" si="496"/>
        <v>-1010.2885090713098</v>
      </c>
      <c r="AG656" s="3">
        <f>-267.938481*627.50956</f>
        <v>-168133.95831937838</v>
      </c>
      <c r="AH656" s="3">
        <f>-269.548921*627.50956</f>
        <v>-169144.52481518476</v>
      </c>
      <c r="AI656" s="3">
        <f t="shared" si="497"/>
        <v>-1010.5664958063862</v>
      </c>
      <c r="AJ656" s="3">
        <v>0.11700000000000001</v>
      </c>
      <c r="AK656" s="3">
        <v>0.14799999999999999</v>
      </c>
      <c r="AL656" s="3">
        <f t="shared" si="498"/>
        <v>3.0999999999999986E-2</v>
      </c>
      <c r="AM656" s="3">
        <v>76.094399999999993</v>
      </c>
      <c r="AN656" s="3">
        <v>141.756</v>
      </c>
      <c r="AO656" s="3">
        <v>135.04239999999999</v>
      </c>
      <c r="AP656" s="3">
        <f t="shared" si="515"/>
        <v>1.1138258731184041</v>
      </c>
      <c r="AQ656" s="3">
        <v>8.1669999999999998</v>
      </c>
      <c r="AR656" s="3">
        <v>1.6575</v>
      </c>
      <c r="AS656" s="3">
        <v>-959.76900000000001</v>
      </c>
      <c r="AT656" s="3">
        <v>-958.05</v>
      </c>
      <c r="AU656" s="3">
        <f t="shared" si="511"/>
        <v>-1.7190000000000509</v>
      </c>
      <c r="AV656" s="3">
        <v>-0.317</v>
      </c>
      <c r="AW656" s="3">
        <v>-0.45</v>
      </c>
      <c r="AX656" s="3">
        <f t="shared" si="500"/>
        <v>0.13300000000000001</v>
      </c>
      <c r="AY656" s="3">
        <v>-2.4E-2</v>
      </c>
      <c r="AZ656" s="3">
        <v>0.13500000000000001</v>
      </c>
      <c r="BA656" s="3">
        <f t="shared" si="501"/>
        <v>-0.159</v>
      </c>
      <c r="BB656" s="3">
        <f t="shared" si="525"/>
        <v>0.17050000000000001</v>
      </c>
      <c r="BC656" s="3">
        <f t="shared" si="525"/>
        <v>0.1575</v>
      </c>
      <c r="BD656" s="3">
        <f t="shared" si="502"/>
        <v>1.3000000000000012E-2</v>
      </c>
      <c r="BE656" s="3">
        <f t="shared" si="526"/>
        <v>0.29299999999999998</v>
      </c>
      <c r="BF656" s="3">
        <f t="shared" si="526"/>
        <v>0.58499999999999996</v>
      </c>
      <c r="BG656" s="3">
        <f t="shared" si="503"/>
        <v>-0.29199999999999998</v>
      </c>
      <c r="BH656" s="3">
        <f t="shared" si="527"/>
        <v>-0.17050000000000001</v>
      </c>
      <c r="BI656" s="3">
        <f t="shared" si="527"/>
        <v>-0.1575</v>
      </c>
      <c r="BJ656" s="3">
        <f t="shared" si="524"/>
        <v>-1.3000000000000012E-2</v>
      </c>
      <c r="BK656" s="3">
        <f t="shared" si="521"/>
        <v>4.9607935153583631E-2</v>
      </c>
      <c r="BL656" s="3">
        <f t="shared" si="522"/>
        <v>2.120192307692308E-2</v>
      </c>
      <c r="BM656" s="3">
        <f t="shared" si="504"/>
        <v>2.8406012076660551E-2</v>
      </c>
      <c r="BN656" s="3">
        <v>2.2370000000000001</v>
      </c>
      <c r="BO656" s="3">
        <v>2.431</v>
      </c>
      <c r="BP656" s="3">
        <f t="shared" si="505"/>
        <v>-0.19399999999999995</v>
      </c>
      <c r="BQ656" s="3">
        <v>-602243.07700000005</v>
      </c>
      <c r="BR656" s="3">
        <v>-601163.24300000002</v>
      </c>
      <c r="BS656" s="3">
        <f t="shared" si="506"/>
        <v>-1079.8340000000317</v>
      </c>
      <c r="BT656" s="3">
        <v>-602262.36399999994</v>
      </c>
      <c r="BU656" s="3">
        <v>-601182.38500000001</v>
      </c>
      <c r="BV656" s="3">
        <f t="shared" si="507"/>
        <v>-1079.9789999999339</v>
      </c>
    </row>
    <row r="657" spans="1:74" x14ac:dyDescent="0.25">
      <c r="A657" t="s">
        <v>109</v>
      </c>
      <c r="B657" t="s">
        <v>728</v>
      </c>
      <c r="C657" t="s">
        <v>99</v>
      </c>
      <c r="D657" s="3">
        <v>-4.8</v>
      </c>
      <c r="E657" s="3">
        <v>1.1000000000000001</v>
      </c>
      <c r="F657" s="3">
        <v>-2719.2</v>
      </c>
      <c r="G657" s="3">
        <v>-2724.123</v>
      </c>
      <c r="H657" s="3">
        <f t="shared" si="499"/>
        <v>-4.9230000000002292</v>
      </c>
      <c r="I657" s="3">
        <v>-0.36899999999999999</v>
      </c>
      <c r="J657" s="6">
        <v>-0.25800000000000001</v>
      </c>
      <c r="K657" s="3">
        <f t="shared" si="486"/>
        <v>0.11099999999999999</v>
      </c>
      <c r="L657" s="3">
        <v>0.13500000000000001</v>
      </c>
      <c r="M657" s="6">
        <v>2.5999999999999999E-2</v>
      </c>
      <c r="N657" s="3">
        <f t="shared" si="487"/>
        <v>-0.10900000000000001</v>
      </c>
      <c r="O657" s="3">
        <f t="shared" si="528"/>
        <v>0.11699999999999999</v>
      </c>
      <c r="P657" s="3">
        <f t="shared" si="528"/>
        <v>0.11600000000000001</v>
      </c>
      <c r="Q657" s="3">
        <f t="shared" si="488"/>
        <v>-9.9999999999998701E-4</v>
      </c>
      <c r="R657" s="3">
        <f t="shared" si="489"/>
        <v>0.504</v>
      </c>
      <c r="S657" s="3">
        <f t="shared" si="490"/>
        <v>0.28400000000000003</v>
      </c>
      <c r="T657" s="3">
        <f t="shared" si="491"/>
        <v>-0.21999999999999997</v>
      </c>
      <c r="U657" s="3">
        <f t="shared" si="492"/>
        <v>-0.11699999999999999</v>
      </c>
      <c r="V657" s="3">
        <f t="shared" si="493"/>
        <v>-0.11600000000000001</v>
      </c>
      <c r="W657" s="3">
        <f t="shared" si="523"/>
        <v>9.9999999999998701E-4</v>
      </c>
      <c r="X657" s="3">
        <f t="shared" si="519"/>
        <v>1.3580357142857141E-2</v>
      </c>
      <c r="Y657" s="3">
        <f t="shared" si="520"/>
        <v>2.3690140845070422E-2</v>
      </c>
      <c r="Z657" s="3">
        <f t="shared" si="494"/>
        <v>1.0109783702213281E-2</v>
      </c>
      <c r="AA657" s="3">
        <v>0.127</v>
      </c>
      <c r="AB657" s="3">
        <v>0.123</v>
      </c>
      <c r="AC657" s="3">
        <f t="shared" si="495"/>
        <v>-4.0000000000000036E-3</v>
      </c>
      <c r="AD657" s="3">
        <f>-2718.859628*627.50956</f>
        <v>-1706110.4088680437</v>
      </c>
      <c r="AE657" s="3">
        <f>-2723.799361*627.50956</f>
        <v>-1709210.1385493909</v>
      </c>
      <c r="AF657" s="3">
        <f t="shared" si="496"/>
        <v>-3099.729681347264</v>
      </c>
      <c r="AG657" s="3">
        <f>-2718.928739*627.50956</f>
        <v>-1706153.7766812446</v>
      </c>
      <c r="AH657" s="3">
        <f>-2723.870348*627.50956</f>
        <v>-1709254.6835705268</v>
      </c>
      <c r="AI657" s="3">
        <f t="shared" si="497"/>
        <v>-3100.906889282167</v>
      </c>
      <c r="AJ657" s="3">
        <v>0.158</v>
      </c>
      <c r="AK657" s="3">
        <v>0.186</v>
      </c>
      <c r="AL657" s="3">
        <f t="shared" si="498"/>
        <v>2.7999999999999997E-2</v>
      </c>
      <c r="AM657" s="3">
        <v>233.01230000000001</v>
      </c>
      <c r="AN657" s="3">
        <v>319.18369999999999</v>
      </c>
      <c r="AO657" s="3">
        <v>379.90499999999997</v>
      </c>
      <c r="AP657" s="3">
        <f t="shared" si="515"/>
        <v>1.2584809587203196</v>
      </c>
      <c r="AQ657" s="3">
        <v>13.175000000000001</v>
      </c>
      <c r="AR657" s="3">
        <v>3.2021099999999998</v>
      </c>
      <c r="AS657" s="3">
        <v>-132.80099999999999</v>
      </c>
      <c r="AT657" s="3">
        <v>-131.97</v>
      </c>
      <c r="AU657" s="3">
        <f t="shared" si="511"/>
        <v>-0.83099999999998886</v>
      </c>
      <c r="AV657" s="3">
        <v>-0.34100000000000003</v>
      </c>
      <c r="AW657" s="3">
        <v>-0.47499999999999998</v>
      </c>
      <c r="AX657" s="3">
        <f t="shared" si="500"/>
        <v>0.13399999999999995</v>
      </c>
      <c r="AY657" s="3">
        <v>2.9000000000000001E-2</v>
      </c>
      <c r="AZ657" s="3">
        <v>0.156</v>
      </c>
      <c r="BA657" s="3">
        <f t="shared" si="501"/>
        <v>-0.127</v>
      </c>
      <c r="BB657" s="3">
        <f t="shared" si="525"/>
        <v>0.156</v>
      </c>
      <c r="BC657" s="3">
        <f t="shared" si="525"/>
        <v>0.15949999999999998</v>
      </c>
      <c r="BD657" s="3">
        <f t="shared" si="502"/>
        <v>-3.4999999999999754E-3</v>
      </c>
      <c r="BE657" s="3">
        <f t="shared" si="526"/>
        <v>0.37000000000000005</v>
      </c>
      <c r="BF657" s="3">
        <f t="shared" si="526"/>
        <v>0.63100000000000001</v>
      </c>
      <c r="BG657" s="3">
        <f t="shared" si="503"/>
        <v>-0.26099999999999995</v>
      </c>
      <c r="BH657" s="3">
        <f t="shared" si="527"/>
        <v>-0.156</v>
      </c>
      <c r="BI657" s="3">
        <f t="shared" si="527"/>
        <v>-0.15949999999999998</v>
      </c>
      <c r="BJ657" s="3">
        <f t="shared" si="524"/>
        <v>3.4999999999999754E-3</v>
      </c>
      <c r="BK657" s="3">
        <f t="shared" si="521"/>
        <v>3.2886486486486483E-2</v>
      </c>
      <c r="BL657" s="3">
        <f t="shared" si="522"/>
        <v>2.0158676703645E-2</v>
      </c>
      <c r="BM657" s="3">
        <f t="shared" si="504"/>
        <v>1.2727809782841482E-2</v>
      </c>
      <c r="BN657" s="3">
        <v>4.7279999999999998</v>
      </c>
      <c r="BO657" s="3">
        <v>4.9340000000000002</v>
      </c>
      <c r="BP657" s="3">
        <f t="shared" si="505"/>
        <v>-0.20600000000000041</v>
      </c>
      <c r="BQ657" s="3">
        <v>-83302.89</v>
      </c>
      <c r="BR657" s="3">
        <v>-82779.224000000002</v>
      </c>
      <c r="BS657" s="3">
        <f t="shared" si="506"/>
        <v>-523.66599999999744</v>
      </c>
      <c r="BT657" s="3">
        <v>-83320.774999999994</v>
      </c>
      <c r="BU657" s="3">
        <v>-82796.997000000003</v>
      </c>
      <c r="BV657" s="3">
        <f t="shared" si="507"/>
        <v>-523.77799999999115</v>
      </c>
    </row>
    <row r="658" spans="1:74" x14ac:dyDescent="0.25">
      <c r="A658" t="s">
        <v>110</v>
      </c>
      <c r="B658" t="s">
        <v>728</v>
      </c>
      <c r="C658" t="s">
        <v>103</v>
      </c>
      <c r="D658" s="3">
        <v>-4.7</v>
      </c>
      <c r="E658" s="3">
        <v>1.1000000000000001</v>
      </c>
      <c r="F658" s="3">
        <v>-1049.9680000000001</v>
      </c>
      <c r="G658" s="3">
        <v>-1054.623</v>
      </c>
      <c r="H658" s="3">
        <f t="shared" si="499"/>
        <v>-4.6549999999999727</v>
      </c>
      <c r="I658" s="3">
        <v>-0.38300000000000001</v>
      </c>
      <c r="J658" s="6">
        <v>-0.26700000000000002</v>
      </c>
      <c r="K658" s="3">
        <f t="shared" si="486"/>
        <v>0.11599999999999999</v>
      </c>
      <c r="L658" s="3">
        <v>0.14000000000000001</v>
      </c>
      <c r="M658" s="6">
        <v>3.1E-2</v>
      </c>
      <c r="N658" s="3">
        <f t="shared" si="487"/>
        <v>-0.10900000000000001</v>
      </c>
      <c r="O658" s="3">
        <f t="shared" si="528"/>
        <v>0.1215</v>
      </c>
      <c r="P658" s="3">
        <f t="shared" si="528"/>
        <v>0.11800000000000001</v>
      </c>
      <c r="Q658" s="3">
        <f t="shared" si="488"/>
        <v>-3.4999999999999892E-3</v>
      </c>
      <c r="R658" s="3">
        <f t="shared" si="489"/>
        <v>0.52300000000000002</v>
      </c>
      <c r="S658" s="3">
        <f t="shared" si="490"/>
        <v>0.29800000000000004</v>
      </c>
      <c r="T658" s="3">
        <f t="shared" si="491"/>
        <v>-0.22499999999999998</v>
      </c>
      <c r="U658" s="3">
        <f t="shared" si="492"/>
        <v>-0.1215</v>
      </c>
      <c r="V658" s="3">
        <f t="shared" si="493"/>
        <v>-0.11800000000000001</v>
      </c>
      <c r="W658" s="3">
        <f t="shared" si="523"/>
        <v>3.4999999999999892E-3</v>
      </c>
      <c r="X658" s="3">
        <f t="shared" si="519"/>
        <v>1.4113049713193115E-2</v>
      </c>
      <c r="Y658" s="3">
        <f t="shared" si="520"/>
        <v>2.3362416107382551E-2</v>
      </c>
      <c r="Z658" s="3">
        <f t="shared" si="494"/>
        <v>9.2493663941894365E-3</v>
      </c>
      <c r="AA658" s="3">
        <v>0</v>
      </c>
      <c r="AB658" s="3">
        <v>0</v>
      </c>
      <c r="AC658" s="3">
        <f t="shared" si="495"/>
        <v>0</v>
      </c>
      <c r="AD658" s="3">
        <f>-1049.532579*627.50956</f>
        <v>-658591.72685395519</v>
      </c>
      <c r="AE658" s="3">
        <f>-1054.209615*627.50956</f>
        <v>-661526.61165641935</v>
      </c>
      <c r="AF658" s="3">
        <f t="shared" si="496"/>
        <v>-2934.8848024641629</v>
      </c>
      <c r="AG658" s="3">
        <f>-1049.609938*627.50956</f>
        <v>-658640.27036600723</v>
      </c>
      <c r="AH658" s="3">
        <f>-1054.288769*627.50956</f>
        <v>-661576.28154813161</v>
      </c>
      <c r="AI658" s="3">
        <f t="shared" si="497"/>
        <v>-2936.0111821243772</v>
      </c>
      <c r="AJ658" s="3">
        <v>0.154</v>
      </c>
      <c r="AK658" s="3">
        <v>0.182</v>
      </c>
      <c r="AL658" s="3">
        <f t="shared" si="498"/>
        <v>2.7999999999999997E-2</v>
      </c>
      <c r="AM658" s="3">
        <v>230.5376</v>
      </c>
      <c r="AN658" s="3">
        <v>380.8476</v>
      </c>
      <c r="AO658" s="3">
        <v>458.505</v>
      </c>
      <c r="AP658" s="3">
        <f t="shared" si="515"/>
        <v>1.324680437544749</v>
      </c>
      <c r="AQ658" s="3">
        <v>16.902999999999999</v>
      </c>
      <c r="AR658" s="3">
        <v>4.5824999999999996</v>
      </c>
      <c r="AS658" s="3">
        <v>-959.76900000000001</v>
      </c>
      <c r="AT658" s="3">
        <v>-958.05</v>
      </c>
      <c r="AU658" s="3">
        <f t="shared" si="511"/>
        <v>-1.7190000000000509</v>
      </c>
      <c r="AV658" s="3">
        <v>-0.317</v>
      </c>
      <c r="AW658" s="3">
        <v>-0.45</v>
      </c>
      <c r="AX658" s="3">
        <f t="shared" si="500"/>
        <v>0.13300000000000001</v>
      </c>
      <c r="AY658" s="3">
        <v>-2.4E-2</v>
      </c>
      <c r="AZ658" s="3">
        <v>0.13500000000000001</v>
      </c>
      <c r="BA658" s="3">
        <f t="shared" si="501"/>
        <v>-0.159</v>
      </c>
      <c r="BB658" s="3">
        <f t="shared" si="525"/>
        <v>0.17050000000000001</v>
      </c>
      <c r="BC658" s="3">
        <f t="shared" si="525"/>
        <v>0.1575</v>
      </c>
      <c r="BD658" s="3">
        <f t="shared" si="502"/>
        <v>1.3000000000000012E-2</v>
      </c>
      <c r="BE658" s="3">
        <f t="shared" si="526"/>
        <v>0.29299999999999998</v>
      </c>
      <c r="BF658" s="3">
        <f t="shared" si="526"/>
        <v>0.58499999999999996</v>
      </c>
      <c r="BG658" s="3">
        <f t="shared" si="503"/>
        <v>-0.29199999999999998</v>
      </c>
      <c r="BH658" s="3">
        <f t="shared" si="527"/>
        <v>-0.17050000000000001</v>
      </c>
      <c r="BI658" s="3">
        <f t="shared" si="527"/>
        <v>-0.1575</v>
      </c>
      <c r="BJ658" s="3">
        <f t="shared" si="524"/>
        <v>-1.3000000000000012E-2</v>
      </c>
      <c r="BK658" s="3">
        <f t="shared" si="521"/>
        <v>4.9607935153583631E-2</v>
      </c>
      <c r="BL658" s="3">
        <f t="shared" si="522"/>
        <v>2.120192307692308E-2</v>
      </c>
      <c r="BM658" s="3">
        <f t="shared" si="504"/>
        <v>2.8406012076660551E-2</v>
      </c>
      <c r="BN658" s="3">
        <v>2.2370000000000001</v>
      </c>
      <c r="BO658" s="3">
        <v>2.431</v>
      </c>
      <c r="BP658" s="3">
        <f t="shared" si="505"/>
        <v>-0.19399999999999995</v>
      </c>
      <c r="BQ658" s="3">
        <v>-602243.07700000005</v>
      </c>
      <c r="BR658" s="3">
        <v>-601163.24300000002</v>
      </c>
      <c r="BS658" s="3">
        <f t="shared" si="506"/>
        <v>-1079.8340000000317</v>
      </c>
      <c r="BT658" s="3">
        <v>-602262.36399999994</v>
      </c>
      <c r="BU658" s="3">
        <v>-601182.38500000001</v>
      </c>
      <c r="BV658" s="3">
        <f t="shared" si="507"/>
        <v>-1079.9789999999339</v>
      </c>
    </row>
    <row r="659" spans="1:74" x14ac:dyDescent="0.25">
      <c r="A659" t="s">
        <v>111</v>
      </c>
      <c r="B659" t="s">
        <v>728</v>
      </c>
      <c r="C659" t="s">
        <v>99</v>
      </c>
      <c r="D659" s="3">
        <v>-4.7</v>
      </c>
      <c r="E659" s="3">
        <v>1.1000000000000001</v>
      </c>
      <c r="F659" s="3">
        <v>-2390.002</v>
      </c>
      <c r="G659" s="3">
        <v>-2394.0230000000001</v>
      </c>
      <c r="H659" s="3">
        <f t="shared" si="499"/>
        <v>-4.0210000000001855</v>
      </c>
      <c r="I659" s="3">
        <v>-0.377</v>
      </c>
      <c r="J659" s="6">
        <v>-0.26300000000000001</v>
      </c>
      <c r="K659" s="3">
        <f t="shared" si="486"/>
        <v>0.11399999999999999</v>
      </c>
      <c r="L659" s="3">
        <v>0.13800000000000001</v>
      </c>
      <c r="M659" s="6">
        <v>2.5999999999999999E-2</v>
      </c>
      <c r="N659" s="3">
        <f t="shared" si="487"/>
        <v>-0.11200000000000002</v>
      </c>
      <c r="O659" s="3">
        <f t="shared" si="528"/>
        <v>0.1195</v>
      </c>
      <c r="P659" s="3">
        <f t="shared" si="528"/>
        <v>0.11850000000000001</v>
      </c>
      <c r="Q659" s="3">
        <f t="shared" si="488"/>
        <v>-9.9999999999998701E-4</v>
      </c>
      <c r="R659" s="3">
        <f t="shared" si="489"/>
        <v>0.51500000000000001</v>
      </c>
      <c r="S659" s="3">
        <f t="shared" si="490"/>
        <v>0.28900000000000003</v>
      </c>
      <c r="T659" s="3">
        <f t="shared" si="491"/>
        <v>-0.22599999999999998</v>
      </c>
      <c r="U659" s="3">
        <f t="shared" si="492"/>
        <v>-0.1195</v>
      </c>
      <c r="V659" s="3">
        <f t="shared" si="493"/>
        <v>-0.11850000000000001</v>
      </c>
      <c r="W659" s="3">
        <f t="shared" si="523"/>
        <v>9.9999999999998701E-4</v>
      </c>
      <c r="X659" s="3">
        <f t="shared" si="519"/>
        <v>1.3864320388349513E-2</v>
      </c>
      <c r="Y659" s="3">
        <f t="shared" si="520"/>
        <v>2.4294550173010382E-2</v>
      </c>
      <c r="Z659" s="3">
        <f t="shared" si="494"/>
        <v>1.0430229784660868E-2</v>
      </c>
      <c r="AA659" s="3">
        <v>0</v>
      </c>
      <c r="AB659" s="3">
        <v>0</v>
      </c>
      <c r="AC659" s="3">
        <f t="shared" si="495"/>
        <v>0</v>
      </c>
      <c r="AD659" s="3">
        <f>-2389.711387*627.50956</f>
        <v>-1499566.7409833595</v>
      </c>
      <c r="AE659" s="3">
        <f>-2393.7469*627.50956</f>
        <v>-1502099.0639703639</v>
      </c>
      <c r="AF659" s="3">
        <f t="shared" si="496"/>
        <v>-2532.3229870044161</v>
      </c>
      <c r="AG659" s="3">
        <f>-2389.767682*627.50956</f>
        <v>-1499602.0666340399</v>
      </c>
      <c r="AH659" s="3">
        <f>-2393.806843*627.50956</f>
        <v>-1502136.6787759189</v>
      </c>
      <c r="AI659" s="3">
        <f t="shared" si="497"/>
        <v>-2534.6121418790426</v>
      </c>
      <c r="AJ659" s="3">
        <v>0.182</v>
      </c>
      <c r="AK659" s="3">
        <v>0.20599999999999999</v>
      </c>
      <c r="AL659" s="3">
        <f t="shared" si="498"/>
        <v>2.3999999999999994E-2</v>
      </c>
      <c r="AM659" s="3">
        <v>188.88399999999999</v>
      </c>
      <c r="AN659" s="3">
        <v>248.37389999999999</v>
      </c>
      <c r="AO659" s="3">
        <v>300.9479</v>
      </c>
      <c r="AP659" s="3">
        <f t="shared" si="515"/>
        <v>1.1438463630499394</v>
      </c>
      <c r="AQ659" s="3">
        <v>10.004</v>
      </c>
      <c r="AR659" s="3">
        <v>2.0756000000000001</v>
      </c>
      <c r="AS659" s="3">
        <v>-132.80099999999999</v>
      </c>
      <c r="AT659" s="3">
        <v>-131.97</v>
      </c>
      <c r="AU659" s="3">
        <f t="shared" si="511"/>
        <v>-0.83099999999998886</v>
      </c>
      <c r="AV659" s="3">
        <v>-0.34100000000000003</v>
      </c>
      <c r="AW659" s="3">
        <v>-0.47499999999999998</v>
      </c>
      <c r="AX659" s="3">
        <f t="shared" si="500"/>
        <v>0.13399999999999995</v>
      </c>
      <c r="AY659" s="3">
        <v>2.9000000000000001E-2</v>
      </c>
      <c r="AZ659" s="3">
        <v>0.156</v>
      </c>
      <c r="BA659" s="3">
        <f t="shared" si="501"/>
        <v>-0.127</v>
      </c>
      <c r="BB659" s="3">
        <f t="shared" si="525"/>
        <v>0.156</v>
      </c>
      <c r="BC659" s="3">
        <f t="shared" si="525"/>
        <v>0.15949999999999998</v>
      </c>
      <c r="BD659" s="3">
        <f t="shared" si="502"/>
        <v>-3.4999999999999754E-3</v>
      </c>
      <c r="BE659" s="3">
        <f t="shared" si="526"/>
        <v>0.37000000000000005</v>
      </c>
      <c r="BF659" s="3">
        <f t="shared" si="526"/>
        <v>0.63100000000000001</v>
      </c>
      <c r="BG659" s="3">
        <f t="shared" si="503"/>
        <v>-0.26099999999999995</v>
      </c>
      <c r="BH659" s="3">
        <f t="shared" si="527"/>
        <v>-0.156</v>
      </c>
      <c r="BI659" s="3">
        <f t="shared" si="527"/>
        <v>-0.15949999999999998</v>
      </c>
      <c r="BJ659" s="3">
        <f t="shared" si="524"/>
        <v>3.4999999999999754E-3</v>
      </c>
      <c r="BK659" s="3">
        <f t="shared" si="521"/>
        <v>3.2886486486486483E-2</v>
      </c>
      <c r="BL659" s="3">
        <f t="shared" si="522"/>
        <v>2.0158676703645E-2</v>
      </c>
      <c r="BM659" s="3">
        <f t="shared" si="504"/>
        <v>1.2727809782841482E-2</v>
      </c>
      <c r="BN659" s="3">
        <v>4.7279999999999998</v>
      </c>
      <c r="BO659" s="3">
        <v>4.9340000000000002</v>
      </c>
      <c r="BP659" s="3">
        <f t="shared" si="505"/>
        <v>-0.20600000000000041</v>
      </c>
      <c r="BQ659" s="3">
        <v>-83302.89</v>
      </c>
      <c r="BR659" s="3">
        <v>-82779.224000000002</v>
      </c>
      <c r="BS659" s="3">
        <f t="shared" si="506"/>
        <v>-523.66599999999744</v>
      </c>
      <c r="BT659" s="3">
        <v>-83320.774999999994</v>
      </c>
      <c r="BU659" s="3">
        <v>-82796.997000000003</v>
      </c>
      <c r="BV659" s="3">
        <f t="shared" si="507"/>
        <v>-523.77799999999115</v>
      </c>
    </row>
    <row r="660" spans="1:74" x14ac:dyDescent="0.25">
      <c r="A660" t="s">
        <v>112</v>
      </c>
      <c r="B660" t="s">
        <v>728</v>
      </c>
      <c r="C660" t="s">
        <v>103</v>
      </c>
      <c r="D660" s="3">
        <v>-4.2699999999999996</v>
      </c>
      <c r="E660" s="3">
        <v>0.8</v>
      </c>
      <c r="F660" s="3">
        <v>-728.98199999999997</v>
      </c>
      <c r="G660" s="3">
        <v>-733.84299999999996</v>
      </c>
      <c r="H660" s="3">
        <f t="shared" si="499"/>
        <v>-4.86099999999999</v>
      </c>
      <c r="I660" s="3">
        <v>-0.317</v>
      </c>
      <c r="J660" s="6">
        <v>-0.24099999999999999</v>
      </c>
      <c r="K660" s="3">
        <f t="shared" si="486"/>
        <v>7.6000000000000012E-2</v>
      </c>
      <c r="L660" s="3">
        <v>0.113</v>
      </c>
      <c r="M660" s="6">
        <v>-2.4E-2</v>
      </c>
      <c r="N660" s="3">
        <f t="shared" si="487"/>
        <v>-0.13700000000000001</v>
      </c>
      <c r="O660" s="3">
        <f t="shared" si="528"/>
        <v>0.10200000000000001</v>
      </c>
      <c r="P660" s="3">
        <f t="shared" si="528"/>
        <v>0.13250000000000001</v>
      </c>
      <c r="Q660" s="3">
        <f t="shared" si="488"/>
        <v>3.0499999999999999E-2</v>
      </c>
      <c r="R660" s="3">
        <f t="shared" si="489"/>
        <v>0.43</v>
      </c>
      <c r="S660" s="3">
        <f t="shared" si="490"/>
        <v>0.217</v>
      </c>
      <c r="T660" s="3">
        <f t="shared" si="491"/>
        <v>-0.21299999999999999</v>
      </c>
      <c r="U660" s="3">
        <f t="shared" si="492"/>
        <v>-0.10200000000000001</v>
      </c>
      <c r="V660" s="3">
        <f t="shared" si="493"/>
        <v>-0.13250000000000001</v>
      </c>
      <c r="W660" s="3">
        <f t="shared" si="523"/>
        <v>-3.0499999999999999E-2</v>
      </c>
      <c r="X660" s="3">
        <f t="shared" si="519"/>
        <v>1.2097674418604654E-2</v>
      </c>
      <c r="Y660" s="3">
        <f t="shared" si="520"/>
        <v>4.0452188940092171E-2</v>
      </c>
      <c r="Z660" s="3">
        <f t="shared" si="494"/>
        <v>2.8354514521487517E-2</v>
      </c>
      <c r="AA660" s="3">
        <v>0.11799999999999999</v>
      </c>
      <c r="AB660" s="3">
        <v>0.152</v>
      </c>
      <c r="AC660" s="3">
        <f t="shared" si="495"/>
        <v>3.4000000000000002E-2</v>
      </c>
      <c r="AD660" s="3">
        <f>-728.658619*627.50956</f>
        <v>-457240.24939889763</v>
      </c>
      <c r="AE660" s="3">
        <f>-733.537235*627.50956</f>
        <v>-460301.62757846661</v>
      </c>
      <c r="AF660" s="3">
        <f t="shared" si="496"/>
        <v>-3061.378179568972</v>
      </c>
      <c r="AG660" s="3">
        <f>-728.717434*627.50956</f>
        <v>-457277.15637366904</v>
      </c>
      <c r="AH660" s="3">
        <f>-733.59805*627.50956</f>
        <v>-460339.78957235796</v>
      </c>
      <c r="AI660" s="3">
        <f t="shared" si="497"/>
        <v>-3062.6331986889127</v>
      </c>
      <c r="AJ660" s="3">
        <v>0.19700000000000001</v>
      </c>
      <c r="AK660" s="3">
        <v>0.22600000000000001</v>
      </c>
      <c r="AL660" s="3">
        <f t="shared" si="498"/>
        <v>2.8999999999999998E-2</v>
      </c>
      <c r="AM660" s="3">
        <v>244.33029999999999</v>
      </c>
      <c r="AN660" s="3">
        <v>323.0514</v>
      </c>
      <c r="AO660" s="3">
        <v>383.51400000000001</v>
      </c>
      <c r="AP660" s="3">
        <f t="shared" si="515"/>
        <v>1.2657271513394621</v>
      </c>
      <c r="AQ660" s="3">
        <v>11.746</v>
      </c>
      <c r="AR660" s="3">
        <v>3.1539999999999999</v>
      </c>
      <c r="AS660" s="3">
        <v>-959.76900000000001</v>
      </c>
      <c r="AT660" s="3">
        <v>-958.05</v>
      </c>
      <c r="AU660" s="3">
        <f t="shared" si="511"/>
        <v>-1.7190000000000509</v>
      </c>
      <c r="AV660" s="3">
        <v>-0.317</v>
      </c>
      <c r="AW660" s="3">
        <v>-0.45</v>
      </c>
      <c r="AX660" s="3">
        <f t="shared" si="500"/>
        <v>0.13300000000000001</v>
      </c>
      <c r="AY660" s="3">
        <v>-2.4E-2</v>
      </c>
      <c r="AZ660" s="3">
        <v>0.13500000000000001</v>
      </c>
      <c r="BA660" s="3">
        <f t="shared" si="501"/>
        <v>-0.159</v>
      </c>
      <c r="BB660" s="3">
        <f t="shared" si="525"/>
        <v>0.17050000000000001</v>
      </c>
      <c r="BC660" s="3">
        <f t="shared" si="525"/>
        <v>0.1575</v>
      </c>
      <c r="BD660" s="3">
        <f t="shared" si="502"/>
        <v>1.3000000000000012E-2</v>
      </c>
      <c r="BE660" s="3">
        <f t="shared" si="526"/>
        <v>0.29299999999999998</v>
      </c>
      <c r="BF660" s="3">
        <f t="shared" si="526"/>
        <v>0.58499999999999996</v>
      </c>
      <c r="BG660" s="3">
        <f t="shared" si="503"/>
        <v>-0.29199999999999998</v>
      </c>
      <c r="BH660" s="3">
        <f t="shared" si="527"/>
        <v>-0.17050000000000001</v>
      </c>
      <c r="BI660" s="3">
        <f t="shared" si="527"/>
        <v>-0.1575</v>
      </c>
      <c r="BJ660" s="3">
        <f t="shared" si="524"/>
        <v>-1.3000000000000012E-2</v>
      </c>
      <c r="BK660" s="3">
        <f t="shared" si="521"/>
        <v>4.9607935153583631E-2</v>
      </c>
      <c r="BL660" s="3">
        <f t="shared" si="522"/>
        <v>2.120192307692308E-2</v>
      </c>
      <c r="BM660" s="3">
        <f t="shared" si="504"/>
        <v>2.8406012076660551E-2</v>
      </c>
      <c r="BN660" s="3">
        <v>2.2370000000000001</v>
      </c>
      <c r="BO660" s="3">
        <v>2.431</v>
      </c>
      <c r="BP660" s="3">
        <f t="shared" si="505"/>
        <v>-0.19399999999999995</v>
      </c>
      <c r="BQ660" s="3">
        <v>-602243.07700000005</v>
      </c>
      <c r="BR660" s="3">
        <v>-601163.24300000002</v>
      </c>
      <c r="BS660" s="3">
        <f t="shared" si="506"/>
        <v>-1079.8340000000317</v>
      </c>
      <c r="BT660" s="3">
        <v>-602262.36399999994</v>
      </c>
      <c r="BU660" s="3">
        <v>-601182.38500000001</v>
      </c>
      <c r="BV660" s="3">
        <f t="shared" si="507"/>
        <v>-1079.9789999999339</v>
      </c>
    </row>
    <row r="661" spans="1:74" x14ac:dyDescent="0.25">
      <c r="A661" t="s">
        <v>113</v>
      </c>
      <c r="B661" t="s">
        <v>728</v>
      </c>
      <c r="C661" t="s">
        <v>99</v>
      </c>
      <c r="D661" s="3">
        <v>-4.2</v>
      </c>
      <c r="E661" s="3">
        <v>0.82</v>
      </c>
      <c r="F661" s="3">
        <v>-995.20600000000002</v>
      </c>
      <c r="G661" s="3">
        <v>-1001.849</v>
      </c>
      <c r="H661" s="3">
        <f t="shared" si="499"/>
        <v>-6.6430000000000291</v>
      </c>
      <c r="I661" s="3">
        <v>-0.27600000000000002</v>
      </c>
      <c r="J661" s="6">
        <v>-0.191</v>
      </c>
      <c r="K661" s="3">
        <f t="shared" si="486"/>
        <v>8.500000000000002E-2</v>
      </c>
      <c r="L661" s="3">
        <v>0.114</v>
      </c>
      <c r="M661" s="6">
        <v>-0.02</v>
      </c>
      <c r="N661" s="3">
        <f t="shared" si="487"/>
        <v>-0.13400000000000001</v>
      </c>
      <c r="O661" s="3">
        <f t="shared" si="528"/>
        <v>8.1000000000000016E-2</v>
      </c>
      <c r="P661" s="3">
        <f t="shared" si="528"/>
        <v>0.1055</v>
      </c>
      <c r="Q661" s="3">
        <f t="shared" si="488"/>
        <v>2.449999999999998E-2</v>
      </c>
      <c r="R661" s="3">
        <f t="shared" si="489"/>
        <v>0.39</v>
      </c>
      <c r="S661" s="3">
        <f t="shared" si="490"/>
        <v>0.17100000000000001</v>
      </c>
      <c r="T661" s="3">
        <f t="shared" si="491"/>
        <v>-0.219</v>
      </c>
      <c r="U661" s="3">
        <f t="shared" si="492"/>
        <v>-8.1000000000000016E-2</v>
      </c>
      <c r="V661" s="3">
        <f t="shared" si="493"/>
        <v>-0.1055</v>
      </c>
      <c r="W661" s="3">
        <f t="shared" si="523"/>
        <v>-2.449999999999998E-2</v>
      </c>
      <c r="X661" s="3">
        <f t="shared" si="519"/>
        <v>8.4115384615384651E-3</v>
      </c>
      <c r="Y661" s="3">
        <f t="shared" si="520"/>
        <v>3.2544590643274848E-2</v>
      </c>
      <c r="Z661" s="3">
        <f t="shared" si="494"/>
        <v>2.4133052181736385E-2</v>
      </c>
      <c r="AA661" s="3">
        <v>1.2210000000000001</v>
      </c>
      <c r="AB661" s="3">
        <v>2.516</v>
      </c>
      <c r="AC661" s="3">
        <f t="shared" si="495"/>
        <v>1.2949999999999999</v>
      </c>
      <c r="AD661" s="3">
        <f>-994.71888*627.50956</f>
        <v>-624195.60671249276</v>
      </c>
      <c r="AE661" s="3">
        <f>-1001.390265*627.50956</f>
        <v>-628381.96457843331</v>
      </c>
      <c r="AF661" s="3">
        <f t="shared" si="496"/>
        <v>-4186.3578659405466</v>
      </c>
      <c r="AG661" s="3">
        <f>-994.797416*627.50956</f>
        <v>-624244.88880329696</v>
      </c>
      <c r="AH661" s="3">
        <f>-1001.471171*627.50956</f>
        <v>-628432.73386689473</v>
      </c>
      <c r="AI661" s="3">
        <f t="shared" si="497"/>
        <v>-4187.8450635977788</v>
      </c>
      <c r="AJ661" s="3">
        <v>0.193</v>
      </c>
      <c r="AK661" s="3">
        <v>0.221</v>
      </c>
      <c r="AL661" s="3">
        <f t="shared" si="498"/>
        <v>2.7999999999999997E-2</v>
      </c>
      <c r="AM661" s="3">
        <v>330.46589999999998</v>
      </c>
      <c r="AN661" s="3">
        <v>431.8039</v>
      </c>
      <c r="AO661" s="3">
        <v>527.27620000000002</v>
      </c>
      <c r="AP661" s="3">
        <f t="shared" si="515"/>
        <v>1.3683075765569717</v>
      </c>
      <c r="AQ661" s="3">
        <v>15.807</v>
      </c>
      <c r="AR661" s="3">
        <v>4.1315</v>
      </c>
      <c r="AS661" s="3">
        <v>-132.80099999999999</v>
      </c>
      <c r="AT661" s="3">
        <v>-131.97</v>
      </c>
      <c r="AU661" s="3">
        <f t="shared" si="511"/>
        <v>-0.83099999999998886</v>
      </c>
      <c r="AV661" s="3">
        <v>-0.34100000000000003</v>
      </c>
      <c r="AW661" s="3">
        <v>-0.47499999999999998</v>
      </c>
      <c r="AX661" s="3">
        <f t="shared" ref="AX661:AX720" si="529">AV661-AW661</f>
        <v>0.13399999999999995</v>
      </c>
      <c r="AY661" s="3">
        <v>2.9000000000000001E-2</v>
      </c>
      <c r="AZ661" s="3">
        <v>0.156</v>
      </c>
      <c r="BA661" s="3">
        <f t="shared" ref="BA661:BA720" si="530">AY661-AZ661</f>
        <v>-0.127</v>
      </c>
      <c r="BB661" s="3">
        <f t="shared" si="525"/>
        <v>0.156</v>
      </c>
      <c r="BC661" s="3">
        <f t="shared" si="525"/>
        <v>0.15949999999999998</v>
      </c>
      <c r="BD661" s="3">
        <f t="shared" ref="BD661:BD720" si="531">BB661-BC661</f>
        <v>-3.4999999999999754E-3</v>
      </c>
      <c r="BE661" s="3">
        <f t="shared" si="526"/>
        <v>0.37000000000000005</v>
      </c>
      <c r="BF661" s="3">
        <f t="shared" si="526"/>
        <v>0.63100000000000001</v>
      </c>
      <c r="BG661" s="3">
        <f t="shared" ref="BG661:BG720" si="532">BE661-BF661</f>
        <v>-0.26099999999999995</v>
      </c>
      <c r="BH661" s="3">
        <f t="shared" si="527"/>
        <v>-0.156</v>
      </c>
      <c r="BI661" s="3">
        <f t="shared" si="527"/>
        <v>-0.15949999999999998</v>
      </c>
      <c r="BJ661" s="3">
        <f t="shared" si="524"/>
        <v>3.4999999999999754E-3</v>
      </c>
      <c r="BK661" s="3">
        <f t="shared" si="521"/>
        <v>3.2886486486486483E-2</v>
      </c>
      <c r="BL661" s="3">
        <f t="shared" si="522"/>
        <v>2.0158676703645E-2</v>
      </c>
      <c r="BM661" s="3">
        <f t="shared" ref="BM661:BM720" si="533">BK661-BL661</f>
        <v>1.2727809782841482E-2</v>
      </c>
      <c r="BN661" s="3">
        <v>4.7279999999999998</v>
      </c>
      <c r="BO661" s="3">
        <v>4.9340000000000002</v>
      </c>
      <c r="BP661" s="3">
        <f t="shared" ref="BP661:BP720" si="534">BN661-BO661</f>
        <v>-0.20600000000000041</v>
      </c>
      <c r="BQ661" s="3">
        <v>-83302.89</v>
      </c>
      <c r="BR661" s="3">
        <v>-82779.224000000002</v>
      </c>
      <c r="BS661" s="3">
        <f t="shared" ref="BS661:BS720" si="535">BQ661-BR661</f>
        <v>-523.66599999999744</v>
      </c>
      <c r="BT661" s="3">
        <v>-83320.774999999994</v>
      </c>
      <c r="BU661" s="3">
        <v>-82796.997000000003</v>
      </c>
      <c r="BV661" s="3">
        <f t="shared" ref="BV661:BV720" si="536">BT661-BU661</f>
        <v>-523.77799999999115</v>
      </c>
    </row>
    <row r="662" spans="1:74" x14ac:dyDescent="0.25">
      <c r="A662" t="s">
        <v>114</v>
      </c>
      <c r="B662" t="s">
        <v>728</v>
      </c>
      <c r="C662" t="s">
        <v>103</v>
      </c>
      <c r="D662" s="3">
        <v>-4.12</v>
      </c>
      <c r="E662" s="3">
        <v>0.97</v>
      </c>
      <c r="F662" s="3">
        <v>-346.69900000000001</v>
      </c>
      <c r="G662" s="3">
        <v>-349.05</v>
      </c>
      <c r="H662" s="3">
        <f t="shared" si="499"/>
        <v>-2.3509999999999991</v>
      </c>
      <c r="I662" s="3">
        <v>-0.33</v>
      </c>
      <c r="J662" s="6">
        <v>-0.25</v>
      </c>
      <c r="K662" s="3">
        <f t="shared" si="486"/>
        <v>8.0000000000000016E-2</v>
      </c>
      <c r="L662" s="3">
        <v>0.128</v>
      </c>
      <c r="M662" s="6">
        <v>-1.7000000000000001E-2</v>
      </c>
      <c r="N662" s="3">
        <f t="shared" si="487"/>
        <v>-0.14500000000000002</v>
      </c>
      <c r="O662" s="3">
        <f t="shared" si="528"/>
        <v>0.10100000000000001</v>
      </c>
      <c r="P662" s="3">
        <f t="shared" si="528"/>
        <v>0.13350000000000001</v>
      </c>
      <c r="Q662" s="3">
        <f t="shared" si="488"/>
        <v>3.2500000000000001E-2</v>
      </c>
      <c r="R662" s="3">
        <f t="shared" si="489"/>
        <v>0.45800000000000002</v>
      </c>
      <c r="S662" s="3">
        <f t="shared" si="490"/>
        <v>0.23299999999999998</v>
      </c>
      <c r="T662" s="3">
        <f t="shared" si="491"/>
        <v>-0.22500000000000003</v>
      </c>
      <c r="U662" s="3">
        <f t="shared" si="492"/>
        <v>-0.10100000000000001</v>
      </c>
      <c r="V662" s="3">
        <f t="shared" si="493"/>
        <v>-0.13350000000000001</v>
      </c>
      <c r="W662" s="3">
        <f t="shared" si="523"/>
        <v>-3.2500000000000001E-2</v>
      </c>
      <c r="X662" s="3">
        <f t="shared" si="519"/>
        <v>1.1136462882096071E-2</v>
      </c>
      <c r="Y662" s="3">
        <f t="shared" si="520"/>
        <v>3.8245171673819744E-2</v>
      </c>
      <c r="Z662" s="3">
        <f t="shared" si="494"/>
        <v>2.7108708791723675E-2</v>
      </c>
      <c r="AA662" s="3">
        <v>0.248</v>
      </c>
      <c r="AB662" s="3">
        <v>0.245</v>
      </c>
      <c r="AC662" s="3">
        <f t="shared" si="495"/>
        <v>-3.0000000000000027E-3</v>
      </c>
      <c r="AD662" s="3">
        <f>-346.518487*627.50956</f>
        <v>-217443.66330923571</v>
      </c>
      <c r="AE662" s="3">
        <f>-348.88019*627.50956</f>
        <v>-218925.65451961639</v>
      </c>
      <c r="AF662" s="3">
        <f t="shared" si="496"/>
        <v>-1481.9912103806855</v>
      </c>
      <c r="AG662" s="3">
        <f>-346.560621*627.50956</f>
        <v>-217470.10279703676</v>
      </c>
      <c r="AH662" s="3">
        <f>-348.923329*627.50956</f>
        <v>-218952.72465452526</v>
      </c>
      <c r="AI662" s="3">
        <f t="shared" si="497"/>
        <v>-1482.6218574884988</v>
      </c>
      <c r="AJ662" s="3">
        <v>0.184</v>
      </c>
      <c r="AK662" s="3">
        <v>0.21299999999999999</v>
      </c>
      <c r="AL662" s="3">
        <f t="shared" si="498"/>
        <v>2.8999999999999998E-2</v>
      </c>
      <c r="AM662" s="3">
        <v>118.17570000000001</v>
      </c>
      <c r="AN662" s="3">
        <v>198.744</v>
      </c>
      <c r="AO662" s="3">
        <v>210.55969999999999</v>
      </c>
      <c r="AP662" s="3">
        <f t="shared" si="515"/>
        <v>1.1613589592598366</v>
      </c>
      <c r="AQ662" s="3">
        <v>10.195</v>
      </c>
      <c r="AR662" s="3">
        <v>2.2932000000000001</v>
      </c>
      <c r="AS662" s="3">
        <v>-959.76900000000001</v>
      </c>
      <c r="AT662" s="3">
        <v>-958.05</v>
      </c>
      <c r="AU662" s="3">
        <f t="shared" si="511"/>
        <v>-1.7190000000000509</v>
      </c>
      <c r="AV662" s="3">
        <v>-0.317</v>
      </c>
      <c r="AW662" s="3">
        <v>-0.45</v>
      </c>
      <c r="AX662" s="3">
        <f t="shared" si="529"/>
        <v>0.13300000000000001</v>
      </c>
      <c r="AY662" s="3">
        <v>-2.4E-2</v>
      </c>
      <c r="AZ662" s="3">
        <v>0.13500000000000001</v>
      </c>
      <c r="BA662" s="3">
        <f t="shared" si="530"/>
        <v>-0.159</v>
      </c>
      <c r="BB662" s="3">
        <f t="shared" si="525"/>
        <v>0.17050000000000001</v>
      </c>
      <c r="BC662" s="3">
        <f t="shared" si="525"/>
        <v>0.1575</v>
      </c>
      <c r="BD662" s="3">
        <f t="shared" si="531"/>
        <v>1.3000000000000012E-2</v>
      </c>
      <c r="BE662" s="3">
        <f t="shared" si="526"/>
        <v>0.29299999999999998</v>
      </c>
      <c r="BF662" s="3">
        <f t="shared" si="526"/>
        <v>0.58499999999999996</v>
      </c>
      <c r="BG662" s="3">
        <f t="shared" si="532"/>
        <v>-0.29199999999999998</v>
      </c>
      <c r="BH662" s="3">
        <f t="shared" si="527"/>
        <v>-0.17050000000000001</v>
      </c>
      <c r="BI662" s="3">
        <f t="shared" si="527"/>
        <v>-0.1575</v>
      </c>
      <c r="BJ662" s="3">
        <f t="shared" si="524"/>
        <v>-1.3000000000000012E-2</v>
      </c>
      <c r="BK662" s="3">
        <f t="shared" si="521"/>
        <v>4.9607935153583631E-2</v>
      </c>
      <c r="BL662" s="3">
        <f t="shared" si="522"/>
        <v>2.120192307692308E-2</v>
      </c>
      <c r="BM662" s="3">
        <f t="shared" si="533"/>
        <v>2.8406012076660551E-2</v>
      </c>
      <c r="BN662" s="3">
        <v>2.2370000000000001</v>
      </c>
      <c r="BO662" s="3">
        <v>2.431</v>
      </c>
      <c r="BP662" s="3">
        <f t="shared" si="534"/>
        <v>-0.19399999999999995</v>
      </c>
      <c r="BQ662" s="3">
        <v>-602243.07700000005</v>
      </c>
      <c r="BR662" s="3">
        <v>-601163.24300000002</v>
      </c>
      <c r="BS662" s="3">
        <f t="shared" si="535"/>
        <v>-1079.8340000000317</v>
      </c>
      <c r="BT662" s="3">
        <v>-602262.36399999994</v>
      </c>
      <c r="BU662" s="3">
        <v>-601182.38500000001</v>
      </c>
      <c r="BV662" s="3">
        <f t="shared" si="536"/>
        <v>-1079.9789999999339</v>
      </c>
    </row>
    <row r="663" spans="1:74" x14ac:dyDescent="0.25">
      <c r="A663" t="s">
        <v>115</v>
      </c>
      <c r="B663" t="s">
        <v>728</v>
      </c>
      <c r="C663" t="s">
        <v>103</v>
      </c>
      <c r="D663" s="3">
        <v>-4.0999999999999996</v>
      </c>
      <c r="E663" s="3">
        <v>0.8</v>
      </c>
      <c r="F663" s="3">
        <v>-462.11</v>
      </c>
      <c r="G663" s="3">
        <v>-465.06900000000002</v>
      </c>
      <c r="H663" s="3">
        <f t="shared" si="499"/>
        <v>-2.9590000000000032</v>
      </c>
      <c r="I663" s="3">
        <v>-0.40699999999999997</v>
      </c>
      <c r="J663" s="6">
        <v>-0.25900000000000001</v>
      </c>
      <c r="K663" s="3">
        <f t="shared" si="486"/>
        <v>0.14799999999999996</v>
      </c>
      <c r="L663" s="3">
        <v>0.159</v>
      </c>
      <c r="M663" s="6">
        <v>4.5999999999999999E-2</v>
      </c>
      <c r="N663" s="3">
        <f t="shared" si="487"/>
        <v>-0.113</v>
      </c>
      <c r="O663" s="3">
        <f t="shared" si="528"/>
        <v>0.12399999999999999</v>
      </c>
      <c r="P663" s="3">
        <f t="shared" si="528"/>
        <v>0.10650000000000001</v>
      </c>
      <c r="Q663" s="3">
        <f t="shared" si="488"/>
        <v>-1.7499999999999974E-2</v>
      </c>
      <c r="R663" s="3">
        <f t="shared" si="489"/>
        <v>0.56599999999999995</v>
      </c>
      <c r="S663" s="3">
        <f t="shared" si="490"/>
        <v>0.30499999999999999</v>
      </c>
      <c r="T663" s="3">
        <f t="shared" si="491"/>
        <v>-0.26099999999999995</v>
      </c>
      <c r="U663" s="3">
        <f t="shared" si="492"/>
        <v>-0.12399999999999999</v>
      </c>
      <c r="V663" s="3">
        <f t="shared" si="493"/>
        <v>-0.10650000000000001</v>
      </c>
      <c r="W663" s="3">
        <f t="shared" si="523"/>
        <v>1.7499999999999974E-2</v>
      </c>
      <c r="X663" s="3">
        <f t="shared" si="519"/>
        <v>1.3583038869257947E-2</v>
      </c>
      <c r="Y663" s="3">
        <f t="shared" si="520"/>
        <v>1.8593852459016395E-2</v>
      </c>
      <c r="Z663" s="3">
        <f t="shared" si="494"/>
        <v>5.0108135897584481E-3</v>
      </c>
      <c r="AA663" s="3">
        <v>1.802</v>
      </c>
      <c r="AB663" s="3">
        <v>1.7509999999999999</v>
      </c>
      <c r="AC663" s="3">
        <f t="shared" si="495"/>
        <v>-5.1000000000000156E-2</v>
      </c>
      <c r="AD663" s="3">
        <f>-461.850323*627.50956</f>
        <v>-289815.49297158787</v>
      </c>
      <c r="AE663" s="3">
        <f>-464.825304*627.50956</f>
        <v>-291682.32198990625</v>
      </c>
      <c r="AF663" s="3">
        <f t="shared" si="496"/>
        <v>-1866.8290183183854</v>
      </c>
      <c r="AG663" s="3">
        <f>-461.898928*627.50956</f>
        <v>-289845.99307375168</v>
      </c>
      <c r="AH663" s="3">
        <f>-464.875021*627.50956</f>
        <v>-291713.51988270076</v>
      </c>
      <c r="AI663" s="3">
        <f t="shared" si="497"/>
        <v>-1867.526808949071</v>
      </c>
      <c r="AJ663" s="3">
        <v>0.105</v>
      </c>
      <c r="AK663" s="3">
        <v>0.13700000000000001</v>
      </c>
      <c r="AL663" s="3">
        <f t="shared" si="498"/>
        <v>3.2000000000000015E-2</v>
      </c>
      <c r="AM663" s="3">
        <v>144.2114</v>
      </c>
      <c r="AN663" s="3">
        <v>228.34899999999999</v>
      </c>
      <c r="AO663" s="3">
        <v>253.6918</v>
      </c>
      <c r="AP663" s="3">
        <f t="shared" si="515"/>
        <v>1.1784670510510937</v>
      </c>
      <c r="AQ663" s="3">
        <v>10.130000000000001</v>
      </c>
      <c r="AR663" s="3">
        <v>2.3138000000000001</v>
      </c>
      <c r="AS663" s="3">
        <v>-959.76900000000001</v>
      </c>
      <c r="AT663" s="3">
        <v>-958.05</v>
      </c>
      <c r="AU663" s="3">
        <f t="shared" si="511"/>
        <v>-1.7190000000000509</v>
      </c>
      <c r="AV663" s="3">
        <v>-0.317</v>
      </c>
      <c r="AW663" s="3">
        <v>-0.45</v>
      </c>
      <c r="AX663" s="3">
        <f t="shared" si="529"/>
        <v>0.13300000000000001</v>
      </c>
      <c r="AY663" s="3">
        <v>-2.4E-2</v>
      </c>
      <c r="AZ663" s="3">
        <v>0.13500000000000001</v>
      </c>
      <c r="BA663" s="3">
        <f t="shared" si="530"/>
        <v>-0.159</v>
      </c>
      <c r="BB663" s="3">
        <f t="shared" si="525"/>
        <v>0.17050000000000001</v>
      </c>
      <c r="BC663" s="3">
        <f t="shared" si="525"/>
        <v>0.1575</v>
      </c>
      <c r="BD663" s="3">
        <f t="shared" si="531"/>
        <v>1.3000000000000012E-2</v>
      </c>
      <c r="BE663" s="3">
        <f t="shared" si="526"/>
        <v>0.29299999999999998</v>
      </c>
      <c r="BF663" s="3">
        <f t="shared" si="526"/>
        <v>0.58499999999999996</v>
      </c>
      <c r="BG663" s="3">
        <f t="shared" si="532"/>
        <v>-0.29199999999999998</v>
      </c>
      <c r="BH663" s="3">
        <f t="shared" si="527"/>
        <v>-0.17050000000000001</v>
      </c>
      <c r="BI663" s="3">
        <f t="shared" si="527"/>
        <v>-0.1575</v>
      </c>
      <c r="BJ663" s="3">
        <f t="shared" si="524"/>
        <v>-1.3000000000000012E-2</v>
      </c>
      <c r="BK663" s="3">
        <f t="shared" si="521"/>
        <v>4.9607935153583631E-2</v>
      </c>
      <c r="BL663" s="3">
        <f t="shared" si="522"/>
        <v>2.120192307692308E-2</v>
      </c>
      <c r="BM663" s="3">
        <f t="shared" si="533"/>
        <v>2.8406012076660551E-2</v>
      </c>
      <c r="BN663" s="3">
        <v>2.2370000000000001</v>
      </c>
      <c r="BO663" s="3">
        <v>2.431</v>
      </c>
      <c r="BP663" s="3">
        <f t="shared" si="534"/>
        <v>-0.19399999999999995</v>
      </c>
      <c r="BQ663" s="3">
        <v>-602243.07700000005</v>
      </c>
      <c r="BR663" s="3">
        <v>-601163.24300000002</v>
      </c>
      <c r="BS663" s="3">
        <f t="shared" si="535"/>
        <v>-1079.8340000000317</v>
      </c>
      <c r="BT663" s="3">
        <v>-602262.36399999994</v>
      </c>
      <c r="BU663" s="3">
        <v>-601182.38500000001</v>
      </c>
      <c r="BV663" s="3">
        <f t="shared" si="536"/>
        <v>-1079.9789999999339</v>
      </c>
    </row>
    <row r="664" spans="1:74" x14ac:dyDescent="0.25">
      <c r="A664" t="s">
        <v>116</v>
      </c>
      <c r="B664" t="s">
        <v>728</v>
      </c>
      <c r="C664" t="s">
        <v>103</v>
      </c>
      <c r="D664" s="3">
        <v>-3.86</v>
      </c>
      <c r="E664" s="3">
        <v>1.1000000000000001</v>
      </c>
      <c r="F664" s="3">
        <v>-524.39</v>
      </c>
      <c r="G664" s="3">
        <v>-526.69600000000003</v>
      </c>
      <c r="H664" s="3">
        <f t="shared" si="499"/>
        <v>-2.30600000000004</v>
      </c>
      <c r="I664" s="3">
        <v>-0.39</v>
      </c>
      <c r="J664" s="6">
        <v>-0.27100000000000002</v>
      </c>
      <c r="K664" s="3">
        <f t="shared" si="486"/>
        <v>0.11899999999999999</v>
      </c>
      <c r="L664" s="3">
        <v>0.14299999999999999</v>
      </c>
      <c r="M664" s="6">
        <v>3.4000000000000002E-2</v>
      </c>
      <c r="N664" s="3">
        <f t="shared" si="487"/>
        <v>-0.10899999999999999</v>
      </c>
      <c r="O664" s="3">
        <f t="shared" si="528"/>
        <v>0.12350000000000001</v>
      </c>
      <c r="P664" s="3">
        <f t="shared" si="528"/>
        <v>0.11850000000000001</v>
      </c>
      <c r="Q664" s="3">
        <f t="shared" si="488"/>
        <v>-5.0000000000000044E-3</v>
      </c>
      <c r="R664" s="3">
        <f t="shared" si="489"/>
        <v>0.53300000000000003</v>
      </c>
      <c r="S664" s="3">
        <f t="shared" si="490"/>
        <v>0.30500000000000005</v>
      </c>
      <c r="T664" s="3">
        <f t="shared" si="491"/>
        <v>-0.22799999999999998</v>
      </c>
      <c r="U664" s="3">
        <f t="shared" si="492"/>
        <v>-0.12350000000000001</v>
      </c>
      <c r="V664" s="3">
        <f t="shared" si="493"/>
        <v>-0.11850000000000001</v>
      </c>
      <c r="W664" s="3">
        <f t="shared" si="523"/>
        <v>5.0000000000000044E-3</v>
      </c>
      <c r="X664" s="3">
        <f t="shared" si="519"/>
        <v>1.4307926829268295E-2</v>
      </c>
      <c r="Y664" s="3">
        <f t="shared" si="520"/>
        <v>2.3020081967213116E-2</v>
      </c>
      <c r="Z664" s="3">
        <f t="shared" si="494"/>
        <v>8.7121551379448214E-3</v>
      </c>
      <c r="AA664" s="3">
        <v>0.27</v>
      </c>
      <c r="AB664" s="3">
        <v>0.26</v>
      </c>
      <c r="AC664" s="3">
        <f t="shared" si="495"/>
        <v>-1.0000000000000009E-2</v>
      </c>
      <c r="AD664" s="3">
        <f>-524.184137*627.50956</f>
        <v>-328930.55716784968</v>
      </c>
      <c r="AE664" s="3">
        <f>-526.500592*627.50956</f>
        <v>-330384.15482565947</v>
      </c>
      <c r="AF664" s="3">
        <f t="shared" si="496"/>
        <v>-1453.5976578097907</v>
      </c>
      <c r="AG664" s="3">
        <f>-524.22682*627.50956</f>
        <v>-328957.34115839918</v>
      </c>
      <c r="AH664" s="3">
        <f>-526.5443*627.50956</f>
        <v>-330411.58201350801</v>
      </c>
      <c r="AI664" s="3">
        <f t="shared" si="497"/>
        <v>-1454.2408551088301</v>
      </c>
      <c r="AJ664" s="3">
        <v>0.19400000000000001</v>
      </c>
      <c r="AK664" s="3">
        <v>0.218</v>
      </c>
      <c r="AL664" s="3">
        <f t="shared" si="498"/>
        <v>2.3999999999999994E-2</v>
      </c>
      <c r="AM664" s="3">
        <v>114.2608</v>
      </c>
      <c r="AN664" s="3">
        <v>197.9418</v>
      </c>
      <c r="AO664" s="3">
        <v>222.39080000000001</v>
      </c>
      <c r="AP664" s="3">
        <f t="shared" si="515"/>
        <v>1.1152757371413753</v>
      </c>
      <c r="AQ664" s="3">
        <v>8.2959999999999994</v>
      </c>
      <c r="AR664" s="3">
        <v>1.899</v>
      </c>
      <c r="AS664" s="3">
        <v>-959.76900000000001</v>
      </c>
      <c r="AT664" s="3">
        <v>-958.05</v>
      </c>
      <c r="AU664" s="3">
        <f t="shared" si="511"/>
        <v>-1.7190000000000509</v>
      </c>
      <c r="AV664" s="3">
        <v>-0.317</v>
      </c>
      <c r="AW664" s="3">
        <v>-0.45</v>
      </c>
      <c r="AX664" s="3">
        <f t="shared" si="529"/>
        <v>0.13300000000000001</v>
      </c>
      <c r="AY664" s="3">
        <v>-2.4E-2</v>
      </c>
      <c r="AZ664" s="3">
        <v>0.13500000000000001</v>
      </c>
      <c r="BA664" s="3">
        <f t="shared" si="530"/>
        <v>-0.159</v>
      </c>
      <c r="BB664" s="3">
        <f t="shared" si="525"/>
        <v>0.17050000000000001</v>
      </c>
      <c r="BC664" s="3">
        <f t="shared" si="525"/>
        <v>0.1575</v>
      </c>
      <c r="BD664" s="3">
        <f t="shared" si="531"/>
        <v>1.3000000000000012E-2</v>
      </c>
      <c r="BE664" s="3">
        <f t="shared" si="526"/>
        <v>0.29299999999999998</v>
      </c>
      <c r="BF664" s="3">
        <f t="shared" si="526"/>
        <v>0.58499999999999996</v>
      </c>
      <c r="BG664" s="3">
        <f t="shared" si="532"/>
        <v>-0.29199999999999998</v>
      </c>
      <c r="BH664" s="3">
        <f t="shared" si="527"/>
        <v>-0.17050000000000001</v>
      </c>
      <c r="BI664" s="3">
        <f t="shared" si="527"/>
        <v>-0.1575</v>
      </c>
      <c r="BJ664" s="3">
        <f t="shared" si="524"/>
        <v>-1.3000000000000012E-2</v>
      </c>
      <c r="BK664" s="3">
        <f t="shared" si="521"/>
        <v>4.9607935153583631E-2</v>
      </c>
      <c r="BL664" s="3">
        <f t="shared" si="522"/>
        <v>2.120192307692308E-2</v>
      </c>
      <c r="BM664" s="3">
        <f t="shared" si="533"/>
        <v>2.8406012076660551E-2</v>
      </c>
      <c r="BN664" s="3">
        <v>2.2370000000000001</v>
      </c>
      <c r="BO664" s="3">
        <v>2.431</v>
      </c>
      <c r="BP664" s="3">
        <f t="shared" si="534"/>
        <v>-0.19399999999999995</v>
      </c>
      <c r="BQ664" s="3">
        <v>-602243.07700000005</v>
      </c>
      <c r="BR664" s="3">
        <v>-601163.24300000002</v>
      </c>
      <c r="BS664" s="3">
        <f t="shared" si="535"/>
        <v>-1079.8340000000317</v>
      </c>
      <c r="BT664" s="3">
        <v>-602262.36399999994</v>
      </c>
      <c r="BU664" s="3">
        <v>-601182.38500000001</v>
      </c>
      <c r="BV664" s="3">
        <f t="shared" si="536"/>
        <v>-1079.9789999999339</v>
      </c>
    </row>
    <row r="665" spans="1:74" x14ac:dyDescent="0.25">
      <c r="A665" t="s">
        <v>117</v>
      </c>
      <c r="B665" t="s">
        <v>728</v>
      </c>
      <c r="C665" t="s">
        <v>103</v>
      </c>
      <c r="D665" s="3">
        <v>-3.8</v>
      </c>
      <c r="E665" s="3">
        <v>0.8</v>
      </c>
      <c r="F665" s="3">
        <v>-344.96</v>
      </c>
      <c r="G665" s="3">
        <v>-347.07900000000001</v>
      </c>
      <c r="H665" s="3">
        <f t="shared" si="499"/>
        <v>-2.1190000000000282</v>
      </c>
      <c r="I665" s="3">
        <v>-0.41</v>
      </c>
      <c r="J665" s="6">
        <v>-0.25700000000000001</v>
      </c>
      <c r="K665" s="3">
        <f t="shared" si="486"/>
        <v>0.15299999999999997</v>
      </c>
      <c r="L665" s="3">
        <v>0.16300000000000001</v>
      </c>
      <c r="M665" s="6">
        <v>4.9000000000000002E-2</v>
      </c>
      <c r="N665" s="3">
        <f t="shared" si="487"/>
        <v>-0.114</v>
      </c>
      <c r="O665" s="3">
        <f t="shared" si="528"/>
        <v>0.12349999999999998</v>
      </c>
      <c r="P665" s="3">
        <f t="shared" si="528"/>
        <v>0.10400000000000001</v>
      </c>
      <c r="Q665" s="3">
        <f t="shared" si="488"/>
        <v>-1.9499999999999976E-2</v>
      </c>
      <c r="R665" s="3">
        <f t="shared" si="489"/>
        <v>0.57299999999999995</v>
      </c>
      <c r="S665" s="3">
        <f t="shared" si="490"/>
        <v>0.30599999999999999</v>
      </c>
      <c r="T665" s="3">
        <f t="shared" si="491"/>
        <v>-0.26699999999999996</v>
      </c>
      <c r="U665" s="3">
        <f t="shared" si="492"/>
        <v>-0.12349999999999998</v>
      </c>
      <c r="V665" s="3">
        <f t="shared" si="493"/>
        <v>-0.10400000000000001</v>
      </c>
      <c r="W665" s="3">
        <f t="shared" si="523"/>
        <v>1.9499999999999976E-2</v>
      </c>
      <c r="X665" s="3">
        <f t="shared" si="519"/>
        <v>1.3309118673647468E-2</v>
      </c>
      <c r="Y665" s="3">
        <f t="shared" si="520"/>
        <v>1.7673202614379088E-2</v>
      </c>
      <c r="Z665" s="3">
        <f t="shared" si="494"/>
        <v>4.3640839407316206E-3</v>
      </c>
      <c r="AA665" s="3">
        <v>1.266</v>
      </c>
      <c r="AB665" s="3">
        <v>1.25</v>
      </c>
      <c r="AC665" s="3">
        <f t="shared" si="495"/>
        <v>-1.6000000000000014E-2</v>
      </c>
      <c r="AD665" s="3">
        <f>-344.791299*627.50956</f>
        <v>-216359.83632731842</v>
      </c>
      <c r="AE665" s="3">
        <f>-346.920792*627.50956</f>
        <v>-217696.11354277152</v>
      </c>
      <c r="AF665" s="3">
        <f t="shared" si="496"/>
        <v>-1336.2772154530976</v>
      </c>
      <c r="AG665" s="3">
        <f>-344.827343*627.50956</f>
        <v>-216382.45428189906</v>
      </c>
      <c r="AH665" s="3">
        <f>-346.957544*627.50956</f>
        <v>-217719.17577412061</v>
      </c>
      <c r="AI665" s="3">
        <f t="shared" si="497"/>
        <v>-1336.7214922215499</v>
      </c>
      <c r="AJ665" s="3">
        <v>0.115</v>
      </c>
      <c r="AK665" s="3">
        <v>0.14699999999999999</v>
      </c>
      <c r="AL665" s="3">
        <f t="shared" si="498"/>
        <v>3.1999999999999987E-2</v>
      </c>
      <c r="AM665" s="3">
        <v>102.1317</v>
      </c>
      <c r="AN665" s="3">
        <v>158.30549999999999</v>
      </c>
      <c r="AO665" s="3">
        <v>167.61699999999999</v>
      </c>
      <c r="AP665" s="3">
        <f t="shared" si="515"/>
        <v>1.0769773719834748</v>
      </c>
      <c r="AQ665" s="3">
        <v>7.5149999999999997</v>
      </c>
      <c r="AR665" s="3">
        <v>1.6660999999999999</v>
      </c>
      <c r="AS665" s="3">
        <v>-959.76900000000001</v>
      </c>
      <c r="AT665" s="3">
        <v>-958.05</v>
      </c>
      <c r="AU665" s="3">
        <f t="shared" si="511"/>
        <v>-1.7190000000000509</v>
      </c>
      <c r="AV665" s="3">
        <v>-0.317</v>
      </c>
      <c r="AW665" s="3">
        <v>-0.45</v>
      </c>
      <c r="AX665" s="3">
        <f t="shared" si="529"/>
        <v>0.13300000000000001</v>
      </c>
      <c r="AY665" s="3">
        <v>-2.4E-2</v>
      </c>
      <c r="AZ665" s="3">
        <v>0.13500000000000001</v>
      </c>
      <c r="BA665" s="3">
        <f t="shared" si="530"/>
        <v>-0.159</v>
      </c>
      <c r="BB665" s="3">
        <f t="shared" si="525"/>
        <v>0.17050000000000001</v>
      </c>
      <c r="BC665" s="3">
        <f t="shared" si="525"/>
        <v>0.1575</v>
      </c>
      <c r="BD665" s="3">
        <f t="shared" si="531"/>
        <v>1.3000000000000012E-2</v>
      </c>
      <c r="BE665" s="3">
        <f t="shared" si="526"/>
        <v>0.29299999999999998</v>
      </c>
      <c r="BF665" s="3">
        <f t="shared" si="526"/>
        <v>0.58499999999999996</v>
      </c>
      <c r="BG665" s="3">
        <f t="shared" si="532"/>
        <v>-0.29199999999999998</v>
      </c>
      <c r="BH665" s="3">
        <f t="shared" si="527"/>
        <v>-0.17050000000000001</v>
      </c>
      <c r="BI665" s="3">
        <f t="shared" si="527"/>
        <v>-0.1575</v>
      </c>
      <c r="BJ665" s="3">
        <f t="shared" si="524"/>
        <v>-1.3000000000000012E-2</v>
      </c>
      <c r="BK665" s="3">
        <f t="shared" si="521"/>
        <v>4.9607935153583631E-2</v>
      </c>
      <c r="BL665" s="3">
        <f t="shared" si="522"/>
        <v>2.120192307692308E-2</v>
      </c>
      <c r="BM665" s="3">
        <f t="shared" si="533"/>
        <v>2.8406012076660551E-2</v>
      </c>
      <c r="BN665" s="3">
        <v>2.2370000000000001</v>
      </c>
      <c r="BO665" s="3">
        <v>2.431</v>
      </c>
      <c r="BP665" s="3">
        <f t="shared" si="534"/>
        <v>-0.19399999999999995</v>
      </c>
      <c r="BQ665" s="3">
        <v>-602243.07700000005</v>
      </c>
      <c r="BR665" s="3">
        <v>-601163.24300000002</v>
      </c>
      <c r="BS665" s="3">
        <f t="shared" si="535"/>
        <v>-1079.8340000000317</v>
      </c>
      <c r="BT665" s="3">
        <v>-602262.36399999994</v>
      </c>
      <c r="BU665" s="3">
        <v>-601182.38500000001</v>
      </c>
      <c r="BV665" s="3">
        <f t="shared" si="536"/>
        <v>-1079.9789999999339</v>
      </c>
    </row>
    <row r="666" spans="1:74" x14ac:dyDescent="0.25">
      <c r="A666" t="s">
        <v>118</v>
      </c>
      <c r="B666" t="s">
        <v>728</v>
      </c>
      <c r="C666" t="s">
        <v>103</v>
      </c>
      <c r="D666" s="3">
        <v>-3.5</v>
      </c>
      <c r="E666" s="3">
        <v>0.8</v>
      </c>
      <c r="F666" s="3">
        <v>-231.03800000000001</v>
      </c>
      <c r="G666" s="3">
        <v>-232.517</v>
      </c>
      <c r="H666" s="3">
        <f t="shared" si="499"/>
        <v>-1.478999999999985</v>
      </c>
      <c r="I666" s="3">
        <v>-0.40699999999999997</v>
      </c>
      <c r="J666" s="6">
        <v>-0.249</v>
      </c>
      <c r="K666" s="3">
        <f t="shared" si="486"/>
        <v>0.15799999999999997</v>
      </c>
      <c r="L666" s="3">
        <v>0.155</v>
      </c>
      <c r="M666" s="6">
        <v>4.1000000000000002E-2</v>
      </c>
      <c r="N666" s="3">
        <f t="shared" si="487"/>
        <v>-0.11399999999999999</v>
      </c>
      <c r="O666" s="3">
        <f t="shared" si="528"/>
        <v>0.126</v>
      </c>
      <c r="P666" s="3">
        <f t="shared" si="528"/>
        <v>0.104</v>
      </c>
      <c r="Q666" s="3">
        <f t="shared" si="488"/>
        <v>-2.2000000000000006E-2</v>
      </c>
      <c r="R666" s="3">
        <f t="shared" si="489"/>
        <v>0.56199999999999994</v>
      </c>
      <c r="S666" s="3">
        <f t="shared" si="490"/>
        <v>0.28999999999999998</v>
      </c>
      <c r="T666" s="3">
        <f t="shared" si="491"/>
        <v>-0.27199999999999996</v>
      </c>
      <c r="U666" s="3">
        <f t="shared" si="492"/>
        <v>-0.126</v>
      </c>
      <c r="V666" s="3">
        <f t="shared" si="493"/>
        <v>-0.104</v>
      </c>
      <c r="W666" s="3">
        <f t="shared" si="523"/>
        <v>2.2000000000000006E-2</v>
      </c>
      <c r="X666" s="3">
        <f t="shared" si="519"/>
        <v>1.4124555160142351E-2</v>
      </c>
      <c r="Y666" s="3">
        <f t="shared" si="520"/>
        <v>1.8648275862068967E-2</v>
      </c>
      <c r="Z666" s="3">
        <f t="shared" si="494"/>
        <v>4.523720701926616E-3</v>
      </c>
      <c r="AA666" s="3">
        <v>2.2869999999999999</v>
      </c>
      <c r="AB666" s="3">
        <v>2.2000000000000002</v>
      </c>
      <c r="AC666" s="3">
        <f t="shared" si="495"/>
        <v>-8.6999999999999744E-2</v>
      </c>
      <c r="AD666" s="3">
        <f>-230.908237*627.50956</f>
        <v>-144897.12620024572</v>
      </c>
      <c r="AE666" s="3">
        <f>-232.394934*627.50956</f>
        <v>-145830.04278056903</v>
      </c>
      <c r="AF666" s="3">
        <f t="shared" si="496"/>
        <v>-932.91658032330452</v>
      </c>
      <c r="AG666" s="3">
        <f>-230.941056*627.50956</f>
        <v>-144917.72043649535</v>
      </c>
      <c r="AH666" s="3">
        <f>-232.428312*627.50956</f>
        <v>-145850.98779466271</v>
      </c>
      <c r="AI666" s="3">
        <f t="shared" si="497"/>
        <v>-933.26735816735891</v>
      </c>
      <c r="AJ666" s="3">
        <v>0.14399999999999999</v>
      </c>
      <c r="AK666" s="3">
        <v>0.17299999999999999</v>
      </c>
      <c r="AL666" s="3">
        <f t="shared" si="498"/>
        <v>2.8999999999999998E-2</v>
      </c>
      <c r="AM666" s="3">
        <v>72.105699999999999</v>
      </c>
      <c r="AN666" s="3">
        <v>133.14869999999999</v>
      </c>
      <c r="AO666" s="3">
        <v>131.49459999999999</v>
      </c>
      <c r="AP666" s="3">
        <f t="shared" si="515"/>
        <v>1.0649296903928123</v>
      </c>
      <c r="AQ666" s="3">
        <v>6.5880000000000001</v>
      </c>
      <c r="AR666" s="3">
        <v>1.3711</v>
      </c>
      <c r="AS666" s="3">
        <v>-959.76900000000001</v>
      </c>
      <c r="AT666" s="3">
        <v>-958.05</v>
      </c>
      <c r="AU666" s="3">
        <f t="shared" si="511"/>
        <v>-1.7190000000000509</v>
      </c>
      <c r="AV666" s="3">
        <v>-0.317</v>
      </c>
      <c r="AW666" s="3">
        <v>-0.45</v>
      </c>
      <c r="AX666" s="3">
        <f t="shared" si="529"/>
        <v>0.13300000000000001</v>
      </c>
      <c r="AY666" s="3">
        <v>-2.4E-2</v>
      </c>
      <c r="AZ666" s="3">
        <v>0.13500000000000001</v>
      </c>
      <c r="BA666" s="3">
        <f t="shared" si="530"/>
        <v>-0.159</v>
      </c>
      <c r="BB666" s="3">
        <f t="shared" ref="BB666:BC679" si="537">-(AV666+AY666)/2</f>
        <v>0.17050000000000001</v>
      </c>
      <c r="BC666" s="3">
        <f t="shared" si="537"/>
        <v>0.1575</v>
      </c>
      <c r="BD666" s="3">
        <f t="shared" si="531"/>
        <v>1.3000000000000012E-2</v>
      </c>
      <c r="BE666" s="3">
        <f t="shared" ref="BE666:BF679" si="538">AY666-AV666</f>
        <v>0.29299999999999998</v>
      </c>
      <c r="BF666" s="3">
        <f t="shared" si="538"/>
        <v>0.58499999999999996</v>
      </c>
      <c r="BG666" s="3">
        <f t="shared" si="532"/>
        <v>-0.29199999999999998</v>
      </c>
      <c r="BH666" s="3">
        <f t="shared" ref="BH666:BI679" si="539">(AV666+AY666)/2</f>
        <v>-0.17050000000000001</v>
      </c>
      <c r="BI666" s="3">
        <f t="shared" si="539"/>
        <v>-0.1575</v>
      </c>
      <c r="BJ666" s="3">
        <f t="shared" si="524"/>
        <v>-1.3000000000000012E-2</v>
      </c>
      <c r="BK666" s="3">
        <f t="shared" si="521"/>
        <v>4.9607935153583631E-2</v>
      </c>
      <c r="BL666" s="3">
        <f t="shared" si="522"/>
        <v>2.120192307692308E-2</v>
      </c>
      <c r="BM666" s="3">
        <f t="shared" si="533"/>
        <v>2.8406012076660551E-2</v>
      </c>
      <c r="BN666" s="3">
        <v>2.2370000000000001</v>
      </c>
      <c r="BO666" s="3">
        <v>2.431</v>
      </c>
      <c r="BP666" s="3">
        <f t="shared" si="534"/>
        <v>-0.19399999999999995</v>
      </c>
      <c r="BQ666" s="3">
        <v>-602243.07700000005</v>
      </c>
      <c r="BR666" s="3">
        <v>-601163.24300000002</v>
      </c>
      <c r="BS666" s="3">
        <f t="shared" si="535"/>
        <v>-1079.8340000000317</v>
      </c>
      <c r="BT666" s="3">
        <v>-602262.36399999994</v>
      </c>
      <c r="BU666" s="3">
        <v>-601182.38500000001</v>
      </c>
      <c r="BV666" s="3">
        <f t="shared" si="536"/>
        <v>-1079.9789999999339</v>
      </c>
    </row>
    <row r="667" spans="1:74" x14ac:dyDescent="0.25">
      <c r="A667" t="s">
        <v>119</v>
      </c>
      <c r="B667" t="s">
        <v>728</v>
      </c>
      <c r="C667" t="s">
        <v>103</v>
      </c>
      <c r="D667" s="3">
        <v>-3.5</v>
      </c>
      <c r="E667" s="3">
        <v>0.8</v>
      </c>
      <c r="F667" s="3">
        <v>-462.10700000000003</v>
      </c>
      <c r="G667" s="3">
        <v>-465.06700000000001</v>
      </c>
      <c r="H667" s="3">
        <f t="shared" si="499"/>
        <v>-2.9599999999999795</v>
      </c>
      <c r="I667" s="3">
        <v>-0.40799999999999997</v>
      </c>
      <c r="J667" s="6">
        <v>-0.26</v>
      </c>
      <c r="K667" s="3">
        <f t="shared" si="486"/>
        <v>0.14799999999999996</v>
      </c>
      <c r="L667" s="3">
        <v>0.156</v>
      </c>
      <c r="M667" s="6">
        <v>4.2999999999999997E-2</v>
      </c>
      <c r="N667" s="3">
        <f t="shared" si="487"/>
        <v>-0.113</v>
      </c>
      <c r="O667" s="3">
        <f t="shared" si="528"/>
        <v>0.126</v>
      </c>
      <c r="P667" s="3">
        <f t="shared" si="528"/>
        <v>0.10850000000000001</v>
      </c>
      <c r="Q667" s="3">
        <f t="shared" si="488"/>
        <v>-1.7499999999999988E-2</v>
      </c>
      <c r="R667" s="3">
        <f t="shared" si="489"/>
        <v>0.56399999999999995</v>
      </c>
      <c r="S667" s="3">
        <f t="shared" si="490"/>
        <v>0.30299999999999999</v>
      </c>
      <c r="T667" s="3">
        <f t="shared" si="491"/>
        <v>-0.26099999999999995</v>
      </c>
      <c r="U667" s="3">
        <f t="shared" si="492"/>
        <v>-0.126</v>
      </c>
      <c r="V667" s="3">
        <f t="shared" si="493"/>
        <v>-0.10850000000000001</v>
      </c>
      <c r="W667" s="3">
        <f t="shared" si="523"/>
        <v>1.7499999999999988E-2</v>
      </c>
      <c r="X667" s="3">
        <f t="shared" si="519"/>
        <v>1.4074468085106385E-2</v>
      </c>
      <c r="Y667" s="3">
        <f t="shared" si="520"/>
        <v>1.9426155115511556E-2</v>
      </c>
      <c r="Z667" s="3">
        <f t="shared" si="494"/>
        <v>5.3516870304051705E-3</v>
      </c>
      <c r="AA667" s="3">
        <v>1.7549999999999999</v>
      </c>
      <c r="AB667" s="3">
        <v>1.6890000000000001</v>
      </c>
      <c r="AC667" s="3">
        <f t="shared" si="495"/>
        <v>-6.5999999999999837E-2</v>
      </c>
      <c r="AD667" s="3">
        <f>-461.847547*627.50956</f>
        <v>-289813.75100504933</v>
      </c>
      <c r="AE667" s="3">
        <f>-464.822976*627.50956</f>
        <v>-291680.86114765052</v>
      </c>
      <c r="AF667" s="3">
        <f t="shared" si="496"/>
        <v>-1867.1101426011883</v>
      </c>
      <c r="AG667" s="3">
        <f>-461.895369*627.50956</f>
        <v>-289843.75976722763</v>
      </c>
      <c r="AH667" s="3">
        <f>-464.872092*627.50956</f>
        <v>-291711.6819071995</v>
      </c>
      <c r="AI667" s="3">
        <f t="shared" si="497"/>
        <v>-1867.9221399718663</v>
      </c>
      <c r="AJ667" s="3">
        <v>0.105</v>
      </c>
      <c r="AK667" s="3">
        <v>0.13600000000000001</v>
      </c>
      <c r="AL667" s="3">
        <f t="shared" si="498"/>
        <v>3.1000000000000014E-2</v>
      </c>
      <c r="AM667" s="3">
        <v>144.21100000000001</v>
      </c>
      <c r="AN667" s="3">
        <v>225.36590000000001</v>
      </c>
      <c r="AO667" s="3">
        <v>252.84370000000001</v>
      </c>
      <c r="AP667" s="3">
        <f t="shared" si="515"/>
        <v>1.1656711900630683</v>
      </c>
      <c r="AQ667" s="3">
        <v>10.102</v>
      </c>
      <c r="AR667" s="3">
        <v>2.2719999999999998</v>
      </c>
      <c r="AS667" s="3">
        <v>-959.76900000000001</v>
      </c>
      <c r="AT667" s="3">
        <v>-958.05</v>
      </c>
      <c r="AU667" s="3">
        <f t="shared" si="511"/>
        <v>-1.7190000000000509</v>
      </c>
      <c r="AV667" s="3">
        <v>-0.317</v>
      </c>
      <c r="AW667" s="3">
        <v>-0.45</v>
      </c>
      <c r="AX667" s="3">
        <f t="shared" si="529"/>
        <v>0.13300000000000001</v>
      </c>
      <c r="AY667" s="3">
        <v>-2.4E-2</v>
      </c>
      <c r="AZ667" s="3">
        <v>0.13500000000000001</v>
      </c>
      <c r="BA667" s="3">
        <f t="shared" si="530"/>
        <v>-0.159</v>
      </c>
      <c r="BB667" s="3">
        <f t="shared" si="537"/>
        <v>0.17050000000000001</v>
      </c>
      <c r="BC667" s="3">
        <f t="shared" si="537"/>
        <v>0.1575</v>
      </c>
      <c r="BD667" s="3">
        <f t="shared" si="531"/>
        <v>1.3000000000000012E-2</v>
      </c>
      <c r="BE667" s="3">
        <f t="shared" si="538"/>
        <v>0.29299999999999998</v>
      </c>
      <c r="BF667" s="3">
        <f t="shared" si="538"/>
        <v>0.58499999999999996</v>
      </c>
      <c r="BG667" s="3">
        <f t="shared" si="532"/>
        <v>-0.29199999999999998</v>
      </c>
      <c r="BH667" s="3">
        <f t="shared" si="539"/>
        <v>-0.17050000000000001</v>
      </c>
      <c r="BI667" s="3">
        <f t="shared" si="539"/>
        <v>-0.1575</v>
      </c>
      <c r="BJ667" s="3">
        <f t="shared" si="524"/>
        <v>-1.3000000000000012E-2</v>
      </c>
      <c r="BK667" s="3">
        <f t="shared" si="521"/>
        <v>4.9607935153583631E-2</v>
      </c>
      <c r="BL667" s="3">
        <f t="shared" si="522"/>
        <v>2.120192307692308E-2</v>
      </c>
      <c r="BM667" s="3">
        <f t="shared" si="533"/>
        <v>2.8406012076660551E-2</v>
      </c>
      <c r="BN667" s="3">
        <v>2.2370000000000001</v>
      </c>
      <c r="BO667" s="3">
        <v>2.431</v>
      </c>
      <c r="BP667" s="3">
        <f t="shared" si="534"/>
        <v>-0.19399999999999995</v>
      </c>
      <c r="BQ667" s="3">
        <v>-602243.07700000005</v>
      </c>
      <c r="BR667" s="3">
        <v>-601163.24300000002</v>
      </c>
      <c r="BS667" s="3">
        <f t="shared" si="535"/>
        <v>-1079.8340000000317</v>
      </c>
      <c r="BT667" s="3">
        <v>-602262.36399999994</v>
      </c>
      <c r="BU667" s="3">
        <v>-601182.38500000001</v>
      </c>
      <c r="BV667" s="3">
        <f t="shared" si="536"/>
        <v>-1079.9789999999339</v>
      </c>
    </row>
    <row r="668" spans="1:74" x14ac:dyDescent="0.25">
      <c r="A668" t="s">
        <v>120</v>
      </c>
      <c r="B668" t="s">
        <v>728</v>
      </c>
      <c r="C668" t="s">
        <v>103</v>
      </c>
      <c r="D668" s="3">
        <v>-3.5</v>
      </c>
      <c r="E668" s="3">
        <v>1.1000000000000001</v>
      </c>
      <c r="F668" s="3">
        <v>-716.11699999999996</v>
      </c>
      <c r="G668" s="3">
        <v>-719.697</v>
      </c>
      <c r="H668" s="3">
        <f t="shared" si="499"/>
        <v>-3.5800000000000409</v>
      </c>
      <c r="I668" s="3">
        <v>-0.32500000000000001</v>
      </c>
      <c r="J668" s="6">
        <v>-0.245</v>
      </c>
      <c r="K668" s="3">
        <f t="shared" si="486"/>
        <v>8.0000000000000016E-2</v>
      </c>
      <c r="L668" s="3">
        <v>0.13100000000000001</v>
      </c>
      <c r="M668" s="6">
        <v>-1.0999999999999999E-2</v>
      </c>
      <c r="N668" s="3">
        <f t="shared" si="487"/>
        <v>-0.14200000000000002</v>
      </c>
      <c r="O668" s="3">
        <f t="shared" si="528"/>
        <v>9.7000000000000003E-2</v>
      </c>
      <c r="P668" s="3">
        <f t="shared" si="528"/>
        <v>0.128</v>
      </c>
      <c r="Q668" s="3">
        <f t="shared" si="488"/>
        <v>3.1E-2</v>
      </c>
      <c r="R668" s="3">
        <f t="shared" si="489"/>
        <v>0.45600000000000002</v>
      </c>
      <c r="S668" s="3">
        <f t="shared" si="490"/>
        <v>0.23399999999999999</v>
      </c>
      <c r="T668" s="3">
        <f t="shared" si="491"/>
        <v>-0.22200000000000003</v>
      </c>
      <c r="U668" s="3">
        <f t="shared" si="492"/>
        <v>-9.7000000000000003E-2</v>
      </c>
      <c r="V668" s="3">
        <f t="shared" si="493"/>
        <v>-0.128</v>
      </c>
      <c r="W668" s="3">
        <f t="shared" si="523"/>
        <v>-3.1E-2</v>
      </c>
      <c r="X668" s="3">
        <f t="shared" si="519"/>
        <v>1.0316885964912282E-2</v>
      </c>
      <c r="Y668" s="3">
        <f t="shared" si="520"/>
        <v>3.5008547008547011E-2</v>
      </c>
      <c r="Z668" s="3">
        <f t="shared" si="494"/>
        <v>2.4691661043634731E-2</v>
      </c>
      <c r="AA668" s="3">
        <v>0.52200000000000002</v>
      </c>
      <c r="AB668" s="3">
        <v>0.58299999999999996</v>
      </c>
      <c r="AC668" s="3">
        <f t="shared" si="495"/>
        <v>6.0999999999999943E-2</v>
      </c>
      <c r="AD668" s="3">
        <f>-715.829433*627.50956</f>
        <v>-449189.81253687944</v>
      </c>
      <c r="AE668" s="3">
        <f>-719.424825*627.50956</f>
        <v>-451445.95538882702</v>
      </c>
      <c r="AF668" s="3">
        <f t="shared" si="496"/>
        <v>-2256.1428519475739</v>
      </c>
      <c r="AG668" s="3">
        <f>-715.887168*627.50956</f>
        <v>-449226.04180132604</v>
      </c>
      <c r="AH668" s="3">
        <f>-719.484154*627.50956</f>
        <v>-451483.18490351218</v>
      </c>
      <c r="AI668" s="3">
        <f t="shared" si="497"/>
        <v>-2257.1431021861499</v>
      </c>
      <c r="AJ668" s="3">
        <v>0.17199999999999999</v>
      </c>
      <c r="AK668" s="3">
        <v>0.2</v>
      </c>
      <c r="AL668" s="3">
        <f t="shared" si="498"/>
        <v>2.8000000000000025E-2</v>
      </c>
      <c r="AM668" s="3">
        <v>178.346</v>
      </c>
      <c r="AN668" s="3">
        <v>280.92660000000001</v>
      </c>
      <c r="AO668" s="3">
        <v>325.673</v>
      </c>
      <c r="AP668" s="3">
        <f t="shared" si="515"/>
        <v>1.2274231504155031</v>
      </c>
      <c r="AQ668" s="3">
        <v>12.486000000000001</v>
      </c>
      <c r="AR668" s="3">
        <v>3.1354000000000002</v>
      </c>
      <c r="AS668" s="3">
        <v>-959.76900000000001</v>
      </c>
      <c r="AT668" s="3">
        <v>-958.05</v>
      </c>
      <c r="AU668" s="3">
        <f t="shared" si="511"/>
        <v>-1.7190000000000509</v>
      </c>
      <c r="AV668" s="3">
        <v>-0.317</v>
      </c>
      <c r="AW668" s="3">
        <v>-0.45</v>
      </c>
      <c r="AX668" s="3">
        <f t="shared" si="529"/>
        <v>0.13300000000000001</v>
      </c>
      <c r="AY668" s="3">
        <v>-2.4E-2</v>
      </c>
      <c r="AZ668" s="3">
        <v>0.13500000000000001</v>
      </c>
      <c r="BA668" s="3">
        <f t="shared" si="530"/>
        <v>-0.159</v>
      </c>
      <c r="BB668" s="3">
        <f t="shared" si="537"/>
        <v>0.17050000000000001</v>
      </c>
      <c r="BC668" s="3">
        <f t="shared" si="537"/>
        <v>0.1575</v>
      </c>
      <c r="BD668" s="3">
        <f t="shared" si="531"/>
        <v>1.3000000000000012E-2</v>
      </c>
      <c r="BE668" s="3">
        <f t="shared" si="538"/>
        <v>0.29299999999999998</v>
      </c>
      <c r="BF668" s="3">
        <f t="shared" si="538"/>
        <v>0.58499999999999996</v>
      </c>
      <c r="BG668" s="3">
        <f t="shared" si="532"/>
        <v>-0.29199999999999998</v>
      </c>
      <c r="BH668" s="3">
        <f t="shared" si="539"/>
        <v>-0.17050000000000001</v>
      </c>
      <c r="BI668" s="3">
        <f t="shared" si="539"/>
        <v>-0.1575</v>
      </c>
      <c r="BJ668" s="3">
        <f t="shared" si="524"/>
        <v>-1.3000000000000012E-2</v>
      </c>
      <c r="BK668" s="3">
        <f t="shared" si="521"/>
        <v>4.9607935153583631E-2</v>
      </c>
      <c r="BL668" s="3">
        <f t="shared" si="522"/>
        <v>2.120192307692308E-2</v>
      </c>
      <c r="BM668" s="3">
        <f t="shared" si="533"/>
        <v>2.8406012076660551E-2</v>
      </c>
      <c r="BN668" s="3">
        <v>2.2370000000000001</v>
      </c>
      <c r="BO668" s="3">
        <v>2.431</v>
      </c>
      <c r="BP668" s="3">
        <f t="shared" si="534"/>
        <v>-0.19399999999999995</v>
      </c>
      <c r="BQ668" s="3">
        <v>-602243.07700000005</v>
      </c>
      <c r="BR668" s="3">
        <v>-601163.24300000002</v>
      </c>
      <c r="BS668" s="3">
        <f t="shared" si="535"/>
        <v>-1079.8340000000317</v>
      </c>
      <c r="BT668" s="3">
        <v>-602262.36399999994</v>
      </c>
      <c r="BU668" s="3">
        <v>-601182.38500000001</v>
      </c>
      <c r="BV668" s="3">
        <f t="shared" si="536"/>
        <v>-1079.9789999999339</v>
      </c>
    </row>
    <row r="669" spans="1:74" x14ac:dyDescent="0.25">
      <c r="A669" t="s">
        <v>121</v>
      </c>
      <c r="B669" t="s">
        <v>728</v>
      </c>
      <c r="C669" t="s">
        <v>103</v>
      </c>
      <c r="D669" s="3">
        <v>-3.3</v>
      </c>
      <c r="E669" s="3">
        <v>0.8</v>
      </c>
      <c r="F669" s="3">
        <v>-305.92200000000003</v>
      </c>
      <c r="G669" s="3">
        <v>-307.75799999999998</v>
      </c>
      <c r="H669" s="3">
        <f t="shared" si="499"/>
        <v>-1.8359999999999559</v>
      </c>
      <c r="I669" s="3">
        <v>-0.42</v>
      </c>
      <c r="J669" s="6">
        <v>-0.26400000000000001</v>
      </c>
      <c r="K669" s="3">
        <f t="shared" si="486"/>
        <v>0.15599999999999997</v>
      </c>
      <c r="L669" s="3">
        <v>0.161</v>
      </c>
      <c r="M669" s="6">
        <v>4.7E-2</v>
      </c>
      <c r="N669" s="3">
        <f t="shared" si="487"/>
        <v>-0.114</v>
      </c>
      <c r="O669" s="3">
        <f t="shared" si="528"/>
        <v>0.1295</v>
      </c>
      <c r="P669" s="3">
        <f t="shared" si="528"/>
        <v>0.10850000000000001</v>
      </c>
      <c r="Q669" s="3">
        <f t="shared" si="488"/>
        <v>-2.0999999999999991E-2</v>
      </c>
      <c r="R669" s="3">
        <f t="shared" si="489"/>
        <v>0.58099999999999996</v>
      </c>
      <c r="S669" s="3">
        <f t="shared" si="490"/>
        <v>0.311</v>
      </c>
      <c r="T669" s="3">
        <f t="shared" si="491"/>
        <v>-0.26999999999999996</v>
      </c>
      <c r="U669" s="3">
        <f t="shared" si="492"/>
        <v>-0.1295</v>
      </c>
      <c r="V669" s="3">
        <f t="shared" si="493"/>
        <v>-0.10850000000000001</v>
      </c>
      <c r="W669" s="3">
        <f t="shared" si="523"/>
        <v>2.0999999999999991E-2</v>
      </c>
      <c r="X669" s="3">
        <f t="shared" si="519"/>
        <v>1.4432228915662652E-2</v>
      </c>
      <c r="Y669" s="3">
        <f t="shared" si="520"/>
        <v>1.8926446945337627E-2</v>
      </c>
      <c r="Z669" s="3">
        <f t="shared" si="494"/>
        <v>4.4942180296749755E-3</v>
      </c>
      <c r="AA669" s="3">
        <v>1.732</v>
      </c>
      <c r="AB669" s="3">
        <v>1.605</v>
      </c>
      <c r="AC669" s="3">
        <f t="shared" si="495"/>
        <v>-0.127</v>
      </c>
      <c r="AD669" s="3">
        <f>-305.785776*627.50956</f>
        <v>-191883.49775201853</v>
      </c>
      <c r="AE669" s="3">
        <f>-307.631405*627.50956</f>
        <v>-193041.64759373176</v>
      </c>
      <c r="AF669" s="3">
        <f t="shared" si="496"/>
        <v>-1158.1498417132243</v>
      </c>
      <c r="AG669" s="3">
        <f>-305.822001*627.50956</f>
        <v>-191906.22928582956</v>
      </c>
      <c r="AH669" s="3">
        <f>-307.668309*627.50956</f>
        <v>-193064.80520653405</v>
      </c>
      <c r="AI669" s="3">
        <f t="shared" si="497"/>
        <v>-1158.5759207044903</v>
      </c>
      <c r="AJ669" s="3">
        <v>0.105</v>
      </c>
      <c r="AK669" s="3">
        <v>0.13600000000000001</v>
      </c>
      <c r="AL669" s="3">
        <f t="shared" si="498"/>
        <v>3.1000000000000014E-2</v>
      </c>
      <c r="AM669" s="3">
        <v>88.105000000000004</v>
      </c>
      <c r="AN669" s="3">
        <v>145.976</v>
      </c>
      <c r="AO669" s="3">
        <v>143.90389999999999</v>
      </c>
      <c r="AP669" s="3">
        <f t="shared" si="515"/>
        <v>1.0993999174836138</v>
      </c>
      <c r="AQ669" s="3">
        <v>7.6020000000000003</v>
      </c>
      <c r="AR669" s="3">
        <v>1.5457000000000001</v>
      </c>
      <c r="AS669" s="3">
        <v>-959.76900000000001</v>
      </c>
      <c r="AT669" s="3">
        <v>-958.05</v>
      </c>
      <c r="AU669" s="3">
        <f t="shared" si="511"/>
        <v>-1.7190000000000509</v>
      </c>
      <c r="AV669" s="3">
        <v>-0.317</v>
      </c>
      <c r="AW669" s="3">
        <v>-0.45</v>
      </c>
      <c r="AX669" s="3">
        <f t="shared" si="529"/>
        <v>0.13300000000000001</v>
      </c>
      <c r="AY669" s="3">
        <v>-2.4E-2</v>
      </c>
      <c r="AZ669" s="3">
        <v>0.13500000000000001</v>
      </c>
      <c r="BA669" s="3">
        <f t="shared" si="530"/>
        <v>-0.159</v>
      </c>
      <c r="BB669" s="3">
        <f t="shared" si="537"/>
        <v>0.17050000000000001</v>
      </c>
      <c r="BC669" s="3">
        <f t="shared" si="537"/>
        <v>0.1575</v>
      </c>
      <c r="BD669" s="3">
        <f t="shared" si="531"/>
        <v>1.3000000000000012E-2</v>
      </c>
      <c r="BE669" s="3">
        <f t="shared" si="538"/>
        <v>0.29299999999999998</v>
      </c>
      <c r="BF669" s="3">
        <f t="shared" si="538"/>
        <v>0.58499999999999996</v>
      </c>
      <c r="BG669" s="3">
        <f t="shared" si="532"/>
        <v>-0.29199999999999998</v>
      </c>
      <c r="BH669" s="3">
        <f t="shared" si="539"/>
        <v>-0.17050000000000001</v>
      </c>
      <c r="BI669" s="3">
        <f t="shared" si="539"/>
        <v>-0.1575</v>
      </c>
      <c r="BJ669" s="3">
        <f t="shared" si="524"/>
        <v>-1.3000000000000012E-2</v>
      </c>
      <c r="BK669" s="3">
        <f t="shared" si="521"/>
        <v>4.9607935153583631E-2</v>
      </c>
      <c r="BL669" s="3">
        <f t="shared" si="522"/>
        <v>2.120192307692308E-2</v>
      </c>
      <c r="BM669" s="3">
        <f t="shared" si="533"/>
        <v>2.8406012076660551E-2</v>
      </c>
      <c r="BN669" s="3">
        <v>2.2370000000000001</v>
      </c>
      <c r="BO669" s="3">
        <v>2.431</v>
      </c>
      <c r="BP669" s="3">
        <f t="shared" si="534"/>
        <v>-0.19399999999999995</v>
      </c>
      <c r="BQ669" s="3">
        <v>-602243.07700000005</v>
      </c>
      <c r="BR669" s="3">
        <v>-601163.24300000002</v>
      </c>
      <c r="BS669" s="3">
        <f t="shared" si="535"/>
        <v>-1079.8340000000317</v>
      </c>
      <c r="BT669" s="3">
        <v>-602262.36399999994</v>
      </c>
      <c r="BU669" s="3">
        <v>-601182.38500000001</v>
      </c>
      <c r="BV669" s="3">
        <f t="shared" si="536"/>
        <v>-1079.9789999999339</v>
      </c>
    </row>
    <row r="670" spans="1:74" x14ac:dyDescent="0.25">
      <c r="A670" t="s">
        <v>122</v>
      </c>
      <c r="B670" t="s">
        <v>728</v>
      </c>
      <c r="C670" t="s">
        <v>99</v>
      </c>
      <c r="D670" s="3">
        <v>-3.3</v>
      </c>
      <c r="E670" s="3">
        <v>0.82</v>
      </c>
      <c r="F670" s="3">
        <v>-1128.317</v>
      </c>
      <c r="G670" s="3">
        <v>-1135.8520000000001</v>
      </c>
      <c r="H670" s="3">
        <f t="shared" si="499"/>
        <v>-7.5350000000000819</v>
      </c>
      <c r="I670" s="3">
        <v>-0.28299999999999997</v>
      </c>
      <c r="J670" s="6">
        <v>-0.186</v>
      </c>
      <c r="K670" s="3">
        <f t="shared" ref="K670:K733" si="540">J670-I670</f>
        <v>9.6999999999999975E-2</v>
      </c>
      <c r="L670" s="3">
        <v>0.114</v>
      </c>
      <c r="M670" s="6">
        <v>-1.7000000000000001E-2</v>
      </c>
      <c r="N670" s="3">
        <f t="shared" ref="N670:N733" si="541">M670-L670</f>
        <v>-0.13100000000000001</v>
      </c>
      <c r="O670" s="3">
        <f t="shared" si="528"/>
        <v>8.4499999999999992E-2</v>
      </c>
      <c r="P670" s="3">
        <f t="shared" si="528"/>
        <v>0.10150000000000001</v>
      </c>
      <c r="Q670" s="3">
        <f t="shared" ref="Q670:Q733" si="542">P670-O670</f>
        <v>1.7000000000000015E-2</v>
      </c>
      <c r="R670" s="3">
        <f t="shared" ref="R670:R733" si="543">L670-I670</f>
        <v>0.39699999999999996</v>
      </c>
      <c r="S670" s="3">
        <f t="shared" ref="S670:S733" si="544">M670-J670</f>
        <v>0.16899999999999998</v>
      </c>
      <c r="T670" s="3">
        <f t="shared" ref="T670:T733" si="545">S670-R670</f>
        <v>-0.22799999999999998</v>
      </c>
      <c r="U670" s="3">
        <f t="shared" ref="U670:U733" si="546">(I670+L670)/2</f>
        <v>-8.4499999999999992E-2</v>
      </c>
      <c r="V670" s="3">
        <f t="shared" ref="V670:V733" si="547">(J670+M670)/2</f>
        <v>-0.10150000000000001</v>
      </c>
      <c r="W670" s="3">
        <f t="shared" si="523"/>
        <v>-1.7000000000000015E-2</v>
      </c>
      <c r="X670" s="3">
        <f t="shared" si="519"/>
        <v>8.9927581863979839E-3</v>
      </c>
      <c r="Y670" s="3">
        <f t="shared" si="520"/>
        <v>3.0480029585798821E-2</v>
      </c>
      <c r="Z670" s="3">
        <f t="shared" ref="Z670:Z733" si="548">Y670-X670</f>
        <v>2.1487271399400838E-2</v>
      </c>
      <c r="AA670" s="3">
        <v>1.542</v>
      </c>
      <c r="AB670" s="3">
        <v>1.696</v>
      </c>
      <c r="AC670" s="3">
        <f t="shared" ref="AC670:AC733" si="549">AB670-AA670</f>
        <v>0.15399999999999991</v>
      </c>
      <c r="AD670" s="3">
        <f>-1127.748692*627.50956</f>
        <v>-707673.08550749545</v>
      </c>
      <c r="AE670" s="3">
        <f>-1135.315999*627.50956</f>
        <v>-712421.6429934504</v>
      </c>
      <c r="AF670" s="3">
        <f t="shared" ref="AF670:AF733" si="550">AE670-AD670</f>
        <v>-4748.5574859549524</v>
      </c>
      <c r="AG670" s="3">
        <f>-1127.83556*627.50956</f>
        <v>-707727.59600795351</v>
      </c>
      <c r="AH670" s="3">
        <f>-1135.407415*627.50956</f>
        <v>-712479.00740738725</v>
      </c>
      <c r="AI670" s="3">
        <f t="shared" ref="AI670:AI733" si="551">AH670-AG670</f>
        <v>-4751.4113994337386</v>
      </c>
      <c r="AJ670" s="3">
        <v>0.19400000000000001</v>
      </c>
      <c r="AK670" s="3">
        <v>0.217</v>
      </c>
      <c r="AL670" s="3">
        <f t="shared" ref="AL670:AL733" si="552">AK670-AJ670</f>
        <v>2.2999999999999993E-2</v>
      </c>
      <c r="AM670" s="3">
        <v>373.53370000000001</v>
      </c>
      <c r="AN670" s="3">
        <v>486.00979999999998</v>
      </c>
      <c r="AO670" s="3">
        <v>599.24800000000005</v>
      </c>
      <c r="AP670" s="3">
        <f t="shared" si="515"/>
        <v>1.4141535934919285</v>
      </c>
      <c r="AQ670" s="3">
        <v>15.79</v>
      </c>
      <c r="AR670" s="3">
        <v>4.4904999999999999</v>
      </c>
      <c r="AS670" s="3">
        <v>-132.80099999999999</v>
      </c>
      <c r="AT670" s="3">
        <v>-131.97</v>
      </c>
      <c r="AU670" s="3">
        <f t="shared" si="511"/>
        <v>-0.83099999999998886</v>
      </c>
      <c r="AV670" s="3">
        <v>-0.34100000000000003</v>
      </c>
      <c r="AW670" s="3">
        <v>-0.47499999999999998</v>
      </c>
      <c r="AX670" s="3">
        <f t="shared" si="529"/>
        <v>0.13399999999999995</v>
      </c>
      <c r="AY670" s="3">
        <v>2.9000000000000001E-2</v>
      </c>
      <c r="AZ670" s="3">
        <v>0.156</v>
      </c>
      <c r="BA670" s="3">
        <f t="shared" si="530"/>
        <v>-0.127</v>
      </c>
      <c r="BB670" s="3">
        <f t="shared" si="537"/>
        <v>0.156</v>
      </c>
      <c r="BC670" s="3">
        <f t="shared" si="537"/>
        <v>0.15949999999999998</v>
      </c>
      <c r="BD670" s="3">
        <f t="shared" si="531"/>
        <v>-3.4999999999999754E-3</v>
      </c>
      <c r="BE670" s="3">
        <f t="shared" si="538"/>
        <v>0.37000000000000005</v>
      </c>
      <c r="BF670" s="3">
        <f t="shared" si="538"/>
        <v>0.63100000000000001</v>
      </c>
      <c r="BG670" s="3">
        <f t="shared" si="532"/>
        <v>-0.26099999999999995</v>
      </c>
      <c r="BH670" s="3">
        <f t="shared" si="539"/>
        <v>-0.156</v>
      </c>
      <c r="BI670" s="3">
        <f t="shared" si="539"/>
        <v>-0.15949999999999998</v>
      </c>
      <c r="BJ670" s="3">
        <f t="shared" si="524"/>
        <v>3.4999999999999754E-3</v>
      </c>
      <c r="BK670" s="3">
        <f t="shared" si="521"/>
        <v>3.2886486486486483E-2</v>
      </c>
      <c r="BL670" s="3">
        <f t="shared" si="522"/>
        <v>2.0158676703645E-2</v>
      </c>
      <c r="BM670" s="3">
        <f t="shared" si="533"/>
        <v>1.2727809782841482E-2</v>
      </c>
      <c r="BN670" s="3">
        <v>4.7279999999999998</v>
      </c>
      <c r="BO670" s="3">
        <v>4.9340000000000002</v>
      </c>
      <c r="BP670" s="3">
        <f t="shared" si="534"/>
        <v>-0.20600000000000041</v>
      </c>
      <c r="BQ670" s="3">
        <v>-83302.89</v>
      </c>
      <c r="BR670" s="3">
        <v>-82779.224000000002</v>
      </c>
      <c r="BS670" s="3">
        <f t="shared" si="535"/>
        <v>-523.66599999999744</v>
      </c>
      <c r="BT670" s="3">
        <v>-83320.774999999994</v>
      </c>
      <c r="BU670" s="3">
        <v>-82796.997000000003</v>
      </c>
      <c r="BV670" s="3">
        <f t="shared" si="536"/>
        <v>-523.77799999999115</v>
      </c>
    </row>
    <row r="671" spans="1:74" x14ac:dyDescent="0.25">
      <c r="A671" t="s">
        <v>123</v>
      </c>
      <c r="B671" t="s">
        <v>728</v>
      </c>
      <c r="C671" t="s">
        <v>99</v>
      </c>
      <c r="D671" s="3">
        <v>-3.3</v>
      </c>
      <c r="E671" s="3">
        <v>1</v>
      </c>
      <c r="F671" s="3">
        <v>-384.59</v>
      </c>
      <c r="G671" s="3">
        <v>-387.18</v>
      </c>
      <c r="H671" s="3">
        <f t="shared" ref="H671:H734" si="553">G671-F671</f>
        <v>-2.5900000000000318</v>
      </c>
      <c r="I671" s="3">
        <v>-0.29899999999999999</v>
      </c>
      <c r="J671" s="6">
        <v>-0.223</v>
      </c>
      <c r="K671" s="3">
        <f t="shared" si="540"/>
        <v>7.5999999999999984E-2</v>
      </c>
      <c r="L671" s="3">
        <v>0.105</v>
      </c>
      <c r="M671" s="6">
        <v>-3.7999999999999999E-2</v>
      </c>
      <c r="N671" s="3">
        <f t="shared" si="541"/>
        <v>-0.14299999999999999</v>
      </c>
      <c r="O671" s="3">
        <f t="shared" si="528"/>
        <v>9.7000000000000003E-2</v>
      </c>
      <c r="P671" s="3">
        <f t="shared" si="528"/>
        <v>0.1305</v>
      </c>
      <c r="Q671" s="3">
        <f t="shared" si="542"/>
        <v>3.3500000000000002E-2</v>
      </c>
      <c r="R671" s="3">
        <f t="shared" si="543"/>
        <v>0.40399999999999997</v>
      </c>
      <c r="S671" s="3">
        <f t="shared" si="544"/>
        <v>0.185</v>
      </c>
      <c r="T671" s="3">
        <f t="shared" si="545"/>
        <v>-0.21899999999999997</v>
      </c>
      <c r="U671" s="3">
        <f t="shared" si="546"/>
        <v>-9.7000000000000003E-2</v>
      </c>
      <c r="V671" s="3">
        <f t="shared" si="547"/>
        <v>-0.1305</v>
      </c>
      <c r="W671" s="3">
        <f t="shared" si="523"/>
        <v>-3.3500000000000002E-2</v>
      </c>
      <c r="X671" s="3">
        <f t="shared" si="519"/>
        <v>1.1644801980198021E-2</v>
      </c>
      <c r="Y671" s="3">
        <f t="shared" si="520"/>
        <v>4.6027702702702705E-2</v>
      </c>
      <c r="Z671" s="3">
        <f t="shared" si="548"/>
        <v>3.4382900722504682E-2</v>
      </c>
      <c r="AA671" s="3">
        <v>0.874</v>
      </c>
      <c r="AB671" s="3">
        <v>0.88900000000000001</v>
      </c>
      <c r="AC671" s="3">
        <f t="shared" si="549"/>
        <v>1.5000000000000013E-2</v>
      </c>
      <c r="AD671" s="3">
        <f>-384.401599*627.50956</f>
        <v>-241215.67825178642</v>
      </c>
      <c r="AE671" s="3">
        <f>-387.002419*627.50956</f>
        <v>-242847.71766562562</v>
      </c>
      <c r="AF671" s="3">
        <f t="shared" si="550"/>
        <v>-1632.0394138392003</v>
      </c>
      <c r="AG671" s="3">
        <f>-384.441103*627.50956</f>
        <v>-241240.46738944468</v>
      </c>
      <c r="AH671" s="3">
        <f>-387.042814*627.50956</f>
        <v>-242873.06591430184</v>
      </c>
      <c r="AI671" s="3">
        <f t="shared" si="551"/>
        <v>-1632.5985248571669</v>
      </c>
      <c r="AJ671" s="3">
        <v>0.193</v>
      </c>
      <c r="AK671" s="3">
        <v>0.21</v>
      </c>
      <c r="AL671" s="3">
        <f t="shared" si="552"/>
        <v>1.6999999999999987E-2</v>
      </c>
      <c r="AM671" s="3">
        <v>130.18600000000001</v>
      </c>
      <c r="AN671" s="3">
        <v>197.18199999999999</v>
      </c>
      <c r="AO671" s="3">
        <v>216.1388</v>
      </c>
      <c r="AP671" s="3">
        <f t="shared" si="515"/>
        <v>1.1323170854568338</v>
      </c>
      <c r="AQ671" s="3">
        <v>9.6129999999999995</v>
      </c>
      <c r="AR671" s="3">
        <v>2.1412</v>
      </c>
      <c r="AS671" s="3">
        <v>-132.80099999999999</v>
      </c>
      <c r="AT671" s="3">
        <v>-131.97</v>
      </c>
      <c r="AU671" s="3">
        <f t="shared" si="511"/>
        <v>-0.83099999999998886</v>
      </c>
      <c r="AV671" s="3">
        <v>-0.34100000000000003</v>
      </c>
      <c r="AW671" s="3">
        <v>-0.47499999999999998</v>
      </c>
      <c r="AX671" s="3">
        <f t="shared" si="529"/>
        <v>0.13399999999999995</v>
      </c>
      <c r="AY671" s="3">
        <v>2.9000000000000001E-2</v>
      </c>
      <c r="AZ671" s="3">
        <v>0.156</v>
      </c>
      <c r="BA671" s="3">
        <f t="shared" si="530"/>
        <v>-0.127</v>
      </c>
      <c r="BB671" s="3">
        <f t="shared" si="537"/>
        <v>0.156</v>
      </c>
      <c r="BC671" s="3">
        <f t="shared" si="537"/>
        <v>0.15949999999999998</v>
      </c>
      <c r="BD671" s="3">
        <f t="shared" si="531"/>
        <v>-3.4999999999999754E-3</v>
      </c>
      <c r="BE671" s="3">
        <f t="shared" si="538"/>
        <v>0.37000000000000005</v>
      </c>
      <c r="BF671" s="3">
        <f t="shared" si="538"/>
        <v>0.63100000000000001</v>
      </c>
      <c r="BG671" s="3">
        <f t="shared" si="532"/>
        <v>-0.26099999999999995</v>
      </c>
      <c r="BH671" s="3">
        <f t="shared" si="539"/>
        <v>-0.156</v>
      </c>
      <c r="BI671" s="3">
        <f t="shared" si="539"/>
        <v>-0.15949999999999998</v>
      </c>
      <c r="BJ671" s="3">
        <f t="shared" si="524"/>
        <v>3.4999999999999754E-3</v>
      </c>
      <c r="BK671" s="3">
        <f t="shared" si="521"/>
        <v>3.2886486486486483E-2</v>
      </c>
      <c r="BL671" s="3">
        <f t="shared" si="522"/>
        <v>2.0158676703645E-2</v>
      </c>
      <c r="BM671" s="3">
        <f t="shared" si="533"/>
        <v>1.2727809782841482E-2</v>
      </c>
      <c r="BN671" s="3">
        <v>4.7279999999999998</v>
      </c>
      <c r="BO671" s="3">
        <v>4.9340000000000002</v>
      </c>
      <c r="BP671" s="3">
        <f t="shared" si="534"/>
        <v>-0.20600000000000041</v>
      </c>
      <c r="BQ671" s="3">
        <v>-83302.89</v>
      </c>
      <c r="BR671" s="3">
        <v>-82779.224000000002</v>
      </c>
      <c r="BS671" s="3">
        <f t="shared" si="535"/>
        <v>-523.66599999999744</v>
      </c>
      <c r="BT671" s="3">
        <v>-83320.774999999994</v>
      </c>
      <c r="BU671" s="3">
        <v>-82796.997000000003</v>
      </c>
      <c r="BV671" s="3">
        <f t="shared" si="536"/>
        <v>-523.77799999999115</v>
      </c>
    </row>
    <row r="672" spans="1:74" x14ac:dyDescent="0.25">
      <c r="A672" t="s">
        <v>124</v>
      </c>
      <c r="B672" t="s">
        <v>728</v>
      </c>
      <c r="C672" t="s">
        <v>103</v>
      </c>
      <c r="D672" s="3">
        <v>-3.2</v>
      </c>
      <c r="E672" s="3">
        <v>0.73</v>
      </c>
      <c r="F672" s="3">
        <v>-1248.2809999999999</v>
      </c>
      <c r="G672" s="3">
        <v>-1250.6120000000001</v>
      </c>
      <c r="H672" s="3">
        <f t="shared" si="553"/>
        <v>-2.331000000000131</v>
      </c>
      <c r="I672" s="3">
        <v>-0.44700000000000001</v>
      </c>
      <c r="J672" s="6">
        <v>-0.32</v>
      </c>
      <c r="K672" s="3">
        <f t="shared" si="540"/>
        <v>0.127</v>
      </c>
      <c r="L672" s="3">
        <v>0.14000000000000001</v>
      </c>
      <c r="M672" s="6">
        <v>-2E-3</v>
      </c>
      <c r="N672" s="3">
        <f t="shared" si="541"/>
        <v>-0.14200000000000002</v>
      </c>
      <c r="O672" s="3">
        <f t="shared" si="528"/>
        <v>0.1535</v>
      </c>
      <c r="P672" s="3">
        <f t="shared" si="528"/>
        <v>0.161</v>
      </c>
      <c r="Q672" s="3">
        <f t="shared" si="542"/>
        <v>7.5000000000000067E-3</v>
      </c>
      <c r="R672" s="3">
        <f t="shared" si="543"/>
        <v>0.58699999999999997</v>
      </c>
      <c r="S672" s="3">
        <f t="shared" si="544"/>
        <v>0.318</v>
      </c>
      <c r="T672" s="3">
        <f t="shared" si="545"/>
        <v>-0.26899999999999996</v>
      </c>
      <c r="U672" s="3">
        <f t="shared" si="546"/>
        <v>-0.1535</v>
      </c>
      <c r="V672" s="3">
        <f t="shared" si="547"/>
        <v>-0.161</v>
      </c>
      <c r="W672" s="3">
        <f t="shared" si="523"/>
        <v>-7.5000000000000067E-3</v>
      </c>
      <c r="X672" s="3">
        <f t="shared" si="519"/>
        <v>2.0070059625212949E-2</v>
      </c>
      <c r="Y672" s="3">
        <f t="shared" si="520"/>
        <v>4.0756289308176104E-2</v>
      </c>
      <c r="Z672" s="3">
        <f t="shared" si="548"/>
        <v>2.0686229682963155E-2</v>
      </c>
      <c r="AA672" s="3">
        <v>3.4929999999999999</v>
      </c>
      <c r="AB672" s="3">
        <v>3.379</v>
      </c>
      <c r="AC672" s="3">
        <f t="shared" si="549"/>
        <v>-0.11399999999999988</v>
      </c>
      <c r="AD672" s="3">
        <f>-1248.22232*627.50956</f>
        <v>-783271.43880537921</v>
      </c>
      <c r="AE672" s="3">
        <f>-1250.556337*627.50956</f>
        <v>-784736.05678608164</v>
      </c>
      <c r="AF672" s="3">
        <f t="shared" si="550"/>
        <v>-1464.6179807024309</v>
      </c>
      <c r="AG672" s="3">
        <f>-1248.259347*627.50956</f>
        <v>-783294.67360185727</v>
      </c>
      <c r="AH672" s="3">
        <f>-1250.593821*627.50956</f>
        <v>-784759.57835442864</v>
      </c>
      <c r="AI672" s="3">
        <f t="shared" si="551"/>
        <v>-1464.9047525713686</v>
      </c>
      <c r="AJ672" s="3">
        <v>-0.21199999999999999</v>
      </c>
      <c r="AK672" s="3">
        <v>-0.16</v>
      </c>
      <c r="AL672" s="3">
        <f t="shared" si="552"/>
        <v>5.1999999999999991E-2</v>
      </c>
      <c r="AM672" s="3">
        <v>115.0339</v>
      </c>
      <c r="AN672" s="3">
        <v>143.22149999999999</v>
      </c>
      <c r="AO672" s="3">
        <v>140.524</v>
      </c>
      <c r="AP672" s="3">
        <f t="shared" si="515"/>
        <v>1.0958820984531421</v>
      </c>
      <c r="AQ672" s="3">
        <v>7.1429999999999998</v>
      </c>
      <c r="AR672" s="3">
        <v>1.6775</v>
      </c>
      <c r="AS672" s="3">
        <v>-959.76900000000001</v>
      </c>
      <c r="AT672" s="3">
        <v>-958.05</v>
      </c>
      <c r="AU672" s="3">
        <f t="shared" si="511"/>
        <v>-1.7190000000000509</v>
      </c>
      <c r="AV672" s="3">
        <v>-0.317</v>
      </c>
      <c r="AW672" s="3">
        <v>-0.45</v>
      </c>
      <c r="AX672" s="3">
        <f t="shared" si="529"/>
        <v>0.13300000000000001</v>
      </c>
      <c r="AY672" s="3">
        <v>-2.4E-2</v>
      </c>
      <c r="AZ672" s="3">
        <v>0.13500000000000001</v>
      </c>
      <c r="BA672" s="3">
        <f t="shared" si="530"/>
        <v>-0.159</v>
      </c>
      <c r="BB672" s="3">
        <f t="shared" si="537"/>
        <v>0.17050000000000001</v>
      </c>
      <c r="BC672" s="3">
        <f t="shared" si="537"/>
        <v>0.1575</v>
      </c>
      <c r="BD672" s="3">
        <f t="shared" si="531"/>
        <v>1.3000000000000012E-2</v>
      </c>
      <c r="BE672" s="3">
        <f t="shared" si="538"/>
        <v>0.29299999999999998</v>
      </c>
      <c r="BF672" s="3">
        <f t="shared" si="538"/>
        <v>0.58499999999999996</v>
      </c>
      <c r="BG672" s="3">
        <f t="shared" si="532"/>
        <v>-0.29199999999999998</v>
      </c>
      <c r="BH672" s="3">
        <f t="shared" si="539"/>
        <v>-0.17050000000000001</v>
      </c>
      <c r="BI672" s="3">
        <f t="shared" si="539"/>
        <v>-0.1575</v>
      </c>
      <c r="BJ672" s="3">
        <f t="shared" si="524"/>
        <v>-1.3000000000000012E-2</v>
      </c>
      <c r="BK672" s="3">
        <f t="shared" si="521"/>
        <v>4.9607935153583631E-2</v>
      </c>
      <c r="BL672" s="3">
        <f t="shared" si="522"/>
        <v>2.120192307692308E-2</v>
      </c>
      <c r="BM672" s="3">
        <f t="shared" si="533"/>
        <v>2.8406012076660551E-2</v>
      </c>
      <c r="BN672" s="3">
        <v>2.2370000000000001</v>
      </c>
      <c r="BO672" s="3">
        <v>2.431</v>
      </c>
      <c r="BP672" s="3">
        <f t="shared" si="534"/>
        <v>-0.19399999999999995</v>
      </c>
      <c r="BQ672" s="3">
        <v>-602243.07700000005</v>
      </c>
      <c r="BR672" s="3">
        <v>-601163.24300000002</v>
      </c>
      <c r="BS672" s="3">
        <f t="shared" si="535"/>
        <v>-1079.8340000000317</v>
      </c>
      <c r="BT672" s="3">
        <v>-602262.36399999994</v>
      </c>
      <c r="BU672" s="3">
        <v>-601182.38500000001</v>
      </c>
      <c r="BV672" s="3">
        <f t="shared" si="536"/>
        <v>-1079.9789999999339</v>
      </c>
    </row>
    <row r="673" spans="1:74" x14ac:dyDescent="0.25">
      <c r="A673" t="s">
        <v>125</v>
      </c>
      <c r="B673" t="s">
        <v>728</v>
      </c>
      <c r="C673" t="s">
        <v>103</v>
      </c>
      <c r="D673" s="3">
        <v>-3.08</v>
      </c>
      <c r="E673" s="3">
        <v>0.97</v>
      </c>
      <c r="F673" s="3">
        <v>-233.041</v>
      </c>
      <c r="G673" s="3">
        <v>-234.679</v>
      </c>
      <c r="H673" s="3">
        <f t="shared" si="553"/>
        <v>-1.6380000000000052</v>
      </c>
      <c r="I673" s="3">
        <v>-0.36299999999999999</v>
      </c>
      <c r="J673" s="6">
        <v>-0.26400000000000001</v>
      </c>
      <c r="K673" s="3">
        <f t="shared" si="540"/>
        <v>9.8999999999999977E-2</v>
      </c>
      <c r="L673" s="3">
        <v>0.151</v>
      </c>
      <c r="M673" s="6">
        <v>-3.0000000000000001E-3</v>
      </c>
      <c r="N673" s="3">
        <f t="shared" si="541"/>
        <v>-0.154</v>
      </c>
      <c r="O673" s="3">
        <f t="shared" si="528"/>
        <v>0.106</v>
      </c>
      <c r="P673" s="3">
        <f t="shared" si="528"/>
        <v>0.13350000000000001</v>
      </c>
      <c r="Q673" s="3">
        <f t="shared" si="542"/>
        <v>2.7500000000000011E-2</v>
      </c>
      <c r="R673" s="3">
        <f t="shared" si="543"/>
        <v>0.51400000000000001</v>
      </c>
      <c r="S673" s="3">
        <f t="shared" si="544"/>
        <v>0.26100000000000001</v>
      </c>
      <c r="T673" s="3">
        <f t="shared" si="545"/>
        <v>-0.253</v>
      </c>
      <c r="U673" s="3">
        <f t="shared" si="546"/>
        <v>-0.106</v>
      </c>
      <c r="V673" s="3">
        <f t="shared" si="547"/>
        <v>-0.13350000000000001</v>
      </c>
      <c r="W673" s="3">
        <f t="shared" si="523"/>
        <v>-2.7500000000000011E-2</v>
      </c>
      <c r="X673" s="3">
        <f t="shared" si="519"/>
        <v>1.0929961089494162E-2</v>
      </c>
      <c r="Y673" s="3">
        <f t="shared" si="520"/>
        <v>3.4142241379310344E-2</v>
      </c>
      <c r="Z673" s="3">
        <f t="shared" si="548"/>
        <v>2.321228028981618E-2</v>
      </c>
      <c r="AA673" s="3">
        <v>0.42299999999999999</v>
      </c>
      <c r="AB673" s="3">
        <v>0.44700000000000001</v>
      </c>
      <c r="AC673" s="3">
        <f t="shared" si="549"/>
        <v>2.4000000000000021E-2</v>
      </c>
      <c r="AD673" s="3">
        <f>-232.882922*627.50956</f>
        <v>-146136.25991573432</v>
      </c>
      <c r="AE673" s="3">
        <f>-234.529697*627.50956</f>
        <v>-147169.62697140331</v>
      </c>
      <c r="AF673" s="3">
        <f t="shared" si="550"/>
        <v>-1033.3670556689904</v>
      </c>
      <c r="AG673" s="3">
        <f>-232.921127*627.50956</f>
        <v>-146160.23391847411</v>
      </c>
      <c r="AH673" s="3">
        <f>-234.568459*627.50956</f>
        <v>-147193.95049696803</v>
      </c>
      <c r="AI673" s="3">
        <f t="shared" si="551"/>
        <v>-1033.7165784939134</v>
      </c>
      <c r="AJ673" s="3">
        <v>0.186</v>
      </c>
      <c r="AK673" s="3">
        <v>0.219</v>
      </c>
      <c r="AL673" s="3">
        <f t="shared" si="552"/>
        <v>3.3000000000000002E-2</v>
      </c>
      <c r="AM673" s="3">
        <v>82.143600000000006</v>
      </c>
      <c r="AN673" s="3">
        <v>163.80080000000001</v>
      </c>
      <c r="AO673" s="3">
        <v>169.1283</v>
      </c>
      <c r="AP673" s="3">
        <f t="shared" si="515"/>
        <v>1.1077143448986522</v>
      </c>
      <c r="AQ673" s="3">
        <v>8.5839999999999996</v>
      </c>
      <c r="AR673" s="3">
        <v>1.833</v>
      </c>
      <c r="AS673" s="3">
        <v>-959.76900000000001</v>
      </c>
      <c r="AT673" s="3">
        <v>-958.05</v>
      </c>
      <c r="AU673" s="3">
        <f t="shared" si="511"/>
        <v>-1.7190000000000509</v>
      </c>
      <c r="AV673" s="3">
        <v>-0.317</v>
      </c>
      <c r="AW673" s="3">
        <v>-0.45</v>
      </c>
      <c r="AX673" s="3">
        <f t="shared" si="529"/>
        <v>0.13300000000000001</v>
      </c>
      <c r="AY673" s="3">
        <v>-2.4E-2</v>
      </c>
      <c r="AZ673" s="3">
        <v>0.13500000000000001</v>
      </c>
      <c r="BA673" s="3">
        <f t="shared" si="530"/>
        <v>-0.159</v>
      </c>
      <c r="BB673" s="3">
        <f t="shared" si="537"/>
        <v>0.17050000000000001</v>
      </c>
      <c r="BC673" s="3">
        <f t="shared" si="537"/>
        <v>0.1575</v>
      </c>
      <c r="BD673" s="3">
        <f t="shared" si="531"/>
        <v>1.3000000000000012E-2</v>
      </c>
      <c r="BE673" s="3">
        <f t="shared" si="538"/>
        <v>0.29299999999999998</v>
      </c>
      <c r="BF673" s="3">
        <f t="shared" si="538"/>
        <v>0.58499999999999996</v>
      </c>
      <c r="BG673" s="3">
        <f t="shared" si="532"/>
        <v>-0.29199999999999998</v>
      </c>
      <c r="BH673" s="3">
        <f t="shared" si="539"/>
        <v>-0.17050000000000001</v>
      </c>
      <c r="BI673" s="3">
        <f t="shared" si="539"/>
        <v>-0.1575</v>
      </c>
      <c r="BJ673" s="3">
        <f t="shared" si="524"/>
        <v>-1.3000000000000012E-2</v>
      </c>
      <c r="BK673" s="3">
        <f t="shared" si="521"/>
        <v>4.9607935153583631E-2</v>
      </c>
      <c r="BL673" s="3">
        <f t="shared" si="522"/>
        <v>2.120192307692308E-2</v>
      </c>
      <c r="BM673" s="3">
        <f t="shared" si="533"/>
        <v>2.8406012076660551E-2</v>
      </c>
      <c r="BN673" s="3">
        <v>2.2370000000000001</v>
      </c>
      <c r="BO673" s="3">
        <v>2.431</v>
      </c>
      <c r="BP673" s="3">
        <f t="shared" si="534"/>
        <v>-0.19399999999999995</v>
      </c>
      <c r="BQ673" s="3">
        <v>-602243.07700000005</v>
      </c>
      <c r="BR673" s="3">
        <v>-601163.24300000002</v>
      </c>
      <c r="BS673" s="3">
        <f t="shared" si="535"/>
        <v>-1079.8340000000317</v>
      </c>
      <c r="BT673" s="3">
        <v>-602262.36399999994</v>
      </c>
      <c r="BU673" s="3">
        <v>-601182.38500000001</v>
      </c>
      <c r="BV673" s="3">
        <f t="shared" si="536"/>
        <v>-1079.9789999999339</v>
      </c>
    </row>
    <row r="674" spans="1:74" x14ac:dyDescent="0.25">
      <c r="A674" t="s">
        <v>126</v>
      </c>
      <c r="B674" t="s">
        <v>728</v>
      </c>
      <c r="C674" t="s">
        <v>103</v>
      </c>
      <c r="D674" s="3">
        <v>-3</v>
      </c>
      <c r="E674" s="3">
        <v>0.8</v>
      </c>
      <c r="F674" s="3">
        <v>-384.02199999999999</v>
      </c>
      <c r="G674" s="3">
        <v>-386.42</v>
      </c>
      <c r="H674" s="3">
        <f t="shared" si="553"/>
        <v>-2.3980000000000246</v>
      </c>
      <c r="I674" s="3">
        <v>-0.41299999999999998</v>
      </c>
      <c r="J674" s="6">
        <v>-0.26100000000000001</v>
      </c>
      <c r="K674" s="3">
        <f t="shared" si="540"/>
        <v>0.15199999999999997</v>
      </c>
      <c r="L674" s="3">
        <v>0.16</v>
      </c>
      <c r="M674" s="6">
        <v>4.5999999999999999E-2</v>
      </c>
      <c r="N674" s="3">
        <f t="shared" si="541"/>
        <v>-0.114</v>
      </c>
      <c r="O674" s="3">
        <f t="shared" si="528"/>
        <v>0.1265</v>
      </c>
      <c r="P674" s="3">
        <f t="shared" si="528"/>
        <v>0.10750000000000001</v>
      </c>
      <c r="Q674" s="3">
        <f t="shared" si="542"/>
        <v>-1.8999999999999989E-2</v>
      </c>
      <c r="R674" s="3">
        <f t="shared" si="543"/>
        <v>0.57299999999999995</v>
      </c>
      <c r="S674" s="3">
        <f t="shared" si="544"/>
        <v>0.307</v>
      </c>
      <c r="T674" s="3">
        <f t="shared" si="545"/>
        <v>-0.26599999999999996</v>
      </c>
      <c r="U674" s="3">
        <f t="shared" si="546"/>
        <v>-0.1265</v>
      </c>
      <c r="V674" s="3">
        <f t="shared" si="547"/>
        <v>-0.10750000000000001</v>
      </c>
      <c r="W674" s="3">
        <f t="shared" si="523"/>
        <v>1.8999999999999989E-2</v>
      </c>
      <c r="X674" s="3">
        <f t="shared" si="519"/>
        <v>1.3963568935427575E-2</v>
      </c>
      <c r="Y674" s="3">
        <f t="shared" si="520"/>
        <v>1.8821254071661242E-2</v>
      </c>
      <c r="Z674" s="3">
        <f t="shared" si="548"/>
        <v>4.8576851362336672E-3</v>
      </c>
      <c r="AA674" s="3">
        <v>1.776</v>
      </c>
      <c r="AB674" s="3">
        <v>1.714</v>
      </c>
      <c r="AC674" s="3">
        <f t="shared" si="549"/>
        <v>-6.2000000000000055E-2</v>
      </c>
      <c r="AD674" s="3">
        <f>-383.824711*627.50956</f>
        <v>-240853.67551673713</v>
      </c>
      <c r="AE674" s="3">
        <f>-386.235004*627.50956</f>
        <v>-242366.15741663822</v>
      </c>
      <c r="AF674" s="3">
        <f t="shared" si="550"/>
        <v>-1512.4818999010895</v>
      </c>
      <c r="AG674" s="3">
        <f>-383.8669*627.50956</f>
        <v>-240880.14951756399</v>
      </c>
      <c r="AH674" s="3">
        <f>-386.278148*627.50956</f>
        <v>-242393.23068909487</v>
      </c>
      <c r="AI674" s="3">
        <f t="shared" si="551"/>
        <v>-1513.081171530881</v>
      </c>
      <c r="AJ674" s="3">
        <v>0.106</v>
      </c>
      <c r="AK674" s="3">
        <v>0.13700000000000001</v>
      </c>
      <c r="AL674" s="3">
        <f t="shared" si="552"/>
        <v>3.1000000000000014E-2</v>
      </c>
      <c r="AM674" s="3">
        <v>116.15819999999999</v>
      </c>
      <c r="AN674" s="3">
        <v>188.2911</v>
      </c>
      <c r="AO674" s="3">
        <v>199.3135</v>
      </c>
      <c r="AP674" s="3">
        <f t="shared" si="515"/>
        <v>1.1412862875579637</v>
      </c>
      <c r="AQ674" s="3">
        <v>8.8290000000000006</v>
      </c>
      <c r="AR674" s="3">
        <v>1.9300999999999999</v>
      </c>
      <c r="AS674" s="3">
        <v>-959.76900000000001</v>
      </c>
      <c r="AT674" s="3">
        <v>-958.05</v>
      </c>
      <c r="AU674" s="3">
        <f t="shared" si="511"/>
        <v>-1.7190000000000509</v>
      </c>
      <c r="AV674" s="3">
        <v>-0.317</v>
      </c>
      <c r="AW674" s="3">
        <v>-0.45</v>
      </c>
      <c r="AX674" s="3">
        <f t="shared" si="529"/>
        <v>0.13300000000000001</v>
      </c>
      <c r="AY674" s="3">
        <v>-2.4E-2</v>
      </c>
      <c r="AZ674" s="3">
        <v>0.13500000000000001</v>
      </c>
      <c r="BA674" s="3">
        <f t="shared" si="530"/>
        <v>-0.159</v>
      </c>
      <c r="BB674" s="3">
        <f t="shared" si="537"/>
        <v>0.17050000000000001</v>
      </c>
      <c r="BC674" s="3">
        <f t="shared" si="537"/>
        <v>0.1575</v>
      </c>
      <c r="BD674" s="3">
        <f t="shared" si="531"/>
        <v>1.3000000000000012E-2</v>
      </c>
      <c r="BE674" s="3">
        <f t="shared" si="538"/>
        <v>0.29299999999999998</v>
      </c>
      <c r="BF674" s="3">
        <f t="shared" si="538"/>
        <v>0.58499999999999996</v>
      </c>
      <c r="BG674" s="3">
        <f t="shared" si="532"/>
        <v>-0.29199999999999998</v>
      </c>
      <c r="BH674" s="3">
        <f t="shared" si="539"/>
        <v>-0.17050000000000001</v>
      </c>
      <c r="BI674" s="3">
        <f t="shared" si="539"/>
        <v>-0.1575</v>
      </c>
      <c r="BJ674" s="3">
        <f t="shared" si="524"/>
        <v>-1.3000000000000012E-2</v>
      </c>
      <c r="BK674" s="3">
        <f t="shared" si="521"/>
        <v>4.9607935153583631E-2</v>
      </c>
      <c r="BL674" s="3">
        <f t="shared" si="522"/>
        <v>2.120192307692308E-2</v>
      </c>
      <c r="BM674" s="3">
        <f t="shared" si="533"/>
        <v>2.8406012076660551E-2</v>
      </c>
      <c r="BN674" s="3">
        <v>2.2370000000000001</v>
      </c>
      <c r="BO674" s="3">
        <v>2.431</v>
      </c>
      <c r="BP674" s="3">
        <f t="shared" si="534"/>
        <v>-0.19399999999999995</v>
      </c>
      <c r="BQ674" s="3">
        <v>-602243.07700000005</v>
      </c>
      <c r="BR674" s="3">
        <v>-601163.24300000002</v>
      </c>
      <c r="BS674" s="3">
        <f t="shared" si="535"/>
        <v>-1079.8340000000317</v>
      </c>
      <c r="BT674" s="3">
        <v>-602262.36399999994</v>
      </c>
      <c r="BU674" s="3">
        <v>-601182.38500000001</v>
      </c>
      <c r="BV674" s="3">
        <f t="shared" si="536"/>
        <v>-1079.9789999999339</v>
      </c>
    </row>
    <row r="675" spans="1:74" x14ac:dyDescent="0.25">
      <c r="A675" t="s">
        <v>127</v>
      </c>
      <c r="B675" t="s">
        <v>728</v>
      </c>
      <c r="C675" t="s">
        <v>103</v>
      </c>
      <c r="D675" s="3">
        <v>-2.99</v>
      </c>
      <c r="E675" s="3">
        <v>0.97</v>
      </c>
      <c r="F675" s="3">
        <v>-193.999</v>
      </c>
      <c r="G675" s="3">
        <v>-195.35599999999999</v>
      </c>
      <c r="H675" s="3">
        <f t="shared" si="553"/>
        <v>-1.3569999999999993</v>
      </c>
      <c r="I675" s="3">
        <v>-0.36199999999999999</v>
      </c>
      <c r="J675" s="6">
        <v>-0.26400000000000001</v>
      </c>
      <c r="K675" s="3">
        <f t="shared" si="540"/>
        <v>9.7999999999999976E-2</v>
      </c>
      <c r="L675" s="3">
        <v>0.15</v>
      </c>
      <c r="M675" s="6">
        <v>-4.0000000000000001E-3</v>
      </c>
      <c r="N675" s="3">
        <f t="shared" si="541"/>
        <v>-0.154</v>
      </c>
      <c r="O675" s="3">
        <f t="shared" si="528"/>
        <v>0.106</v>
      </c>
      <c r="P675" s="3">
        <f t="shared" si="528"/>
        <v>0.13400000000000001</v>
      </c>
      <c r="Q675" s="3">
        <f t="shared" si="542"/>
        <v>2.8000000000000011E-2</v>
      </c>
      <c r="R675" s="3">
        <f t="shared" si="543"/>
        <v>0.51200000000000001</v>
      </c>
      <c r="S675" s="3">
        <f t="shared" si="544"/>
        <v>0.26</v>
      </c>
      <c r="T675" s="3">
        <f t="shared" si="545"/>
        <v>-0.252</v>
      </c>
      <c r="U675" s="3">
        <f t="shared" si="546"/>
        <v>-0.106</v>
      </c>
      <c r="V675" s="3">
        <f t="shared" si="547"/>
        <v>-0.13400000000000001</v>
      </c>
      <c r="W675" s="3">
        <f t="shared" si="523"/>
        <v>-2.8000000000000011E-2</v>
      </c>
      <c r="X675" s="3">
        <f t="shared" si="519"/>
        <v>1.0972656249999999E-2</v>
      </c>
      <c r="Y675" s="3">
        <f t="shared" si="520"/>
        <v>3.4530769230769233E-2</v>
      </c>
      <c r="Z675" s="3">
        <f t="shared" si="548"/>
        <v>2.3558112980769236E-2</v>
      </c>
      <c r="AA675" s="3">
        <v>0.377</v>
      </c>
      <c r="AB675" s="3">
        <v>0.39600000000000002</v>
      </c>
      <c r="AC675" s="3">
        <f t="shared" si="549"/>
        <v>1.9000000000000017E-2</v>
      </c>
      <c r="AD675" s="3">
        <f>-193.87301*627.50956</f>
        <v>-121657.16720097559</v>
      </c>
      <c r="AE675" s="3">
        <f>-195.236689*627.50956</f>
        <v>-122512.88881024685</v>
      </c>
      <c r="AF675" s="3">
        <f t="shared" si="550"/>
        <v>-855.72160927126242</v>
      </c>
      <c r="AG675" s="3">
        <f>-193.907652*627.50956</f>
        <v>-121678.90538715312</v>
      </c>
      <c r="AH675" s="3">
        <f>-195.273081*627.50956</f>
        <v>-122535.72513815435</v>
      </c>
      <c r="AI675" s="3">
        <f t="shared" si="551"/>
        <v>-856.81975100122509</v>
      </c>
      <c r="AJ675" s="3">
        <v>0.187</v>
      </c>
      <c r="AK675" s="3">
        <v>0.215</v>
      </c>
      <c r="AL675" s="3">
        <f t="shared" si="552"/>
        <v>2.7999999999999997E-2</v>
      </c>
      <c r="AM675" s="3">
        <v>68.117000000000004</v>
      </c>
      <c r="AN675" s="3">
        <v>149.35849999999999</v>
      </c>
      <c r="AO675" s="3">
        <v>144.29679999999999</v>
      </c>
      <c r="AP675" s="3">
        <f t="shared" si="515"/>
        <v>1.1228319460172589</v>
      </c>
      <c r="AQ675" s="3">
        <v>8.5820000000000007</v>
      </c>
      <c r="AR675" s="3">
        <v>1.8046</v>
      </c>
      <c r="AS675" s="3">
        <v>-959.76900000000001</v>
      </c>
      <c r="AT675" s="3">
        <v>-958.05</v>
      </c>
      <c r="AU675" s="3">
        <f t="shared" si="511"/>
        <v>-1.7190000000000509</v>
      </c>
      <c r="AV675" s="3">
        <v>-0.317</v>
      </c>
      <c r="AW675" s="3">
        <v>-0.45</v>
      </c>
      <c r="AX675" s="3">
        <f t="shared" si="529"/>
        <v>0.13300000000000001</v>
      </c>
      <c r="AY675" s="3">
        <v>-2.4E-2</v>
      </c>
      <c r="AZ675" s="3">
        <v>0.13500000000000001</v>
      </c>
      <c r="BA675" s="3">
        <f t="shared" si="530"/>
        <v>-0.159</v>
      </c>
      <c r="BB675" s="3">
        <f t="shared" si="537"/>
        <v>0.17050000000000001</v>
      </c>
      <c r="BC675" s="3">
        <f t="shared" si="537"/>
        <v>0.1575</v>
      </c>
      <c r="BD675" s="3">
        <f t="shared" si="531"/>
        <v>1.3000000000000012E-2</v>
      </c>
      <c r="BE675" s="3">
        <f t="shared" si="538"/>
        <v>0.29299999999999998</v>
      </c>
      <c r="BF675" s="3">
        <f t="shared" si="538"/>
        <v>0.58499999999999996</v>
      </c>
      <c r="BG675" s="3">
        <f t="shared" si="532"/>
        <v>-0.29199999999999998</v>
      </c>
      <c r="BH675" s="3">
        <f t="shared" si="539"/>
        <v>-0.17050000000000001</v>
      </c>
      <c r="BI675" s="3">
        <f t="shared" si="539"/>
        <v>-0.1575</v>
      </c>
      <c r="BJ675" s="3">
        <f t="shared" si="524"/>
        <v>-1.3000000000000012E-2</v>
      </c>
      <c r="BK675" s="3">
        <f t="shared" si="521"/>
        <v>4.9607935153583631E-2</v>
      </c>
      <c r="BL675" s="3">
        <f t="shared" si="522"/>
        <v>2.120192307692308E-2</v>
      </c>
      <c r="BM675" s="3">
        <f t="shared" si="533"/>
        <v>2.8406012076660551E-2</v>
      </c>
      <c r="BN675" s="3">
        <v>2.2370000000000001</v>
      </c>
      <c r="BO675" s="3">
        <v>2.431</v>
      </c>
      <c r="BP675" s="3">
        <f t="shared" si="534"/>
        <v>-0.19399999999999995</v>
      </c>
      <c r="BQ675" s="3">
        <v>-602243.07700000005</v>
      </c>
      <c r="BR675" s="3">
        <v>-601163.24300000002</v>
      </c>
      <c r="BS675" s="3">
        <f t="shared" si="535"/>
        <v>-1079.8340000000317</v>
      </c>
      <c r="BT675" s="3">
        <v>-602262.36399999994</v>
      </c>
      <c r="BU675" s="3">
        <v>-601182.38500000001</v>
      </c>
      <c r="BV675" s="3">
        <f t="shared" si="536"/>
        <v>-1079.9789999999339</v>
      </c>
    </row>
    <row r="676" spans="1:74" x14ac:dyDescent="0.25">
      <c r="A676" t="s">
        <v>128</v>
      </c>
      <c r="B676" t="s">
        <v>728</v>
      </c>
      <c r="C676" t="s">
        <v>103</v>
      </c>
      <c r="D676" s="3">
        <v>-2.9</v>
      </c>
      <c r="E676" s="3">
        <v>0.8</v>
      </c>
      <c r="F676" s="3">
        <v>-423.06599999999997</v>
      </c>
      <c r="G676" s="3">
        <v>-425.74400000000003</v>
      </c>
      <c r="H676" s="3">
        <f t="shared" si="553"/>
        <v>-2.6780000000000541</v>
      </c>
      <c r="I676" s="3">
        <v>-0.41</v>
      </c>
      <c r="J676" s="6">
        <v>-0.25900000000000001</v>
      </c>
      <c r="K676" s="3">
        <f t="shared" si="540"/>
        <v>0.15099999999999997</v>
      </c>
      <c r="L676" s="3">
        <v>0.16</v>
      </c>
      <c r="M676" s="6">
        <v>4.5999999999999999E-2</v>
      </c>
      <c r="N676" s="3">
        <f t="shared" si="541"/>
        <v>-0.114</v>
      </c>
      <c r="O676" s="3">
        <f t="shared" si="528"/>
        <v>0.12499999999999999</v>
      </c>
      <c r="P676" s="3">
        <f t="shared" si="528"/>
        <v>0.10650000000000001</v>
      </c>
      <c r="Q676" s="3">
        <f t="shared" si="542"/>
        <v>-1.8499999999999975E-2</v>
      </c>
      <c r="R676" s="3">
        <f t="shared" si="543"/>
        <v>0.56999999999999995</v>
      </c>
      <c r="S676" s="3">
        <f t="shared" si="544"/>
        <v>0.30499999999999999</v>
      </c>
      <c r="T676" s="3">
        <f t="shared" si="545"/>
        <v>-0.26499999999999996</v>
      </c>
      <c r="U676" s="3">
        <f t="shared" si="546"/>
        <v>-0.12499999999999999</v>
      </c>
      <c r="V676" s="3">
        <f t="shared" si="547"/>
        <v>-0.10650000000000001</v>
      </c>
      <c r="W676" s="3">
        <f t="shared" si="523"/>
        <v>1.8499999999999975E-2</v>
      </c>
      <c r="X676" s="3">
        <f t="shared" si="519"/>
        <v>1.370614035087719E-2</v>
      </c>
      <c r="Y676" s="3">
        <f t="shared" si="520"/>
        <v>1.8593852459016395E-2</v>
      </c>
      <c r="Z676" s="3">
        <f t="shared" si="548"/>
        <v>4.8877121081392048E-3</v>
      </c>
      <c r="AA676" s="3">
        <v>1.724</v>
      </c>
      <c r="AB676" s="3">
        <v>1.67</v>
      </c>
      <c r="AC676" s="3">
        <f t="shared" si="549"/>
        <v>-5.4000000000000048E-2</v>
      </c>
      <c r="AD676" s="3">
        <f>-422.837132*627.50956</f>
        <v>-265334.34265298193</v>
      </c>
      <c r="AE676" s="3">
        <f>-425.529505*627.50956</f>
        <v>-267023.8324495678</v>
      </c>
      <c r="AF676" s="3">
        <f t="shared" si="550"/>
        <v>-1689.489796585869</v>
      </c>
      <c r="AG676" s="3">
        <f>-422.882764*627.50956</f>
        <v>-265362.97716922383</v>
      </c>
      <c r="AH676" s="3">
        <f>-425.576362*627.50956</f>
        <v>-267053.23566502071</v>
      </c>
      <c r="AI676" s="3">
        <f t="shared" si="551"/>
        <v>-1690.2584957968793</v>
      </c>
      <c r="AJ676" s="3">
        <v>0.105</v>
      </c>
      <c r="AK676" s="3">
        <v>0.13600000000000001</v>
      </c>
      <c r="AL676" s="3">
        <f t="shared" si="552"/>
        <v>3.1000000000000014E-2</v>
      </c>
      <c r="AM676" s="3">
        <v>130.1848</v>
      </c>
      <c r="AN676" s="3">
        <v>210.15559999999999</v>
      </c>
      <c r="AO676" s="3">
        <v>227.2148</v>
      </c>
      <c r="AP676" s="3">
        <f t="shared" si="515"/>
        <v>1.1672731787266657</v>
      </c>
      <c r="AQ676" s="3">
        <v>10.095000000000001</v>
      </c>
      <c r="AR676" s="3">
        <v>2.1817000000000002</v>
      </c>
      <c r="AS676" s="3">
        <v>-959.76900000000001</v>
      </c>
      <c r="AT676" s="3">
        <v>-958.05</v>
      </c>
      <c r="AU676" s="3">
        <f t="shared" si="511"/>
        <v>-1.7190000000000509</v>
      </c>
      <c r="AV676" s="3">
        <v>-0.317</v>
      </c>
      <c r="AW676" s="3">
        <v>-0.45</v>
      </c>
      <c r="AX676" s="3">
        <f t="shared" si="529"/>
        <v>0.13300000000000001</v>
      </c>
      <c r="AY676" s="3">
        <v>-2.4E-2</v>
      </c>
      <c r="AZ676" s="3">
        <v>0.13500000000000001</v>
      </c>
      <c r="BA676" s="3">
        <f t="shared" si="530"/>
        <v>-0.159</v>
      </c>
      <c r="BB676" s="3">
        <f t="shared" si="537"/>
        <v>0.17050000000000001</v>
      </c>
      <c r="BC676" s="3">
        <f t="shared" si="537"/>
        <v>0.1575</v>
      </c>
      <c r="BD676" s="3">
        <f t="shared" si="531"/>
        <v>1.3000000000000012E-2</v>
      </c>
      <c r="BE676" s="3">
        <f t="shared" si="538"/>
        <v>0.29299999999999998</v>
      </c>
      <c r="BF676" s="3">
        <f t="shared" si="538"/>
        <v>0.58499999999999996</v>
      </c>
      <c r="BG676" s="3">
        <f t="shared" si="532"/>
        <v>-0.29199999999999998</v>
      </c>
      <c r="BH676" s="3">
        <f t="shared" si="539"/>
        <v>-0.17050000000000001</v>
      </c>
      <c r="BI676" s="3">
        <f t="shared" si="539"/>
        <v>-0.1575</v>
      </c>
      <c r="BJ676" s="3">
        <f t="shared" si="524"/>
        <v>-1.3000000000000012E-2</v>
      </c>
      <c r="BK676" s="3">
        <f t="shared" si="521"/>
        <v>4.9607935153583631E-2</v>
      </c>
      <c r="BL676" s="3">
        <f t="shared" si="522"/>
        <v>2.120192307692308E-2</v>
      </c>
      <c r="BM676" s="3">
        <f t="shared" si="533"/>
        <v>2.8406012076660551E-2</v>
      </c>
      <c r="BN676" s="3">
        <v>2.2370000000000001</v>
      </c>
      <c r="BO676" s="3">
        <v>2.431</v>
      </c>
      <c r="BP676" s="3">
        <f t="shared" si="534"/>
        <v>-0.19399999999999995</v>
      </c>
      <c r="BQ676" s="3">
        <v>-602243.07700000005</v>
      </c>
      <c r="BR676" s="3">
        <v>-601163.24300000002</v>
      </c>
      <c r="BS676" s="3">
        <f t="shared" si="535"/>
        <v>-1079.8340000000317</v>
      </c>
      <c r="BT676" s="3">
        <v>-602262.36399999994</v>
      </c>
      <c r="BU676" s="3">
        <v>-601182.38500000001</v>
      </c>
      <c r="BV676" s="3">
        <f t="shared" si="536"/>
        <v>-1079.9789999999339</v>
      </c>
    </row>
    <row r="677" spans="1:74" x14ac:dyDescent="0.25">
      <c r="A677" t="s">
        <v>129</v>
      </c>
      <c r="B677" t="s">
        <v>728</v>
      </c>
      <c r="C677" t="s">
        <v>103</v>
      </c>
      <c r="D677" s="3">
        <v>-2.86</v>
      </c>
      <c r="E677" s="3">
        <v>0.8</v>
      </c>
      <c r="F677" s="3">
        <v>-266.86700000000002</v>
      </c>
      <c r="G677" s="3">
        <v>-268.423</v>
      </c>
      <c r="H677" s="3">
        <f t="shared" si="553"/>
        <v>-1.5559999999999832</v>
      </c>
      <c r="I677" s="3">
        <v>-0.41699999999999998</v>
      </c>
      <c r="J677" s="6">
        <v>-0.25900000000000001</v>
      </c>
      <c r="K677" s="3">
        <f t="shared" si="540"/>
        <v>0.15799999999999997</v>
      </c>
      <c r="L677" s="3">
        <v>0.159</v>
      </c>
      <c r="M677" s="6">
        <v>4.7E-2</v>
      </c>
      <c r="N677" s="3">
        <f t="shared" si="541"/>
        <v>-0.112</v>
      </c>
      <c r="O677" s="3">
        <f t="shared" si="528"/>
        <v>0.129</v>
      </c>
      <c r="P677" s="3">
        <f t="shared" si="528"/>
        <v>0.10600000000000001</v>
      </c>
      <c r="Q677" s="3">
        <f t="shared" si="542"/>
        <v>-2.2999999999999993E-2</v>
      </c>
      <c r="R677" s="3">
        <f t="shared" si="543"/>
        <v>0.57599999999999996</v>
      </c>
      <c r="S677" s="3">
        <f t="shared" si="544"/>
        <v>0.30599999999999999</v>
      </c>
      <c r="T677" s="3">
        <f t="shared" si="545"/>
        <v>-0.26999999999999996</v>
      </c>
      <c r="U677" s="3">
        <f t="shared" si="546"/>
        <v>-0.129</v>
      </c>
      <c r="V677" s="3">
        <f t="shared" si="547"/>
        <v>-0.10600000000000001</v>
      </c>
      <c r="W677" s="3">
        <f t="shared" si="523"/>
        <v>2.2999999999999993E-2</v>
      </c>
      <c r="X677" s="3">
        <f t="shared" si="519"/>
        <v>1.4445312500000002E-2</v>
      </c>
      <c r="Y677" s="3">
        <f t="shared" si="520"/>
        <v>1.835947712418301E-2</v>
      </c>
      <c r="Z677" s="3">
        <f t="shared" si="548"/>
        <v>3.9141646241830086E-3</v>
      </c>
      <c r="AA677" s="3">
        <v>1.59</v>
      </c>
      <c r="AB677" s="3">
        <v>1.468</v>
      </c>
      <c r="AC677" s="3">
        <f t="shared" si="549"/>
        <v>-0.12200000000000011</v>
      </c>
      <c r="AD677" s="3">
        <f>-266.762888*627.50956</f>
        <v>-167396.26247320927</v>
      </c>
      <c r="AE677" s="3">
        <f>-268.325665*627.50956</f>
        <v>-168376.9199808574</v>
      </c>
      <c r="AF677" s="3">
        <f t="shared" si="550"/>
        <v>-980.65750764813856</v>
      </c>
      <c r="AG677" s="3">
        <f>-266.793677*627.50956</f>
        <v>-167415.5828650521</v>
      </c>
      <c r="AH677" s="3">
        <f>-268.356705*627.50956</f>
        <v>-168396.39787759978</v>
      </c>
      <c r="AI677" s="3">
        <f t="shared" si="551"/>
        <v>-980.81501254768227</v>
      </c>
      <c r="AJ677" s="3">
        <v>0.113</v>
      </c>
      <c r="AK677" s="3">
        <v>0.14299999999999999</v>
      </c>
      <c r="AL677" s="3">
        <f t="shared" si="552"/>
        <v>2.9999999999999985E-2</v>
      </c>
      <c r="AM677" s="3">
        <v>74.078500000000005</v>
      </c>
      <c r="AN677" s="3">
        <v>122.4607</v>
      </c>
      <c r="AO677" s="3">
        <v>115.6846</v>
      </c>
      <c r="AP677" s="3">
        <f t="shared" si="515"/>
        <v>1.0667655653991739</v>
      </c>
      <c r="AQ677" s="3">
        <v>6.327</v>
      </c>
      <c r="AR677" s="3">
        <v>1.30078</v>
      </c>
      <c r="AS677" s="3">
        <v>-959.76900000000001</v>
      </c>
      <c r="AT677" s="3">
        <v>-958.05</v>
      </c>
      <c r="AU677" s="3">
        <f t="shared" si="511"/>
        <v>-1.7190000000000509</v>
      </c>
      <c r="AV677" s="3">
        <v>-0.317</v>
      </c>
      <c r="AW677" s="3">
        <v>-0.45</v>
      </c>
      <c r="AX677" s="3">
        <f t="shared" si="529"/>
        <v>0.13300000000000001</v>
      </c>
      <c r="AY677" s="3">
        <v>-2.4E-2</v>
      </c>
      <c r="AZ677" s="3">
        <v>0.13500000000000001</v>
      </c>
      <c r="BA677" s="3">
        <f t="shared" si="530"/>
        <v>-0.159</v>
      </c>
      <c r="BB677" s="3">
        <f t="shared" si="537"/>
        <v>0.17050000000000001</v>
      </c>
      <c r="BC677" s="3">
        <f t="shared" si="537"/>
        <v>0.1575</v>
      </c>
      <c r="BD677" s="3">
        <f t="shared" si="531"/>
        <v>1.3000000000000012E-2</v>
      </c>
      <c r="BE677" s="3">
        <f t="shared" si="538"/>
        <v>0.29299999999999998</v>
      </c>
      <c r="BF677" s="3">
        <f t="shared" si="538"/>
        <v>0.58499999999999996</v>
      </c>
      <c r="BG677" s="3">
        <f t="shared" si="532"/>
        <v>-0.29199999999999998</v>
      </c>
      <c r="BH677" s="3">
        <f t="shared" si="539"/>
        <v>-0.17050000000000001</v>
      </c>
      <c r="BI677" s="3">
        <f t="shared" si="539"/>
        <v>-0.1575</v>
      </c>
      <c r="BJ677" s="3">
        <f t="shared" si="524"/>
        <v>-1.3000000000000012E-2</v>
      </c>
      <c r="BK677" s="3">
        <f t="shared" si="521"/>
        <v>4.9607935153583631E-2</v>
      </c>
      <c r="BL677" s="3">
        <f t="shared" si="522"/>
        <v>2.120192307692308E-2</v>
      </c>
      <c r="BM677" s="3">
        <f t="shared" si="533"/>
        <v>2.8406012076660551E-2</v>
      </c>
      <c r="BN677" s="3">
        <v>2.2370000000000001</v>
      </c>
      <c r="BO677" s="3">
        <v>2.431</v>
      </c>
      <c r="BP677" s="3">
        <f t="shared" si="534"/>
        <v>-0.19399999999999995</v>
      </c>
      <c r="BQ677" s="3">
        <v>-602243.07700000005</v>
      </c>
      <c r="BR677" s="3">
        <v>-601163.24300000002</v>
      </c>
      <c r="BS677" s="3">
        <f t="shared" si="535"/>
        <v>-1079.8340000000317</v>
      </c>
      <c r="BT677" s="3">
        <v>-602262.36399999994</v>
      </c>
      <c r="BU677" s="3">
        <v>-601182.38500000001</v>
      </c>
      <c r="BV677" s="3">
        <f t="shared" si="536"/>
        <v>-1079.9789999999339</v>
      </c>
    </row>
    <row r="678" spans="1:74" x14ac:dyDescent="0.25">
      <c r="A678" t="s">
        <v>130</v>
      </c>
      <c r="B678" t="s">
        <v>728</v>
      </c>
      <c r="C678" t="s">
        <v>103</v>
      </c>
      <c r="D678" s="3">
        <v>-2.8</v>
      </c>
      <c r="E678" s="3">
        <v>0.97</v>
      </c>
      <c r="F678" s="3">
        <v>-386.935</v>
      </c>
      <c r="G678" s="3">
        <v>-389.60899999999998</v>
      </c>
      <c r="H678" s="3">
        <f t="shared" si="553"/>
        <v>-2.6739999999999782</v>
      </c>
      <c r="I678" s="3">
        <v>-0.317</v>
      </c>
      <c r="J678" s="6">
        <v>-0.23799999999999999</v>
      </c>
      <c r="K678" s="3">
        <f t="shared" si="540"/>
        <v>7.9000000000000015E-2</v>
      </c>
      <c r="L678" s="3">
        <v>0.13100000000000001</v>
      </c>
      <c r="M678" s="6">
        <v>-0.01</v>
      </c>
      <c r="N678" s="3">
        <f t="shared" si="541"/>
        <v>-0.14100000000000001</v>
      </c>
      <c r="O678" s="3">
        <f t="shared" si="528"/>
        <v>9.2999999999999999E-2</v>
      </c>
      <c r="P678" s="3">
        <f t="shared" si="528"/>
        <v>0.124</v>
      </c>
      <c r="Q678" s="3">
        <f t="shared" si="542"/>
        <v>3.1E-2</v>
      </c>
      <c r="R678" s="3">
        <f t="shared" si="543"/>
        <v>0.44800000000000001</v>
      </c>
      <c r="S678" s="3">
        <f t="shared" si="544"/>
        <v>0.22799999999999998</v>
      </c>
      <c r="T678" s="3">
        <f t="shared" si="545"/>
        <v>-0.22000000000000003</v>
      </c>
      <c r="U678" s="3">
        <f t="shared" si="546"/>
        <v>-9.2999999999999999E-2</v>
      </c>
      <c r="V678" s="3">
        <f t="shared" si="547"/>
        <v>-0.124</v>
      </c>
      <c r="W678" s="3">
        <f t="shared" si="523"/>
        <v>-3.1E-2</v>
      </c>
      <c r="X678" s="3">
        <f t="shared" si="519"/>
        <v>9.6529017857142855E-3</v>
      </c>
      <c r="Y678" s="3">
        <f t="shared" si="520"/>
        <v>3.3719298245614038E-2</v>
      </c>
      <c r="Z678" s="3">
        <f t="shared" si="548"/>
        <v>2.4066396459899754E-2</v>
      </c>
      <c r="AA678" s="3">
        <v>2.8000000000000001E-2</v>
      </c>
      <c r="AB678" s="3">
        <v>0.11899999999999999</v>
      </c>
      <c r="AC678" s="3">
        <f t="shared" si="549"/>
        <v>9.0999999999999998E-2</v>
      </c>
      <c r="AD678" s="3">
        <f>-386.699824*627.50956</f>
        <v>-242657.83641031742</v>
      </c>
      <c r="AE678" s="3">
        <f>-389.38772*627.50956</f>
        <v>-244344.51684660319</v>
      </c>
      <c r="AF678" s="3">
        <f t="shared" si="550"/>
        <v>-1686.6804362857656</v>
      </c>
      <c r="AG678" s="3">
        <f>-386.747569*627.50956</f>
        <v>-242687.79685425962</v>
      </c>
      <c r="AH678" s="3">
        <f>-389.43358*627.50956</f>
        <v>-244373.29443502479</v>
      </c>
      <c r="AI678" s="3">
        <f t="shared" si="551"/>
        <v>-1685.4975807651645</v>
      </c>
      <c r="AJ678" s="3">
        <v>0.16700000000000001</v>
      </c>
      <c r="AK678" s="3">
        <v>0.20300000000000001</v>
      </c>
      <c r="AL678" s="3">
        <f t="shared" si="552"/>
        <v>3.6000000000000004E-2</v>
      </c>
      <c r="AM678" s="3">
        <v>134.21809999999999</v>
      </c>
      <c r="AN678" s="3">
        <v>220.96</v>
      </c>
      <c r="AO678" s="3">
        <v>246.31870000000001</v>
      </c>
      <c r="AP678" s="3">
        <f t="shared" si="515"/>
        <v>1.1629776156317178</v>
      </c>
      <c r="AQ678" s="3">
        <v>10.749000000000001</v>
      </c>
      <c r="AR678" s="3">
        <v>2.4540000000000002</v>
      </c>
      <c r="AS678" s="3">
        <v>-959.76900000000001</v>
      </c>
      <c r="AT678" s="3">
        <v>-958.05</v>
      </c>
      <c r="AU678" s="3">
        <f t="shared" ref="AU678:AU733" si="554">AS678-AT678</f>
        <v>-1.7190000000000509</v>
      </c>
      <c r="AV678" s="3">
        <v>-0.317</v>
      </c>
      <c r="AW678" s="3">
        <v>-0.45</v>
      </c>
      <c r="AX678" s="3">
        <f t="shared" si="529"/>
        <v>0.13300000000000001</v>
      </c>
      <c r="AY678" s="3">
        <v>-2.4E-2</v>
      </c>
      <c r="AZ678" s="3">
        <v>0.13500000000000001</v>
      </c>
      <c r="BA678" s="3">
        <f t="shared" si="530"/>
        <v>-0.159</v>
      </c>
      <c r="BB678" s="3">
        <f t="shared" si="537"/>
        <v>0.17050000000000001</v>
      </c>
      <c r="BC678" s="3">
        <f t="shared" si="537"/>
        <v>0.1575</v>
      </c>
      <c r="BD678" s="3">
        <f t="shared" si="531"/>
        <v>1.3000000000000012E-2</v>
      </c>
      <c r="BE678" s="3">
        <f t="shared" si="538"/>
        <v>0.29299999999999998</v>
      </c>
      <c r="BF678" s="3">
        <f t="shared" si="538"/>
        <v>0.58499999999999996</v>
      </c>
      <c r="BG678" s="3">
        <f t="shared" si="532"/>
        <v>-0.29199999999999998</v>
      </c>
      <c r="BH678" s="3">
        <f t="shared" si="539"/>
        <v>-0.17050000000000001</v>
      </c>
      <c r="BI678" s="3">
        <f t="shared" si="539"/>
        <v>-0.1575</v>
      </c>
      <c r="BJ678" s="3">
        <f t="shared" si="524"/>
        <v>-1.3000000000000012E-2</v>
      </c>
      <c r="BK678" s="3">
        <f t="shared" si="521"/>
        <v>4.9607935153583631E-2</v>
      </c>
      <c r="BL678" s="3">
        <f t="shared" si="522"/>
        <v>2.120192307692308E-2</v>
      </c>
      <c r="BM678" s="3">
        <f t="shared" si="533"/>
        <v>2.8406012076660551E-2</v>
      </c>
      <c r="BN678" s="3">
        <v>2.2370000000000001</v>
      </c>
      <c r="BO678" s="3">
        <v>2.431</v>
      </c>
      <c r="BP678" s="3">
        <f t="shared" si="534"/>
        <v>-0.19399999999999995</v>
      </c>
      <c r="BQ678" s="3">
        <v>-602243.07700000005</v>
      </c>
      <c r="BR678" s="3">
        <v>-601163.24300000002</v>
      </c>
      <c r="BS678" s="3">
        <f t="shared" si="535"/>
        <v>-1079.8340000000317</v>
      </c>
      <c r="BT678" s="3">
        <v>-602262.36399999994</v>
      </c>
      <c r="BU678" s="3">
        <v>-601182.38500000001</v>
      </c>
      <c r="BV678" s="3">
        <f t="shared" si="536"/>
        <v>-1079.9789999999339</v>
      </c>
    </row>
    <row r="679" spans="1:74" x14ac:dyDescent="0.25">
      <c r="A679" t="s">
        <v>131</v>
      </c>
      <c r="B679" t="s">
        <v>728</v>
      </c>
      <c r="C679" t="s">
        <v>199</v>
      </c>
      <c r="D679" s="3">
        <v>-2.6</v>
      </c>
      <c r="E679" s="3">
        <v>0.8</v>
      </c>
      <c r="F679" s="3">
        <v>-193.18</v>
      </c>
      <c r="G679" s="3">
        <v>-194.423</v>
      </c>
      <c r="H679" s="3">
        <f t="shared" si="553"/>
        <v>-1.242999999999995</v>
      </c>
      <c r="I679" s="3">
        <v>-0.435</v>
      </c>
      <c r="J679" s="6">
        <v>-0.27400000000000002</v>
      </c>
      <c r="K679" s="3">
        <f t="shared" si="540"/>
        <v>0.16099999999999998</v>
      </c>
      <c r="L679" s="3">
        <v>0.155</v>
      </c>
      <c r="M679" s="6">
        <v>3.7999999999999999E-2</v>
      </c>
      <c r="N679" s="3">
        <f t="shared" si="541"/>
        <v>-0.11699999999999999</v>
      </c>
      <c r="O679" s="3">
        <f t="shared" si="528"/>
        <v>0.14000000000000001</v>
      </c>
      <c r="P679" s="3">
        <f t="shared" si="528"/>
        <v>0.11800000000000001</v>
      </c>
      <c r="Q679" s="3">
        <f t="shared" si="542"/>
        <v>-2.2000000000000006E-2</v>
      </c>
      <c r="R679" s="3">
        <f t="shared" si="543"/>
        <v>0.59</v>
      </c>
      <c r="S679" s="3">
        <f t="shared" si="544"/>
        <v>0.312</v>
      </c>
      <c r="T679" s="3">
        <f t="shared" si="545"/>
        <v>-0.27799999999999997</v>
      </c>
      <c r="U679" s="3">
        <f t="shared" si="546"/>
        <v>-0.14000000000000001</v>
      </c>
      <c r="V679" s="3">
        <f t="shared" si="547"/>
        <v>-0.11800000000000001</v>
      </c>
      <c r="W679" s="3">
        <f t="shared" si="523"/>
        <v>2.2000000000000006E-2</v>
      </c>
      <c r="X679" s="3">
        <f t="shared" si="519"/>
        <v>1.6610169491525426E-2</v>
      </c>
      <c r="Y679" s="3">
        <f t="shared" si="520"/>
        <v>2.2314102564102569E-2</v>
      </c>
      <c r="Z679" s="3">
        <f t="shared" si="548"/>
        <v>5.7039330725771435E-3</v>
      </c>
      <c r="AA679" s="3">
        <v>2.12</v>
      </c>
      <c r="AB679" s="3">
        <v>2.0099999999999998</v>
      </c>
      <c r="AC679" s="3">
        <f t="shared" si="549"/>
        <v>-0.11000000000000032</v>
      </c>
      <c r="AD679" s="3">
        <f>-193.059372*627.50956</f>
        <v>-121146.60157759632</v>
      </c>
      <c r="AE679" s="3">
        <f>-194.309335*627.50956</f>
        <v>-121930.96530974259</v>
      </c>
      <c r="AF679" s="3">
        <f t="shared" si="550"/>
        <v>-784.36373214627383</v>
      </c>
      <c r="AG679" s="3">
        <f>-193.092783*627.50956</f>
        <v>-121167.56729950548</v>
      </c>
      <c r="AH679" s="3">
        <f>-194.343179*627.50956</f>
        <v>-121952.20274329123</v>
      </c>
      <c r="AI679" s="3">
        <f t="shared" si="551"/>
        <v>-784.6354437857517</v>
      </c>
      <c r="AJ679" s="3">
        <v>0.127</v>
      </c>
      <c r="AK679" s="3">
        <v>0.157</v>
      </c>
      <c r="AL679" s="3">
        <f t="shared" si="552"/>
        <v>0.03</v>
      </c>
      <c r="AM679" s="3">
        <v>60.094999999999999</v>
      </c>
      <c r="AN679" s="3">
        <v>127.161</v>
      </c>
      <c r="AO679" s="3">
        <v>121.676</v>
      </c>
      <c r="AP679" s="3">
        <f t="shared" si="515"/>
        <v>1.0710422478508104</v>
      </c>
      <c r="AQ679" s="3">
        <v>6.7140000000000004</v>
      </c>
      <c r="AR679" s="3">
        <v>1.3786</v>
      </c>
      <c r="AS679" s="3">
        <v>-76.454999999999998</v>
      </c>
      <c r="AT679" s="3">
        <v>-76.055000000000007</v>
      </c>
      <c r="AU679" s="3">
        <f t="shared" si="554"/>
        <v>-0.39999999999999147</v>
      </c>
      <c r="AV679" s="3">
        <v>-0.30399999999999999</v>
      </c>
      <c r="AW679" s="3">
        <v>-0.505</v>
      </c>
      <c r="AX679" s="3">
        <f t="shared" si="529"/>
        <v>0.20100000000000001</v>
      </c>
      <c r="AY679" s="3">
        <v>0.04</v>
      </c>
      <c r="AZ679" s="3">
        <v>0.16400000000000001</v>
      </c>
      <c r="BA679" s="3">
        <f t="shared" si="530"/>
        <v>-0.124</v>
      </c>
      <c r="BB679" s="3">
        <f t="shared" si="537"/>
        <v>0.13200000000000001</v>
      </c>
      <c r="BC679" s="3">
        <f t="shared" si="537"/>
        <v>0.17049999999999998</v>
      </c>
      <c r="BD679" s="3">
        <f t="shared" si="531"/>
        <v>-3.8499999999999979E-2</v>
      </c>
      <c r="BE679" s="3">
        <f t="shared" si="538"/>
        <v>0.34399999999999997</v>
      </c>
      <c r="BF679" s="3">
        <f t="shared" si="538"/>
        <v>0.66900000000000004</v>
      </c>
      <c r="BG679" s="3">
        <f t="shared" si="532"/>
        <v>-0.32500000000000007</v>
      </c>
      <c r="BH679" s="3">
        <f t="shared" si="539"/>
        <v>-0.13200000000000001</v>
      </c>
      <c r="BI679" s="3">
        <f t="shared" si="539"/>
        <v>-0.17049999999999998</v>
      </c>
      <c r="BJ679" s="3">
        <f t="shared" si="524"/>
        <v>3.8499999999999979E-2</v>
      </c>
      <c r="BK679" s="3">
        <f t="shared" si="521"/>
        <v>2.5325581395348844E-2</v>
      </c>
      <c r="BL679" s="3">
        <f t="shared" si="522"/>
        <v>2.1726644245141997E-2</v>
      </c>
      <c r="BM679" s="3">
        <f t="shared" si="533"/>
        <v>3.5989371502068469E-3</v>
      </c>
      <c r="BN679" s="3">
        <v>2.3010000000000002</v>
      </c>
      <c r="BO679" s="3">
        <v>2.3559999999999999</v>
      </c>
      <c r="BP679" s="3">
        <f t="shared" si="534"/>
        <v>-5.4999999999999716E-2</v>
      </c>
      <c r="BQ679" s="3">
        <v>-47960.305999999997</v>
      </c>
      <c r="BR679" s="3">
        <v>-47708.290999999997</v>
      </c>
      <c r="BS679" s="3">
        <f t="shared" si="535"/>
        <v>-252.01499999999942</v>
      </c>
      <c r="BT679" s="3">
        <v>-47973.754999999997</v>
      </c>
      <c r="BU679" s="3">
        <v>-47721.697</v>
      </c>
      <c r="BV679" s="3">
        <f t="shared" si="536"/>
        <v>-252.05799999999726</v>
      </c>
    </row>
    <row r="680" spans="1:74" x14ac:dyDescent="0.25">
      <c r="A680" t="s">
        <v>132</v>
      </c>
      <c r="B680" t="s">
        <v>728</v>
      </c>
      <c r="C680" t="s">
        <v>103</v>
      </c>
      <c r="D680" s="3">
        <v>-2.6</v>
      </c>
      <c r="E680" s="3">
        <v>0.8</v>
      </c>
      <c r="F680" s="3">
        <v>-421.87</v>
      </c>
      <c r="G680" s="3">
        <v>-424.505</v>
      </c>
      <c r="H680" s="3">
        <f t="shared" si="553"/>
        <v>-2.6349999999999909</v>
      </c>
      <c r="I680" s="3">
        <v>-0.38300000000000001</v>
      </c>
      <c r="J680" s="6">
        <v>-0.26200000000000001</v>
      </c>
      <c r="K680" s="3">
        <f t="shared" si="540"/>
        <v>0.121</v>
      </c>
      <c r="L680" s="3">
        <v>0.159</v>
      </c>
      <c r="M680" s="6">
        <v>-8.0000000000000002E-3</v>
      </c>
      <c r="N680" s="3">
        <f t="shared" si="541"/>
        <v>-0.16700000000000001</v>
      </c>
      <c r="O680" s="3">
        <f t="shared" si="528"/>
        <v>0.112</v>
      </c>
      <c r="P680" s="3">
        <f t="shared" si="528"/>
        <v>0.13500000000000001</v>
      </c>
      <c r="Q680" s="3">
        <f t="shared" si="542"/>
        <v>2.3000000000000007E-2</v>
      </c>
      <c r="R680" s="3">
        <f t="shared" si="543"/>
        <v>0.54200000000000004</v>
      </c>
      <c r="S680" s="3">
        <f t="shared" si="544"/>
        <v>0.254</v>
      </c>
      <c r="T680" s="3">
        <f t="shared" si="545"/>
        <v>-0.28800000000000003</v>
      </c>
      <c r="U680" s="3">
        <f t="shared" si="546"/>
        <v>-0.112</v>
      </c>
      <c r="V680" s="3">
        <f t="shared" si="547"/>
        <v>-0.13500000000000001</v>
      </c>
      <c r="W680" s="3">
        <f t="shared" si="523"/>
        <v>-2.3000000000000007E-2</v>
      </c>
      <c r="X680" s="3">
        <f t="shared" si="519"/>
        <v>1.1571955719557195E-2</v>
      </c>
      <c r="Y680" s="3">
        <f t="shared" si="520"/>
        <v>3.5875984251968508E-2</v>
      </c>
      <c r="Z680" s="3">
        <f t="shared" si="548"/>
        <v>2.4304028532411315E-2</v>
      </c>
      <c r="AA680" s="3">
        <v>1.8120000000000001</v>
      </c>
      <c r="AB680" s="3">
        <v>1.69</v>
      </c>
      <c r="AC680" s="3">
        <f t="shared" si="549"/>
        <v>-0.12200000000000011</v>
      </c>
      <c r="AD680" s="3">
        <f>-421.666983*627.50956</f>
        <v>-264600.06296885747</v>
      </c>
      <c r="AE680" s="3">
        <f>-424.31382*627.50956</f>
        <v>-266260.97849011922</v>
      </c>
      <c r="AF680" s="3">
        <f t="shared" si="550"/>
        <v>-1660.9155212617479</v>
      </c>
      <c r="AG680" s="3">
        <f>-421.71156*627.50956</f>
        <v>-264628.03546251362</v>
      </c>
      <c r="AH680" s="3">
        <f>-424.35951*627.50956</f>
        <v>-266289.64940191561</v>
      </c>
      <c r="AI680" s="3">
        <f t="shared" si="551"/>
        <v>-1661.6139394019847</v>
      </c>
      <c r="AJ680" s="3">
        <v>0.11600000000000001</v>
      </c>
      <c r="AK680" s="3">
        <v>0.14699999999999999</v>
      </c>
      <c r="AL680" s="3">
        <f t="shared" si="552"/>
        <v>3.0999999999999986E-2</v>
      </c>
      <c r="AM680" s="3">
        <v>128.16890000000001</v>
      </c>
      <c r="AN680" s="3">
        <v>203.381</v>
      </c>
      <c r="AO680" s="3">
        <v>215.8425</v>
      </c>
      <c r="AP680" s="3">
        <f t="shared" si="515"/>
        <v>1.1689834259681695</v>
      </c>
      <c r="AQ680" s="3">
        <v>10.084</v>
      </c>
      <c r="AR680" s="3">
        <v>2.1745999999999999</v>
      </c>
      <c r="AS680" s="3">
        <v>-959.76900000000001</v>
      </c>
      <c r="AT680" s="3">
        <v>-958.05</v>
      </c>
      <c r="AU680" s="3">
        <f t="shared" si="554"/>
        <v>-1.7190000000000509</v>
      </c>
      <c r="AV680" s="3">
        <v>-0.317</v>
      </c>
      <c r="AW680" s="3">
        <v>-0.45</v>
      </c>
      <c r="AX680" s="3">
        <f t="shared" si="529"/>
        <v>0.13300000000000001</v>
      </c>
      <c r="AY680" s="3">
        <v>-2.4E-2</v>
      </c>
      <c r="AZ680" s="3">
        <v>0.13500000000000001</v>
      </c>
      <c r="BA680" s="3">
        <f t="shared" si="530"/>
        <v>-0.159</v>
      </c>
      <c r="BB680" s="3">
        <f t="shared" ref="BB680:BC695" si="555">-(AV680+AY680)/2</f>
        <v>0.17050000000000001</v>
      </c>
      <c r="BC680" s="3">
        <f t="shared" si="555"/>
        <v>0.1575</v>
      </c>
      <c r="BD680" s="3">
        <f t="shared" si="531"/>
        <v>1.3000000000000012E-2</v>
      </c>
      <c r="BE680" s="3">
        <f t="shared" ref="BE680:BF695" si="556">AY680-AV680</f>
        <v>0.29299999999999998</v>
      </c>
      <c r="BF680" s="3">
        <f t="shared" si="556"/>
        <v>0.58499999999999996</v>
      </c>
      <c r="BG680" s="3">
        <f t="shared" si="532"/>
        <v>-0.29199999999999998</v>
      </c>
      <c r="BH680" s="3">
        <f t="shared" ref="BH680:BI695" si="557">(AV680+AY680)/2</f>
        <v>-0.17050000000000001</v>
      </c>
      <c r="BI680" s="3">
        <f t="shared" si="557"/>
        <v>-0.1575</v>
      </c>
      <c r="BJ680" s="3">
        <f t="shared" si="524"/>
        <v>-1.3000000000000012E-2</v>
      </c>
      <c r="BK680" s="3">
        <f t="shared" si="521"/>
        <v>4.9607935153583631E-2</v>
      </c>
      <c r="BL680" s="3">
        <f t="shared" si="522"/>
        <v>2.120192307692308E-2</v>
      </c>
      <c r="BM680" s="3">
        <f t="shared" si="533"/>
        <v>2.8406012076660551E-2</v>
      </c>
      <c r="BN680" s="3">
        <v>2.2370000000000001</v>
      </c>
      <c r="BO680" s="3">
        <v>2.431</v>
      </c>
      <c r="BP680" s="3">
        <f t="shared" si="534"/>
        <v>-0.19399999999999995</v>
      </c>
      <c r="BQ680" s="3">
        <v>-602243.07700000005</v>
      </c>
      <c r="BR680" s="3">
        <v>-601163.24300000002</v>
      </c>
      <c r="BS680" s="3">
        <f t="shared" si="535"/>
        <v>-1079.8340000000317</v>
      </c>
      <c r="BT680" s="3">
        <v>-602262.36399999994</v>
      </c>
      <c r="BU680" s="3">
        <v>-601182.38500000001</v>
      </c>
      <c r="BV680" s="3">
        <f t="shared" si="536"/>
        <v>-1079.9789999999339</v>
      </c>
    </row>
    <row r="681" spans="1:74" x14ac:dyDescent="0.25">
      <c r="A681" t="s">
        <v>133</v>
      </c>
      <c r="B681" t="s">
        <v>728</v>
      </c>
      <c r="C681" t="s">
        <v>103</v>
      </c>
      <c r="D681" s="3">
        <v>-2.5</v>
      </c>
      <c r="E681" s="3">
        <v>0.8</v>
      </c>
      <c r="F681" s="3">
        <v>-384.01900000000001</v>
      </c>
      <c r="G681" s="3">
        <v>-386.41800000000001</v>
      </c>
      <c r="H681" s="3">
        <f t="shared" si="553"/>
        <v>-2.3990000000000009</v>
      </c>
      <c r="I681" s="3">
        <v>-0.41399999999999998</v>
      </c>
      <c r="J681" s="6">
        <v>-0.26200000000000001</v>
      </c>
      <c r="K681" s="3">
        <f t="shared" si="540"/>
        <v>0.15199999999999997</v>
      </c>
      <c r="L681" s="3">
        <v>0.158</v>
      </c>
      <c r="M681" s="6">
        <v>4.3999999999999997E-2</v>
      </c>
      <c r="N681" s="3">
        <f t="shared" si="541"/>
        <v>-0.114</v>
      </c>
      <c r="O681" s="3">
        <f t="shared" si="528"/>
        <v>0.128</v>
      </c>
      <c r="P681" s="3">
        <f t="shared" si="528"/>
        <v>0.10900000000000001</v>
      </c>
      <c r="Q681" s="3">
        <f t="shared" si="542"/>
        <v>-1.8999999999999989E-2</v>
      </c>
      <c r="R681" s="3">
        <f t="shared" si="543"/>
        <v>0.57199999999999995</v>
      </c>
      <c r="S681" s="3">
        <f t="shared" si="544"/>
        <v>0.30599999999999999</v>
      </c>
      <c r="T681" s="3">
        <f t="shared" si="545"/>
        <v>-0.26599999999999996</v>
      </c>
      <c r="U681" s="3">
        <f t="shared" si="546"/>
        <v>-0.128</v>
      </c>
      <c r="V681" s="3">
        <f t="shared" si="547"/>
        <v>-0.10900000000000001</v>
      </c>
      <c r="W681" s="3">
        <f t="shared" si="523"/>
        <v>1.8999999999999989E-2</v>
      </c>
      <c r="X681" s="3">
        <f t="shared" si="519"/>
        <v>1.4321678321678322E-2</v>
      </c>
      <c r="Y681" s="3">
        <f t="shared" si="520"/>
        <v>1.9413398692810464E-2</v>
      </c>
      <c r="Z681" s="3">
        <f t="shared" si="548"/>
        <v>5.0917203711321416E-3</v>
      </c>
      <c r="AA681" s="3">
        <v>1.72</v>
      </c>
      <c r="AB681" s="3">
        <v>1.633</v>
      </c>
      <c r="AC681" s="3">
        <f t="shared" si="549"/>
        <v>-8.6999999999999966E-2</v>
      </c>
      <c r="AD681" s="3">
        <f>-383.821954*627.50956</f>
        <v>-240851.94547288024</v>
      </c>
      <c r="AE681" s="3">
        <f>-386.232782*627.50956</f>
        <v>-242364.76309039589</v>
      </c>
      <c r="AF681" s="3">
        <f t="shared" si="550"/>
        <v>-1512.817617515655</v>
      </c>
      <c r="AG681" s="3">
        <f>-383.863501*627.50956</f>
        <v>-240878.01661256954</v>
      </c>
      <c r="AH681" s="3">
        <f>-386.275486*627.50956</f>
        <v>-242391.56025864615</v>
      </c>
      <c r="AI681" s="3">
        <f t="shared" si="551"/>
        <v>-1513.5436460766068</v>
      </c>
      <c r="AJ681" s="3">
        <v>0.105</v>
      </c>
      <c r="AK681" s="3">
        <v>0.13600000000000001</v>
      </c>
      <c r="AL681" s="3">
        <f t="shared" si="552"/>
        <v>3.1000000000000014E-2</v>
      </c>
      <c r="AM681" s="3">
        <v>116.15819999999999</v>
      </c>
      <c r="AN681" s="3">
        <v>185.46680000000001</v>
      </c>
      <c r="AO681" s="3">
        <v>198.45439999999999</v>
      </c>
      <c r="AP681" s="3">
        <f t="shared" si="515"/>
        <v>1.1274093728150136</v>
      </c>
      <c r="AQ681" s="3">
        <v>8.843</v>
      </c>
      <c r="AR681" s="3">
        <v>1.8853</v>
      </c>
      <c r="AS681" s="3">
        <v>-959.76900000000001</v>
      </c>
      <c r="AT681" s="3">
        <v>-958.05</v>
      </c>
      <c r="AU681" s="3">
        <f t="shared" si="554"/>
        <v>-1.7190000000000509</v>
      </c>
      <c r="AV681" s="3">
        <v>-0.317</v>
      </c>
      <c r="AW681" s="3">
        <v>-0.45</v>
      </c>
      <c r="AX681" s="3">
        <f t="shared" si="529"/>
        <v>0.13300000000000001</v>
      </c>
      <c r="AY681" s="3">
        <v>-2.4E-2</v>
      </c>
      <c r="AZ681" s="3">
        <v>0.13500000000000001</v>
      </c>
      <c r="BA681" s="3">
        <f t="shared" si="530"/>
        <v>-0.159</v>
      </c>
      <c r="BB681" s="3">
        <f t="shared" si="555"/>
        <v>0.17050000000000001</v>
      </c>
      <c r="BC681" s="3">
        <f t="shared" si="555"/>
        <v>0.1575</v>
      </c>
      <c r="BD681" s="3">
        <f t="shared" si="531"/>
        <v>1.3000000000000012E-2</v>
      </c>
      <c r="BE681" s="3">
        <f t="shared" si="556"/>
        <v>0.29299999999999998</v>
      </c>
      <c r="BF681" s="3">
        <f t="shared" si="556"/>
        <v>0.58499999999999996</v>
      </c>
      <c r="BG681" s="3">
        <f t="shared" si="532"/>
        <v>-0.29199999999999998</v>
      </c>
      <c r="BH681" s="3">
        <f t="shared" si="557"/>
        <v>-0.17050000000000001</v>
      </c>
      <c r="BI681" s="3">
        <f t="shared" si="557"/>
        <v>-0.1575</v>
      </c>
      <c r="BJ681" s="3">
        <f t="shared" si="524"/>
        <v>-1.3000000000000012E-2</v>
      </c>
      <c r="BK681" s="3">
        <f t="shared" si="521"/>
        <v>4.9607935153583631E-2</v>
      </c>
      <c r="BL681" s="3">
        <f t="shared" si="522"/>
        <v>2.120192307692308E-2</v>
      </c>
      <c r="BM681" s="3">
        <f t="shared" si="533"/>
        <v>2.8406012076660551E-2</v>
      </c>
      <c r="BN681" s="3">
        <v>2.2370000000000001</v>
      </c>
      <c r="BO681" s="3">
        <v>2.431</v>
      </c>
      <c r="BP681" s="3">
        <f t="shared" si="534"/>
        <v>-0.19399999999999995</v>
      </c>
      <c r="BQ681" s="3">
        <v>-602243.07700000005</v>
      </c>
      <c r="BR681" s="3">
        <v>-601163.24300000002</v>
      </c>
      <c r="BS681" s="3">
        <f t="shared" si="535"/>
        <v>-1079.8340000000317</v>
      </c>
      <c r="BT681" s="3">
        <v>-602262.36399999994</v>
      </c>
      <c r="BU681" s="3">
        <v>-601182.38500000001</v>
      </c>
      <c r="BV681" s="3">
        <f t="shared" si="536"/>
        <v>-1079.9789999999339</v>
      </c>
    </row>
    <row r="682" spans="1:74" x14ac:dyDescent="0.25">
      <c r="A682" t="s">
        <v>134</v>
      </c>
      <c r="B682" t="s">
        <v>728</v>
      </c>
      <c r="C682" t="s">
        <v>99</v>
      </c>
      <c r="D682" s="3">
        <v>-2.5</v>
      </c>
      <c r="E682" s="3">
        <v>1</v>
      </c>
      <c r="F682" s="3">
        <v>-384.58600000000001</v>
      </c>
      <c r="G682" s="3">
        <v>-387.17500000000001</v>
      </c>
      <c r="H682" s="3">
        <f t="shared" si="553"/>
        <v>-2.5889999999999986</v>
      </c>
      <c r="I682" s="3">
        <v>-0.32200000000000001</v>
      </c>
      <c r="J682" s="6">
        <v>-0.23699999999999999</v>
      </c>
      <c r="K682" s="3">
        <f t="shared" si="540"/>
        <v>8.500000000000002E-2</v>
      </c>
      <c r="L682" s="3">
        <v>0.125</v>
      </c>
      <c r="M682" s="6">
        <v>-1.6E-2</v>
      </c>
      <c r="N682" s="3">
        <f t="shared" si="541"/>
        <v>-0.14100000000000001</v>
      </c>
      <c r="O682" s="3">
        <f t="shared" si="528"/>
        <v>9.8500000000000004E-2</v>
      </c>
      <c r="P682" s="3">
        <f t="shared" si="528"/>
        <v>0.1265</v>
      </c>
      <c r="Q682" s="3">
        <f t="shared" si="542"/>
        <v>2.7999999999999997E-2</v>
      </c>
      <c r="R682" s="3">
        <f t="shared" si="543"/>
        <v>0.44700000000000001</v>
      </c>
      <c r="S682" s="3">
        <f t="shared" si="544"/>
        <v>0.22099999999999997</v>
      </c>
      <c r="T682" s="3">
        <f t="shared" si="545"/>
        <v>-0.22600000000000003</v>
      </c>
      <c r="U682" s="3">
        <f t="shared" si="546"/>
        <v>-9.8500000000000004E-2</v>
      </c>
      <c r="V682" s="3">
        <f t="shared" si="547"/>
        <v>-0.1265</v>
      </c>
      <c r="W682" s="3">
        <f t="shared" si="523"/>
        <v>-2.7999999999999997E-2</v>
      </c>
      <c r="X682" s="3">
        <f t="shared" si="519"/>
        <v>1.0852628635346757E-2</v>
      </c>
      <c r="Y682" s="3">
        <f t="shared" si="520"/>
        <v>3.6204185520361996E-2</v>
      </c>
      <c r="Z682" s="3">
        <f t="shared" si="548"/>
        <v>2.5351556885015239E-2</v>
      </c>
      <c r="AA682" s="3">
        <v>0.374</v>
      </c>
      <c r="AB682" s="3">
        <v>0.371</v>
      </c>
      <c r="AC682" s="3">
        <f t="shared" si="549"/>
        <v>-3.0000000000000027E-3</v>
      </c>
      <c r="AD682" s="3">
        <f>-384.397775*627.50956</f>
        <v>-241213.27865522899</v>
      </c>
      <c r="AE682" s="3">
        <f>-386.997301*627.50956</f>
        <v>-242844.50607169754</v>
      </c>
      <c r="AF682" s="3">
        <f t="shared" si="550"/>
        <v>-1631.2274164685514</v>
      </c>
      <c r="AG682" s="3">
        <f>-384.437671*627.50956</f>
        <v>-241238.31377663475</v>
      </c>
      <c r="AH682" s="3">
        <f>-387.038535*627.50956</f>
        <v>-242870.38080089461</v>
      </c>
      <c r="AI682" s="3">
        <f t="shared" si="551"/>
        <v>-1632.0670242598571</v>
      </c>
      <c r="AJ682" s="3">
        <v>0.188</v>
      </c>
      <c r="AK682" s="3">
        <v>0.217</v>
      </c>
      <c r="AL682" s="3">
        <f t="shared" si="552"/>
        <v>2.8999999999999998E-2</v>
      </c>
      <c r="AM682" s="3">
        <v>130.18639999999999</v>
      </c>
      <c r="AN682" s="3">
        <v>197.50030000000001</v>
      </c>
      <c r="AO682" s="3">
        <v>216.44130000000001</v>
      </c>
      <c r="AP682" s="3">
        <f t="shared" si="515"/>
        <v>1.1330879496636777</v>
      </c>
      <c r="AQ682" s="3">
        <v>9.6739999999999995</v>
      </c>
      <c r="AR682" s="3">
        <v>2.1539000000000001</v>
      </c>
      <c r="AS682" s="3">
        <v>-132.80099999999999</v>
      </c>
      <c r="AT682" s="3">
        <v>-131.97</v>
      </c>
      <c r="AU682" s="3">
        <f t="shared" si="554"/>
        <v>-0.83099999999998886</v>
      </c>
      <c r="AV682" s="3">
        <v>-0.34100000000000003</v>
      </c>
      <c r="AW682" s="3">
        <v>-0.47499999999999998</v>
      </c>
      <c r="AX682" s="3">
        <f t="shared" si="529"/>
        <v>0.13399999999999995</v>
      </c>
      <c r="AY682" s="3">
        <v>2.9000000000000001E-2</v>
      </c>
      <c r="AZ682" s="3">
        <v>0.156</v>
      </c>
      <c r="BA682" s="3">
        <f t="shared" si="530"/>
        <v>-0.127</v>
      </c>
      <c r="BB682" s="3">
        <f t="shared" si="555"/>
        <v>0.156</v>
      </c>
      <c r="BC682" s="3">
        <f t="shared" si="555"/>
        <v>0.15949999999999998</v>
      </c>
      <c r="BD682" s="3">
        <f t="shared" si="531"/>
        <v>-3.4999999999999754E-3</v>
      </c>
      <c r="BE682" s="3">
        <f t="shared" si="556"/>
        <v>0.37000000000000005</v>
      </c>
      <c r="BF682" s="3">
        <f t="shared" si="556"/>
        <v>0.63100000000000001</v>
      </c>
      <c r="BG682" s="3">
        <f t="shared" si="532"/>
        <v>-0.26099999999999995</v>
      </c>
      <c r="BH682" s="3">
        <f t="shared" si="557"/>
        <v>-0.156</v>
      </c>
      <c r="BI682" s="3">
        <f t="shared" si="557"/>
        <v>-0.15949999999999998</v>
      </c>
      <c r="BJ682" s="3">
        <f t="shared" si="524"/>
        <v>3.4999999999999754E-3</v>
      </c>
      <c r="BK682" s="3">
        <f t="shared" si="521"/>
        <v>3.2886486486486483E-2</v>
      </c>
      <c r="BL682" s="3">
        <f t="shared" si="522"/>
        <v>2.0158676703645E-2</v>
      </c>
      <c r="BM682" s="3">
        <f t="shared" si="533"/>
        <v>1.2727809782841482E-2</v>
      </c>
      <c r="BN682" s="3">
        <v>4.7279999999999998</v>
      </c>
      <c r="BO682" s="3">
        <v>4.9340000000000002</v>
      </c>
      <c r="BP682" s="3">
        <f t="shared" si="534"/>
        <v>-0.20600000000000041</v>
      </c>
      <c r="BQ682" s="3">
        <v>-83302.89</v>
      </c>
      <c r="BR682" s="3">
        <v>-82779.224000000002</v>
      </c>
      <c r="BS682" s="3">
        <f t="shared" si="535"/>
        <v>-523.66599999999744</v>
      </c>
      <c r="BT682" s="3">
        <v>-83320.774999999994</v>
      </c>
      <c r="BU682" s="3">
        <v>-82796.997000000003</v>
      </c>
      <c r="BV682" s="3">
        <f t="shared" si="536"/>
        <v>-523.77799999999115</v>
      </c>
    </row>
    <row r="683" spans="1:74" x14ac:dyDescent="0.25">
      <c r="A683" t="s">
        <v>136</v>
      </c>
      <c r="B683" t="s">
        <v>728</v>
      </c>
      <c r="C683" t="s">
        <v>103</v>
      </c>
      <c r="D683" s="3">
        <v>-2.4</v>
      </c>
      <c r="E683" s="3">
        <v>0.8</v>
      </c>
      <c r="F683" s="3">
        <v>-344.96600000000001</v>
      </c>
      <c r="G683" s="3">
        <v>-347.08300000000003</v>
      </c>
      <c r="H683" s="3">
        <f t="shared" si="553"/>
        <v>-2.1170000000000186</v>
      </c>
      <c r="I683" s="3">
        <v>-0.41</v>
      </c>
      <c r="J683" s="6">
        <v>-0.255</v>
      </c>
      <c r="K683" s="3">
        <f t="shared" si="540"/>
        <v>0.15499999999999997</v>
      </c>
      <c r="L683" s="3">
        <v>0.156</v>
      </c>
      <c r="M683" s="6">
        <v>4.2999999999999997E-2</v>
      </c>
      <c r="N683" s="3">
        <f t="shared" si="541"/>
        <v>-0.113</v>
      </c>
      <c r="O683" s="3">
        <f t="shared" si="528"/>
        <v>0.127</v>
      </c>
      <c r="P683" s="3">
        <f t="shared" si="528"/>
        <v>0.10600000000000001</v>
      </c>
      <c r="Q683" s="3">
        <f t="shared" si="542"/>
        <v>-2.0999999999999991E-2</v>
      </c>
      <c r="R683" s="3">
        <f t="shared" si="543"/>
        <v>0.56599999999999995</v>
      </c>
      <c r="S683" s="3">
        <f t="shared" si="544"/>
        <v>0.29799999999999999</v>
      </c>
      <c r="T683" s="3">
        <f t="shared" si="545"/>
        <v>-0.26799999999999996</v>
      </c>
      <c r="U683" s="3">
        <f t="shared" si="546"/>
        <v>-0.127</v>
      </c>
      <c r="V683" s="3">
        <f t="shared" si="547"/>
        <v>-0.10600000000000001</v>
      </c>
      <c r="W683" s="3">
        <f t="shared" si="523"/>
        <v>2.0999999999999991E-2</v>
      </c>
      <c r="X683" s="3">
        <f t="shared" si="519"/>
        <v>1.4248233215547705E-2</v>
      </c>
      <c r="Y683" s="3">
        <f t="shared" si="520"/>
        <v>1.8852348993288595E-2</v>
      </c>
      <c r="Z683" s="3">
        <f t="shared" si="548"/>
        <v>4.6041157777408897E-3</v>
      </c>
      <c r="AA683" s="3">
        <v>1.6539999999999999</v>
      </c>
      <c r="AB683" s="3">
        <v>1.55</v>
      </c>
      <c r="AC683" s="3">
        <f t="shared" si="549"/>
        <v>-0.10399999999999987</v>
      </c>
      <c r="AD683" s="3">
        <f>-344.800227*627.50956</f>
        <v>-216365.43873267013</v>
      </c>
      <c r="AE683" s="3">
        <f>-346.927702*627.50956</f>
        <v>-217700.4496338311</v>
      </c>
      <c r="AF683" s="3">
        <f t="shared" si="550"/>
        <v>-1335.0109011609748</v>
      </c>
      <c r="AG683" s="3">
        <f>-344.836957*627.50956</f>
        <v>-216388.48715880889</v>
      </c>
      <c r="AH683" s="3">
        <f>-346.965208*627.50956</f>
        <v>-217723.98500738849</v>
      </c>
      <c r="AI683" s="3">
        <f t="shared" si="551"/>
        <v>-1335.4978485796019</v>
      </c>
      <c r="AJ683" s="3">
        <v>0.113</v>
      </c>
      <c r="AK683" s="3">
        <v>0.14199999999999999</v>
      </c>
      <c r="AL683" s="3">
        <f t="shared" si="552"/>
        <v>2.8999999999999984E-2</v>
      </c>
      <c r="AM683" s="3">
        <v>102.1317</v>
      </c>
      <c r="AN683" s="3">
        <v>163.32980000000001</v>
      </c>
      <c r="AO683" s="3">
        <v>170.66300000000001</v>
      </c>
      <c r="AP683" s="3">
        <f t="shared" si="515"/>
        <v>1.097897501901715</v>
      </c>
      <c r="AQ683" s="3">
        <v>8.0030000000000001</v>
      </c>
      <c r="AR683" s="5">
        <v>1.6740999999999999</v>
      </c>
      <c r="AS683" s="3">
        <v>-959.76900000000001</v>
      </c>
      <c r="AT683" s="3">
        <v>-958.05</v>
      </c>
      <c r="AU683" s="3">
        <f t="shared" si="554"/>
        <v>-1.7190000000000509</v>
      </c>
      <c r="AV683" s="3">
        <v>-0.317</v>
      </c>
      <c r="AW683" s="3">
        <v>-0.45</v>
      </c>
      <c r="AX683" s="3">
        <f t="shared" si="529"/>
        <v>0.13300000000000001</v>
      </c>
      <c r="AY683" s="3">
        <v>-2.4E-2</v>
      </c>
      <c r="AZ683" s="3">
        <v>0.13500000000000001</v>
      </c>
      <c r="BA683" s="3">
        <f t="shared" si="530"/>
        <v>-0.159</v>
      </c>
      <c r="BB683" s="3">
        <f t="shared" si="555"/>
        <v>0.17050000000000001</v>
      </c>
      <c r="BC683" s="3">
        <f t="shared" si="555"/>
        <v>0.1575</v>
      </c>
      <c r="BD683" s="3">
        <f t="shared" si="531"/>
        <v>1.3000000000000012E-2</v>
      </c>
      <c r="BE683" s="3">
        <f t="shared" si="556"/>
        <v>0.29299999999999998</v>
      </c>
      <c r="BF683" s="3">
        <f t="shared" si="556"/>
        <v>0.58499999999999996</v>
      </c>
      <c r="BG683" s="3">
        <f t="shared" si="532"/>
        <v>-0.29199999999999998</v>
      </c>
      <c r="BH683" s="3">
        <f t="shared" si="557"/>
        <v>-0.17050000000000001</v>
      </c>
      <c r="BI683" s="3">
        <f t="shared" si="557"/>
        <v>-0.1575</v>
      </c>
      <c r="BJ683" s="3">
        <f t="shared" si="524"/>
        <v>-1.3000000000000012E-2</v>
      </c>
      <c r="BK683" s="3">
        <f t="shared" si="521"/>
        <v>4.9607935153583631E-2</v>
      </c>
      <c r="BL683" s="3">
        <f t="shared" si="522"/>
        <v>2.120192307692308E-2</v>
      </c>
      <c r="BM683" s="3">
        <f t="shared" si="533"/>
        <v>2.8406012076660551E-2</v>
      </c>
      <c r="BN683" s="3">
        <v>2.2370000000000001</v>
      </c>
      <c r="BO683" s="3">
        <v>2.431</v>
      </c>
      <c r="BP683" s="3">
        <f t="shared" si="534"/>
        <v>-0.19399999999999995</v>
      </c>
      <c r="BQ683" s="3">
        <v>-602243.07700000005</v>
      </c>
      <c r="BR683" s="3">
        <v>-601163.24300000002</v>
      </c>
      <c r="BS683" s="3">
        <f t="shared" si="535"/>
        <v>-1079.8340000000317</v>
      </c>
      <c r="BT683" s="3">
        <v>-602262.36399999994</v>
      </c>
      <c r="BU683" s="3">
        <v>-601182.38500000001</v>
      </c>
      <c r="BV683" s="3">
        <f t="shared" si="536"/>
        <v>-1079.9789999999339</v>
      </c>
    </row>
    <row r="684" spans="1:74" x14ac:dyDescent="0.25">
      <c r="A684" t="s">
        <v>137</v>
      </c>
      <c r="B684" t="s">
        <v>728</v>
      </c>
      <c r="C684" t="s">
        <v>103</v>
      </c>
      <c r="D684" s="3">
        <v>-2.4</v>
      </c>
      <c r="E684" s="3">
        <v>0.8</v>
      </c>
      <c r="F684" s="3">
        <v>-423.06</v>
      </c>
      <c r="G684" s="3">
        <v>-425.74200000000002</v>
      </c>
      <c r="H684" s="3">
        <f t="shared" si="553"/>
        <v>-2.6820000000000164</v>
      </c>
      <c r="I684" s="3">
        <v>-0.41599999999999998</v>
      </c>
      <c r="J684" s="6">
        <v>-0.26100000000000001</v>
      </c>
      <c r="K684" s="3">
        <f t="shared" si="540"/>
        <v>0.15499999999999997</v>
      </c>
      <c r="L684" s="3">
        <v>0.156</v>
      </c>
      <c r="M684" s="6">
        <v>4.2999999999999997E-2</v>
      </c>
      <c r="N684" s="3">
        <f t="shared" si="541"/>
        <v>-0.113</v>
      </c>
      <c r="O684" s="3">
        <f t="shared" si="528"/>
        <v>0.13</v>
      </c>
      <c r="P684" s="3">
        <f t="shared" si="528"/>
        <v>0.10900000000000001</v>
      </c>
      <c r="Q684" s="3">
        <f t="shared" si="542"/>
        <v>-2.0999999999999991E-2</v>
      </c>
      <c r="R684" s="3">
        <f t="shared" si="543"/>
        <v>0.57199999999999995</v>
      </c>
      <c r="S684" s="3">
        <f t="shared" si="544"/>
        <v>0.30399999999999999</v>
      </c>
      <c r="T684" s="3">
        <f t="shared" si="545"/>
        <v>-0.26799999999999996</v>
      </c>
      <c r="U684" s="3">
        <f t="shared" si="546"/>
        <v>-0.13</v>
      </c>
      <c r="V684" s="3">
        <f t="shared" si="547"/>
        <v>-0.10900000000000001</v>
      </c>
      <c r="W684" s="3">
        <f t="shared" si="523"/>
        <v>2.0999999999999991E-2</v>
      </c>
      <c r="X684" s="3">
        <f t="shared" si="519"/>
        <v>1.4772727272727276E-2</v>
      </c>
      <c r="Y684" s="3">
        <f t="shared" si="520"/>
        <v>1.9541118421052637E-2</v>
      </c>
      <c r="Z684" s="3">
        <f t="shared" si="548"/>
        <v>4.768391148325361E-3</v>
      </c>
      <c r="AA684" s="3">
        <v>1.839</v>
      </c>
      <c r="AB684" s="3">
        <v>1.613</v>
      </c>
      <c r="AC684" s="3">
        <f t="shared" si="549"/>
        <v>-0.22599999999999998</v>
      </c>
      <c r="AD684" s="3">
        <f>-422.833661*627.50956</f>
        <v>-265332.16456729913</v>
      </c>
      <c r="AE684" s="3">
        <f>-425.527307*627.50956</f>
        <v>-267022.45318355493</v>
      </c>
      <c r="AF684" s="3">
        <f t="shared" si="550"/>
        <v>-1690.2886162557988</v>
      </c>
      <c r="AG684" s="3">
        <f>-422.87634*627.50956</f>
        <v>-265358.94604781043</v>
      </c>
      <c r="AH684" s="3">
        <f>-425.573461*627.50956</f>
        <v>-267051.41525978717</v>
      </c>
      <c r="AI684" s="3">
        <f t="shared" si="551"/>
        <v>-1692.4692119767424</v>
      </c>
      <c r="AJ684" s="3">
        <v>0.111</v>
      </c>
      <c r="AK684" s="3">
        <v>0.13500000000000001</v>
      </c>
      <c r="AL684" s="3">
        <f t="shared" si="552"/>
        <v>2.4000000000000007E-2</v>
      </c>
      <c r="AM684" s="3">
        <v>130.1848</v>
      </c>
      <c r="AN684" s="3">
        <v>207.28</v>
      </c>
      <c r="AO684" s="3">
        <v>226.33799999999999</v>
      </c>
      <c r="AP684" s="3">
        <f t="shared" si="515"/>
        <v>1.1542725499179607</v>
      </c>
      <c r="AQ684" s="3">
        <v>9.7249999999999996</v>
      </c>
      <c r="AR684" s="3">
        <v>2.1353</v>
      </c>
      <c r="AS684" s="3">
        <v>-959.76900000000001</v>
      </c>
      <c r="AT684" s="3">
        <v>-958.05</v>
      </c>
      <c r="AU684" s="3">
        <f t="shared" si="554"/>
        <v>-1.7190000000000509</v>
      </c>
      <c r="AV684" s="3">
        <v>-0.317</v>
      </c>
      <c r="AW684" s="3">
        <v>-0.45</v>
      </c>
      <c r="AX684" s="3">
        <f t="shared" si="529"/>
        <v>0.13300000000000001</v>
      </c>
      <c r="AY684" s="3">
        <v>-2.4E-2</v>
      </c>
      <c r="AZ684" s="3">
        <v>0.13500000000000001</v>
      </c>
      <c r="BA684" s="3">
        <f t="shared" si="530"/>
        <v>-0.159</v>
      </c>
      <c r="BB684" s="3">
        <f t="shared" si="555"/>
        <v>0.17050000000000001</v>
      </c>
      <c r="BC684" s="3">
        <f t="shared" si="555"/>
        <v>0.1575</v>
      </c>
      <c r="BD684" s="3">
        <f t="shared" si="531"/>
        <v>1.3000000000000012E-2</v>
      </c>
      <c r="BE684" s="3">
        <f t="shared" si="556"/>
        <v>0.29299999999999998</v>
      </c>
      <c r="BF684" s="3">
        <f t="shared" si="556"/>
        <v>0.58499999999999996</v>
      </c>
      <c r="BG684" s="3">
        <f t="shared" si="532"/>
        <v>-0.29199999999999998</v>
      </c>
      <c r="BH684" s="3">
        <f t="shared" si="557"/>
        <v>-0.17050000000000001</v>
      </c>
      <c r="BI684" s="3">
        <f t="shared" si="557"/>
        <v>-0.1575</v>
      </c>
      <c r="BJ684" s="3">
        <f t="shared" si="524"/>
        <v>-1.3000000000000012E-2</v>
      </c>
      <c r="BK684" s="3">
        <f t="shared" si="521"/>
        <v>4.9607935153583631E-2</v>
      </c>
      <c r="BL684" s="3">
        <f t="shared" si="522"/>
        <v>2.120192307692308E-2</v>
      </c>
      <c r="BM684" s="3">
        <f t="shared" si="533"/>
        <v>2.8406012076660551E-2</v>
      </c>
      <c r="BN684" s="3">
        <v>2.2370000000000001</v>
      </c>
      <c r="BO684" s="3">
        <v>2.431</v>
      </c>
      <c r="BP684" s="3">
        <f t="shared" si="534"/>
        <v>-0.19399999999999995</v>
      </c>
      <c r="BQ684" s="3">
        <v>-602243.07700000005</v>
      </c>
      <c r="BR684" s="3">
        <v>-601163.24300000002</v>
      </c>
      <c r="BS684" s="3">
        <f t="shared" si="535"/>
        <v>-1079.8340000000317</v>
      </c>
      <c r="BT684" s="3">
        <v>-602262.36399999994</v>
      </c>
      <c r="BU684" s="3">
        <v>-601182.38500000001</v>
      </c>
      <c r="BV684" s="3">
        <f t="shared" si="536"/>
        <v>-1079.9789999999339</v>
      </c>
    </row>
    <row r="685" spans="1:74" x14ac:dyDescent="0.25">
      <c r="A685" t="s">
        <v>135</v>
      </c>
      <c r="B685" t="s">
        <v>728</v>
      </c>
      <c r="C685" t="s">
        <v>103</v>
      </c>
      <c r="D685" s="3">
        <v>-2.4</v>
      </c>
      <c r="E685" s="3">
        <v>1.1000000000000001</v>
      </c>
      <c r="F685" s="3">
        <v>-563.43899999999996</v>
      </c>
      <c r="G685" s="3">
        <v>-566.02499999999998</v>
      </c>
      <c r="H685" s="3">
        <f t="shared" si="553"/>
        <v>-2.5860000000000127</v>
      </c>
      <c r="I685" s="3">
        <v>-0.38200000000000001</v>
      </c>
      <c r="J685" s="6">
        <v>-0.26300000000000001</v>
      </c>
      <c r="K685" s="3">
        <f t="shared" si="540"/>
        <v>0.11899999999999999</v>
      </c>
      <c r="L685" s="3">
        <v>0.14199999999999999</v>
      </c>
      <c r="M685" s="6">
        <v>3.2000000000000001E-2</v>
      </c>
      <c r="N685" s="3">
        <f t="shared" si="541"/>
        <v>-0.10999999999999999</v>
      </c>
      <c r="O685" s="3">
        <f t="shared" si="528"/>
        <v>0.12000000000000001</v>
      </c>
      <c r="P685" s="3">
        <f t="shared" si="528"/>
        <v>0.11550000000000001</v>
      </c>
      <c r="Q685" s="3">
        <f t="shared" si="542"/>
        <v>-4.500000000000004E-3</v>
      </c>
      <c r="R685" s="3">
        <f t="shared" si="543"/>
        <v>0.52400000000000002</v>
      </c>
      <c r="S685" s="3">
        <f t="shared" si="544"/>
        <v>0.29500000000000004</v>
      </c>
      <c r="T685" s="3">
        <f t="shared" si="545"/>
        <v>-0.22899999999999998</v>
      </c>
      <c r="U685" s="3">
        <f t="shared" si="546"/>
        <v>-0.12000000000000001</v>
      </c>
      <c r="V685" s="3">
        <f t="shared" si="547"/>
        <v>-0.11550000000000001</v>
      </c>
      <c r="W685" s="3">
        <f t="shared" si="523"/>
        <v>4.500000000000004E-3</v>
      </c>
      <c r="X685" s="3">
        <f t="shared" si="519"/>
        <v>1.3740458015267179E-2</v>
      </c>
      <c r="Y685" s="3">
        <f t="shared" si="520"/>
        <v>2.2610593220338981E-2</v>
      </c>
      <c r="Z685" s="3">
        <f t="shared" si="548"/>
        <v>8.8701352050718028E-3</v>
      </c>
      <c r="AA685" s="3">
        <v>5.2999999999999999E-2</v>
      </c>
      <c r="AB685" s="3">
        <v>4.7E-2</v>
      </c>
      <c r="AC685" s="3">
        <f t="shared" si="549"/>
        <v>-5.9999999999999984E-3</v>
      </c>
      <c r="AD685" s="3">
        <f>-563.201521*627.50956</f>
        <v>-353414.33863404073</v>
      </c>
      <c r="AE685" s="3">
        <f>-565.79944*627.50956</f>
        <v>-355044.55764264637</v>
      </c>
      <c r="AF685" s="3">
        <f t="shared" si="550"/>
        <v>-1630.2190086056362</v>
      </c>
      <c r="AG685" s="3">
        <f>-563.246847*627.50956</f>
        <v>-353442.78113235731</v>
      </c>
      <c r="AH685" s="3">
        <f>-565.845995*627.50956</f>
        <v>-355073.77135021216</v>
      </c>
      <c r="AI685" s="3">
        <f t="shared" si="551"/>
        <v>-1630.9902178548509</v>
      </c>
      <c r="AJ685" s="3">
        <v>0.192</v>
      </c>
      <c r="AK685" s="3">
        <v>0.217</v>
      </c>
      <c r="AL685" s="3">
        <f t="shared" si="552"/>
        <v>2.4999999999999994E-2</v>
      </c>
      <c r="AM685" s="3">
        <v>128.28739999999999</v>
      </c>
      <c r="AN685" s="3">
        <v>211.41470000000001</v>
      </c>
      <c r="AO685" s="3">
        <v>246.91800000000001</v>
      </c>
      <c r="AP685" s="3">
        <f t="shared" si="515"/>
        <v>1.1109366587227094</v>
      </c>
      <c r="AQ685" s="3">
        <v>8.952</v>
      </c>
      <c r="AR685" s="3">
        <v>2.03566</v>
      </c>
      <c r="AS685" s="3">
        <v>-959.76900000000001</v>
      </c>
      <c r="AT685" s="3">
        <v>-958.05</v>
      </c>
      <c r="AU685" s="3">
        <f t="shared" si="554"/>
        <v>-1.7190000000000509</v>
      </c>
      <c r="AV685" s="3">
        <v>-0.317</v>
      </c>
      <c r="AW685" s="3">
        <v>-0.45</v>
      </c>
      <c r="AX685" s="3">
        <f t="shared" si="529"/>
        <v>0.13300000000000001</v>
      </c>
      <c r="AY685" s="3">
        <v>-2.4E-2</v>
      </c>
      <c r="AZ685" s="3">
        <v>0.13500000000000001</v>
      </c>
      <c r="BA685" s="3">
        <f t="shared" si="530"/>
        <v>-0.159</v>
      </c>
      <c r="BB685" s="3">
        <f t="shared" si="555"/>
        <v>0.17050000000000001</v>
      </c>
      <c r="BC685" s="3">
        <f t="shared" si="555"/>
        <v>0.1575</v>
      </c>
      <c r="BD685" s="3">
        <f t="shared" si="531"/>
        <v>1.3000000000000012E-2</v>
      </c>
      <c r="BE685" s="3">
        <f t="shared" si="556"/>
        <v>0.29299999999999998</v>
      </c>
      <c r="BF685" s="3">
        <f t="shared" si="556"/>
        <v>0.58499999999999996</v>
      </c>
      <c r="BG685" s="3">
        <f t="shared" si="532"/>
        <v>-0.29199999999999998</v>
      </c>
      <c r="BH685" s="3">
        <f t="shared" si="557"/>
        <v>-0.17050000000000001</v>
      </c>
      <c r="BI685" s="3">
        <f t="shared" si="557"/>
        <v>-0.1575</v>
      </c>
      <c r="BJ685" s="3">
        <f t="shared" si="524"/>
        <v>-1.3000000000000012E-2</v>
      </c>
      <c r="BK685" s="3">
        <f t="shared" si="521"/>
        <v>4.9607935153583631E-2</v>
      </c>
      <c r="BL685" s="3">
        <f t="shared" si="522"/>
        <v>2.120192307692308E-2</v>
      </c>
      <c r="BM685" s="3">
        <f t="shared" si="533"/>
        <v>2.8406012076660551E-2</v>
      </c>
      <c r="BN685" s="3">
        <v>2.2370000000000001</v>
      </c>
      <c r="BO685" s="3">
        <v>2.431</v>
      </c>
      <c r="BP685" s="3">
        <f t="shared" si="534"/>
        <v>-0.19399999999999995</v>
      </c>
      <c r="BQ685" s="3">
        <v>-602243.07700000005</v>
      </c>
      <c r="BR685" s="3">
        <v>-601163.24300000002</v>
      </c>
      <c r="BS685" s="3">
        <f t="shared" si="535"/>
        <v>-1079.8340000000317</v>
      </c>
      <c r="BT685" s="3">
        <v>-602262.36399999994</v>
      </c>
      <c r="BU685" s="3">
        <v>-601182.38500000001</v>
      </c>
      <c r="BV685" s="3">
        <f t="shared" si="536"/>
        <v>-1079.9789999999339</v>
      </c>
    </row>
    <row r="686" spans="1:74" x14ac:dyDescent="0.25">
      <c r="A686" t="s">
        <v>139</v>
      </c>
      <c r="B686" t="s">
        <v>728</v>
      </c>
      <c r="C686" t="s">
        <v>103</v>
      </c>
      <c r="D686" s="3">
        <v>-2.11</v>
      </c>
      <c r="E686" s="3">
        <v>0.98</v>
      </c>
      <c r="F686" s="3">
        <v>-727.21400000000006</v>
      </c>
      <c r="G686" s="3">
        <v>-731.85199999999998</v>
      </c>
      <c r="H686" s="3">
        <f t="shared" si="553"/>
        <v>-4.63799999999992</v>
      </c>
      <c r="I686" s="3">
        <v>-0.30299999999999999</v>
      </c>
      <c r="J686" s="6">
        <v>-0.221</v>
      </c>
      <c r="K686" s="3">
        <f t="shared" si="540"/>
        <v>8.199999999999999E-2</v>
      </c>
      <c r="L686" s="3">
        <v>0.12</v>
      </c>
      <c r="M686" s="6">
        <v>-1.7000000000000001E-2</v>
      </c>
      <c r="N686" s="3">
        <f t="shared" si="541"/>
        <v>-0.13700000000000001</v>
      </c>
      <c r="O686" s="3">
        <f t="shared" si="528"/>
        <v>9.1499999999999998E-2</v>
      </c>
      <c r="P686" s="3">
        <f t="shared" si="528"/>
        <v>0.11899999999999999</v>
      </c>
      <c r="Q686" s="3">
        <f t="shared" si="542"/>
        <v>2.7499999999999997E-2</v>
      </c>
      <c r="R686" s="3">
        <f t="shared" si="543"/>
        <v>0.42299999999999999</v>
      </c>
      <c r="S686" s="3">
        <f t="shared" si="544"/>
        <v>0.20400000000000001</v>
      </c>
      <c r="T686" s="3">
        <f t="shared" si="545"/>
        <v>-0.21899999999999997</v>
      </c>
      <c r="U686" s="3">
        <f t="shared" si="546"/>
        <v>-9.1499999999999998E-2</v>
      </c>
      <c r="V686" s="3">
        <f t="shared" si="547"/>
        <v>-0.11899999999999999</v>
      </c>
      <c r="W686" s="3">
        <f t="shared" si="523"/>
        <v>-2.7499999999999997E-2</v>
      </c>
      <c r="X686" s="3">
        <f t="shared" si="519"/>
        <v>9.89627659574468E-3</v>
      </c>
      <c r="Y686" s="3">
        <f t="shared" si="520"/>
        <v>3.4708333333333327E-2</v>
      </c>
      <c r="Z686" s="3">
        <f t="shared" si="548"/>
        <v>2.4812056737588649E-2</v>
      </c>
      <c r="AA686" s="3">
        <v>2.331</v>
      </c>
      <c r="AB686" s="3">
        <v>2.3410000000000002</v>
      </c>
      <c r="AC686" s="3">
        <f t="shared" si="549"/>
        <v>1.0000000000000231E-2</v>
      </c>
      <c r="AD686" s="3">
        <f>-726.909312*627.50956</f>
        <v>-456142.5425330227</v>
      </c>
      <c r="AE686" s="3">
        <f>-731.563367*627.50956</f>
        <v>-459063.00653828849</v>
      </c>
      <c r="AF686" s="3">
        <f t="shared" si="550"/>
        <v>-2920.4640052657924</v>
      </c>
      <c r="AG686" s="3">
        <f>-726.963879*627.50956</f>
        <v>-456176.78384718322</v>
      </c>
      <c r="AH686" s="3">
        <f>-731.622079*627.50956</f>
        <v>-459099.84887957521</v>
      </c>
      <c r="AI686" s="3">
        <f t="shared" si="551"/>
        <v>-2923.0650323919836</v>
      </c>
      <c r="AJ686" s="3">
        <v>0.19</v>
      </c>
      <c r="AK686" s="3">
        <v>0.214</v>
      </c>
      <c r="AL686" s="3">
        <f t="shared" si="552"/>
        <v>2.3999999999999994E-2</v>
      </c>
      <c r="AM686" s="3">
        <v>228.286</v>
      </c>
      <c r="AN686" s="3">
        <v>310.84899999999999</v>
      </c>
      <c r="AO686" s="3">
        <v>354.13299999999998</v>
      </c>
      <c r="AP686" s="3">
        <f t="shared" si="515"/>
        <v>1.2843828343315147</v>
      </c>
      <c r="AQ686" s="3">
        <v>14.754</v>
      </c>
      <c r="AR686" s="3">
        <v>3.6429999999999998</v>
      </c>
      <c r="AS686" s="3">
        <v>-959.76900000000001</v>
      </c>
      <c r="AT686" s="3">
        <v>-958.05</v>
      </c>
      <c r="AU686" s="3">
        <f t="shared" si="554"/>
        <v>-1.7190000000000509</v>
      </c>
      <c r="AV686" s="3">
        <v>-0.317</v>
      </c>
      <c r="AW686" s="3">
        <v>-0.45</v>
      </c>
      <c r="AX686" s="3">
        <f t="shared" si="529"/>
        <v>0.13300000000000001</v>
      </c>
      <c r="AY686" s="3">
        <v>-2.4E-2</v>
      </c>
      <c r="AZ686" s="3">
        <v>0.13500000000000001</v>
      </c>
      <c r="BA686" s="3">
        <f t="shared" si="530"/>
        <v>-0.159</v>
      </c>
      <c r="BB686" s="3">
        <f t="shared" si="555"/>
        <v>0.17050000000000001</v>
      </c>
      <c r="BC686" s="3">
        <f t="shared" si="555"/>
        <v>0.1575</v>
      </c>
      <c r="BD686" s="3">
        <f t="shared" si="531"/>
        <v>1.3000000000000012E-2</v>
      </c>
      <c r="BE686" s="3">
        <f t="shared" si="556"/>
        <v>0.29299999999999998</v>
      </c>
      <c r="BF686" s="3">
        <f t="shared" si="556"/>
        <v>0.58499999999999996</v>
      </c>
      <c r="BG686" s="3">
        <f t="shared" si="532"/>
        <v>-0.29199999999999998</v>
      </c>
      <c r="BH686" s="3">
        <f t="shared" si="557"/>
        <v>-0.17050000000000001</v>
      </c>
      <c r="BI686" s="3">
        <f t="shared" si="557"/>
        <v>-0.1575</v>
      </c>
      <c r="BJ686" s="3">
        <f t="shared" si="524"/>
        <v>-1.3000000000000012E-2</v>
      </c>
      <c r="BK686" s="3">
        <f t="shared" si="521"/>
        <v>4.9607935153583631E-2</v>
      </c>
      <c r="BL686" s="3">
        <f t="shared" si="522"/>
        <v>2.120192307692308E-2</v>
      </c>
      <c r="BM686" s="3">
        <f t="shared" si="533"/>
        <v>2.8406012076660551E-2</v>
      </c>
      <c r="BN686" s="3">
        <v>2.2370000000000001</v>
      </c>
      <c r="BO686" s="3">
        <v>2.431</v>
      </c>
      <c r="BP686" s="3">
        <f t="shared" si="534"/>
        <v>-0.19399999999999995</v>
      </c>
      <c r="BQ686" s="3">
        <v>-602243.07700000005</v>
      </c>
      <c r="BR686" s="3">
        <v>-601163.24300000002</v>
      </c>
      <c r="BS686" s="3">
        <f t="shared" si="535"/>
        <v>-1079.8340000000317</v>
      </c>
      <c r="BT686" s="3">
        <v>-602262.36399999994</v>
      </c>
      <c r="BU686" s="3">
        <v>-601182.38500000001</v>
      </c>
      <c r="BV686" s="3">
        <f t="shared" si="536"/>
        <v>-1079.9789999999339</v>
      </c>
    </row>
    <row r="687" spans="1:74" x14ac:dyDescent="0.25">
      <c r="A687" t="s">
        <v>138</v>
      </c>
      <c r="B687" t="s">
        <v>728</v>
      </c>
      <c r="C687" t="s">
        <v>103</v>
      </c>
      <c r="D687" s="3">
        <v>-2.1</v>
      </c>
      <c r="E687" s="3">
        <v>1.1000000000000001</v>
      </c>
      <c r="F687" s="3">
        <v>-485.31799999999998</v>
      </c>
      <c r="G687" s="3">
        <v>-487.346</v>
      </c>
      <c r="H687" s="3">
        <f t="shared" si="553"/>
        <v>-2.02800000000002</v>
      </c>
      <c r="I687" s="3">
        <v>-0.378</v>
      </c>
      <c r="J687" s="6">
        <v>-0.26300000000000001</v>
      </c>
      <c r="K687" s="3">
        <f t="shared" si="540"/>
        <v>0.11499999999999999</v>
      </c>
      <c r="L687" s="3">
        <v>0.14299999999999999</v>
      </c>
      <c r="M687" s="6">
        <v>3.5000000000000003E-2</v>
      </c>
      <c r="N687" s="3">
        <f t="shared" si="541"/>
        <v>-0.10799999999999998</v>
      </c>
      <c r="O687" s="3">
        <f t="shared" si="528"/>
        <v>0.11750000000000001</v>
      </c>
      <c r="P687" s="3">
        <f t="shared" si="528"/>
        <v>0.114</v>
      </c>
      <c r="Q687" s="3">
        <f t="shared" si="542"/>
        <v>-3.5000000000000031E-3</v>
      </c>
      <c r="R687" s="3">
        <f t="shared" si="543"/>
        <v>0.52100000000000002</v>
      </c>
      <c r="S687" s="3">
        <f t="shared" si="544"/>
        <v>0.29800000000000004</v>
      </c>
      <c r="T687" s="3">
        <f t="shared" si="545"/>
        <v>-0.22299999999999998</v>
      </c>
      <c r="U687" s="3">
        <f t="shared" si="546"/>
        <v>-0.11750000000000001</v>
      </c>
      <c r="V687" s="3">
        <f t="shared" si="547"/>
        <v>-0.114</v>
      </c>
      <c r="W687" s="3">
        <f t="shared" si="523"/>
        <v>3.5000000000000031E-3</v>
      </c>
      <c r="X687" s="3">
        <f t="shared" si="519"/>
        <v>1.3249760076775434E-2</v>
      </c>
      <c r="Y687" s="3">
        <f t="shared" si="520"/>
        <v>2.1805369127516776E-2</v>
      </c>
      <c r="Z687" s="3">
        <f t="shared" si="548"/>
        <v>8.5556090507413422E-3</v>
      </c>
      <c r="AA687" s="3">
        <v>0.72299999999999998</v>
      </c>
      <c r="AB687" s="3">
        <v>0.63200000000000001</v>
      </c>
      <c r="AC687" s="3">
        <f t="shared" si="549"/>
        <v>-9.099999999999997E-2</v>
      </c>
      <c r="AD687" s="3">
        <f>-485.145513*627.50956</f>
        <v>-304433.44739860424</v>
      </c>
      <c r="AE687" s="3">
        <f>-487.181381*627.50956</f>
        <v>-305710.97403150232</v>
      </c>
      <c r="AF687" s="3">
        <f t="shared" si="550"/>
        <v>-1277.5266328980797</v>
      </c>
      <c r="AG687" s="3">
        <f>-485.185131*627.50956</f>
        <v>-304458.30807235237</v>
      </c>
      <c r="AH687" s="3">
        <f>-487.223608*627.50956</f>
        <v>-305737.4718776925</v>
      </c>
      <c r="AI687" s="3">
        <f t="shared" si="551"/>
        <v>-1279.1638053401257</v>
      </c>
      <c r="AJ687" s="3">
        <v>0.19</v>
      </c>
      <c r="AK687" s="3">
        <v>0.21199999999999999</v>
      </c>
      <c r="AL687" s="3">
        <f t="shared" si="552"/>
        <v>2.1999999999999992E-2</v>
      </c>
      <c r="AM687" s="3">
        <v>100.23399999999999</v>
      </c>
      <c r="AN687" s="3">
        <v>182.80699999999999</v>
      </c>
      <c r="AO687" s="3">
        <v>197.74459999999999</v>
      </c>
      <c r="AP687" s="3">
        <f t="shared" si="515"/>
        <v>1.1138986653219416</v>
      </c>
      <c r="AQ687" s="3">
        <v>7.8550000000000004</v>
      </c>
      <c r="AR687" s="3">
        <v>1.7554000000000001</v>
      </c>
      <c r="AS687" s="3">
        <v>-959.76900000000001</v>
      </c>
      <c r="AT687" s="3">
        <v>-958.05</v>
      </c>
      <c r="AU687" s="3">
        <f t="shared" si="554"/>
        <v>-1.7190000000000509</v>
      </c>
      <c r="AV687" s="3">
        <v>-0.317</v>
      </c>
      <c r="AW687" s="3">
        <v>-0.45</v>
      </c>
      <c r="AX687" s="3">
        <f t="shared" si="529"/>
        <v>0.13300000000000001</v>
      </c>
      <c r="AY687" s="3">
        <v>-2.4E-2</v>
      </c>
      <c r="AZ687" s="3">
        <v>0.13500000000000001</v>
      </c>
      <c r="BA687" s="3">
        <f t="shared" si="530"/>
        <v>-0.159</v>
      </c>
      <c r="BB687" s="3">
        <f t="shared" si="555"/>
        <v>0.17050000000000001</v>
      </c>
      <c r="BC687" s="3">
        <f t="shared" si="555"/>
        <v>0.1575</v>
      </c>
      <c r="BD687" s="3">
        <f t="shared" si="531"/>
        <v>1.3000000000000012E-2</v>
      </c>
      <c r="BE687" s="3">
        <f t="shared" si="556"/>
        <v>0.29299999999999998</v>
      </c>
      <c r="BF687" s="3">
        <f t="shared" si="556"/>
        <v>0.58499999999999996</v>
      </c>
      <c r="BG687" s="3">
        <f t="shared" si="532"/>
        <v>-0.29199999999999998</v>
      </c>
      <c r="BH687" s="3">
        <f t="shared" si="557"/>
        <v>-0.17050000000000001</v>
      </c>
      <c r="BI687" s="3">
        <f t="shared" si="557"/>
        <v>-0.1575</v>
      </c>
      <c r="BJ687" s="3">
        <f t="shared" si="524"/>
        <v>-1.3000000000000012E-2</v>
      </c>
      <c r="BK687" s="3">
        <f t="shared" si="521"/>
        <v>4.9607935153583631E-2</v>
      </c>
      <c r="BL687" s="3">
        <f t="shared" si="522"/>
        <v>2.120192307692308E-2</v>
      </c>
      <c r="BM687" s="3">
        <f t="shared" si="533"/>
        <v>2.8406012076660551E-2</v>
      </c>
      <c r="BN687" s="3">
        <v>2.2370000000000001</v>
      </c>
      <c r="BO687" s="3">
        <v>2.431</v>
      </c>
      <c r="BP687" s="3">
        <f t="shared" si="534"/>
        <v>-0.19399999999999995</v>
      </c>
      <c r="BQ687" s="3">
        <v>-602243.07700000005</v>
      </c>
      <c r="BR687" s="3">
        <v>-601163.24300000002</v>
      </c>
      <c r="BS687" s="3">
        <f t="shared" si="535"/>
        <v>-1079.8340000000317</v>
      </c>
      <c r="BT687" s="3">
        <v>-602262.36399999994</v>
      </c>
      <c r="BU687" s="3">
        <v>-601182.38500000001</v>
      </c>
      <c r="BV687" s="3">
        <f t="shared" si="536"/>
        <v>-1079.9789999999339</v>
      </c>
    </row>
    <row r="688" spans="1:74" x14ac:dyDescent="0.25">
      <c r="A688" t="s">
        <v>140</v>
      </c>
      <c r="B688" t="s">
        <v>728</v>
      </c>
      <c r="C688" t="s">
        <v>103</v>
      </c>
      <c r="D688" s="3">
        <v>-1.8</v>
      </c>
      <c r="E688" s="3">
        <v>0.75</v>
      </c>
      <c r="F688" s="3">
        <v>-750.30499999999995</v>
      </c>
      <c r="G688" s="3">
        <v>-753.72400000000005</v>
      </c>
      <c r="H688" s="3">
        <f t="shared" si="553"/>
        <v>-3.4190000000000964</v>
      </c>
      <c r="I688" s="3">
        <v>-0.44</v>
      </c>
      <c r="J688" s="6">
        <v>-0.28299999999999997</v>
      </c>
      <c r="K688" s="3">
        <f t="shared" si="540"/>
        <v>0.15700000000000003</v>
      </c>
      <c r="L688" s="3">
        <v>0.152</v>
      </c>
      <c r="M688" s="6">
        <v>3.9E-2</v>
      </c>
      <c r="N688" s="3">
        <f t="shared" si="541"/>
        <v>-0.11299999999999999</v>
      </c>
      <c r="O688" s="3">
        <f t="shared" si="528"/>
        <v>0.14400000000000002</v>
      </c>
      <c r="P688" s="3">
        <f t="shared" si="528"/>
        <v>0.12199999999999998</v>
      </c>
      <c r="Q688" s="3">
        <f t="shared" si="542"/>
        <v>-2.2000000000000033E-2</v>
      </c>
      <c r="R688" s="3">
        <f t="shared" si="543"/>
        <v>0.59199999999999997</v>
      </c>
      <c r="S688" s="3">
        <f t="shared" si="544"/>
        <v>0.32199999999999995</v>
      </c>
      <c r="T688" s="3">
        <f t="shared" si="545"/>
        <v>-0.27</v>
      </c>
      <c r="U688" s="3">
        <f t="shared" si="546"/>
        <v>-0.14400000000000002</v>
      </c>
      <c r="V688" s="3">
        <f t="shared" si="547"/>
        <v>-0.12199999999999998</v>
      </c>
      <c r="W688" s="3">
        <f t="shared" si="523"/>
        <v>2.2000000000000033E-2</v>
      </c>
      <c r="X688" s="3">
        <f t="shared" si="519"/>
        <v>1.7513513513513518E-2</v>
      </c>
      <c r="Y688" s="3">
        <f t="shared" si="520"/>
        <v>2.3111801242236021E-2</v>
      </c>
      <c r="Z688" s="3">
        <f t="shared" si="548"/>
        <v>5.5982877287225029E-3</v>
      </c>
      <c r="AA688" s="3">
        <v>3.9039999999999999</v>
      </c>
      <c r="AB688" s="3">
        <v>3.4430000000000001</v>
      </c>
      <c r="AC688" s="3">
        <f t="shared" si="549"/>
        <v>-0.46099999999999985</v>
      </c>
      <c r="AD688" s="3">
        <f>-750.0566*627.50956</f>
        <v>-470667.68704109598</v>
      </c>
      <c r="AE688" s="3">
        <f>-753.487442*627.50956</f>
        <v>-472820.57319494546</v>
      </c>
      <c r="AF688" s="3">
        <f t="shared" si="550"/>
        <v>-2152.8861538494821</v>
      </c>
      <c r="AG688" s="3">
        <f>-750.108401*627.50956</f>
        <v>-470700.19266381353</v>
      </c>
      <c r="AH688" s="3">
        <f>-753.547413*627.50956</f>
        <v>-472858.20557076827</v>
      </c>
      <c r="AI688" s="3">
        <f t="shared" si="551"/>
        <v>-2158.0129069547402</v>
      </c>
      <c r="AJ688" s="3">
        <v>-0.314</v>
      </c>
      <c r="AK688" s="3">
        <v>-0.27500000000000002</v>
      </c>
      <c r="AL688" s="3">
        <f t="shared" si="552"/>
        <v>3.8999999999999979E-2</v>
      </c>
      <c r="AM688" s="3">
        <v>164.2749</v>
      </c>
      <c r="AN688" s="3">
        <v>261.45280000000002</v>
      </c>
      <c r="AO688" s="3">
        <v>281.8888</v>
      </c>
      <c r="AP688" s="3">
        <f t="shared" si="515"/>
        <v>1.2577588071486761</v>
      </c>
      <c r="AQ688" s="3">
        <v>11.592000000000001</v>
      </c>
      <c r="AR688" s="3">
        <v>2.6581000000000001</v>
      </c>
      <c r="AS688" s="3">
        <v>-959.76900000000001</v>
      </c>
      <c r="AT688" s="3">
        <v>-958.05</v>
      </c>
      <c r="AU688" s="3">
        <f t="shared" si="554"/>
        <v>-1.7190000000000509</v>
      </c>
      <c r="AV688" s="3">
        <v>-0.317</v>
      </c>
      <c r="AW688" s="3">
        <v>-0.45</v>
      </c>
      <c r="AX688" s="3">
        <f t="shared" si="529"/>
        <v>0.13300000000000001</v>
      </c>
      <c r="AY688" s="3">
        <v>-2.4E-2</v>
      </c>
      <c r="AZ688" s="3">
        <v>0.13500000000000001</v>
      </c>
      <c r="BA688" s="3">
        <f t="shared" si="530"/>
        <v>-0.159</v>
      </c>
      <c r="BB688" s="3">
        <f t="shared" si="555"/>
        <v>0.17050000000000001</v>
      </c>
      <c r="BC688" s="3">
        <f t="shared" si="555"/>
        <v>0.1575</v>
      </c>
      <c r="BD688" s="3">
        <f t="shared" si="531"/>
        <v>1.3000000000000012E-2</v>
      </c>
      <c r="BE688" s="3">
        <f t="shared" si="556"/>
        <v>0.29299999999999998</v>
      </c>
      <c r="BF688" s="3">
        <f t="shared" si="556"/>
        <v>0.58499999999999996</v>
      </c>
      <c r="BG688" s="3">
        <f t="shared" si="532"/>
        <v>-0.29199999999999998</v>
      </c>
      <c r="BH688" s="3">
        <f t="shared" si="557"/>
        <v>-0.17050000000000001</v>
      </c>
      <c r="BI688" s="3">
        <f t="shared" si="557"/>
        <v>-0.1575</v>
      </c>
      <c r="BJ688" s="3">
        <f t="shared" si="524"/>
        <v>-1.3000000000000012E-2</v>
      </c>
      <c r="BK688" s="3">
        <f t="shared" si="521"/>
        <v>4.9607935153583631E-2</v>
      </c>
      <c r="BL688" s="3">
        <f t="shared" si="522"/>
        <v>2.120192307692308E-2</v>
      </c>
      <c r="BM688" s="3">
        <f t="shared" si="533"/>
        <v>2.8406012076660551E-2</v>
      </c>
      <c r="BN688" s="3">
        <v>2.2370000000000001</v>
      </c>
      <c r="BO688" s="3">
        <v>2.431</v>
      </c>
      <c r="BP688" s="3">
        <f t="shared" si="534"/>
        <v>-0.19399999999999995</v>
      </c>
      <c r="BQ688" s="3">
        <v>-602243.07700000005</v>
      </c>
      <c r="BR688" s="3">
        <v>-601163.24300000002</v>
      </c>
      <c r="BS688" s="3">
        <f t="shared" si="535"/>
        <v>-1079.8340000000317</v>
      </c>
      <c r="BT688" s="3">
        <v>-602262.36399999994</v>
      </c>
      <c r="BU688" s="3">
        <v>-601182.38500000001</v>
      </c>
      <c r="BV688" s="3">
        <f t="shared" si="536"/>
        <v>-1079.9789999999339</v>
      </c>
    </row>
    <row r="689" spans="1:74" x14ac:dyDescent="0.25">
      <c r="A689" t="s">
        <v>141</v>
      </c>
      <c r="B689" t="s">
        <v>728</v>
      </c>
      <c r="C689" t="s">
        <v>103</v>
      </c>
      <c r="D689" s="3">
        <v>-1.06</v>
      </c>
      <c r="E689" s="3">
        <v>0.81</v>
      </c>
      <c r="F689" s="3">
        <v>-384.00700000000001</v>
      </c>
      <c r="G689" s="3">
        <v>-386.40699999999998</v>
      </c>
      <c r="H689" s="3">
        <f t="shared" si="553"/>
        <v>-2.3999999999999773</v>
      </c>
      <c r="I689" s="3">
        <v>-0.42</v>
      </c>
      <c r="J689" s="6">
        <v>-0.26300000000000001</v>
      </c>
      <c r="K689" s="3">
        <f t="shared" si="540"/>
        <v>0.15699999999999997</v>
      </c>
      <c r="L689" s="3">
        <v>0.161</v>
      </c>
      <c r="M689" s="6">
        <v>4.7E-2</v>
      </c>
      <c r="N689" s="3">
        <f t="shared" si="541"/>
        <v>-0.114</v>
      </c>
      <c r="O689" s="3">
        <f t="shared" si="528"/>
        <v>0.1295</v>
      </c>
      <c r="P689" s="3">
        <f t="shared" si="528"/>
        <v>0.10800000000000001</v>
      </c>
      <c r="Q689" s="3">
        <f t="shared" si="542"/>
        <v>-2.1499999999999991E-2</v>
      </c>
      <c r="R689" s="3">
        <f t="shared" si="543"/>
        <v>0.58099999999999996</v>
      </c>
      <c r="S689" s="3">
        <f t="shared" si="544"/>
        <v>0.31</v>
      </c>
      <c r="T689" s="3">
        <f t="shared" si="545"/>
        <v>-0.27099999999999996</v>
      </c>
      <c r="U689" s="3">
        <f t="shared" si="546"/>
        <v>-0.1295</v>
      </c>
      <c r="V689" s="3">
        <f t="shared" si="547"/>
        <v>-0.10800000000000001</v>
      </c>
      <c r="W689" s="3">
        <f t="shared" si="523"/>
        <v>2.1499999999999991E-2</v>
      </c>
      <c r="X689" s="3">
        <f t="shared" si="519"/>
        <v>1.4432228915662652E-2</v>
      </c>
      <c r="Y689" s="3">
        <f t="shared" si="520"/>
        <v>1.8812903225806456E-2</v>
      </c>
      <c r="Z689" s="3">
        <f t="shared" si="548"/>
        <v>4.3806743101438041E-3</v>
      </c>
      <c r="AA689" s="3">
        <v>1.84</v>
      </c>
      <c r="AB689" s="3">
        <v>1.601</v>
      </c>
      <c r="AC689" s="3">
        <f t="shared" si="549"/>
        <v>-0.2390000000000001</v>
      </c>
      <c r="AD689" s="3">
        <f>-383.810108*627.50956</f>
        <v>-240844.51199463248</v>
      </c>
      <c r="AE689" s="3">
        <f>-386.220484*627.50956</f>
        <v>-242357.04597782702</v>
      </c>
      <c r="AF689" s="3">
        <f t="shared" si="550"/>
        <v>-1512.5339831945312</v>
      </c>
      <c r="AG689" s="3">
        <f>-383.850518*627.50956</f>
        <v>-240869.86965595209</v>
      </c>
      <c r="AH689" s="3">
        <f>-386.264369*627.50956</f>
        <v>-242384.58423486762</v>
      </c>
      <c r="AI689" s="3">
        <f t="shared" si="551"/>
        <v>-1514.7145789155329</v>
      </c>
      <c r="AJ689" s="3">
        <v>0.112</v>
      </c>
      <c r="AK689" s="3">
        <v>0.13600000000000001</v>
      </c>
      <c r="AL689" s="3">
        <f t="shared" si="552"/>
        <v>2.4000000000000007E-2</v>
      </c>
      <c r="AM689" s="3">
        <v>116.158</v>
      </c>
      <c r="AN689" s="3">
        <v>190.27799999999999</v>
      </c>
      <c r="AO689" s="3">
        <v>199.76349999999999</v>
      </c>
      <c r="AP689" s="3">
        <f t="shared" si="515"/>
        <v>1.1515967642840224</v>
      </c>
      <c r="AQ689" s="3">
        <v>10.177</v>
      </c>
      <c r="AR689" s="3">
        <v>2.2086000000000001</v>
      </c>
      <c r="AS689" s="3">
        <v>-959.76900000000001</v>
      </c>
      <c r="AT689" s="3">
        <v>-958.05</v>
      </c>
      <c r="AU689" s="3">
        <f t="shared" si="554"/>
        <v>-1.7190000000000509</v>
      </c>
      <c r="AV689" s="3">
        <v>-0.317</v>
      </c>
      <c r="AW689" s="3">
        <v>-0.45</v>
      </c>
      <c r="AX689" s="3">
        <f t="shared" si="529"/>
        <v>0.13300000000000001</v>
      </c>
      <c r="AY689" s="3">
        <v>-2.4E-2</v>
      </c>
      <c r="AZ689" s="3">
        <v>0.13500000000000001</v>
      </c>
      <c r="BA689" s="3">
        <f t="shared" si="530"/>
        <v>-0.159</v>
      </c>
      <c r="BB689" s="3">
        <f t="shared" si="555"/>
        <v>0.17050000000000001</v>
      </c>
      <c r="BC689" s="3">
        <f t="shared" si="555"/>
        <v>0.1575</v>
      </c>
      <c r="BD689" s="3">
        <f t="shared" si="531"/>
        <v>1.3000000000000012E-2</v>
      </c>
      <c r="BE689" s="3">
        <f t="shared" si="556"/>
        <v>0.29299999999999998</v>
      </c>
      <c r="BF689" s="3">
        <f t="shared" si="556"/>
        <v>0.58499999999999996</v>
      </c>
      <c r="BG689" s="3">
        <f t="shared" si="532"/>
        <v>-0.29199999999999998</v>
      </c>
      <c r="BH689" s="3">
        <f t="shared" si="557"/>
        <v>-0.17050000000000001</v>
      </c>
      <c r="BI689" s="3">
        <f t="shared" si="557"/>
        <v>-0.1575</v>
      </c>
      <c r="BJ689" s="3">
        <f t="shared" si="524"/>
        <v>-1.3000000000000012E-2</v>
      </c>
      <c r="BK689" s="3">
        <f t="shared" si="521"/>
        <v>4.9607935153583631E-2</v>
      </c>
      <c r="BL689" s="3">
        <f t="shared" si="522"/>
        <v>2.120192307692308E-2</v>
      </c>
      <c r="BM689" s="3">
        <f t="shared" si="533"/>
        <v>2.8406012076660551E-2</v>
      </c>
      <c r="BN689" s="3">
        <v>2.2370000000000001</v>
      </c>
      <c r="BO689" s="3">
        <v>2.431</v>
      </c>
      <c r="BP689" s="3">
        <f t="shared" si="534"/>
        <v>-0.19399999999999995</v>
      </c>
      <c r="BQ689" s="3">
        <v>-602243.07700000005</v>
      </c>
      <c r="BR689" s="3">
        <v>-601163.24300000002</v>
      </c>
      <c r="BS689" s="3">
        <f t="shared" si="535"/>
        <v>-1079.8340000000317</v>
      </c>
      <c r="BT689" s="3">
        <v>-602262.36399999994</v>
      </c>
      <c r="BU689" s="3">
        <v>-601182.38500000001</v>
      </c>
      <c r="BV689" s="3">
        <f t="shared" si="536"/>
        <v>-1079.9789999999339</v>
      </c>
    </row>
    <row r="690" spans="1:74" x14ac:dyDescent="0.25">
      <c r="A690" t="s">
        <v>142</v>
      </c>
      <c r="B690" t="s">
        <v>728</v>
      </c>
      <c r="C690" t="s">
        <v>103</v>
      </c>
      <c r="D690" s="3">
        <v>-0.9</v>
      </c>
      <c r="E690" s="3">
        <v>0.8</v>
      </c>
      <c r="F690" s="3">
        <v>-496.46699999999998</v>
      </c>
      <c r="G690" s="3">
        <v>-499.536</v>
      </c>
      <c r="H690" s="3">
        <f t="shared" si="553"/>
        <v>-3.0690000000000168</v>
      </c>
      <c r="I690" s="3">
        <v>-0.34</v>
      </c>
      <c r="J690" s="6">
        <v>-0.25900000000000001</v>
      </c>
      <c r="K690" s="3">
        <f t="shared" si="540"/>
        <v>8.1000000000000016E-2</v>
      </c>
      <c r="L690" s="3">
        <v>0.123</v>
      </c>
      <c r="M690" s="6">
        <v>-2.4E-2</v>
      </c>
      <c r="N690" s="3">
        <f t="shared" si="541"/>
        <v>-0.14699999999999999</v>
      </c>
      <c r="O690" s="3">
        <f t="shared" si="528"/>
        <v>0.10850000000000001</v>
      </c>
      <c r="P690" s="3">
        <f t="shared" si="528"/>
        <v>0.14150000000000001</v>
      </c>
      <c r="Q690" s="3">
        <f t="shared" si="542"/>
        <v>3.3000000000000002E-2</v>
      </c>
      <c r="R690" s="3">
        <f t="shared" si="543"/>
        <v>0.46300000000000002</v>
      </c>
      <c r="S690" s="3">
        <f t="shared" si="544"/>
        <v>0.23500000000000001</v>
      </c>
      <c r="T690" s="3">
        <f t="shared" si="545"/>
        <v>-0.22800000000000001</v>
      </c>
      <c r="U690" s="3">
        <f t="shared" si="546"/>
        <v>-0.10850000000000001</v>
      </c>
      <c r="V690" s="3">
        <f t="shared" si="547"/>
        <v>-0.14150000000000001</v>
      </c>
      <c r="W690" s="3">
        <f t="shared" si="523"/>
        <v>-3.3000000000000002E-2</v>
      </c>
      <c r="X690" s="3">
        <f t="shared" si="519"/>
        <v>1.2713012958963286E-2</v>
      </c>
      <c r="Y690" s="3">
        <f t="shared" si="520"/>
        <v>4.2600531914893623E-2</v>
      </c>
      <c r="Z690" s="3">
        <f t="shared" si="548"/>
        <v>2.9887518955930337E-2</v>
      </c>
      <c r="AA690" s="3">
        <v>1.7549999999999999</v>
      </c>
      <c r="AB690" s="3">
        <v>1.528</v>
      </c>
      <c r="AC690" s="3">
        <f t="shared" si="549"/>
        <v>-0.22699999999999987</v>
      </c>
      <c r="AD690" s="3">
        <f>-496.272085*627.50956</f>
        <v>-311415.47769863257</v>
      </c>
      <c r="AE690" s="3">
        <f>-499.352889*627.50956</f>
        <v>-313348.71166111884</v>
      </c>
      <c r="AF690" s="3">
        <f t="shared" si="550"/>
        <v>-1933.2339624862652</v>
      </c>
      <c r="AG690" s="3">
        <f>-496.317233*627.50956</f>
        <v>-311443.80850024748</v>
      </c>
      <c r="AH690" s="3">
        <f>-499.399096*627.50956</f>
        <v>-313377.70699535776</v>
      </c>
      <c r="AI690" s="3">
        <f t="shared" si="551"/>
        <v>-1933.8984951102757</v>
      </c>
      <c r="AJ690" s="3">
        <v>0.11600000000000001</v>
      </c>
      <c r="AK690" s="3">
        <v>0.14599999999999999</v>
      </c>
      <c r="AL690" s="3">
        <f t="shared" si="552"/>
        <v>2.9999999999999985E-2</v>
      </c>
      <c r="AM690" s="3">
        <v>150.17449999999999</v>
      </c>
      <c r="AN690" s="3">
        <v>210.34200000000001</v>
      </c>
      <c r="AO690" s="3">
        <v>226.511</v>
      </c>
      <c r="AP690" s="3">
        <f t="shared" si="515"/>
        <v>1.1707273146101318</v>
      </c>
      <c r="AQ690" s="3">
        <v>10.523</v>
      </c>
      <c r="AR690" s="3">
        <v>2.4180999999999999</v>
      </c>
      <c r="AS690" s="3">
        <v>-959.76900000000001</v>
      </c>
      <c r="AT690" s="3">
        <v>-958.05</v>
      </c>
      <c r="AU690" s="3">
        <f t="shared" si="554"/>
        <v>-1.7190000000000509</v>
      </c>
      <c r="AV690" s="3">
        <v>-0.317</v>
      </c>
      <c r="AW690" s="3">
        <v>-0.45</v>
      </c>
      <c r="AX690" s="3">
        <f t="shared" si="529"/>
        <v>0.13300000000000001</v>
      </c>
      <c r="AY690" s="3">
        <v>-2.4E-2</v>
      </c>
      <c r="AZ690" s="3">
        <v>0.13500000000000001</v>
      </c>
      <c r="BA690" s="3">
        <f t="shared" si="530"/>
        <v>-0.159</v>
      </c>
      <c r="BB690" s="3">
        <f t="shared" si="555"/>
        <v>0.17050000000000001</v>
      </c>
      <c r="BC690" s="3">
        <f t="shared" si="555"/>
        <v>0.1575</v>
      </c>
      <c r="BD690" s="3">
        <f t="shared" si="531"/>
        <v>1.3000000000000012E-2</v>
      </c>
      <c r="BE690" s="3">
        <f t="shared" si="556"/>
        <v>0.29299999999999998</v>
      </c>
      <c r="BF690" s="3">
        <f t="shared" si="556"/>
        <v>0.58499999999999996</v>
      </c>
      <c r="BG690" s="3">
        <f t="shared" si="532"/>
        <v>-0.29199999999999998</v>
      </c>
      <c r="BH690" s="3">
        <f t="shared" si="557"/>
        <v>-0.17050000000000001</v>
      </c>
      <c r="BI690" s="3">
        <f t="shared" si="557"/>
        <v>-0.1575</v>
      </c>
      <c r="BJ690" s="3">
        <f t="shared" si="524"/>
        <v>-1.3000000000000012E-2</v>
      </c>
      <c r="BK690" s="3">
        <f t="shared" si="521"/>
        <v>4.9607935153583631E-2</v>
      </c>
      <c r="BL690" s="3">
        <f t="shared" si="522"/>
        <v>2.120192307692308E-2</v>
      </c>
      <c r="BM690" s="3">
        <f t="shared" si="533"/>
        <v>2.8406012076660551E-2</v>
      </c>
      <c r="BN690" s="3">
        <v>2.2370000000000001</v>
      </c>
      <c r="BO690" s="3">
        <v>2.431</v>
      </c>
      <c r="BP690" s="3">
        <f t="shared" si="534"/>
        <v>-0.19399999999999995</v>
      </c>
      <c r="BQ690" s="3">
        <v>-602243.07700000005</v>
      </c>
      <c r="BR690" s="3">
        <v>-601163.24300000002</v>
      </c>
      <c r="BS690" s="3">
        <f t="shared" si="535"/>
        <v>-1079.8340000000317</v>
      </c>
      <c r="BT690" s="3">
        <v>-602262.36399999994</v>
      </c>
      <c r="BU690" s="3">
        <v>-601182.38500000001</v>
      </c>
      <c r="BV690" s="3">
        <f t="shared" si="536"/>
        <v>-1079.9789999999339</v>
      </c>
    </row>
    <row r="691" spans="1:74" x14ac:dyDescent="0.25">
      <c r="A691" t="s">
        <v>143</v>
      </c>
      <c r="B691" t="s">
        <v>728</v>
      </c>
      <c r="C691" t="s">
        <v>103</v>
      </c>
      <c r="D691" s="3">
        <v>-0.88</v>
      </c>
      <c r="E691" s="3">
        <v>0.94</v>
      </c>
      <c r="F691" s="3">
        <v>-311.15600000000001</v>
      </c>
      <c r="G691" s="3">
        <v>-313.35399999999998</v>
      </c>
      <c r="H691" s="3">
        <f t="shared" si="553"/>
        <v>-2.1979999999999791</v>
      </c>
      <c r="I691" s="3">
        <v>-0.34300000000000003</v>
      </c>
      <c r="J691" s="6">
        <v>-0.24299999999999999</v>
      </c>
      <c r="K691" s="3">
        <f t="shared" si="540"/>
        <v>0.10000000000000003</v>
      </c>
      <c r="L691" s="3">
        <v>0.155</v>
      </c>
      <c r="M691" s="6">
        <v>1.7999999999999999E-2</v>
      </c>
      <c r="N691" s="3">
        <f t="shared" si="541"/>
        <v>-0.13700000000000001</v>
      </c>
      <c r="O691" s="3">
        <f t="shared" si="528"/>
        <v>9.4000000000000014E-2</v>
      </c>
      <c r="P691" s="3">
        <f t="shared" si="528"/>
        <v>0.1125</v>
      </c>
      <c r="Q691" s="3">
        <f t="shared" si="542"/>
        <v>1.8499999999999989E-2</v>
      </c>
      <c r="R691" s="3">
        <f t="shared" si="543"/>
        <v>0.498</v>
      </c>
      <c r="S691" s="3">
        <f t="shared" si="544"/>
        <v>0.26100000000000001</v>
      </c>
      <c r="T691" s="3">
        <f t="shared" si="545"/>
        <v>-0.23699999999999999</v>
      </c>
      <c r="U691" s="3">
        <f t="shared" si="546"/>
        <v>-9.4000000000000014E-2</v>
      </c>
      <c r="V691" s="3">
        <f t="shared" si="547"/>
        <v>-0.1125</v>
      </c>
      <c r="W691" s="3">
        <f t="shared" si="523"/>
        <v>-1.8499999999999989E-2</v>
      </c>
      <c r="X691" s="3">
        <f t="shared" si="519"/>
        <v>8.8714859437751016E-3</v>
      </c>
      <c r="Y691" s="3">
        <f t="shared" si="520"/>
        <v>2.4245689655172414E-2</v>
      </c>
      <c r="Z691" s="3">
        <f t="shared" si="548"/>
        <v>1.5374203711397312E-2</v>
      </c>
      <c r="AA691" s="3">
        <v>0.24099999999999999</v>
      </c>
      <c r="AB691" s="3">
        <v>0.25900000000000001</v>
      </c>
      <c r="AC691" s="3">
        <f t="shared" si="549"/>
        <v>1.8000000000000016E-2</v>
      </c>
      <c r="AD691" s="3">
        <f>-310.933105*627.50956</f>
        <v>-195113.4959079838</v>
      </c>
      <c r="AE691" s="3">
        <f>-313.143672*627.50956</f>
        <v>-196500.64783350431</v>
      </c>
      <c r="AF691" s="3">
        <f t="shared" si="550"/>
        <v>-1387.1519255205058</v>
      </c>
      <c r="AG691" s="3">
        <f>-310.975645*627.50956</f>
        <v>-195140.19016466619</v>
      </c>
      <c r="AH691" s="3">
        <f>-313.187596*627.50956</f>
        <v>-196528.21056341773</v>
      </c>
      <c r="AI691" s="3">
        <f t="shared" si="551"/>
        <v>-1388.0203987515415</v>
      </c>
      <c r="AJ691" s="3">
        <v>0.16800000000000001</v>
      </c>
      <c r="AK691" s="3">
        <v>0.19700000000000001</v>
      </c>
      <c r="AL691" s="3">
        <f t="shared" si="552"/>
        <v>2.8999999999999998E-2</v>
      </c>
      <c r="AM691" s="3">
        <v>110.19670000000001</v>
      </c>
      <c r="AN691" s="3">
        <v>200.06440000000001</v>
      </c>
      <c r="AO691" s="3">
        <v>218.7629</v>
      </c>
      <c r="AP691" s="3">
        <f t="shared" si="515"/>
        <v>1.1396635325697708</v>
      </c>
      <c r="AQ691" s="3">
        <v>10.233000000000001</v>
      </c>
      <c r="AR691" s="3">
        <v>2.2713999999999999</v>
      </c>
      <c r="AS691" s="3">
        <v>-959.76900000000001</v>
      </c>
      <c r="AT691" s="3">
        <v>-958.05</v>
      </c>
      <c r="AU691" s="3">
        <f t="shared" si="554"/>
        <v>-1.7190000000000509</v>
      </c>
      <c r="AV691" s="3">
        <v>-0.317</v>
      </c>
      <c r="AW691" s="3">
        <v>-0.45</v>
      </c>
      <c r="AX691" s="3">
        <f t="shared" si="529"/>
        <v>0.13300000000000001</v>
      </c>
      <c r="AY691" s="3">
        <v>-2.4E-2</v>
      </c>
      <c r="AZ691" s="3">
        <v>0.13500000000000001</v>
      </c>
      <c r="BA691" s="3">
        <f t="shared" si="530"/>
        <v>-0.159</v>
      </c>
      <c r="BB691" s="3">
        <f t="shared" si="555"/>
        <v>0.17050000000000001</v>
      </c>
      <c r="BC691" s="3">
        <f t="shared" si="555"/>
        <v>0.1575</v>
      </c>
      <c r="BD691" s="3">
        <f t="shared" si="531"/>
        <v>1.3000000000000012E-2</v>
      </c>
      <c r="BE691" s="3">
        <f t="shared" si="556"/>
        <v>0.29299999999999998</v>
      </c>
      <c r="BF691" s="3">
        <f t="shared" si="556"/>
        <v>0.58499999999999996</v>
      </c>
      <c r="BG691" s="3">
        <f t="shared" si="532"/>
        <v>-0.29199999999999998</v>
      </c>
      <c r="BH691" s="3">
        <f t="shared" si="557"/>
        <v>-0.17050000000000001</v>
      </c>
      <c r="BI691" s="3">
        <f t="shared" si="557"/>
        <v>-0.1575</v>
      </c>
      <c r="BJ691" s="3">
        <f t="shared" si="524"/>
        <v>-1.3000000000000012E-2</v>
      </c>
      <c r="BK691" s="3">
        <f t="shared" si="521"/>
        <v>4.9607935153583631E-2</v>
      </c>
      <c r="BL691" s="3">
        <f t="shared" si="522"/>
        <v>2.120192307692308E-2</v>
      </c>
      <c r="BM691" s="3">
        <f t="shared" si="533"/>
        <v>2.8406012076660551E-2</v>
      </c>
      <c r="BN691" s="3">
        <v>2.2370000000000001</v>
      </c>
      <c r="BO691" s="3">
        <v>2.431</v>
      </c>
      <c r="BP691" s="3">
        <f t="shared" si="534"/>
        <v>-0.19399999999999995</v>
      </c>
      <c r="BQ691" s="3">
        <v>-602243.07700000005</v>
      </c>
      <c r="BR691" s="3">
        <v>-601163.24300000002</v>
      </c>
      <c r="BS691" s="3">
        <f t="shared" si="535"/>
        <v>-1079.8340000000317</v>
      </c>
      <c r="BT691" s="3">
        <v>-602262.36399999994</v>
      </c>
      <c r="BU691" s="3">
        <v>-601182.38500000001</v>
      </c>
      <c r="BV691" s="3">
        <f t="shared" si="536"/>
        <v>-1079.9789999999339</v>
      </c>
    </row>
    <row r="692" spans="1:74" x14ac:dyDescent="0.25">
      <c r="A692" t="s">
        <v>144</v>
      </c>
      <c r="B692" t="s">
        <v>728</v>
      </c>
      <c r="C692" t="s">
        <v>103</v>
      </c>
      <c r="D692" s="3">
        <v>-0.86</v>
      </c>
      <c r="E692" s="3">
        <v>0.92</v>
      </c>
      <c r="F692" s="3">
        <v>-537.28200000000004</v>
      </c>
      <c r="G692" s="3">
        <v>-540.86699999999996</v>
      </c>
      <c r="H692" s="3">
        <f t="shared" si="553"/>
        <v>-3.5849999999999227</v>
      </c>
      <c r="I692" s="3">
        <v>-0.32500000000000001</v>
      </c>
      <c r="J692" s="6">
        <v>-0.24399999999999999</v>
      </c>
      <c r="K692" s="3">
        <f t="shared" si="540"/>
        <v>8.1000000000000016E-2</v>
      </c>
      <c r="L692" s="3">
        <v>0.11799999999999999</v>
      </c>
      <c r="M692" s="6">
        <v>-0.02</v>
      </c>
      <c r="N692" s="3">
        <f t="shared" si="541"/>
        <v>-0.13799999999999998</v>
      </c>
      <c r="O692" s="3">
        <f t="shared" si="528"/>
        <v>0.10350000000000001</v>
      </c>
      <c r="P692" s="3">
        <f t="shared" si="528"/>
        <v>0.13200000000000001</v>
      </c>
      <c r="Q692" s="3">
        <f t="shared" si="542"/>
        <v>2.8499999999999998E-2</v>
      </c>
      <c r="R692" s="3">
        <f t="shared" si="543"/>
        <v>0.443</v>
      </c>
      <c r="S692" s="3">
        <f t="shared" si="544"/>
        <v>0.224</v>
      </c>
      <c r="T692" s="3">
        <f t="shared" si="545"/>
        <v>-0.219</v>
      </c>
      <c r="U692" s="3">
        <f t="shared" si="546"/>
        <v>-0.10350000000000001</v>
      </c>
      <c r="V692" s="3">
        <f t="shared" si="547"/>
        <v>-0.13200000000000001</v>
      </c>
      <c r="W692" s="3">
        <f t="shared" si="523"/>
        <v>-2.8499999999999998E-2</v>
      </c>
      <c r="X692" s="3">
        <f t="shared" si="519"/>
        <v>1.2090575620767496E-2</v>
      </c>
      <c r="Y692" s="3">
        <f t="shared" si="520"/>
        <v>3.8892857142857146E-2</v>
      </c>
      <c r="Z692" s="3">
        <f t="shared" si="548"/>
        <v>2.680228152208965E-2</v>
      </c>
      <c r="AA692" s="3">
        <v>0.41499999999999998</v>
      </c>
      <c r="AB692" s="3">
        <v>0.47</v>
      </c>
      <c r="AC692" s="3">
        <f t="shared" si="549"/>
        <v>5.4999999999999993E-2</v>
      </c>
      <c r="AD692" s="3">
        <f>-537.041389*627.50956</f>
        <v>-336998.60571317881</v>
      </c>
      <c r="AE692" s="3">
        <f>-540.640064*627.50956</f>
        <v>-339256.80867901183</v>
      </c>
      <c r="AF692" s="3">
        <f t="shared" si="550"/>
        <v>-2258.2029658330139</v>
      </c>
      <c r="AG692" s="3">
        <f>-537.086224*627.50956</f>
        <v>-337026.74010430143</v>
      </c>
      <c r="AH692" s="3">
        <f>-540.68615*627.50956</f>
        <v>-339285.72808459395</v>
      </c>
      <c r="AI692" s="3">
        <f t="shared" si="551"/>
        <v>-2258.9879802925279</v>
      </c>
      <c r="AJ692" s="3">
        <v>0.193</v>
      </c>
      <c r="AK692" s="3">
        <v>0.222</v>
      </c>
      <c r="AL692" s="3">
        <f t="shared" si="552"/>
        <v>2.8999999999999998E-2</v>
      </c>
      <c r="AM692" s="3">
        <v>180.245</v>
      </c>
      <c r="AN692" s="3">
        <v>245.7689</v>
      </c>
      <c r="AO692" s="3">
        <v>281.78890000000001</v>
      </c>
      <c r="AP692" s="3">
        <f t="shared" si="515"/>
        <v>1.182588418775024</v>
      </c>
      <c r="AQ692" s="3">
        <v>11.615</v>
      </c>
      <c r="AR692" s="3">
        <v>2.7229999999999999</v>
      </c>
      <c r="AS692" s="3">
        <v>-959.76900000000001</v>
      </c>
      <c r="AT692" s="3">
        <v>-958.05</v>
      </c>
      <c r="AU692" s="3">
        <f t="shared" si="554"/>
        <v>-1.7190000000000509</v>
      </c>
      <c r="AV692" s="3">
        <v>-0.317</v>
      </c>
      <c r="AW692" s="3">
        <v>-0.45</v>
      </c>
      <c r="AX692" s="3">
        <f t="shared" si="529"/>
        <v>0.13300000000000001</v>
      </c>
      <c r="AY692" s="3">
        <v>-2.4E-2</v>
      </c>
      <c r="AZ692" s="3">
        <v>0.13500000000000001</v>
      </c>
      <c r="BA692" s="3">
        <f t="shared" si="530"/>
        <v>-0.159</v>
      </c>
      <c r="BB692" s="3">
        <f t="shared" si="555"/>
        <v>0.17050000000000001</v>
      </c>
      <c r="BC692" s="3">
        <f t="shared" si="555"/>
        <v>0.1575</v>
      </c>
      <c r="BD692" s="3">
        <f t="shared" si="531"/>
        <v>1.3000000000000012E-2</v>
      </c>
      <c r="BE692" s="3">
        <f t="shared" si="556"/>
        <v>0.29299999999999998</v>
      </c>
      <c r="BF692" s="3">
        <f t="shared" si="556"/>
        <v>0.58499999999999996</v>
      </c>
      <c r="BG692" s="3">
        <f t="shared" si="532"/>
        <v>-0.29199999999999998</v>
      </c>
      <c r="BH692" s="3">
        <f t="shared" si="557"/>
        <v>-0.17050000000000001</v>
      </c>
      <c r="BI692" s="3">
        <f t="shared" si="557"/>
        <v>-0.1575</v>
      </c>
      <c r="BJ692" s="3">
        <f t="shared" si="524"/>
        <v>-1.3000000000000012E-2</v>
      </c>
      <c r="BK692" s="3">
        <f t="shared" si="521"/>
        <v>4.9607935153583631E-2</v>
      </c>
      <c r="BL692" s="3">
        <f t="shared" si="522"/>
        <v>2.120192307692308E-2</v>
      </c>
      <c r="BM692" s="3">
        <f t="shared" si="533"/>
        <v>2.8406012076660551E-2</v>
      </c>
      <c r="BN692" s="3">
        <v>2.2370000000000001</v>
      </c>
      <c r="BO692" s="3">
        <v>2.431</v>
      </c>
      <c r="BP692" s="3">
        <f t="shared" si="534"/>
        <v>-0.19399999999999995</v>
      </c>
      <c r="BQ692" s="3">
        <v>-602243.07700000005</v>
      </c>
      <c r="BR692" s="3">
        <v>-601163.24300000002</v>
      </c>
      <c r="BS692" s="3">
        <f t="shared" si="535"/>
        <v>-1079.8340000000317</v>
      </c>
      <c r="BT692" s="3">
        <v>-602262.36399999994</v>
      </c>
      <c r="BU692" s="3">
        <v>-601182.38500000001</v>
      </c>
      <c r="BV692" s="3">
        <f t="shared" si="536"/>
        <v>-1079.9789999999339</v>
      </c>
    </row>
    <row r="693" spans="1:74" x14ac:dyDescent="0.25">
      <c r="A693" t="s">
        <v>145</v>
      </c>
      <c r="B693" t="s">
        <v>728</v>
      </c>
      <c r="C693" t="s">
        <v>103</v>
      </c>
      <c r="D693" s="3">
        <v>-0.74</v>
      </c>
      <c r="E693" s="3">
        <v>0.99</v>
      </c>
      <c r="F693" s="3">
        <v>-272.09500000000003</v>
      </c>
      <c r="G693" s="3">
        <v>-274.01499999999999</v>
      </c>
      <c r="H693" s="3">
        <f t="shared" si="553"/>
        <v>-1.9199999999999591</v>
      </c>
      <c r="I693" s="3">
        <v>-0.34499999999999997</v>
      </c>
      <c r="J693" s="6">
        <v>-0.245</v>
      </c>
      <c r="K693" s="3">
        <f t="shared" si="540"/>
        <v>9.9999999999999978E-2</v>
      </c>
      <c r="L693" s="3">
        <v>0.16200000000000001</v>
      </c>
      <c r="M693" s="6">
        <v>7.0000000000000001E-3</v>
      </c>
      <c r="N693" s="3">
        <f t="shared" si="541"/>
        <v>-0.155</v>
      </c>
      <c r="O693" s="3">
        <f t="shared" si="528"/>
        <v>9.1499999999999984E-2</v>
      </c>
      <c r="P693" s="3">
        <f t="shared" si="528"/>
        <v>0.11899999999999999</v>
      </c>
      <c r="Q693" s="3">
        <f t="shared" si="542"/>
        <v>2.7500000000000011E-2</v>
      </c>
      <c r="R693" s="3">
        <f t="shared" si="543"/>
        <v>0.50700000000000001</v>
      </c>
      <c r="S693" s="3">
        <f t="shared" si="544"/>
        <v>0.252</v>
      </c>
      <c r="T693" s="3">
        <f t="shared" si="545"/>
        <v>-0.255</v>
      </c>
      <c r="U693" s="3">
        <f t="shared" si="546"/>
        <v>-9.1499999999999984E-2</v>
      </c>
      <c r="V693" s="3">
        <f t="shared" si="547"/>
        <v>-0.11899999999999999</v>
      </c>
      <c r="W693" s="3">
        <f t="shared" si="523"/>
        <v>-2.7500000000000011E-2</v>
      </c>
      <c r="X693" s="3">
        <f t="shared" si="519"/>
        <v>8.2566568047337252E-3</v>
      </c>
      <c r="Y693" s="3">
        <f t="shared" si="520"/>
        <v>2.8097222222222218E-2</v>
      </c>
      <c r="Z693" s="3">
        <f t="shared" si="548"/>
        <v>1.9840565417488493E-2</v>
      </c>
      <c r="AA693" s="3">
        <v>0.106</v>
      </c>
      <c r="AB693" s="3">
        <v>0.11600000000000001</v>
      </c>
      <c r="AC693" s="3">
        <f t="shared" si="549"/>
        <v>1.0000000000000009E-2</v>
      </c>
      <c r="AD693" s="3">
        <f>-271.906067*627.50956</f>
        <v>-170623.65646450053</v>
      </c>
      <c r="AE693" s="3">
        <f>-273.836122*627.50956</f>
        <v>-171834.7844283263</v>
      </c>
      <c r="AF693" s="3">
        <f t="shared" si="550"/>
        <v>-1211.1279638257693</v>
      </c>
      <c r="AG693" s="3">
        <f>-271.949265*627.50956</f>
        <v>-170650.7636224734</v>
      </c>
      <c r="AH693" s="3">
        <f>-273.880132*627.50956</f>
        <v>-171862.4011240619</v>
      </c>
      <c r="AI693" s="3">
        <f t="shared" si="551"/>
        <v>-1211.6375015884987</v>
      </c>
      <c r="AJ693" s="3">
        <v>0.17799999999999999</v>
      </c>
      <c r="AK693" s="3">
        <v>0.20799999999999999</v>
      </c>
      <c r="AL693" s="3">
        <f t="shared" si="552"/>
        <v>0.03</v>
      </c>
      <c r="AM693" s="3">
        <v>96.17</v>
      </c>
      <c r="AN693" s="3">
        <v>198.447</v>
      </c>
      <c r="AO693" s="3">
        <v>201.49250000000001</v>
      </c>
      <c r="AP693" s="3">
        <f t="shared" si="515"/>
        <v>1.1941564572370404</v>
      </c>
      <c r="AQ693" s="3">
        <v>11.093</v>
      </c>
      <c r="AR693" s="3">
        <v>2.5169999999999999</v>
      </c>
      <c r="AS693" s="3">
        <v>-959.76900000000001</v>
      </c>
      <c r="AT693" s="3">
        <v>-958.05</v>
      </c>
      <c r="AU693" s="3">
        <f t="shared" si="554"/>
        <v>-1.7190000000000509</v>
      </c>
      <c r="AV693" s="3">
        <v>-0.317</v>
      </c>
      <c r="AW693" s="3">
        <v>-0.45</v>
      </c>
      <c r="AX693" s="3">
        <f t="shared" si="529"/>
        <v>0.13300000000000001</v>
      </c>
      <c r="AY693" s="3">
        <v>-2.4E-2</v>
      </c>
      <c r="AZ693" s="3">
        <v>0.13500000000000001</v>
      </c>
      <c r="BA693" s="3">
        <f t="shared" si="530"/>
        <v>-0.159</v>
      </c>
      <c r="BB693" s="3">
        <f t="shared" si="555"/>
        <v>0.17050000000000001</v>
      </c>
      <c r="BC693" s="3">
        <f t="shared" si="555"/>
        <v>0.1575</v>
      </c>
      <c r="BD693" s="3">
        <f t="shared" si="531"/>
        <v>1.3000000000000012E-2</v>
      </c>
      <c r="BE693" s="3">
        <f t="shared" si="556"/>
        <v>0.29299999999999998</v>
      </c>
      <c r="BF693" s="3">
        <f t="shared" si="556"/>
        <v>0.58499999999999996</v>
      </c>
      <c r="BG693" s="3">
        <f t="shared" si="532"/>
        <v>-0.29199999999999998</v>
      </c>
      <c r="BH693" s="3">
        <f t="shared" si="557"/>
        <v>-0.17050000000000001</v>
      </c>
      <c r="BI693" s="3">
        <f t="shared" si="557"/>
        <v>-0.1575</v>
      </c>
      <c r="BJ693" s="3">
        <f t="shared" si="524"/>
        <v>-1.3000000000000012E-2</v>
      </c>
      <c r="BK693" s="3">
        <f t="shared" si="521"/>
        <v>4.9607935153583631E-2</v>
      </c>
      <c r="BL693" s="3">
        <f t="shared" si="522"/>
        <v>2.120192307692308E-2</v>
      </c>
      <c r="BM693" s="3">
        <f t="shared" si="533"/>
        <v>2.8406012076660551E-2</v>
      </c>
      <c r="BN693" s="3">
        <v>2.2370000000000001</v>
      </c>
      <c r="BO693" s="3">
        <v>2.431</v>
      </c>
      <c r="BP693" s="3">
        <f t="shared" si="534"/>
        <v>-0.19399999999999995</v>
      </c>
      <c r="BQ693" s="3">
        <v>-602243.07700000005</v>
      </c>
      <c r="BR693" s="3">
        <v>-601163.24300000002</v>
      </c>
      <c r="BS693" s="3">
        <f t="shared" si="535"/>
        <v>-1079.8340000000317</v>
      </c>
      <c r="BT693" s="3">
        <v>-602262.36399999994</v>
      </c>
      <c r="BU693" s="3">
        <v>-601182.38500000001</v>
      </c>
      <c r="BV693" s="3">
        <f t="shared" si="536"/>
        <v>-1079.9789999999339</v>
      </c>
    </row>
    <row r="694" spans="1:74" x14ac:dyDescent="0.25">
      <c r="A694" t="s">
        <v>146</v>
      </c>
      <c r="B694" t="s">
        <v>728</v>
      </c>
      <c r="C694" t="s">
        <v>103</v>
      </c>
      <c r="D694" s="3">
        <v>-0.73</v>
      </c>
      <c r="E694" s="3">
        <v>0.97</v>
      </c>
      <c r="F694" s="3">
        <v>-311.13600000000002</v>
      </c>
      <c r="G694" s="3">
        <v>-313.33699999999999</v>
      </c>
      <c r="H694" s="3">
        <f t="shared" si="553"/>
        <v>-2.200999999999965</v>
      </c>
      <c r="I694" s="3">
        <v>-0.34399999999999997</v>
      </c>
      <c r="J694" s="6">
        <v>-0.245</v>
      </c>
      <c r="K694" s="3">
        <f t="shared" si="540"/>
        <v>9.8999999999999977E-2</v>
      </c>
      <c r="L694" s="3">
        <v>0.157</v>
      </c>
      <c r="M694" s="6">
        <v>8.0000000000000002E-3</v>
      </c>
      <c r="N694" s="3">
        <f t="shared" si="541"/>
        <v>-0.14899999999999999</v>
      </c>
      <c r="O694" s="3">
        <f t="shared" si="528"/>
        <v>9.3499999999999986E-2</v>
      </c>
      <c r="P694" s="3">
        <f t="shared" si="528"/>
        <v>0.11849999999999999</v>
      </c>
      <c r="Q694" s="3">
        <f t="shared" si="542"/>
        <v>2.5000000000000008E-2</v>
      </c>
      <c r="R694" s="3">
        <f t="shared" si="543"/>
        <v>0.501</v>
      </c>
      <c r="S694" s="3">
        <f t="shared" si="544"/>
        <v>0.253</v>
      </c>
      <c r="T694" s="3">
        <f t="shared" si="545"/>
        <v>-0.248</v>
      </c>
      <c r="U694" s="3">
        <f t="shared" si="546"/>
        <v>-9.3499999999999986E-2</v>
      </c>
      <c r="V694" s="3">
        <f t="shared" si="547"/>
        <v>-0.11849999999999999</v>
      </c>
      <c r="W694" s="3">
        <f t="shared" si="523"/>
        <v>-2.5000000000000008E-2</v>
      </c>
      <c r="X694" s="3">
        <f t="shared" si="519"/>
        <v>8.7248003992015932E-3</v>
      </c>
      <c r="Y694" s="3">
        <f t="shared" si="520"/>
        <v>2.7751482213438733E-2</v>
      </c>
      <c r="Z694" s="3">
        <f t="shared" si="548"/>
        <v>1.902668181423714E-2</v>
      </c>
      <c r="AA694" s="3">
        <v>8.2000000000000003E-2</v>
      </c>
      <c r="AB694" s="3">
        <v>6.8000000000000005E-2</v>
      </c>
      <c r="AC694" s="3">
        <f t="shared" si="549"/>
        <v>-1.3999999999999999E-2</v>
      </c>
      <c r="AD694" s="3">
        <f>-310.915292*627.50956</f>
        <v>-195102.31808019153</v>
      </c>
      <c r="AE694" s="3">
        <f>-313.128452*627.50956</f>
        <v>-196491.09713800109</v>
      </c>
      <c r="AF694" s="3">
        <f t="shared" si="550"/>
        <v>-1388.7790578095592</v>
      </c>
      <c r="AG694" s="3">
        <f>-310.960794*627.50956</f>
        <v>-195130.87102019065</v>
      </c>
      <c r="AH694" s="3">
        <f>-313.174853*627.50956</f>
        <v>-196520.21420909467</v>
      </c>
      <c r="AI694" s="3">
        <f t="shared" si="551"/>
        <v>-1389.3431889040221</v>
      </c>
      <c r="AJ694" s="3">
        <v>0.17799999999999999</v>
      </c>
      <c r="AK694" s="3">
        <v>0.21199999999999999</v>
      </c>
      <c r="AL694" s="3">
        <f t="shared" si="552"/>
        <v>3.4000000000000002E-2</v>
      </c>
      <c r="AM694" s="3">
        <v>110.19670000000001</v>
      </c>
      <c r="AN694" s="3">
        <v>212.76400000000001</v>
      </c>
      <c r="AO694" s="3">
        <v>226.21170000000001</v>
      </c>
      <c r="AP694" s="3">
        <f t="shared" si="515"/>
        <v>1.1852520666551654</v>
      </c>
      <c r="AQ694" s="3">
        <v>11.162000000000001</v>
      </c>
      <c r="AR694" s="3">
        <v>2.4878</v>
      </c>
      <c r="AS694" s="3">
        <v>-959.76900000000001</v>
      </c>
      <c r="AT694" s="3">
        <v>-958.05</v>
      </c>
      <c r="AU694" s="3">
        <f t="shared" si="554"/>
        <v>-1.7190000000000509</v>
      </c>
      <c r="AV694" s="3">
        <v>-0.317</v>
      </c>
      <c r="AW694" s="3">
        <v>-0.45</v>
      </c>
      <c r="AX694" s="3">
        <f t="shared" si="529"/>
        <v>0.13300000000000001</v>
      </c>
      <c r="AY694" s="3">
        <v>-2.4E-2</v>
      </c>
      <c r="AZ694" s="3">
        <v>0.13500000000000001</v>
      </c>
      <c r="BA694" s="3">
        <f t="shared" si="530"/>
        <v>-0.159</v>
      </c>
      <c r="BB694" s="3">
        <f t="shared" si="555"/>
        <v>0.17050000000000001</v>
      </c>
      <c r="BC694" s="3">
        <f t="shared" si="555"/>
        <v>0.1575</v>
      </c>
      <c r="BD694" s="3">
        <f t="shared" si="531"/>
        <v>1.3000000000000012E-2</v>
      </c>
      <c r="BE694" s="3">
        <f t="shared" si="556"/>
        <v>0.29299999999999998</v>
      </c>
      <c r="BF694" s="3">
        <f t="shared" si="556"/>
        <v>0.58499999999999996</v>
      </c>
      <c r="BG694" s="3">
        <f t="shared" si="532"/>
        <v>-0.29199999999999998</v>
      </c>
      <c r="BH694" s="3">
        <f t="shared" si="557"/>
        <v>-0.17050000000000001</v>
      </c>
      <c r="BI694" s="3">
        <f t="shared" si="557"/>
        <v>-0.1575</v>
      </c>
      <c r="BJ694" s="3">
        <f t="shared" si="524"/>
        <v>-1.3000000000000012E-2</v>
      </c>
      <c r="BK694" s="3">
        <f t="shared" si="521"/>
        <v>4.9607935153583631E-2</v>
      </c>
      <c r="BL694" s="3">
        <f t="shared" si="522"/>
        <v>2.120192307692308E-2</v>
      </c>
      <c r="BM694" s="3">
        <f t="shared" si="533"/>
        <v>2.8406012076660551E-2</v>
      </c>
      <c r="BN694" s="3">
        <v>2.2370000000000001</v>
      </c>
      <c r="BO694" s="3">
        <v>2.431</v>
      </c>
      <c r="BP694" s="3">
        <f t="shared" si="534"/>
        <v>-0.19399999999999995</v>
      </c>
      <c r="BQ694" s="3">
        <v>-602243.07700000005</v>
      </c>
      <c r="BR694" s="3">
        <v>-601163.24300000002</v>
      </c>
      <c r="BS694" s="3">
        <f t="shared" si="535"/>
        <v>-1079.8340000000317</v>
      </c>
      <c r="BT694" s="3">
        <v>-602262.36399999994</v>
      </c>
      <c r="BU694" s="3">
        <v>-601182.38500000001</v>
      </c>
      <c r="BV694" s="3">
        <f t="shared" si="536"/>
        <v>-1079.9789999999339</v>
      </c>
    </row>
    <row r="695" spans="1:74" x14ac:dyDescent="0.25">
      <c r="A695" t="s">
        <v>147</v>
      </c>
      <c r="B695" t="s">
        <v>728</v>
      </c>
      <c r="C695" t="s">
        <v>103</v>
      </c>
      <c r="D695" s="3">
        <v>-7.0000000000000007E-2</v>
      </c>
      <c r="E695" s="3">
        <v>1.03</v>
      </c>
      <c r="F695" s="3">
        <v>-384.58499999999998</v>
      </c>
      <c r="G695" s="3">
        <v>-387.17399999999998</v>
      </c>
      <c r="H695" s="3">
        <f t="shared" si="553"/>
        <v>-2.5889999999999986</v>
      </c>
      <c r="I695" s="3">
        <v>-0.32100000000000001</v>
      </c>
      <c r="J695" s="6">
        <v>-0.23699999999999999</v>
      </c>
      <c r="K695" s="3">
        <f t="shared" si="540"/>
        <v>8.4000000000000019E-2</v>
      </c>
      <c r="L695" s="3">
        <v>0.126</v>
      </c>
      <c r="M695" s="6">
        <v>-1.4999999999999999E-2</v>
      </c>
      <c r="N695" s="3">
        <f t="shared" si="541"/>
        <v>-0.14100000000000001</v>
      </c>
      <c r="O695" s="3">
        <f t="shared" si="528"/>
        <v>9.7500000000000003E-2</v>
      </c>
      <c r="P695" s="3">
        <f t="shared" si="528"/>
        <v>0.126</v>
      </c>
      <c r="Q695" s="3">
        <f t="shared" si="542"/>
        <v>2.8499999999999998E-2</v>
      </c>
      <c r="R695" s="3">
        <f t="shared" si="543"/>
        <v>0.44700000000000001</v>
      </c>
      <c r="S695" s="3">
        <f t="shared" si="544"/>
        <v>0.22199999999999998</v>
      </c>
      <c r="T695" s="3">
        <f t="shared" si="545"/>
        <v>-0.22500000000000003</v>
      </c>
      <c r="U695" s="3">
        <f t="shared" si="546"/>
        <v>-9.7500000000000003E-2</v>
      </c>
      <c r="V695" s="3">
        <f t="shared" si="547"/>
        <v>-0.126</v>
      </c>
      <c r="W695" s="3">
        <f t="shared" si="523"/>
        <v>-2.8499999999999998E-2</v>
      </c>
      <c r="X695" s="3">
        <f t="shared" si="519"/>
        <v>1.0633389261744968E-2</v>
      </c>
      <c r="Y695" s="3">
        <f t="shared" si="520"/>
        <v>3.5756756756756762E-2</v>
      </c>
      <c r="Z695" s="3">
        <f t="shared" si="548"/>
        <v>2.5123367495011796E-2</v>
      </c>
      <c r="AA695" s="3">
        <v>0.36499999999999999</v>
      </c>
      <c r="AB695" s="3">
        <v>0.36099999999999999</v>
      </c>
      <c r="AC695" s="3">
        <f t="shared" si="549"/>
        <v>-4.0000000000000036E-3</v>
      </c>
      <c r="AD695" s="3">
        <f>-384.397093*627.50956</f>
        <v>-241212.85069370904</v>
      </c>
      <c r="AE695" s="3">
        <f>-386.996755*627.50956</f>
        <v>-242844.1634514778</v>
      </c>
      <c r="AF695" s="3">
        <f t="shared" si="550"/>
        <v>-1631.3127577687555</v>
      </c>
      <c r="AG695" s="3">
        <f>-384.437008*627.50956</f>
        <v>-241237.89773779645</v>
      </c>
      <c r="AH695" s="3">
        <f>-387.038046*627.50956</f>
        <v>-242870.07394871974</v>
      </c>
      <c r="AI695" s="3">
        <f t="shared" si="551"/>
        <v>-1632.176210923295</v>
      </c>
      <c r="AJ695" s="3">
        <v>0.188</v>
      </c>
      <c r="AK695" s="3">
        <v>0.216</v>
      </c>
      <c r="AL695" s="3">
        <f t="shared" si="552"/>
        <v>2.7999999999999997E-2</v>
      </c>
      <c r="AM695" s="3">
        <v>130.18600000000001</v>
      </c>
      <c r="AN695" s="3">
        <v>197.4871</v>
      </c>
      <c r="AO695" s="3">
        <v>216.42400000000001</v>
      </c>
      <c r="AP695" s="3">
        <f t="shared" si="515"/>
        <v>1.1330725972753886</v>
      </c>
      <c r="AQ695" s="3">
        <v>9.6739999999999995</v>
      </c>
      <c r="AR695" s="3">
        <v>2.1537000000000002</v>
      </c>
      <c r="AS695" s="3">
        <v>-959.76900000000001</v>
      </c>
      <c r="AT695" s="3">
        <v>-958.05</v>
      </c>
      <c r="AU695" s="3">
        <f t="shared" si="554"/>
        <v>-1.7190000000000509</v>
      </c>
      <c r="AV695" s="3">
        <v>-0.317</v>
      </c>
      <c r="AW695" s="3">
        <v>-0.45</v>
      </c>
      <c r="AX695" s="3">
        <f t="shared" si="529"/>
        <v>0.13300000000000001</v>
      </c>
      <c r="AY695" s="3">
        <v>-2.4E-2</v>
      </c>
      <c r="AZ695" s="3">
        <v>0.13500000000000001</v>
      </c>
      <c r="BA695" s="3">
        <f t="shared" si="530"/>
        <v>-0.159</v>
      </c>
      <c r="BB695" s="3">
        <f t="shared" si="555"/>
        <v>0.17050000000000001</v>
      </c>
      <c r="BC695" s="3">
        <f t="shared" si="555"/>
        <v>0.1575</v>
      </c>
      <c r="BD695" s="3">
        <f t="shared" si="531"/>
        <v>1.3000000000000012E-2</v>
      </c>
      <c r="BE695" s="3">
        <f t="shared" si="556"/>
        <v>0.29299999999999998</v>
      </c>
      <c r="BF695" s="3">
        <f t="shared" si="556"/>
        <v>0.58499999999999996</v>
      </c>
      <c r="BG695" s="3">
        <f t="shared" si="532"/>
        <v>-0.29199999999999998</v>
      </c>
      <c r="BH695" s="3">
        <f t="shared" si="557"/>
        <v>-0.17050000000000001</v>
      </c>
      <c r="BI695" s="3">
        <f t="shared" si="557"/>
        <v>-0.1575</v>
      </c>
      <c r="BJ695" s="3">
        <f t="shared" si="524"/>
        <v>-1.3000000000000012E-2</v>
      </c>
      <c r="BK695" s="3">
        <f t="shared" si="521"/>
        <v>4.9607935153583631E-2</v>
      </c>
      <c r="BL695" s="3">
        <f t="shared" si="522"/>
        <v>2.120192307692308E-2</v>
      </c>
      <c r="BM695" s="3">
        <f t="shared" si="533"/>
        <v>2.8406012076660551E-2</v>
      </c>
      <c r="BN695" s="3">
        <v>2.2370000000000001</v>
      </c>
      <c r="BO695" s="3">
        <v>2.431</v>
      </c>
      <c r="BP695" s="3">
        <f t="shared" si="534"/>
        <v>-0.19399999999999995</v>
      </c>
      <c r="BQ695" s="3">
        <v>-602243.07700000005</v>
      </c>
      <c r="BR695" s="3">
        <v>-601163.24300000002</v>
      </c>
      <c r="BS695" s="3">
        <f t="shared" si="535"/>
        <v>-1079.8340000000317</v>
      </c>
      <c r="BT695" s="3">
        <v>-602262.36399999994</v>
      </c>
      <c r="BU695" s="3">
        <v>-601182.38500000001</v>
      </c>
      <c r="BV695" s="3">
        <f t="shared" si="536"/>
        <v>-1079.9789999999339</v>
      </c>
    </row>
    <row r="696" spans="1:74" x14ac:dyDescent="0.25">
      <c r="A696" t="s">
        <v>148</v>
      </c>
      <c r="B696" t="s">
        <v>728</v>
      </c>
      <c r="C696" t="s">
        <v>103</v>
      </c>
      <c r="D696" s="3">
        <v>0.06</v>
      </c>
      <c r="E696" s="3">
        <v>0.71</v>
      </c>
      <c r="F696" s="3">
        <v>-520.85599999999999</v>
      </c>
      <c r="G696" s="3">
        <v>-523.03</v>
      </c>
      <c r="H696" s="3">
        <f t="shared" si="553"/>
        <v>-2.1739999999999782</v>
      </c>
      <c r="I696" s="3">
        <v>-0.34</v>
      </c>
      <c r="J696" s="6">
        <v>-0.26200000000000001</v>
      </c>
      <c r="K696" s="3">
        <f t="shared" si="540"/>
        <v>7.8000000000000014E-2</v>
      </c>
      <c r="L696" s="3">
        <v>0.107</v>
      </c>
      <c r="M696" s="6">
        <v>-2.9000000000000001E-2</v>
      </c>
      <c r="N696" s="3">
        <f t="shared" si="541"/>
        <v>-0.13600000000000001</v>
      </c>
      <c r="O696" s="3">
        <f t="shared" si="528"/>
        <v>0.11650000000000002</v>
      </c>
      <c r="P696" s="3">
        <f t="shared" si="528"/>
        <v>0.14550000000000002</v>
      </c>
      <c r="Q696" s="3">
        <f t="shared" si="542"/>
        <v>2.8999999999999998E-2</v>
      </c>
      <c r="R696" s="3">
        <f t="shared" si="543"/>
        <v>0.44700000000000001</v>
      </c>
      <c r="S696" s="3">
        <f t="shared" si="544"/>
        <v>0.23300000000000001</v>
      </c>
      <c r="T696" s="3">
        <f t="shared" si="545"/>
        <v>-0.214</v>
      </c>
      <c r="U696" s="3">
        <f t="shared" si="546"/>
        <v>-0.11650000000000002</v>
      </c>
      <c r="V696" s="3">
        <f t="shared" si="547"/>
        <v>-0.14550000000000002</v>
      </c>
      <c r="W696" s="3">
        <f t="shared" si="523"/>
        <v>-2.8999999999999998E-2</v>
      </c>
      <c r="X696" s="3">
        <f t="shared" si="519"/>
        <v>1.5181487695749445E-2</v>
      </c>
      <c r="Y696" s="3">
        <f t="shared" si="520"/>
        <v>4.5429721030042926E-2</v>
      </c>
      <c r="Z696" s="3">
        <f t="shared" si="548"/>
        <v>3.0248233334293481E-2</v>
      </c>
      <c r="AA696" s="3">
        <v>1.016</v>
      </c>
      <c r="AB696" s="3">
        <v>1.036</v>
      </c>
      <c r="AC696" s="3">
        <f t="shared" si="549"/>
        <v>2.0000000000000018E-2</v>
      </c>
      <c r="AD696" s="3">
        <f>-520.727343*627.50956</f>
        <v>-326761.38588589907</v>
      </c>
      <c r="AE696" s="3">
        <f>-522.906741*627.50956</f>
        <v>-328128.97896594397</v>
      </c>
      <c r="AF696" s="3">
        <f t="shared" si="550"/>
        <v>-1367.5930800448987</v>
      </c>
      <c r="AG696" s="3">
        <f>-520.765044*627.50956</f>
        <v>-326785.04362382059</v>
      </c>
      <c r="AH696" s="3">
        <f>-522.946816*627.50956</f>
        <v>-328154.12641156092</v>
      </c>
      <c r="AI696" s="3">
        <f t="shared" si="551"/>
        <v>-1369.0827877403353</v>
      </c>
      <c r="AJ696" s="3">
        <v>-0.217</v>
      </c>
      <c r="AK696" s="3">
        <v>-0.16200000000000001</v>
      </c>
      <c r="AL696" s="3">
        <f t="shared" si="552"/>
        <v>5.4999999999999993E-2</v>
      </c>
      <c r="AM696" s="3">
        <v>108.21299999999999</v>
      </c>
      <c r="AN696" s="3">
        <v>178.95699999999999</v>
      </c>
      <c r="AO696" s="3">
        <v>188.24369999999999</v>
      </c>
      <c r="AP696" s="3">
        <f t="shared" si="515"/>
        <v>1.1268281144429626</v>
      </c>
      <c r="AQ696" s="3">
        <v>8.8629999999999995</v>
      </c>
      <c r="AR696" s="3">
        <v>1.9970000000000001</v>
      </c>
      <c r="AS696" s="3">
        <v>-959.76900000000001</v>
      </c>
      <c r="AT696" s="3">
        <v>-958.05</v>
      </c>
      <c r="AU696" s="3">
        <f t="shared" si="554"/>
        <v>-1.7190000000000509</v>
      </c>
      <c r="AV696" s="3">
        <v>-0.317</v>
      </c>
      <c r="AW696" s="3">
        <v>-0.45</v>
      </c>
      <c r="AX696" s="3">
        <f t="shared" si="529"/>
        <v>0.13300000000000001</v>
      </c>
      <c r="AY696" s="3">
        <v>-2.4E-2</v>
      </c>
      <c r="AZ696" s="3">
        <v>0.13500000000000001</v>
      </c>
      <c r="BA696" s="3">
        <f t="shared" si="530"/>
        <v>-0.159</v>
      </c>
      <c r="BB696" s="3">
        <f t="shared" ref="BB696:BC711" si="558">-(AV696+AY696)/2</f>
        <v>0.17050000000000001</v>
      </c>
      <c r="BC696" s="3">
        <f t="shared" si="558"/>
        <v>0.1575</v>
      </c>
      <c r="BD696" s="3">
        <f t="shared" si="531"/>
        <v>1.3000000000000012E-2</v>
      </c>
      <c r="BE696" s="3">
        <f t="shared" ref="BE696:BF711" si="559">AY696-AV696</f>
        <v>0.29299999999999998</v>
      </c>
      <c r="BF696" s="3">
        <f t="shared" si="559"/>
        <v>0.58499999999999996</v>
      </c>
      <c r="BG696" s="3">
        <f t="shared" si="532"/>
        <v>-0.29199999999999998</v>
      </c>
      <c r="BH696" s="3">
        <f t="shared" ref="BH696:BI711" si="560">(AV696+AY696)/2</f>
        <v>-0.17050000000000001</v>
      </c>
      <c r="BI696" s="3">
        <f t="shared" si="560"/>
        <v>-0.1575</v>
      </c>
      <c r="BJ696" s="3">
        <f t="shared" si="524"/>
        <v>-1.3000000000000012E-2</v>
      </c>
      <c r="BK696" s="3">
        <f t="shared" si="521"/>
        <v>4.9607935153583631E-2</v>
      </c>
      <c r="BL696" s="3">
        <f t="shared" si="522"/>
        <v>2.120192307692308E-2</v>
      </c>
      <c r="BM696" s="3">
        <f t="shared" si="533"/>
        <v>2.8406012076660551E-2</v>
      </c>
      <c r="BN696" s="3">
        <v>2.2370000000000001</v>
      </c>
      <c r="BO696" s="3">
        <v>2.431</v>
      </c>
      <c r="BP696" s="3">
        <f t="shared" si="534"/>
        <v>-0.19399999999999995</v>
      </c>
      <c r="BQ696" s="3">
        <v>-602243.07700000005</v>
      </c>
      <c r="BR696" s="3">
        <v>-601163.24300000002</v>
      </c>
      <c r="BS696" s="3">
        <f t="shared" si="535"/>
        <v>-1079.8340000000317</v>
      </c>
      <c r="BT696" s="3">
        <v>-602262.36399999994</v>
      </c>
      <c r="BU696" s="3">
        <v>-601182.38500000001</v>
      </c>
      <c r="BV696" s="3">
        <f t="shared" si="536"/>
        <v>-1079.9789999999339</v>
      </c>
    </row>
    <row r="697" spans="1:74" x14ac:dyDescent="0.25">
      <c r="A697" t="s">
        <v>149</v>
      </c>
      <c r="B697" t="s">
        <v>728</v>
      </c>
      <c r="C697" t="s">
        <v>103</v>
      </c>
      <c r="D697" s="3">
        <v>0.09</v>
      </c>
      <c r="E697" s="3">
        <v>0.98</v>
      </c>
      <c r="F697" s="3">
        <v>-231.89</v>
      </c>
      <c r="G697" s="3">
        <v>-233.483</v>
      </c>
      <c r="H697" s="3">
        <f t="shared" si="553"/>
        <v>-1.5930000000000177</v>
      </c>
      <c r="I697" s="3">
        <v>-0.33800000000000002</v>
      </c>
      <c r="J697" s="6">
        <v>-0.23699999999999999</v>
      </c>
      <c r="K697" s="3">
        <f t="shared" si="540"/>
        <v>0.10100000000000003</v>
      </c>
      <c r="L697" s="3">
        <v>0.153</v>
      </c>
      <c r="M697" s="6">
        <v>8.0000000000000002E-3</v>
      </c>
      <c r="N697" s="3">
        <f t="shared" si="541"/>
        <v>-0.14499999999999999</v>
      </c>
      <c r="O697" s="3">
        <f t="shared" si="528"/>
        <v>9.2500000000000013E-2</v>
      </c>
      <c r="P697" s="3">
        <f t="shared" si="528"/>
        <v>0.11449999999999999</v>
      </c>
      <c r="Q697" s="3">
        <f t="shared" si="542"/>
        <v>2.1999999999999978E-2</v>
      </c>
      <c r="R697" s="3">
        <f t="shared" si="543"/>
        <v>0.49099999999999999</v>
      </c>
      <c r="S697" s="3">
        <f t="shared" si="544"/>
        <v>0.245</v>
      </c>
      <c r="T697" s="3">
        <f t="shared" si="545"/>
        <v>-0.246</v>
      </c>
      <c r="U697" s="3">
        <f t="shared" si="546"/>
        <v>-9.2500000000000013E-2</v>
      </c>
      <c r="V697" s="3">
        <f t="shared" si="547"/>
        <v>-0.11449999999999999</v>
      </c>
      <c r="W697" s="3">
        <f t="shared" si="523"/>
        <v>-2.1999999999999978E-2</v>
      </c>
      <c r="X697" s="3">
        <f t="shared" si="519"/>
        <v>8.7130855397148706E-3</v>
      </c>
      <c r="Y697" s="3">
        <f t="shared" si="520"/>
        <v>2.6755612244897958E-2</v>
      </c>
      <c r="Z697" s="3">
        <f t="shared" si="548"/>
        <v>1.8042526705183089E-2</v>
      </c>
      <c r="AA697" s="3">
        <v>0</v>
      </c>
      <c r="AB697" s="3">
        <v>0</v>
      </c>
      <c r="AC697" s="3">
        <f t="shared" si="549"/>
        <v>0</v>
      </c>
      <c r="AD697" s="3">
        <f>-231.754352*627.50956</f>
        <v>-145428.07145160512</v>
      </c>
      <c r="AE697" s="3">
        <f>-233.355385*627.50956</f>
        <v>-146432.7349649806</v>
      </c>
      <c r="AF697" s="3">
        <f t="shared" si="550"/>
        <v>-1004.6635133754753</v>
      </c>
      <c r="AG697" s="3">
        <f>-231.788541*627.50956</f>
        <v>-145449.52537595195</v>
      </c>
      <c r="AH697" s="3">
        <f>-233.390167*627.50956</f>
        <v>-146454.56100249651</v>
      </c>
      <c r="AI697" s="3">
        <f t="shared" si="551"/>
        <v>-1005.0356265445589</v>
      </c>
      <c r="AJ697" s="3">
        <v>0.183</v>
      </c>
      <c r="AK697" s="3">
        <v>0.21199999999999999</v>
      </c>
      <c r="AL697" s="3">
        <f t="shared" si="552"/>
        <v>2.8999999999999998E-2</v>
      </c>
      <c r="AM697" s="3">
        <v>80.127700000000004</v>
      </c>
      <c r="AN697" s="3">
        <v>149.09800000000001</v>
      </c>
      <c r="AO697" s="3">
        <v>150.798</v>
      </c>
      <c r="AP697" s="3">
        <f t="shared" ref="AP697:AP753" si="561">(AN697/(4*3.14*POWER(((3*AO697)/(4*3.14)),2/3)))</f>
        <v>1.0884221729885624</v>
      </c>
      <c r="AQ697" s="3">
        <v>7.4139999999999997</v>
      </c>
      <c r="AR697" s="3">
        <v>1.573</v>
      </c>
      <c r="AS697" s="3">
        <v>-959.76900000000001</v>
      </c>
      <c r="AT697" s="3">
        <v>-958.05</v>
      </c>
      <c r="AU697" s="3">
        <f t="shared" si="554"/>
        <v>-1.7190000000000509</v>
      </c>
      <c r="AV697" s="3">
        <v>-0.317</v>
      </c>
      <c r="AW697" s="3">
        <v>-0.45</v>
      </c>
      <c r="AX697" s="3">
        <f t="shared" si="529"/>
        <v>0.13300000000000001</v>
      </c>
      <c r="AY697" s="3">
        <v>-2.4E-2</v>
      </c>
      <c r="AZ697" s="3">
        <v>0.13500000000000001</v>
      </c>
      <c r="BA697" s="3">
        <f t="shared" si="530"/>
        <v>-0.159</v>
      </c>
      <c r="BB697" s="3">
        <f t="shared" si="558"/>
        <v>0.17050000000000001</v>
      </c>
      <c r="BC697" s="3">
        <f t="shared" si="558"/>
        <v>0.1575</v>
      </c>
      <c r="BD697" s="3">
        <f t="shared" si="531"/>
        <v>1.3000000000000012E-2</v>
      </c>
      <c r="BE697" s="3">
        <f t="shared" si="559"/>
        <v>0.29299999999999998</v>
      </c>
      <c r="BF697" s="3">
        <f t="shared" si="559"/>
        <v>0.58499999999999996</v>
      </c>
      <c r="BG697" s="3">
        <f t="shared" si="532"/>
        <v>-0.29199999999999998</v>
      </c>
      <c r="BH697" s="3">
        <f t="shared" si="560"/>
        <v>-0.17050000000000001</v>
      </c>
      <c r="BI697" s="3">
        <f t="shared" si="560"/>
        <v>-0.1575</v>
      </c>
      <c r="BJ697" s="3">
        <f t="shared" si="524"/>
        <v>-1.3000000000000012E-2</v>
      </c>
      <c r="BK697" s="3">
        <f t="shared" si="521"/>
        <v>4.9607935153583631E-2</v>
      </c>
      <c r="BL697" s="3">
        <f t="shared" si="522"/>
        <v>2.120192307692308E-2</v>
      </c>
      <c r="BM697" s="3">
        <f t="shared" si="533"/>
        <v>2.8406012076660551E-2</v>
      </c>
      <c r="BN697" s="3">
        <v>2.2370000000000001</v>
      </c>
      <c r="BO697" s="3">
        <v>2.431</v>
      </c>
      <c r="BP697" s="3">
        <f t="shared" si="534"/>
        <v>-0.19399999999999995</v>
      </c>
      <c r="BQ697" s="3">
        <v>-602243.07700000005</v>
      </c>
      <c r="BR697" s="3">
        <v>-601163.24300000002</v>
      </c>
      <c r="BS697" s="3">
        <f t="shared" si="535"/>
        <v>-1079.8340000000317</v>
      </c>
      <c r="BT697" s="3">
        <v>-602262.36399999994</v>
      </c>
      <c r="BU697" s="3">
        <v>-601182.38500000001</v>
      </c>
      <c r="BV697" s="3">
        <f t="shared" si="536"/>
        <v>-1079.9789999999339</v>
      </c>
    </row>
    <row r="698" spans="1:74" x14ac:dyDescent="0.25">
      <c r="A698" t="s">
        <v>150</v>
      </c>
      <c r="B698" t="s">
        <v>728</v>
      </c>
      <c r="C698" t="s">
        <v>103</v>
      </c>
      <c r="D698" s="3">
        <v>0.19</v>
      </c>
      <c r="E698" s="3">
        <v>0.73</v>
      </c>
      <c r="F698" s="3">
        <v>-525.52700000000004</v>
      </c>
      <c r="G698" s="3">
        <v>-527.87199999999996</v>
      </c>
      <c r="H698" s="3">
        <f t="shared" si="553"/>
        <v>-2.3449999999999136</v>
      </c>
      <c r="I698" s="3">
        <v>-0.41099999999999998</v>
      </c>
      <c r="J698" s="6">
        <v>-0.29299999999999998</v>
      </c>
      <c r="K698" s="3">
        <f t="shared" si="540"/>
        <v>0.11799999999999999</v>
      </c>
      <c r="L698" s="3">
        <v>0.13800000000000001</v>
      </c>
      <c r="M698" s="6">
        <v>2.5999999999999999E-2</v>
      </c>
      <c r="N698" s="3">
        <f t="shared" si="541"/>
        <v>-0.11200000000000002</v>
      </c>
      <c r="O698" s="3">
        <f t="shared" si="528"/>
        <v>0.13649999999999998</v>
      </c>
      <c r="P698" s="3">
        <f t="shared" si="528"/>
        <v>0.13349999999999998</v>
      </c>
      <c r="Q698" s="3">
        <f t="shared" si="542"/>
        <v>-3.0000000000000027E-3</v>
      </c>
      <c r="R698" s="3">
        <f t="shared" si="543"/>
        <v>0.54899999999999993</v>
      </c>
      <c r="S698" s="3">
        <f t="shared" si="544"/>
        <v>0.31900000000000001</v>
      </c>
      <c r="T698" s="3">
        <f t="shared" si="545"/>
        <v>-0.22999999999999993</v>
      </c>
      <c r="U698" s="3">
        <f t="shared" si="546"/>
        <v>-0.13649999999999998</v>
      </c>
      <c r="V698" s="3">
        <f t="shared" si="547"/>
        <v>-0.13349999999999998</v>
      </c>
      <c r="W698" s="3">
        <f t="shared" si="523"/>
        <v>3.0000000000000027E-3</v>
      </c>
      <c r="X698" s="3">
        <f t="shared" si="519"/>
        <v>1.6969262295081965E-2</v>
      </c>
      <c r="Y698" s="3">
        <f t="shared" si="520"/>
        <v>2.7934561128526637E-2</v>
      </c>
      <c r="Z698" s="3">
        <f t="shared" si="548"/>
        <v>1.0965298833444673E-2</v>
      </c>
      <c r="AA698" s="3">
        <v>0.98599999999999999</v>
      </c>
      <c r="AB698" s="3">
        <v>1.079</v>
      </c>
      <c r="AC698" s="3">
        <f t="shared" si="549"/>
        <v>9.2999999999999972E-2</v>
      </c>
      <c r="AD698" s="3">
        <f>-525.301045*627.50956</f>
        <v>-329631.42761549022</v>
      </c>
      <c r="AE698" s="3">
        <f>-527.657339*627.50956</f>
        <v>-331110.0246266608</v>
      </c>
      <c r="AF698" s="3">
        <f t="shared" si="550"/>
        <v>-1478.5970111705828</v>
      </c>
      <c r="AG698" s="3">
        <f>-525.348382*627.50956</f>
        <v>-329661.13203553192</v>
      </c>
      <c r="AH698" s="3">
        <f>-527.705734*627.50956</f>
        <v>-331140.39295181702</v>
      </c>
      <c r="AI698" s="3">
        <f t="shared" si="551"/>
        <v>-1479.2609162851004</v>
      </c>
      <c r="AJ698" s="3">
        <v>-0.22800000000000001</v>
      </c>
      <c r="AK698" s="3">
        <v>-0.17299999999999999</v>
      </c>
      <c r="AL698" s="3">
        <f t="shared" si="552"/>
        <v>5.5000000000000021E-2</v>
      </c>
      <c r="AM698" s="3">
        <v>116.27670000000001</v>
      </c>
      <c r="AN698" s="3">
        <v>225.417</v>
      </c>
      <c r="AO698" s="3">
        <v>245.39400000000001</v>
      </c>
      <c r="AP698" s="3">
        <f t="shared" si="561"/>
        <v>1.1894147578717902</v>
      </c>
      <c r="AQ698" s="3">
        <v>12.497999999999999</v>
      </c>
      <c r="AR698" s="3">
        <v>2.9615999999999998</v>
      </c>
      <c r="AS698" s="3">
        <v>-959.76900000000001</v>
      </c>
      <c r="AT698" s="3">
        <v>-958.05</v>
      </c>
      <c r="AU698" s="3">
        <f t="shared" si="554"/>
        <v>-1.7190000000000509</v>
      </c>
      <c r="AV698" s="3">
        <v>-0.317</v>
      </c>
      <c r="AW698" s="3">
        <v>-0.45</v>
      </c>
      <c r="AX698" s="3">
        <f t="shared" si="529"/>
        <v>0.13300000000000001</v>
      </c>
      <c r="AY698" s="3">
        <v>-2.4E-2</v>
      </c>
      <c r="AZ698" s="3">
        <v>0.13500000000000001</v>
      </c>
      <c r="BA698" s="3">
        <f t="shared" si="530"/>
        <v>-0.159</v>
      </c>
      <c r="BB698" s="3">
        <f t="shared" si="558"/>
        <v>0.17050000000000001</v>
      </c>
      <c r="BC698" s="3">
        <f t="shared" si="558"/>
        <v>0.1575</v>
      </c>
      <c r="BD698" s="3">
        <f t="shared" si="531"/>
        <v>1.3000000000000012E-2</v>
      </c>
      <c r="BE698" s="3">
        <f t="shared" si="559"/>
        <v>0.29299999999999998</v>
      </c>
      <c r="BF698" s="3">
        <f t="shared" si="559"/>
        <v>0.58499999999999996</v>
      </c>
      <c r="BG698" s="3">
        <f t="shared" si="532"/>
        <v>-0.29199999999999998</v>
      </c>
      <c r="BH698" s="3">
        <f t="shared" si="560"/>
        <v>-0.17050000000000001</v>
      </c>
      <c r="BI698" s="3">
        <f t="shared" si="560"/>
        <v>-0.1575</v>
      </c>
      <c r="BJ698" s="3">
        <f t="shared" si="524"/>
        <v>-1.3000000000000012E-2</v>
      </c>
      <c r="BK698" s="3">
        <f t="shared" si="521"/>
        <v>4.9607935153583631E-2</v>
      </c>
      <c r="BL698" s="3">
        <f t="shared" si="522"/>
        <v>2.120192307692308E-2</v>
      </c>
      <c r="BM698" s="3">
        <f t="shared" si="533"/>
        <v>2.8406012076660551E-2</v>
      </c>
      <c r="BN698" s="3">
        <v>2.2370000000000001</v>
      </c>
      <c r="BO698" s="3">
        <v>2.431</v>
      </c>
      <c r="BP698" s="3">
        <f t="shared" si="534"/>
        <v>-0.19399999999999995</v>
      </c>
      <c r="BQ698" s="3">
        <v>-602243.07700000005</v>
      </c>
      <c r="BR698" s="3">
        <v>-601163.24300000002</v>
      </c>
      <c r="BS698" s="3">
        <f t="shared" si="535"/>
        <v>-1079.8340000000317</v>
      </c>
      <c r="BT698" s="3">
        <v>-602262.36399999994</v>
      </c>
      <c r="BU698" s="3">
        <v>-601182.38500000001</v>
      </c>
      <c r="BV698" s="3">
        <f t="shared" si="536"/>
        <v>-1079.9789999999339</v>
      </c>
    </row>
    <row r="699" spans="1:74" x14ac:dyDescent="0.25">
      <c r="A699" t="s">
        <v>151</v>
      </c>
      <c r="B699" t="s">
        <v>728</v>
      </c>
      <c r="C699" t="s">
        <v>99</v>
      </c>
      <c r="D699" s="3">
        <v>0.35</v>
      </c>
      <c r="E699" s="3">
        <v>0.98</v>
      </c>
      <c r="F699" s="3">
        <v>-231.89</v>
      </c>
      <c r="G699" s="3">
        <v>-233.483</v>
      </c>
      <c r="H699" s="3">
        <f t="shared" si="553"/>
        <v>-1.5930000000000177</v>
      </c>
      <c r="I699" s="3">
        <v>-0.33800000000000002</v>
      </c>
      <c r="J699" s="6">
        <v>-0.23699999999999999</v>
      </c>
      <c r="K699" s="3">
        <f t="shared" si="540"/>
        <v>0.10100000000000003</v>
      </c>
      <c r="L699" s="3">
        <v>0.153</v>
      </c>
      <c r="M699" s="6">
        <v>8.0000000000000002E-3</v>
      </c>
      <c r="N699" s="3">
        <f t="shared" si="541"/>
        <v>-0.14499999999999999</v>
      </c>
      <c r="O699" s="3">
        <f t="shared" si="528"/>
        <v>9.2500000000000013E-2</v>
      </c>
      <c r="P699" s="3">
        <f t="shared" si="528"/>
        <v>0.11449999999999999</v>
      </c>
      <c r="Q699" s="3">
        <f t="shared" si="542"/>
        <v>2.1999999999999978E-2</v>
      </c>
      <c r="R699" s="3">
        <f t="shared" si="543"/>
        <v>0.49099999999999999</v>
      </c>
      <c r="S699" s="3">
        <f t="shared" si="544"/>
        <v>0.245</v>
      </c>
      <c r="T699" s="3">
        <f t="shared" si="545"/>
        <v>-0.246</v>
      </c>
      <c r="U699" s="3">
        <f t="shared" si="546"/>
        <v>-9.2500000000000013E-2</v>
      </c>
      <c r="V699" s="3">
        <f t="shared" si="547"/>
        <v>-0.11449999999999999</v>
      </c>
      <c r="W699" s="3">
        <f t="shared" si="523"/>
        <v>-2.1999999999999978E-2</v>
      </c>
      <c r="X699" s="3">
        <f t="shared" si="519"/>
        <v>8.7130855397148706E-3</v>
      </c>
      <c r="Y699" s="3">
        <f t="shared" si="520"/>
        <v>2.6755612244897958E-2</v>
      </c>
      <c r="Z699" s="3">
        <f t="shared" si="548"/>
        <v>1.8042526705183089E-2</v>
      </c>
      <c r="AA699" s="3">
        <v>0</v>
      </c>
      <c r="AB699" s="3">
        <v>0</v>
      </c>
      <c r="AC699" s="3">
        <f t="shared" si="549"/>
        <v>0</v>
      </c>
      <c r="AD699" s="3">
        <f>-231.754352*627.50956</f>
        <v>-145428.07145160512</v>
      </c>
      <c r="AE699" s="3">
        <f>-233.355385*627.50956</f>
        <v>-146432.7349649806</v>
      </c>
      <c r="AF699" s="3">
        <f t="shared" si="550"/>
        <v>-1004.6635133754753</v>
      </c>
      <c r="AG699" s="3">
        <f>-231.788541*627.50956</f>
        <v>-145449.52537595195</v>
      </c>
      <c r="AH699" s="3">
        <f>-233.390167*627.50956</f>
        <v>-146454.56100249651</v>
      </c>
      <c r="AI699" s="3">
        <f t="shared" si="551"/>
        <v>-1005.0356265445589</v>
      </c>
      <c r="AJ699" s="3">
        <v>0.183</v>
      </c>
      <c r="AK699" s="3">
        <v>0.21199999999999999</v>
      </c>
      <c r="AL699" s="3">
        <f t="shared" si="552"/>
        <v>2.8999999999999998E-2</v>
      </c>
      <c r="AM699" s="3">
        <v>80.127700000000004</v>
      </c>
      <c r="AN699" s="3">
        <v>149.09800000000001</v>
      </c>
      <c r="AO699" s="3">
        <v>150.798</v>
      </c>
      <c r="AP699" s="3">
        <f t="shared" si="561"/>
        <v>1.0884221729885624</v>
      </c>
      <c r="AQ699" s="3">
        <v>7.4139999999999997</v>
      </c>
      <c r="AR699" s="3">
        <v>1.5731999999999999</v>
      </c>
      <c r="AS699" s="3">
        <v>-132.80099999999999</v>
      </c>
      <c r="AT699" s="3">
        <v>-131.97</v>
      </c>
      <c r="AU699" s="3">
        <f t="shared" si="554"/>
        <v>-0.83099999999998886</v>
      </c>
      <c r="AV699" s="3">
        <v>-0.34100000000000003</v>
      </c>
      <c r="AW699" s="3">
        <v>-0.47499999999999998</v>
      </c>
      <c r="AX699" s="3">
        <f t="shared" si="529"/>
        <v>0.13399999999999995</v>
      </c>
      <c r="AY699" s="3">
        <v>2.9000000000000001E-2</v>
      </c>
      <c r="AZ699" s="3">
        <v>0.156</v>
      </c>
      <c r="BA699" s="3">
        <f t="shared" si="530"/>
        <v>-0.127</v>
      </c>
      <c r="BB699" s="3">
        <f t="shared" si="558"/>
        <v>0.156</v>
      </c>
      <c r="BC699" s="3">
        <f t="shared" si="558"/>
        <v>0.15949999999999998</v>
      </c>
      <c r="BD699" s="3">
        <f t="shared" si="531"/>
        <v>-3.4999999999999754E-3</v>
      </c>
      <c r="BE699" s="3">
        <f t="shared" si="559"/>
        <v>0.37000000000000005</v>
      </c>
      <c r="BF699" s="3">
        <f t="shared" si="559"/>
        <v>0.63100000000000001</v>
      </c>
      <c r="BG699" s="3">
        <f t="shared" si="532"/>
        <v>-0.26099999999999995</v>
      </c>
      <c r="BH699" s="3">
        <f t="shared" si="560"/>
        <v>-0.156</v>
      </c>
      <c r="BI699" s="3">
        <f t="shared" si="560"/>
        <v>-0.15949999999999998</v>
      </c>
      <c r="BJ699" s="3">
        <f t="shared" si="524"/>
        <v>3.4999999999999754E-3</v>
      </c>
      <c r="BK699" s="3">
        <f t="shared" si="521"/>
        <v>3.2886486486486483E-2</v>
      </c>
      <c r="BL699" s="3">
        <f t="shared" si="522"/>
        <v>2.0158676703645E-2</v>
      </c>
      <c r="BM699" s="3">
        <f t="shared" si="533"/>
        <v>1.2727809782841482E-2</v>
      </c>
      <c r="BN699" s="3">
        <v>4.7279999999999998</v>
      </c>
      <c r="BO699" s="3">
        <v>4.9340000000000002</v>
      </c>
      <c r="BP699" s="3">
        <f t="shared" si="534"/>
        <v>-0.20600000000000041</v>
      </c>
      <c r="BQ699" s="3">
        <v>-83302.89</v>
      </c>
      <c r="BR699" s="3">
        <v>-82779.224000000002</v>
      </c>
      <c r="BS699" s="3">
        <f t="shared" si="535"/>
        <v>-523.66599999999744</v>
      </c>
      <c r="BT699" s="3">
        <v>-83320.774999999994</v>
      </c>
      <c r="BU699" s="3">
        <v>-82796.997000000003</v>
      </c>
      <c r="BV699" s="3">
        <f t="shared" si="536"/>
        <v>-523.77799999999115</v>
      </c>
    </row>
    <row r="700" spans="1:74" x14ac:dyDescent="0.25">
      <c r="A700" t="s">
        <v>152</v>
      </c>
      <c r="B700" t="s">
        <v>728</v>
      </c>
      <c r="C700" t="s">
        <v>103</v>
      </c>
      <c r="D700" s="3">
        <v>0.52</v>
      </c>
      <c r="E700" s="3">
        <v>0.97</v>
      </c>
      <c r="F700" s="3">
        <v>-269.74700000000001</v>
      </c>
      <c r="G700" s="3">
        <v>-271.584</v>
      </c>
      <c r="H700" s="3">
        <f t="shared" si="553"/>
        <v>-1.8369999999999891</v>
      </c>
      <c r="I700" s="3">
        <v>-0.31</v>
      </c>
      <c r="J700" s="6">
        <v>-0.22600000000000001</v>
      </c>
      <c r="K700" s="3">
        <f t="shared" si="540"/>
        <v>8.3999999999999991E-2</v>
      </c>
      <c r="L700" s="3">
        <v>0.108</v>
      </c>
      <c r="M700" s="6">
        <v>-4.2999999999999997E-2</v>
      </c>
      <c r="N700" s="3">
        <f t="shared" si="541"/>
        <v>-0.151</v>
      </c>
      <c r="O700" s="3">
        <f t="shared" si="528"/>
        <v>0.10100000000000001</v>
      </c>
      <c r="P700" s="3">
        <f t="shared" si="528"/>
        <v>0.13450000000000001</v>
      </c>
      <c r="Q700" s="3">
        <f t="shared" si="542"/>
        <v>3.3500000000000002E-2</v>
      </c>
      <c r="R700" s="3">
        <f t="shared" si="543"/>
        <v>0.41799999999999998</v>
      </c>
      <c r="S700" s="3">
        <f t="shared" si="544"/>
        <v>0.183</v>
      </c>
      <c r="T700" s="3">
        <f t="shared" si="545"/>
        <v>-0.23499999999999999</v>
      </c>
      <c r="U700" s="3">
        <f t="shared" si="546"/>
        <v>-0.10100000000000001</v>
      </c>
      <c r="V700" s="3">
        <f t="shared" si="547"/>
        <v>-0.13450000000000001</v>
      </c>
      <c r="W700" s="3">
        <f t="shared" si="523"/>
        <v>-3.3500000000000002E-2</v>
      </c>
      <c r="X700" s="3">
        <f t="shared" si="519"/>
        <v>1.220215311004785E-2</v>
      </c>
      <c r="Y700" s="3">
        <f t="shared" si="520"/>
        <v>4.9426912568306017E-2</v>
      </c>
      <c r="Z700" s="3">
        <f t="shared" si="548"/>
        <v>3.7224759458258164E-2</v>
      </c>
      <c r="AA700" s="3">
        <v>0.46400000000000002</v>
      </c>
      <c r="AB700" s="3">
        <v>0.41899999999999998</v>
      </c>
      <c r="AC700" s="3">
        <f t="shared" si="549"/>
        <v>-4.500000000000004E-2</v>
      </c>
      <c r="AD700" s="3">
        <f>-269.604106*627.50956</f>
        <v>-169179.15393025335</v>
      </c>
      <c r="AE700" s="3">
        <f>-271.449435*627.50956</f>
        <v>-170337.11551909859</v>
      </c>
      <c r="AF700" s="3">
        <f t="shared" si="550"/>
        <v>-1157.961588845239</v>
      </c>
      <c r="AG700" s="3">
        <f>-269.639454*627.50956</f>
        <v>-169201.33513818023</v>
      </c>
      <c r="AH700" s="3">
        <f>-271.485284*627.50956</f>
        <v>-170359.61110931501</v>
      </c>
      <c r="AI700" s="3">
        <f t="shared" si="551"/>
        <v>-1158.2759711347753</v>
      </c>
      <c r="AJ700" s="3">
        <v>0.186</v>
      </c>
      <c r="AK700" s="3">
        <v>0.21199999999999999</v>
      </c>
      <c r="AL700" s="3">
        <f t="shared" si="552"/>
        <v>2.5999999999999995E-2</v>
      </c>
      <c r="AM700" s="3">
        <v>92.138000000000005</v>
      </c>
      <c r="AN700" s="3">
        <v>159.137</v>
      </c>
      <c r="AO700" s="3">
        <v>164.965</v>
      </c>
      <c r="AP700" s="3">
        <f t="shared" si="561"/>
        <v>1.0942063801686963</v>
      </c>
      <c r="AQ700" s="3">
        <v>7.5960000000000001</v>
      </c>
      <c r="AR700" s="3">
        <v>1.6895</v>
      </c>
      <c r="AS700" s="3">
        <v>-959.76900000000001</v>
      </c>
      <c r="AT700" s="3">
        <v>-958.05</v>
      </c>
      <c r="AU700" s="3">
        <f t="shared" si="554"/>
        <v>-1.7190000000000509</v>
      </c>
      <c r="AV700" s="3">
        <v>-0.317</v>
      </c>
      <c r="AW700" s="3">
        <v>-0.45</v>
      </c>
      <c r="AX700" s="3">
        <f t="shared" si="529"/>
        <v>0.13300000000000001</v>
      </c>
      <c r="AY700" s="3">
        <v>-2.4E-2</v>
      </c>
      <c r="AZ700" s="3">
        <v>0.13500000000000001</v>
      </c>
      <c r="BA700" s="3">
        <f t="shared" si="530"/>
        <v>-0.159</v>
      </c>
      <c r="BB700" s="3">
        <f t="shared" si="558"/>
        <v>0.17050000000000001</v>
      </c>
      <c r="BC700" s="3">
        <f t="shared" si="558"/>
        <v>0.1575</v>
      </c>
      <c r="BD700" s="3">
        <f t="shared" si="531"/>
        <v>1.3000000000000012E-2</v>
      </c>
      <c r="BE700" s="3">
        <f t="shared" si="559"/>
        <v>0.29299999999999998</v>
      </c>
      <c r="BF700" s="3">
        <f t="shared" si="559"/>
        <v>0.58499999999999996</v>
      </c>
      <c r="BG700" s="3">
        <f t="shared" si="532"/>
        <v>-0.29199999999999998</v>
      </c>
      <c r="BH700" s="3">
        <f t="shared" si="560"/>
        <v>-0.17050000000000001</v>
      </c>
      <c r="BI700" s="3">
        <f t="shared" si="560"/>
        <v>-0.1575</v>
      </c>
      <c r="BJ700" s="3">
        <f t="shared" si="524"/>
        <v>-1.3000000000000012E-2</v>
      </c>
      <c r="BK700" s="3">
        <f t="shared" si="521"/>
        <v>4.9607935153583631E-2</v>
      </c>
      <c r="BL700" s="3">
        <f t="shared" si="522"/>
        <v>2.120192307692308E-2</v>
      </c>
      <c r="BM700" s="3">
        <f t="shared" si="533"/>
        <v>2.8406012076660551E-2</v>
      </c>
      <c r="BN700" s="3">
        <v>2.2370000000000001</v>
      </c>
      <c r="BO700" s="3">
        <v>2.431</v>
      </c>
      <c r="BP700" s="3">
        <f t="shared" si="534"/>
        <v>-0.19399999999999995</v>
      </c>
      <c r="BQ700" s="3">
        <v>-602243.07700000005</v>
      </c>
      <c r="BR700" s="3">
        <v>-601163.24300000002</v>
      </c>
      <c r="BS700" s="3">
        <f t="shared" si="535"/>
        <v>-1079.8340000000317</v>
      </c>
      <c r="BT700" s="3">
        <v>-602262.36399999994</v>
      </c>
      <c r="BU700" s="3">
        <v>-601182.38500000001</v>
      </c>
      <c r="BV700" s="3">
        <f t="shared" si="536"/>
        <v>-1079.9789999999339</v>
      </c>
    </row>
    <row r="701" spans="1:74" x14ac:dyDescent="0.25">
      <c r="A701" t="s">
        <v>153</v>
      </c>
      <c r="B701" t="s">
        <v>728</v>
      </c>
      <c r="C701" t="s">
        <v>99</v>
      </c>
      <c r="D701" s="3">
        <v>0.55000000000000004</v>
      </c>
      <c r="E701" s="3">
        <v>0.97</v>
      </c>
      <c r="F701" s="3">
        <v>-269.74700000000001</v>
      </c>
      <c r="G701" s="3">
        <v>-271.584</v>
      </c>
      <c r="H701" s="3">
        <f t="shared" si="553"/>
        <v>-1.8369999999999891</v>
      </c>
      <c r="I701" s="3">
        <v>-0.311</v>
      </c>
      <c r="J701" s="6">
        <v>-0.22700000000000001</v>
      </c>
      <c r="K701" s="3">
        <f t="shared" si="540"/>
        <v>8.3999999999999991E-2</v>
      </c>
      <c r="L701" s="3">
        <v>0.107</v>
      </c>
      <c r="M701" s="6">
        <v>-4.3999999999999997E-2</v>
      </c>
      <c r="N701" s="3">
        <f t="shared" si="541"/>
        <v>-0.151</v>
      </c>
      <c r="O701" s="3">
        <f t="shared" si="528"/>
        <v>0.10200000000000001</v>
      </c>
      <c r="P701" s="3">
        <f t="shared" si="528"/>
        <v>0.13550000000000001</v>
      </c>
      <c r="Q701" s="3">
        <f t="shared" si="542"/>
        <v>3.3500000000000002E-2</v>
      </c>
      <c r="R701" s="3">
        <f t="shared" si="543"/>
        <v>0.41799999999999998</v>
      </c>
      <c r="S701" s="3">
        <f t="shared" si="544"/>
        <v>0.183</v>
      </c>
      <c r="T701" s="3">
        <f t="shared" si="545"/>
        <v>-0.23499999999999999</v>
      </c>
      <c r="U701" s="3">
        <f t="shared" si="546"/>
        <v>-0.10200000000000001</v>
      </c>
      <c r="V701" s="3">
        <f t="shared" si="547"/>
        <v>-0.13550000000000001</v>
      </c>
      <c r="W701" s="3">
        <f t="shared" si="523"/>
        <v>-3.3500000000000002E-2</v>
      </c>
      <c r="X701" s="3">
        <f t="shared" si="519"/>
        <v>1.2444976076555026E-2</v>
      </c>
      <c r="Y701" s="3">
        <f t="shared" si="520"/>
        <v>5.0164617486338804E-2</v>
      </c>
      <c r="Z701" s="3">
        <f t="shared" si="548"/>
        <v>3.7719641409783775E-2</v>
      </c>
      <c r="AA701" s="3">
        <v>0.49199999999999999</v>
      </c>
      <c r="AB701" s="3">
        <v>0.44</v>
      </c>
      <c r="AC701" s="3">
        <f t="shared" si="549"/>
        <v>-5.1999999999999991E-2</v>
      </c>
      <c r="AD701" s="3">
        <f>-269.604648*627.50956</f>
        <v>-169179.49404043486</v>
      </c>
      <c r="AE701" s="3">
        <f>-271.449874*627.50956</f>
        <v>-170337.39099579543</v>
      </c>
      <c r="AF701" s="3">
        <f t="shared" si="550"/>
        <v>-1157.8969553605712</v>
      </c>
      <c r="AG701" s="3">
        <f>-269.639996*627.50956</f>
        <v>-169201.67524836175</v>
      </c>
      <c r="AH701" s="3">
        <f>-271.485721*627.50956</f>
        <v>-170359.88533099275</v>
      </c>
      <c r="AI701" s="3">
        <f t="shared" si="551"/>
        <v>-1158.2100826310052</v>
      </c>
      <c r="AJ701" s="3">
        <v>0.187</v>
      </c>
      <c r="AK701" s="3">
        <v>0.21299999999999999</v>
      </c>
      <c r="AL701" s="3">
        <f t="shared" si="552"/>
        <v>2.5999999999999995E-2</v>
      </c>
      <c r="AM701" s="3">
        <v>92.138400000000004</v>
      </c>
      <c r="AN701" s="3">
        <v>159.15049999999999</v>
      </c>
      <c r="AO701" s="3">
        <v>164.98869999999999</v>
      </c>
      <c r="AP701" s="3">
        <f t="shared" si="561"/>
        <v>1.094194407378406</v>
      </c>
      <c r="AQ701" s="3">
        <v>7.5970000000000004</v>
      </c>
      <c r="AR701" s="3">
        <v>1.6898</v>
      </c>
      <c r="AS701" s="3">
        <v>-132.80099999999999</v>
      </c>
      <c r="AT701" s="3">
        <v>-131.97</v>
      </c>
      <c r="AU701" s="3">
        <f t="shared" si="554"/>
        <v>-0.83099999999998886</v>
      </c>
      <c r="AV701" s="3">
        <v>-0.34100000000000003</v>
      </c>
      <c r="AW701" s="3">
        <v>-0.47499999999999998</v>
      </c>
      <c r="AX701" s="3">
        <f t="shared" si="529"/>
        <v>0.13399999999999995</v>
      </c>
      <c r="AY701" s="3">
        <v>2.9000000000000001E-2</v>
      </c>
      <c r="AZ701" s="3">
        <v>0.156</v>
      </c>
      <c r="BA701" s="3">
        <f t="shared" si="530"/>
        <v>-0.127</v>
      </c>
      <c r="BB701" s="3">
        <f t="shared" si="558"/>
        <v>0.156</v>
      </c>
      <c r="BC701" s="3">
        <f t="shared" si="558"/>
        <v>0.15949999999999998</v>
      </c>
      <c r="BD701" s="3">
        <f t="shared" si="531"/>
        <v>-3.4999999999999754E-3</v>
      </c>
      <c r="BE701" s="3">
        <f t="shared" si="559"/>
        <v>0.37000000000000005</v>
      </c>
      <c r="BF701" s="3">
        <f t="shared" si="559"/>
        <v>0.63100000000000001</v>
      </c>
      <c r="BG701" s="3">
        <f t="shared" si="532"/>
        <v>-0.26099999999999995</v>
      </c>
      <c r="BH701" s="3">
        <f t="shared" si="560"/>
        <v>-0.156</v>
      </c>
      <c r="BI701" s="3">
        <f t="shared" si="560"/>
        <v>-0.15949999999999998</v>
      </c>
      <c r="BJ701" s="3">
        <f t="shared" si="524"/>
        <v>3.4999999999999754E-3</v>
      </c>
      <c r="BK701" s="3">
        <f t="shared" si="521"/>
        <v>3.2886486486486483E-2</v>
      </c>
      <c r="BL701" s="3">
        <f t="shared" si="522"/>
        <v>2.0158676703645E-2</v>
      </c>
      <c r="BM701" s="3">
        <f t="shared" si="533"/>
        <v>1.2727809782841482E-2</v>
      </c>
      <c r="BN701" s="3">
        <v>4.7279999999999998</v>
      </c>
      <c r="BO701" s="3">
        <v>4.9340000000000002</v>
      </c>
      <c r="BP701" s="3">
        <f t="shared" si="534"/>
        <v>-0.20600000000000041</v>
      </c>
      <c r="BQ701" s="3">
        <v>-83302.89</v>
      </c>
      <c r="BR701" s="3">
        <v>-82779.224000000002</v>
      </c>
      <c r="BS701" s="3">
        <f t="shared" si="535"/>
        <v>-523.66599999999744</v>
      </c>
      <c r="BT701" s="3">
        <v>-83320.774999999994</v>
      </c>
      <c r="BU701" s="3">
        <v>-82796.997000000003</v>
      </c>
      <c r="BV701" s="3">
        <f t="shared" si="536"/>
        <v>-523.77799999999115</v>
      </c>
    </row>
    <row r="702" spans="1:74" x14ac:dyDescent="0.25">
      <c r="A702" t="s">
        <v>154</v>
      </c>
      <c r="B702" t="s">
        <v>728</v>
      </c>
      <c r="C702" t="s">
        <v>103</v>
      </c>
      <c r="D702" s="3">
        <v>0.64</v>
      </c>
      <c r="E702" s="3">
        <v>0.97</v>
      </c>
      <c r="F702" s="3">
        <v>-573.10900000000004</v>
      </c>
      <c r="G702" s="3">
        <v>-576.77800000000002</v>
      </c>
      <c r="H702" s="3">
        <f t="shared" si="553"/>
        <v>-3.6689999999999827</v>
      </c>
      <c r="I702" s="3">
        <v>-0.30399999999999999</v>
      </c>
      <c r="J702" s="6">
        <v>-0.221</v>
      </c>
      <c r="K702" s="3">
        <f t="shared" si="540"/>
        <v>8.299999999999999E-2</v>
      </c>
      <c r="L702" s="3">
        <v>0.111</v>
      </c>
      <c r="M702" s="6">
        <v>-2.7E-2</v>
      </c>
      <c r="N702" s="3">
        <f t="shared" si="541"/>
        <v>-0.13800000000000001</v>
      </c>
      <c r="O702" s="3">
        <f t="shared" si="528"/>
        <v>9.6500000000000002E-2</v>
      </c>
      <c r="P702" s="3">
        <f t="shared" si="528"/>
        <v>0.124</v>
      </c>
      <c r="Q702" s="3">
        <f t="shared" si="542"/>
        <v>2.7499999999999997E-2</v>
      </c>
      <c r="R702" s="3">
        <f t="shared" si="543"/>
        <v>0.41499999999999998</v>
      </c>
      <c r="S702" s="3">
        <f t="shared" si="544"/>
        <v>0.19400000000000001</v>
      </c>
      <c r="T702" s="3">
        <f t="shared" si="545"/>
        <v>-0.22099999999999997</v>
      </c>
      <c r="U702" s="3">
        <f t="shared" si="546"/>
        <v>-9.6500000000000002E-2</v>
      </c>
      <c r="V702" s="3">
        <f t="shared" si="547"/>
        <v>-0.124</v>
      </c>
      <c r="W702" s="3">
        <f t="shared" si="523"/>
        <v>-2.7499999999999997E-2</v>
      </c>
      <c r="X702" s="3">
        <f t="shared" si="519"/>
        <v>1.1219578313253015E-2</v>
      </c>
      <c r="Y702" s="3">
        <f t="shared" si="520"/>
        <v>3.9628865979381436E-2</v>
      </c>
      <c r="Z702" s="3">
        <f t="shared" si="548"/>
        <v>2.8409287666128422E-2</v>
      </c>
      <c r="AA702" s="3">
        <v>1.696</v>
      </c>
      <c r="AB702" s="3">
        <v>1.5369999999999999</v>
      </c>
      <c r="AC702" s="3">
        <f t="shared" si="549"/>
        <v>-0.15900000000000003</v>
      </c>
      <c r="AD702" s="3">
        <f>-572.894212*627.50956</f>
        <v>-359496.59489866672</v>
      </c>
      <c r="AE702" s="3">
        <f>-576.575171*627.50956</f>
        <v>-361806.43186113471</v>
      </c>
      <c r="AF702" s="3">
        <f t="shared" si="550"/>
        <v>-2309.8369624679908</v>
      </c>
      <c r="AG702" s="3">
        <f>-572.939865*627.50956</f>
        <v>-359525.24259260943</v>
      </c>
      <c r="AH702" s="3">
        <f>-576.622032*627.50956</f>
        <v>-361835.83758662589</v>
      </c>
      <c r="AI702" s="3">
        <f t="shared" si="551"/>
        <v>-2310.5949940164573</v>
      </c>
      <c r="AJ702" s="3">
        <v>0.19400000000000001</v>
      </c>
      <c r="AK702" s="3">
        <v>0.221</v>
      </c>
      <c r="AL702" s="3">
        <f t="shared" si="552"/>
        <v>2.6999999999999996E-2</v>
      </c>
      <c r="AM702" s="3">
        <v>182.21789999999999</v>
      </c>
      <c r="AN702" s="3">
        <v>238.34049999999999</v>
      </c>
      <c r="AO702" s="3">
        <v>266.822</v>
      </c>
      <c r="AP702" s="3">
        <f t="shared" si="561"/>
        <v>1.1893400392739657</v>
      </c>
      <c r="AQ702" s="3">
        <v>11.807</v>
      </c>
      <c r="AR702" s="3">
        <v>2.7038000000000002</v>
      </c>
      <c r="AS702" s="3">
        <v>-959.76900000000001</v>
      </c>
      <c r="AT702" s="3">
        <v>-958.05</v>
      </c>
      <c r="AU702" s="3">
        <f t="shared" si="554"/>
        <v>-1.7190000000000509</v>
      </c>
      <c r="AV702" s="3">
        <v>-0.317</v>
      </c>
      <c r="AW702" s="3">
        <v>-0.45</v>
      </c>
      <c r="AX702" s="3">
        <f t="shared" si="529"/>
        <v>0.13300000000000001</v>
      </c>
      <c r="AY702" s="3">
        <v>-2.4E-2</v>
      </c>
      <c r="AZ702" s="3">
        <v>0.13500000000000001</v>
      </c>
      <c r="BA702" s="3">
        <f t="shared" si="530"/>
        <v>-0.159</v>
      </c>
      <c r="BB702" s="3">
        <f t="shared" si="558"/>
        <v>0.17050000000000001</v>
      </c>
      <c r="BC702" s="3">
        <f t="shared" si="558"/>
        <v>0.1575</v>
      </c>
      <c r="BD702" s="3">
        <f t="shared" si="531"/>
        <v>1.3000000000000012E-2</v>
      </c>
      <c r="BE702" s="3">
        <f t="shared" si="559"/>
        <v>0.29299999999999998</v>
      </c>
      <c r="BF702" s="3">
        <f t="shared" si="559"/>
        <v>0.58499999999999996</v>
      </c>
      <c r="BG702" s="3">
        <f t="shared" si="532"/>
        <v>-0.29199999999999998</v>
      </c>
      <c r="BH702" s="3">
        <f t="shared" si="560"/>
        <v>-0.17050000000000001</v>
      </c>
      <c r="BI702" s="3">
        <f t="shared" si="560"/>
        <v>-0.1575</v>
      </c>
      <c r="BJ702" s="3">
        <f t="shared" si="524"/>
        <v>-1.3000000000000012E-2</v>
      </c>
      <c r="BK702" s="3">
        <f t="shared" si="521"/>
        <v>4.9607935153583631E-2</v>
      </c>
      <c r="BL702" s="3">
        <f t="shared" si="522"/>
        <v>2.120192307692308E-2</v>
      </c>
      <c r="BM702" s="3">
        <f t="shared" si="533"/>
        <v>2.8406012076660551E-2</v>
      </c>
      <c r="BN702" s="3">
        <v>2.2370000000000001</v>
      </c>
      <c r="BO702" s="3">
        <v>2.431</v>
      </c>
      <c r="BP702" s="3">
        <f t="shared" si="534"/>
        <v>-0.19399999999999995</v>
      </c>
      <c r="BQ702" s="3">
        <v>-602243.07700000005</v>
      </c>
      <c r="BR702" s="3">
        <v>-601163.24300000002</v>
      </c>
      <c r="BS702" s="3">
        <f t="shared" si="535"/>
        <v>-1079.8340000000317</v>
      </c>
      <c r="BT702" s="3">
        <v>-602262.36399999994</v>
      </c>
      <c r="BU702" s="3">
        <v>-601182.38500000001</v>
      </c>
      <c r="BV702" s="3">
        <f t="shared" si="536"/>
        <v>-1079.9789999999339</v>
      </c>
    </row>
    <row r="703" spans="1:74" x14ac:dyDescent="0.25">
      <c r="A703" t="s">
        <v>155</v>
      </c>
      <c r="B703" t="s">
        <v>728</v>
      </c>
      <c r="C703" t="s">
        <v>103</v>
      </c>
      <c r="D703" s="3">
        <v>0.79</v>
      </c>
      <c r="E703" s="3">
        <v>0.73</v>
      </c>
      <c r="F703" s="3">
        <v>-828.35900000000004</v>
      </c>
      <c r="G703" s="3">
        <v>-830.27700000000004</v>
      </c>
      <c r="H703" s="3">
        <f t="shared" si="553"/>
        <v>-1.9180000000000064</v>
      </c>
      <c r="I703" s="3">
        <v>-0.432</v>
      </c>
      <c r="J703" s="6">
        <v>-0.307</v>
      </c>
      <c r="K703" s="3">
        <f t="shared" si="540"/>
        <v>0.125</v>
      </c>
      <c r="L703" s="3">
        <v>0.15</v>
      </c>
      <c r="M703" s="6">
        <v>0.17799999999999999</v>
      </c>
      <c r="N703" s="3">
        <f t="shared" si="541"/>
        <v>2.7999999999999997E-2</v>
      </c>
      <c r="O703" s="3">
        <f t="shared" si="528"/>
        <v>0.14100000000000001</v>
      </c>
      <c r="P703" s="3">
        <f t="shared" si="528"/>
        <v>6.4500000000000002E-2</v>
      </c>
      <c r="Q703" s="3">
        <f t="shared" si="542"/>
        <v>-7.6500000000000012E-2</v>
      </c>
      <c r="R703" s="3">
        <f t="shared" si="543"/>
        <v>0.58199999999999996</v>
      </c>
      <c r="S703" s="3">
        <f t="shared" si="544"/>
        <v>0.48499999999999999</v>
      </c>
      <c r="T703" s="3">
        <f t="shared" si="545"/>
        <v>-9.6999999999999975E-2</v>
      </c>
      <c r="U703" s="3">
        <f t="shared" si="546"/>
        <v>-0.14100000000000001</v>
      </c>
      <c r="V703" s="3">
        <f t="shared" si="547"/>
        <v>-6.4500000000000002E-2</v>
      </c>
      <c r="W703" s="3">
        <f t="shared" si="523"/>
        <v>7.6500000000000012E-2</v>
      </c>
      <c r="X703" s="3">
        <f t="shared" si="519"/>
        <v>1.7079896907216497E-2</v>
      </c>
      <c r="Y703" s="3">
        <f t="shared" si="520"/>
        <v>4.2889175257731955E-3</v>
      </c>
      <c r="Z703" s="3">
        <f t="shared" si="548"/>
        <v>-1.2790979381443301E-2</v>
      </c>
      <c r="AA703" s="3">
        <v>3.6190000000000002</v>
      </c>
      <c r="AB703" s="3">
        <v>3.5110000000000001</v>
      </c>
      <c r="AC703" s="3">
        <f t="shared" si="549"/>
        <v>-0.1080000000000001</v>
      </c>
      <c r="AD703" s="3">
        <f>-828.263089*627.50956</f>
        <v>-519743.00654263084</v>
      </c>
      <c r="AE703" s="3">
        <f>-830.185804*627.50956</f>
        <v>-520949.52858628618</v>
      </c>
      <c r="AF703" s="3">
        <f t="shared" si="550"/>
        <v>-1206.5220436553354</v>
      </c>
      <c r="AG703" s="3">
        <f>-828.300749*627.50956</f>
        <v>-519766.63855266041</v>
      </c>
      <c r="AH703" s="3">
        <f>-830.223932*627.50956</f>
        <v>-520973.45427078987</v>
      </c>
      <c r="AI703" s="3">
        <f t="shared" si="551"/>
        <v>-1206.8157181294519</v>
      </c>
      <c r="AJ703" s="3">
        <v>-0.23100000000000001</v>
      </c>
      <c r="AK703" s="3">
        <v>-0.185</v>
      </c>
      <c r="AL703" s="3">
        <f t="shared" si="552"/>
        <v>4.6000000000000013E-2</v>
      </c>
      <c r="AM703" s="3">
        <v>94.615399999999994</v>
      </c>
      <c r="AN703" s="3">
        <v>150.6557</v>
      </c>
      <c r="AO703" s="3">
        <v>150.79140000000001</v>
      </c>
      <c r="AP703" s="3">
        <f t="shared" si="561"/>
        <v>1.09982554480951</v>
      </c>
      <c r="AQ703" s="3">
        <v>7.3029999999999999</v>
      </c>
      <c r="AR703" s="3">
        <v>1.5993999999999999</v>
      </c>
      <c r="AS703" s="3">
        <v>-959.76900000000001</v>
      </c>
      <c r="AT703" s="3">
        <v>-958.05</v>
      </c>
      <c r="AU703" s="3">
        <f t="shared" si="554"/>
        <v>-1.7190000000000509</v>
      </c>
      <c r="AV703" s="3">
        <v>-0.317</v>
      </c>
      <c r="AW703" s="3">
        <v>-0.45</v>
      </c>
      <c r="AX703" s="3">
        <f t="shared" si="529"/>
        <v>0.13300000000000001</v>
      </c>
      <c r="AY703" s="3">
        <v>-2.4E-2</v>
      </c>
      <c r="AZ703" s="3">
        <v>0.13500000000000001</v>
      </c>
      <c r="BA703" s="3">
        <f t="shared" si="530"/>
        <v>-0.159</v>
      </c>
      <c r="BB703" s="3">
        <f t="shared" si="558"/>
        <v>0.17050000000000001</v>
      </c>
      <c r="BC703" s="3">
        <f t="shared" si="558"/>
        <v>0.1575</v>
      </c>
      <c r="BD703" s="3">
        <f t="shared" si="531"/>
        <v>1.3000000000000012E-2</v>
      </c>
      <c r="BE703" s="3">
        <f t="shared" si="559"/>
        <v>0.29299999999999998</v>
      </c>
      <c r="BF703" s="3">
        <f t="shared" si="559"/>
        <v>0.58499999999999996</v>
      </c>
      <c r="BG703" s="3">
        <f t="shared" si="532"/>
        <v>-0.29199999999999998</v>
      </c>
      <c r="BH703" s="3">
        <f t="shared" si="560"/>
        <v>-0.17050000000000001</v>
      </c>
      <c r="BI703" s="3">
        <f t="shared" si="560"/>
        <v>-0.1575</v>
      </c>
      <c r="BJ703" s="3">
        <f t="shared" si="524"/>
        <v>-1.3000000000000012E-2</v>
      </c>
      <c r="BK703" s="3">
        <f t="shared" si="521"/>
        <v>4.9607935153583631E-2</v>
      </c>
      <c r="BL703" s="3">
        <f t="shared" si="522"/>
        <v>2.120192307692308E-2</v>
      </c>
      <c r="BM703" s="3">
        <f t="shared" si="533"/>
        <v>2.8406012076660551E-2</v>
      </c>
      <c r="BN703" s="3">
        <v>2.2370000000000001</v>
      </c>
      <c r="BO703" s="3">
        <v>2.431</v>
      </c>
      <c r="BP703" s="3">
        <f t="shared" si="534"/>
        <v>-0.19399999999999995</v>
      </c>
      <c r="BQ703" s="3">
        <v>-602243.07700000005</v>
      </c>
      <c r="BR703" s="3">
        <v>-601163.24300000002</v>
      </c>
      <c r="BS703" s="3">
        <f t="shared" si="535"/>
        <v>-1079.8340000000317</v>
      </c>
      <c r="BT703" s="3">
        <v>-602262.36399999994</v>
      </c>
      <c r="BU703" s="3">
        <v>-601182.38500000001</v>
      </c>
      <c r="BV703" s="3">
        <f t="shared" si="536"/>
        <v>-1079.9789999999339</v>
      </c>
    </row>
    <row r="704" spans="1:74" x14ac:dyDescent="0.25">
      <c r="A704" t="s">
        <v>156</v>
      </c>
      <c r="B704" t="s">
        <v>728</v>
      </c>
      <c r="C704" t="s">
        <v>103</v>
      </c>
      <c r="D704" s="3">
        <v>0.8</v>
      </c>
      <c r="E704" s="3">
        <v>0.73</v>
      </c>
      <c r="F704" s="3">
        <v>-867.35</v>
      </c>
      <c r="G704" s="3">
        <v>-869.55200000000002</v>
      </c>
      <c r="H704" s="3">
        <f t="shared" si="553"/>
        <v>-2.2019999999999982</v>
      </c>
      <c r="I704" s="3">
        <v>-0.41</v>
      </c>
      <c r="J704" s="6">
        <v>-0.28699999999999998</v>
      </c>
      <c r="K704" s="3">
        <f t="shared" si="540"/>
        <v>0.123</v>
      </c>
      <c r="L704" s="3">
        <v>0.13700000000000001</v>
      </c>
      <c r="M704" s="6">
        <v>-4.0000000000000001E-3</v>
      </c>
      <c r="N704" s="3">
        <f t="shared" si="541"/>
        <v>-0.14100000000000001</v>
      </c>
      <c r="O704" s="3">
        <f t="shared" si="528"/>
        <v>0.13649999999999998</v>
      </c>
      <c r="P704" s="3">
        <f t="shared" si="528"/>
        <v>0.14549999999999999</v>
      </c>
      <c r="Q704" s="3">
        <f t="shared" si="542"/>
        <v>9.000000000000008E-3</v>
      </c>
      <c r="R704" s="3">
        <f t="shared" si="543"/>
        <v>0.54699999999999993</v>
      </c>
      <c r="S704" s="3">
        <f t="shared" si="544"/>
        <v>0.28299999999999997</v>
      </c>
      <c r="T704" s="3">
        <f t="shared" si="545"/>
        <v>-0.26399999999999996</v>
      </c>
      <c r="U704" s="3">
        <f t="shared" si="546"/>
        <v>-0.13649999999999998</v>
      </c>
      <c r="V704" s="3">
        <f t="shared" si="547"/>
        <v>-0.14549999999999999</v>
      </c>
      <c r="W704" s="3">
        <f t="shared" si="523"/>
        <v>-9.000000000000008E-3</v>
      </c>
      <c r="X704" s="3">
        <f t="shared" si="519"/>
        <v>1.7031307129798903E-2</v>
      </c>
      <c r="Y704" s="3">
        <f t="shared" si="520"/>
        <v>3.7403268551236747E-2</v>
      </c>
      <c r="Z704" s="3">
        <f t="shared" si="548"/>
        <v>2.0371961421437844E-2</v>
      </c>
      <c r="AA704" s="3">
        <v>3.5179999999999998</v>
      </c>
      <c r="AB704" s="3">
        <v>3.34</v>
      </c>
      <c r="AC704" s="3">
        <f t="shared" si="549"/>
        <v>-0.17799999999999994</v>
      </c>
      <c r="AD704" s="3">
        <f>-867.223835*627.50956</f>
        <v>-544191.24712236261</v>
      </c>
      <c r="AE704" s="3">
        <f>-869.432397*627.50956</f>
        <v>-545577.1408912153</v>
      </c>
      <c r="AF704" s="3">
        <f t="shared" si="550"/>
        <v>-1385.893768852693</v>
      </c>
      <c r="AG704" s="3">
        <f>-867.265557*627.50956</f>
        <v>-544217.42807622487</v>
      </c>
      <c r="AH704" s="3">
        <f>-869.474849*627.50956</f>
        <v>-545603.7799270564</v>
      </c>
      <c r="AI704" s="3">
        <f t="shared" si="551"/>
        <v>-1386.3518508315319</v>
      </c>
      <c r="AJ704" s="3">
        <v>-0.23899999999999999</v>
      </c>
      <c r="AK704" s="3">
        <v>-0.189</v>
      </c>
      <c r="AL704" s="3">
        <f t="shared" si="552"/>
        <v>4.9999999999999989E-2</v>
      </c>
      <c r="AM704" s="3">
        <v>108.642</v>
      </c>
      <c r="AN704" s="3">
        <v>171.9325</v>
      </c>
      <c r="AO704" s="3">
        <v>179.64169999999999</v>
      </c>
      <c r="AP704" s="3">
        <f t="shared" si="561"/>
        <v>1.1168867985510276</v>
      </c>
      <c r="AQ704" s="3">
        <v>8.4920000000000009</v>
      </c>
      <c r="AR704" s="3">
        <v>1.9379999999999999</v>
      </c>
      <c r="AS704" s="3">
        <v>-959.76900000000001</v>
      </c>
      <c r="AT704" s="3">
        <v>-958.05</v>
      </c>
      <c r="AU704" s="3">
        <f t="shared" si="554"/>
        <v>-1.7190000000000509</v>
      </c>
      <c r="AV704" s="3">
        <v>-0.317</v>
      </c>
      <c r="AW704" s="3">
        <v>-0.45</v>
      </c>
      <c r="AX704" s="3">
        <f t="shared" si="529"/>
        <v>0.13300000000000001</v>
      </c>
      <c r="AY704" s="3">
        <v>-2.4E-2</v>
      </c>
      <c r="AZ704" s="3">
        <v>0.13500000000000001</v>
      </c>
      <c r="BA704" s="3">
        <f t="shared" si="530"/>
        <v>-0.159</v>
      </c>
      <c r="BB704" s="3">
        <f t="shared" si="558"/>
        <v>0.17050000000000001</v>
      </c>
      <c r="BC704" s="3">
        <f t="shared" si="558"/>
        <v>0.1575</v>
      </c>
      <c r="BD704" s="3">
        <f t="shared" si="531"/>
        <v>1.3000000000000012E-2</v>
      </c>
      <c r="BE704" s="3">
        <f t="shared" si="559"/>
        <v>0.29299999999999998</v>
      </c>
      <c r="BF704" s="3">
        <f t="shared" si="559"/>
        <v>0.58499999999999996</v>
      </c>
      <c r="BG704" s="3">
        <f t="shared" si="532"/>
        <v>-0.29199999999999998</v>
      </c>
      <c r="BH704" s="3">
        <f t="shared" si="560"/>
        <v>-0.17050000000000001</v>
      </c>
      <c r="BI704" s="3">
        <f t="shared" si="560"/>
        <v>-0.1575</v>
      </c>
      <c r="BJ704" s="3">
        <f t="shared" si="524"/>
        <v>-1.3000000000000012E-2</v>
      </c>
      <c r="BK704" s="3">
        <f t="shared" si="521"/>
        <v>4.9607935153583631E-2</v>
      </c>
      <c r="BL704" s="3">
        <f t="shared" si="522"/>
        <v>2.120192307692308E-2</v>
      </c>
      <c r="BM704" s="3">
        <f t="shared" si="533"/>
        <v>2.8406012076660551E-2</v>
      </c>
      <c r="BN704" s="3">
        <v>2.2370000000000001</v>
      </c>
      <c r="BO704" s="3">
        <v>2.431</v>
      </c>
      <c r="BP704" s="3">
        <f t="shared" si="534"/>
        <v>-0.19399999999999995</v>
      </c>
      <c r="BQ704" s="3">
        <v>-602243.07700000005</v>
      </c>
      <c r="BR704" s="3">
        <v>-601163.24300000002</v>
      </c>
      <c r="BS704" s="3">
        <f t="shared" si="535"/>
        <v>-1079.8340000000317</v>
      </c>
      <c r="BT704" s="3">
        <v>-602262.36399999994</v>
      </c>
      <c r="BU704" s="3">
        <v>-601182.38500000001</v>
      </c>
      <c r="BV704" s="3">
        <f t="shared" si="536"/>
        <v>-1079.9789999999339</v>
      </c>
    </row>
    <row r="705" spans="1:74" x14ac:dyDescent="0.25">
      <c r="A705" t="s">
        <v>157</v>
      </c>
      <c r="B705" t="s">
        <v>728</v>
      </c>
      <c r="C705" t="s">
        <v>103</v>
      </c>
      <c r="D705" s="3">
        <v>0.87</v>
      </c>
      <c r="E705" s="3">
        <v>0.75</v>
      </c>
      <c r="F705" s="3">
        <v>-755.13900000000001</v>
      </c>
      <c r="G705" s="3">
        <v>-758.99900000000002</v>
      </c>
      <c r="H705" s="3">
        <f t="shared" si="553"/>
        <v>-3.8600000000000136</v>
      </c>
      <c r="I705" s="3">
        <v>-0.33500000000000002</v>
      </c>
      <c r="J705" s="6">
        <v>-0.255</v>
      </c>
      <c r="K705" s="3">
        <f t="shared" si="540"/>
        <v>8.0000000000000016E-2</v>
      </c>
      <c r="L705" s="3">
        <v>0.11799999999999999</v>
      </c>
      <c r="M705" s="6">
        <v>-2.1999999999999999E-2</v>
      </c>
      <c r="N705" s="3">
        <f t="shared" si="541"/>
        <v>-0.13999999999999999</v>
      </c>
      <c r="O705" s="3">
        <f t="shared" si="528"/>
        <v>0.10850000000000001</v>
      </c>
      <c r="P705" s="3">
        <f t="shared" si="528"/>
        <v>0.13850000000000001</v>
      </c>
      <c r="Q705" s="3">
        <f t="shared" si="542"/>
        <v>0.03</v>
      </c>
      <c r="R705" s="3">
        <f t="shared" si="543"/>
        <v>0.45300000000000001</v>
      </c>
      <c r="S705" s="3">
        <f t="shared" si="544"/>
        <v>0.23300000000000001</v>
      </c>
      <c r="T705" s="3">
        <f t="shared" si="545"/>
        <v>-0.22</v>
      </c>
      <c r="U705" s="3">
        <f t="shared" si="546"/>
        <v>-0.10850000000000001</v>
      </c>
      <c r="V705" s="3">
        <f t="shared" si="547"/>
        <v>-0.13850000000000001</v>
      </c>
      <c r="W705" s="3">
        <f t="shared" si="523"/>
        <v>-0.03</v>
      </c>
      <c r="X705" s="3">
        <f t="shared" si="519"/>
        <v>1.2993653421633557E-2</v>
      </c>
      <c r="Y705" s="3">
        <f t="shared" si="520"/>
        <v>4.1163626609442068E-2</v>
      </c>
      <c r="Z705" s="3">
        <f t="shared" si="548"/>
        <v>2.8169973187808513E-2</v>
      </c>
      <c r="AA705" s="3">
        <v>0.68500000000000005</v>
      </c>
      <c r="AB705" s="3">
        <v>0.73199999999999998</v>
      </c>
      <c r="AC705" s="3">
        <f t="shared" si="549"/>
        <v>4.6999999999999931E-2</v>
      </c>
      <c r="AD705" s="3">
        <f>-754.820992*627.50956</f>
        <v>-473657.38856868353</v>
      </c>
      <c r="AE705" s="3">
        <f>-758.697299*627.50956</f>
        <v>-476089.80826867843</v>
      </c>
      <c r="AF705" s="3">
        <f t="shared" si="550"/>
        <v>-2432.4196999949054</v>
      </c>
      <c r="AG705" s="3">
        <f>-754.879879*627.50956</f>
        <v>-473694.3407241432</v>
      </c>
      <c r="AH705" s="3">
        <f>-758.758298*627.50956</f>
        <v>-476128.08572432882</v>
      </c>
      <c r="AI705" s="3">
        <f t="shared" si="551"/>
        <v>-2433.7450001856196</v>
      </c>
      <c r="AJ705" s="3">
        <v>-0.245</v>
      </c>
      <c r="AK705" s="3">
        <v>-0.19400000000000001</v>
      </c>
      <c r="AL705" s="3">
        <f t="shared" si="552"/>
        <v>5.099999999999999E-2</v>
      </c>
      <c r="AM705" s="3">
        <v>192.37270000000001</v>
      </c>
      <c r="AN705" s="3">
        <v>287.94290000000001</v>
      </c>
      <c r="AO705" s="3">
        <v>347.86799999999999</v>
      </c>
      <c r="AP705" s="3">
        <f t="shared" si="561"/>
        <v>1.2039801806326316</v>
      </c>
      <c r="AQ705" s="3">
        <v>12.332000000000001</v>
      </c>
      <c r="AR705" s="3">
        <v>3.0413999999999999</v>
      </c>
      <c r="AS705" s="3">
        <v>-959.76900000000001</v>
      </c>
      <c r="AT705" s="3">
        <v>-958.05</v>
      </c>
      <c r="AU705" s="3">
        <f t="shared" si="554"/>
        <v>-1.7190000000000509</v>
      </c>
      <c r="AV705" s="3">
        <v>-0.317</v>
      </c>
      <c r="AW705" s="3">
        <v>-0.45</v>
      </c>
      <c r="AX705" s="3">
        <f t="shared" si="529"/>
        <v>0.13300000000000001</v>
      </c>
      <c r="AY705" s="3">
        <v>-2.4E-2</v>
      </c>
      <c r="AZ705" s="3">
        <v>0.13500000000000001</v>
      </c>
      <c r="BA705" s="3">
        <f t="shared" si="530"/>
        <v>-0.159</v>
      </c>
      <c r="BB705" s="3">
        <f t="shared" si="558"/>
        <v>0.17050000000000001</v>
      </c>
      <c r="BC705" s="3">
        <f t="shared" si="558"/>
        <v>0.1575</v>
      </c>
      <c r="BD705" s="3">
        <f t="shared" si="531"/>
        <v>1.3000000000000012E-2</v>
      </c>
      <c r="BE705" s="3">
        <f t="shared" si="559"/>
        <v>0.29299999999999998</v>
      </c>
      <c r="BF705" s="3">
        <f t="shared" si="559"/>
        <v>0.58499999999999996</v>
      </c>
      <c r="BG705" s="3">
        <f t="shared" si="532"/>
        <v>-0.29199999999999998</v>
      </c>
      <c r="BH705" s="3">
        <f t="shared" si="560"/>
        <v>-0.17050000000000001</v>
      </c>
      <c r="BI705" s="3">
        <f t="shared" si="560"/>
        <v>-0.1575</v>
      </c>
      <c r="BJ705" s="3">
        <f t="shared" si="524"/>
        <v>-1.3000000000000012E-2</v>
      </c>
      <c r="BK705" s="3">
        <f t="shared" si="521"/>
        <v>4.9607935153583631E-2</v>
      </c>
      <c r="BL705" s="3">
        <f t="shared" si="522"/>
        <v>2.120192307692308E-2</v>
      </c>
      <c r="BM705" s="3">
        <f t="shared" si="533"/>
        <v>2.8406012076660551E-2</v>
      </c>
      <c r="BN705" s="3">
        <v>2.2370000000000001</v>
      </c>
      <c r="BO705" s="3">
        <v>2.431</v>
      </c>
      <c r="BP705" s="3">
        <f t="shared" si="534"/>
        <v>-0.19399999999999995</v>
      </c>
      <c r="BQ705" s="3">
        <v>-602243.07700000005</v>
      </c>
      <c r="BR705" s="3">
        <v>-601163.24300000002</v>
      </c>
      <c r="BS705" s="3">
        <f t="shared" si="535"/>
        <v>-1079.8340000000317</v>
      </c>
      <c r="BT705" s="3">
        <v>-602262.36399999994</v>
      </c>
      <c r="BU705" s="3">
        <v>-601182.38500000001</v>
      </c>
      <c r="BV705" s="3">
        <f t="shared" si="536"/>
        <v>-1079.9789999999339</v>
      </c>
    </row>
    <row r="706" spans="1:74" x14ac:dyDescent="0.25">
      <c r="A706" t="s">
        <v>158</v>
      </c>
      <c r="B706" t="s">
        <v>728</v>
      </c>
      <c r="C706" t="s">
        <v>103</v>
      </c>
      <c r="D706" s="3">
        <v>1.3</v>
      </c>
      <c r="E706" s="3">
        <v>0.75</v>
      </c>
      <c r="F706" s="3">
        <v>-1096.942</v>
      </c>
      <c r="G706" s="3">
        <v>-1100.6600000000001</v>
      </c>
      <c r="H706" s="3">
        <f t="shared" si="553"/>
        <v>-3.7180000000000746</v>
      </c>
      <c r="I706" s="3">
        <v>-0.32700000000000001</v>
      </c>
      <c r="J706" s="6">
        <v>-0.245</v>
      </c>
      <c r="K706" s="3">
        <f t="shared" si="540"/>
        <v>8.2000000000000017E-2</v>
      </c>
      <c r="L706" s="3">
        <v>0.11700000000000001</v>
      </c>
      <c r="M706" s="6">
        <v>-2.4E-2</v>
      </c>
      <c r="N706" s="3">
        <f t="shared" si="541"/>
        <v>-0.14100000000000001</v>
      </c>
      <c r="O706" s="3">
        <f t="shared" si="528"/>
        <v>0.10500000000000001</v>
      </c>
      <c r="P706" s="3">
        <f t="shared" si="528"/>
        <v>0.13450000000000001</v>
      </c>
      <c r="Q706" s="3">
        <f t="shared" si="542"/>
        <v>2.9499999999999998E-2</v>
      </c>
      <c r="R706" s="3">
        <f t="shared" si="543"/>
        <v>0.44400000000000001</v>
      </c>
      <c r="S706" s="3">
        <f t="shared" si="544"/>
        <v>0.221</v>
      </c>
      <c r="T706" s="3">
        <f t="shared" si="545"/>
        <v>-0.223</v>
      </c>
      <c r="U706" s="3">
        <f t="shared" si="546"/>
        <v>-0.10500000000000001</v>
      </c>
      <c r="V706" s="3">
        <f t="shared" si="547"/>
        <v>-0.13450000000000001</v>
      </c>
      <c r="W706" s="3">
        <f t="shared" si="523"/>
        <v>-2.9499999999999998E-2</v>
      </c>
      <c r="X706" s="3">
        <f t="shared" ref="X706:X753" si="562">(U706*U706)/(2*R706)</f>
        <v>1.2415540540540542E-2</v>
      </c>
      <c r="Y706" s="3">
        <f t="shared" ref="Y706:Y753" si="563">(V706*V706)/(2*S706)</f>
        <v>4.0928167420814482E-2</v>
      </c>
      <c r="Z706" s="3">
        <f t="shared" si="548"/>
        <v>2.851262688027394E-2</v>
      </c>
      <c r="AA706" s="3">
        <v>2.7610000000000001</v>
      </c>
      <c r="AB706" s="3">
        <v>2.6619999999999999</v>
      </c>
      <c r="AC706" s="3">
        <f t="shared" si="549"/>
        <v>-9.9000000000000199E-2</v>
      </c>
      <c r="AD706" s="3">
        <f>-1096.726222*627.50956</f>
        <v>-688206.18900768226</v>
      </c>
      <c r="AE706" s="3">
        <f>-1100.45567*627.50956</f>
        <v>-690546.45328120515</v>
      </c>
      <c r="AF706" s="3">
        <f t="shared" si="550"/>
        <v>-2340.2642735228874</v>
      </c>
      <c r="AG706" s="3">
        <f>-1096.778892*627.50956</f>
        <v>-688239.23993620754</v>
      </c>
      <c r="AH706" s="3">
        <f>-1100.509732*627.50956</f>
        <v>-690580.37770303793</v>
      </c>
      <c r="AI706" s="3">
        <f t="shared" si="551"/>
        <v>-2341.1377668303903</v>
      </c>
      <c r="AJ706" s="3">
        <v>-0.25</v>
      </c>
      <c r="AK706" s="3">
        <v>-0.19800000000000001</v>
      </c>
      <c r="AL706" s="3">
        <f t="shared" si="552"/>
        <v>5.1999999999999991E-2</v>
      </c>
      <c r="AM706" s="3">
        <v>184.738</v>
      </c>
      <c r="AN706" s="3">
        <v>251.03800000000001</v>
      </c>
      <c r="AO706" s="3">
        <v>288.74450000000002</v>
      </c>
      <c r="AP706" s="3">
        <f t="shared" si="561"/>
        <v>1.188464653102953</v>
      </c>
      <c r="AQ706" s="3">
        <v>10.234999999999999</v>
      </c>
      <c r="AR706" s="3">
        <v>2.7837999999999998</v>
      </c>
      <c r="AS706" s="3">
        <v>-959.76900000000001</v>
      </c>
      <c r="AT706" s="3">
        <v>-958.05</v>
      </c>
      <c r="AU706" s="3">
        <f t="shared" si="554"/>
        <v>-1.7190000000000509</v>
      </c>
      <c r="AV706" s="3">
        <v>-0.317</v>
      </c>
      <c r="AW706" s="3">
        <v>-0.45</v>
      </c>
      <c r="AX706" s="3">
        <f t="shared" si="529"/>
        <v>0.13300000000000001</v>
      </c>
      <c r="AY706" s="3">
        <v>-2.4E-2</v>
      </c>
      <c r="AZ706" s="3">
        <v>0.13500000000000001</v>
      </c>
      <c r="BA706" s="3">
        <f t="shared" si="530"/>
        <v>-0.159</v>
      </c>
      <c r="BB706" s="3">
        <f t="shared" si="558"/>
        <v>0.17050000000000001</v>
      </c>
      <c r="BC706" s="3">
        <f t="shared" si="558"/>
        <v>0.1575</v>
      </c>
      <c r="BD706" s="3">
        <f t="shared" si="531"/>
        <v>1.3000000000000012E-2</v>
      </c>
      <c r="BE706" s="3">
        <f t="shared" si="559"/>
        <v>0.29299999999999998</v>
      </c>
      <c r="BF706" s="3">
        <f t="shared" si="559"/>
        <v>0.58499999999999996</v>
      </c>
      <c r="BG706" s="3">
        <f t="shared" si="532"/>
        <v>-0.29199999999999998</v>
      </c>
      <c r="BH706" s="3">
        <f t="shared" si="560"/>
        <v>-0.17050000000000001</v>
      </c>
      <c r="BI706" s="3">
        <f t="shared" si="560"/>
        <v>-0.1575</v>
      </c>
      <c r="BJ706" s="3">
        <f t="shared" si="524"/>
        <v>-1.3000000000000012E-2</v>
      </c>
      <c r="BK706" s="3">
        <f t="shared" ref="BK706:BK725" si="564">(BH706*BH706)/(2*BE706)</f>
        <v>4.9607935153583631E-2</v>
      </c>
      <c r="BL706" s="3">
        <f t="shared" ref="BL706:BL725" si="565">(BI706*BI706)/(2*BF706)</f>
        <v>2.120192307692308E-2</v>
      </c>
      <c r="BM706" s="3">
        <f t="shared" si="533"/>
        <v>2.8406012076660551E-2</v>
      </c>
      <c r="BN706" s="3">
        <v>2.2370000000000001</v>
      </c>
      <c r="BO706" s="3">
        <v>2.431</v>
      </c>
      <c r="BP706" s="3">
        <f t="shared" si="534"/>
        <v>-0.19399999999999995</v>
      </c>
      <c r="BQ706" s="3">
        <v>-602243.07700000005</v>
      </c>
      <c r="BR706" s="3">
        <v>-601163.24300000002</v>
      </c>
      <c r="BS706" s="3">
        <f t="shared" si="535"/>
        <v>-1079.8340000000317</v>
      </c>
      <c r="BT706" s="3">
        <v>-602262.36399999994</v>
      </c>
      <c r="BU706" s="3">
        <v>-601182.38500000001</v>
      </c>
      <c r="BV706" s="3">
        <f t="shared" si="536"/>
        <v>-1079.9789999999339</v>
      </c>
    </row>
    <row r="707" spans="1:74" x14ac:dyDescent="0.25">
      <c r="A707" t="s">
        <v>159</v>
      </c>
      <c r="B707" t="s">
        <v>728</v>
      </c>
      <c r="C707" t="s">
        <v>103</v>
      </c>
      <c r="D707" s="3">
        <v>1.52</v>
      </c>
      <c r="E707" s="3">
        <v>0.73</v>
      </c>
      <c r="F707" s="3">
        <v>-750.46100000000001</v>
      </c>
      <c r="G707" s="3">
        <v>-754.14599999999996</v>
      </c>
      <c r="H707" s="3">
        <f t="shared" si="553"/>
        <v>-3.6849999999999454</v>
      </c>
      <c r="I707" s="3">
        <v>-0.33400000000000002</v>
      </c>
      <c r="J707" s="6">
        <v>-0.25700000000000001</v>
      </c>
      <c r="K707" s="3">
        <f t="shared" si="540"/>
        <v>7.7000000000000013E-2</v>
      </c>
      <c r="L707" s="3">
        <v>0.1</v>
      </c>
      <c r="M707" s="6">
        <v>-2.9000000000000001E-2</v>
      </c>
      <c r="N707" s="3">
        <f t="shared" si="541"/>
        <v>-0.129</v>
      </c>
      <c r="O707" s="3">
        <f t="shared" si="528"/>
        <v>0.11700000000000001</v>
      </c>
      <c r="P707" s="3">
        <f t="shared" si="528"/>
        <v>0.14300000000000002</v>
      </c>
      <c r="Q707" s="3">
        <f t="shared" si="542"/>
        <v>2.6000000000000009E-2</v>
      </c>
      <c r="R707" s="3">
        <f t="shared" si="543"/>
        <v>0.43400000000000005</v>
      </c>
      <c r="S707" s="3">
        <f t="shared" si="544"/>
        <v>0.22800000000000001</v>
      </c>
      <c r="T707" s="3">
        <f t="shared" si="545"/>
        <v>-0.20600000000000004</v>
      </c>
      <c r="U707" s="3">
        <f t="shared" si="546"/>
        <v>-0.11700000000000001</v>
      </c>
      <c r="V707" s="3">
        <f t="shared" si="547"/>
        <v>-0.14300000000000002</v>
      </c>
      <c r="W707" s="3">
        <f t="shared" ref="W707:W753" si="566">(V707-U707)</f>
        <v>-2.6000000000000009E-2</v>
      </c>
      <c r="X707" s="3">
        <f t="shared" si="562"/>
        <v>1.5770737327188939E-2</v>
      </c>
      <c r="Y707" s="3">
        <f t="shared" si="563"/>
        <v>4.4844298245614048E-2</v>
      </c>
      <c r="Z707" s="3">
        <f t="shared" si="548"/>
        <v>2.9073560918425109E-2</v>
      </c>
      <c r="AA707" s="3">
        <v>1.0549999999999999</v>
      </c>
      <c r="AB707" s="3">
        <v>1.1559999999999999</v>
      </c>
      <c r="AC707" s="3">
        <f t="shared" si="549"/>
        <v>0.10099999999999998</v>
      </c>
      <c r="AD707" s="3">
        <f>-750.239021*627.50956</f>
        <v>-470782.15796254075</v>
      </c>
      <c r="AE707" s="3">
        <f>-753.935265*627.50956</f>
        <v>-473101.58640863333</v>
      </c>
      <c r="AF707" s="3">
        <f t="shared" si="550"/>
        <v>-2319.4284460925846</v>
      </c>
      <c r="AG707" s="3">
        <f>-750.286911*627.50956</f>
        <v>-470812.20939536917</v>
      </c>
      <c r="AH707" s="3">
        <f>-753.988227*627.50956</f>
        <v>-473134.8205699501</v>
      </c>
      <c r="AI707" s="3">
        <f t="shared" si="551"/>
        <v>-2322.6111745809321</v>
      </c>
      <c r="AJ707" s="3">
        <v>-0.221</v>
      </c>
      <c r="AK707" s="3">
        <v>-0.17</v>
      </c>
      <c r="AL707" s="3">
        <f t="shared" si="552"/>
        <v>5.099999999999999E-2</v>
      </c>
      <c r="AM707" s="3">
        <v>184.309</v>
      </c>
      <c r="AN707" s="3">
        <v>264.69299999999998</v>
      </c>
      <c r="AO707" s="3">
        <v>298.94260000000003</v>
      </c>
      <c r="AP707" s="3">
        <f t="shared" si="561"/>
        <v>1.2244466527635205</v>
      </c>
      <c r="AQ707" s="3">
        <v>12</v>
      </c>
      <c r="AR707" s="3">
        <v>2.9712999999999998</v>
      </c>
      <c r="AS707" s="3">
        <v>-959.76900000000001</v>
      </c>
      <c r="AT707" s="3">
        <v>-958.05</v>
      </c>
      <c r="AU707" s="3">
        <f t="shared" si="554"/>
        <v>-1.7190000000000509</v>
      </c>
      <c r="AV707" s="3">
        <v>-0.317</v>
      </c>
      <c r="AW707" s="3">
        <v>-0.45</v>
      </c>
      <c r="AX707" s="3">
        <f t="shared" si="529"/>
        <v>0.13300000000000001</v>
      </c>
      <c r="AY707" s="3">
        <v>-2.4E-2</v>
      </c>
      <c r="AZ707" s="3">
        <v>0.13500000000000001</v>
      </c>
      <c r="BA707" s="3">
        <f t="shared" si="530"/>
        <v>-0.159</v>
      </c>
      <c r="BB707" s="3">
        <f t="shared" si="558"/>
        <v>0.17050000000000001</v>
      </c>
      <c r="BC707" s="3">
        <f t="shared" si="558"/>
        <v>0.1575</v>
      </c>
      <c r="BD707" s="3">
        <f t="shared" si="531"/>
        <v>1.3000000000000012E-2</v>
      </c>
      <c r="BE707" s="3">
        <f t="shared" si="559"/>
        <v>0.29299999999999998</v>
      </c>
      <c r="BF707" s="3">
        <f t="shared" si="559"/>
        <v>0.58499999999999996</v>
      </c>
      <c r="BG707" s="3">
        <f t="shared" si="532"/>
        <v>-0.29199999999999998</v>
      </c>
      <c r="BH707" s="3">
        <f t="shared" si="560"/>
        <v>-0.17050000000000001</v>
      </c>
      <c r="BI707" s="3">
        <f t="shared" si="560"/>
        <v>-0.1575</v>
      </c>
      <c r="BJ707" s="3">
        <f t="shared" ref="BJ707:BJ753" si="567">(BH707-BI707)</f>
        <v>-1.3000000000000012E-2</v>
      </c>
      <c r="BK707" s="3">
        <f t="shared" si="564"/>
        <v>4.9607935153583631E-2</v>
      </c>
      <c r="BL707" s="3">
        <f t="shared" si="565"/>
        <v>2.120192307692308E-2</v>
      </c>
      <c r="BM707" s="3">
        <f t="shared" si="533"/>
        <v>2.8406012076660551E-2</v>
      </c>
      <c r="BN707" s="3">
        <v>2.2370000000000001</v>
      </c>
      <c r="BO707" s="3">
        <v>2.431</v>
      </c>
      <c r="BP707" s="3">
        <f t="shared" si="534"/>
        <v>-0.19399999999999995</v>
      </c>
      <c r="BQ707" s="3">
        <v>-602243.07700000005</v>
      </c>
      <c r="BR707" s="3">
        <v>-601163.24300000002</v>
      </c>
      <c r="BS707" s="3">
        <f t="shared" si="535"/>
        <v>-1079.8340000000317</v>
      </c>
      <c r="BT707" s="3">
        <v>-602262.36399999994</v>
      </c>
      <c r="BU707" s="3">
        <v>-601182.38500000001</v>
      </c>
      <c r="BV707" s="3">
        <f t="shared" si="536"/>
        <v>-1079.9789999999339</v>
      </c>
    </row>
    <row r="708" spans="1:74" x14ac:dyDescent="0.25">
      <c r="A708" t="s">
        <v>160</v>
      </c>
      <c r="B708" t="s">
        <v>728</v>
      </c>
      <c r="C708" t="s">
        <v>103</v>
      </c>
      <c r="D708" s="3">
        <v>1.88</v>
      </c>
      <c r="E708" s="3">
        <v>0.96</v>
      </c>
      <c r="F708" s="3">
        <v>-309.98599999999999</v>
      </c>
      <c r="G708" s="3">
        <v>-312.142</v>
      </c>
      <c r="H708" s="3">
        <f t="shared" si="553"/>
        <v>-2.1560000000000059</v>
      </c>
      <c r="I708" s="3">
        <v>-0.32800000000000001</v>
      </c>
      <c r="J708" s="6">
        <v>-0.22900000000000001</v>
      </c>
      <c r="K708" s="3">
        <f t="shared" si="540"/>
        <v>9.9000000000000005E-2</v>
      </c>
      <c r="L708" s="3">
        <v>0.154</v>
      </c>
      <c r="M708" s="6">
        <v>1.7000000000000001E-2</v>
      </c>
      <c r="N708" s="3">
        <f t="shared" si="541"/>
        <v>-0.13700000000000001</v>
      </c>
      <c r="O708" s="3">
        <f t="shared" si="528"/>
        <v>8.7000000000000008E-2</v>
      </c>
      <c r="P708" s="3">
        <f t="shared" si="528"/>
        <v>0.10600000000000001</v>
      </c>
      <c r="Q708" s="3">
        <f t="shared" si="542"/>
        <v>1.9000000000000003E-2</v>
      </c>
      <c r="R708" s="3">
        <f t="shared" si="543"/>
        <v>0.48199999999999998</v>
      </c>
      <c r="S708" s="3">
        <f t="shared" si="544"/>
        <v>0.246</v>
      </c>
      <c r="T708" s="3">
        <f t="shared" si="545"/>
        <v>-0.23599999999999999</v>
      </c>
      <c r="U708" s="3">
        <f t="shared" si="546"/>
        <v>-8.7000000000000008E-2</v>
      </c>
      <c r="V708" s="3">
        <f t="shared" si="547"/>
        <v>-0.10600000000000001</v>
      </c>
      <c r="W708" s="3">
        <f t="shared" si="566"/>
        <v>-1.9000000000000003E-2</v>
      </c>
      <c r="X708" s="3">
        <f t="shared" si="562"/>
        <v>7.8516597510373456E-3</v>
      </c>
      <c r="Y708" s="3">
        <f t="shared" si="563"/>
        <v>2.2837398373983745E-2</v>
      </c>
      <c r="Z708" s="3">
        <f t="shared" si="548"/>
        <v>1.49857386229464E-2</v>
      </c>
      <c r="AA708" s="3">
        <v>0</v>
      </c>
      <c r="AB708" s="3">
        <v>0</v>
      </c>
      <c r="AC708" s="3">
        <f t="shared" si="549"/>
        <v>0</v>
      </c>
      <c r="AD708" s="3">
        <f>-309.788564*627.50956</f>
        <v>-194395.28548867183</v>
      </c>
      <c r="AE708" s="3">
        <f>-311.955908*627.50956</f>
        <v>-195755.31456848048</v>
      </c>
      <c r="AF708" s="3">
        <f t="shared" si="550"/>
        <v>-1360.0290798086498</v>
      </c>
      <c r="AG708" s="3">
        <f>-309.829542*627.50956</f>
        <v>-194420.99957542151</v>
      </c>
      <c r="AH708" s="3">
        <f>-311.997746*627.50956</f>
        <v>-195781.56831345175</v>
      </c>
      <c r="AI708" s="3">
        <f t="shared" si="551"/>
        <v>-1360.5687380302406</v>
      </c>
      <c r="AJ708" s="3">
        <v>0.17899999999999999</v>
      </c>
      <c r="AK708" s="3">
        <v>0.20799999999999999</v>
      </c>
      <c r="AL708" s="3">
        <f t="shared" si="552"/>
        <v>2.8999999999999998E-2</v>
      </c>
      <c r="AM708" s="3">
        <v>108.1808</v>
      </c>
      <c r="AN708" s="3">
        <v>191.39850000000001</v>
      </c>
      <c r="AO708" s="3">
        <v>205.91800000000001</v>
      </c>
      <c r="AP708" s="3">
        <f t="shared" si="561"/>
        <v>1.1351805445201071</v>
      </c>
      <c r="AQ708" s="3">
        <v>9.4600000000000009</v>
      </c>
      <c r="AR708" s="3">
        <v>2.0817000000000001</v>
      </c>
      <c r="AS708" s="3">
        <v>-959.76900000000001</v>
      </c>
      <c r="AT708" s="3">
        <v>-958.05</v>
      </c>
      <c r="AU708" s="3">
        <f t="shared" si="554"/>
        <v>-1.7190000000000509</v>
      </c>
      <c r="AV708" s="3">
        <v>-0.317</v>
      </c>
      <c r="AW708" s="3">
        <v>-0.45</v>
      </c>
      <c r="AX708" s="3">
        <f t="shared" si="529"/>
        <v>0.13300000000000001</v>
      </c>
      <c r="AY708" s="3">
        <v>-2.4E-2</v>
      </c>
      <c r="AZ708" s="3">
        <v>0.13500000000000001</v>
      </c>
      <c r="BA708" s="3">
        <f t="shared" si="530"/>
        <v>-0.159</v>
      </c>
      <c r="BB708" s="3">
        <f t="shared" si="558"/>
        <v>0.17050000000000001</v>
      </c>
      <c r="BC708" s="3">
        <f t="shared" si="558"/>
        <v>0.1575</v>
      </c>
      <c r="BD708" s="3">
        <f t="shared" si="531"/>
        <v>1.3000000000000012E-2</v>
      </c>
      <c r="BE708" s="3">
        <f t="shared" si="559"/>
        <v>0.29299999999999998</v>
      </c>
      <c r="BF708" s="3">
        <f t="shared" si="559"/>
        <v>0.58499999999999996</v>
      </c>
      <c r="BG708" s="3">
        <f t="shared" si="532"/>
        <v>-0.29199999999999998</v>
      </c>
      <c r="BH708" s="3">
        <f t="shared" si="560"/>
        <v>-0.17050000000000001</v>
      </c>
      <c r="BI708" s="3">
        <f t="shared" si="560"/>
        <v>-0.1575</v>
      </c>
      <c r="BJ708" s="3">
        <f t="shared" si="567"/>
        <v>-1.3000000000000012E-2</v>
      </c>
      <c r="BK708" s="3">
        <f t="shared" si="564"/>
        <v>4.9607935153583631E-2</v>
      </c>
      <c r="BL708" s="3">
        <f t="shared" si="565"/>
        <v>2.120192307692308E-2</v>
      </c>
      <c r="BM708" s="3">
        <f t="shared" si="533"/>
        <v>2.8406012076660551E-2</v>
      </c>
      <c r="BN708" s="3">
        <v>2.2370000000000001</v>
      </c>
      <c r="BO708" s="3">
        <v>2.431</v>
      </c>
      <c r="BP708" s="3">
        <f t="shared" si="534"/>
        <v>-0.19399999999999995</v>
      </c>
      <c r="BQ708" s="3">
        <v>-602243.07700000005</v>
      </c>
      <c r="BR708" s="3">
        <v>-601163.24300000002</v>
      </c>
      <c r="BS708" s="3">
        <f t="shared" si="535"/>
        <v>-1079.8340000000317</v>
      </c>
      <c r="BT708" s="3">
        <v>-602262.36399999994</v>
      </c>
      <c r="BU708" s="3">
        <v>-601182.38500000001</v>
      </c>
      <c r="BV708" s="3">
        <f t="shared" si="536"/>
        <v>-1079.9789999999339</v>
      </c>
    </row>
    <row r="709" spans="1:74" x14ac:dyDescent="0.25">
      <c r="A709" t="s">
        <v>161</v>
      </c>
      <c r="B709" t="s">
        <v>728</v>
      </c>
      <c r="C709" t="s">
        <v>103</v>
      </c>
      <c r="D709" s="3">
        <v>2.13</v>
      </c>
      <c r="E709" s="3">
        <v>0.73</v>
      </c>
      <c r="F709" s="3">
        <v>-559.91499999999996</v>
      </c>
      <c r="G709" s="3">
        <v>-562.37</v>
      </c>
      <c r="H709" s="3">
        <f t="shared" si="553"/>
        <v>-2.4550000000000409</v>
      </c>
      <c r="I709" s="3">
        <v>-0.33900000000000002</v>
      </c>
      <c r="J709" s="6">
        <v>-0.25900000000000001</v>
      </c>
      <c r="K709" s="3">
        <f t="shared" si="540"/>
        <v>8.0000000000000016E-2</v>
      </c>
      <c r="L709" s="3">
        <v>0.11</v>
      </c>
      <c r="M709" s="6">
        <v>-2.7E-2</v>
      </c>
      <c r="N709" s="3">
        <f t="shared" si="541"/>
        <v>-0.13700000000000001</v>
      </c>
      <c r="O709" s="3">
        <f t="shared" si="528"/>
        <v>0.11450000000000002</v>
      </c>
      <c r="P709" s="3">
        <f t="shared" si="528"/>
        <v>0.14300000000000002</v>
      </c>
      <c r="Q709" s="3">
        <f t="shared" si="542"/>
        <v>2.8499999999999998E-2</v>
      </c>
      <c r="R709" s="3">
        <f t="shared" si="543"/>
        <v>0.44900000000000001</v>
      </c>
      <c r="S709" s="3">
        <f t="shared" si="544"/>
        <v>0.23200000000000001</v>
      </c>
      <c r="T709" s="3">
        <f t="shared" si="545"/>
        <v>-0.217</v>
      </c>
      <c r="U709" s="3">
        <f t="shared" si="546"/>
        <v>-0.11450000000000002</v>
      </c>
      <c r="V709" s="3">
        <f t="shared" si="547"/>
        <v>-0.14300000000000002</v>
      </c>
      <c r="W709" s="3">
        <f t="shared" si="566"/>
        <v>-2.8499999999999998E-2</v>
      </c>
      <c r="X709" s="3">
        <f t="shared" si="562"/>
        <v>1.4599387527839647E-2</v>
      </c>
      <c r="Y709" s="3">
        <f t="shared" si="563"/>
        <v>4.4071120689655179E-2</v>
      </c>
      <c r="Z709" s="3">
        <f t="shared" si="548"/>
        <v>2.9471733161815533E-2</v>
      </c>
      <c r="AA709" s="3">
        <v>0.90500000000000003</v>
      </c>
      <c r="AB709" s="3">
        <v>0.97899999999999998</v>
      </c>
      <c r="AC709" s="3">
        <f t="shared" si="549"/>
        <v>7.3999999999999955E-2</v>
      </c>
      <c r="AD709" s="3">
        <f>-559.754079*627.50956</f>
        <v>-351251.03582149523</v>
      </c>
      <c r="AE709" s="3">
        <f>-562.217173*627.50956</f>
        <v>-352796.65085367387</v>
      </c>
      <c r="AF709" s="3">
        <f t="shared" si="550"/>
        <v>-1545.6150321786408</v>
      </c>
      <c r="AG709" s="3">
        <f>-559.794247*627.50956</f>
        <v>-351276.24162550131</v>
      </c>
      <c r="AH709" s="3">
        <f>-562.258151*627.50956</f>
        <v>-352822.36494042352</v>
      </c>
      <c r="AI709" s="3">
        <f t="shared" si="551"/>
        <v>-1546.1233149222098</v>
      </c>
      <c r="AJ709" s="3">
        <v>-0.23200000000000001</v>
      </c>
      <c r="AK709" s="3">
        <v>-0.18</v>
      </c>
      <c r="AL709" s="3">
        <f t="shared" si="552"/>
        <v>5.2000000000000018E-2</v>
      </c>
      <c r="AM709" s="3">
        <v>122.2398</v>
      </c>
      <c r="AN709" s="3">
        <v>201.21700000000001</v>
      </c>
      <c r="AO709" s="3">
        <v>216.14099999999999</v>
      </c>
      <c r="AP709" s="3">
        <f t="shared" si="561"/>
        <v>1.1554802209097503</v>
      </c>
      <c r="AQ709" s="3">
        <v>10.175000000000001</v>
      </c>
      <c r="AR709" s="3">
        <v>2.2128999999999999</v>
      </c>
      <c r="AS709" s="3">
        <v>-959.76900000000001</v>
      </c>
      <c r="AT709" s="3">
        <v>-958.05</v>
      </c>
      <c r="AU709" s="3">
        <f t="shared" si="554"/>
        <v>-1.7190000000000509</v>
      </c>
      <c r="AV709" s="3">
        <v>-0.317</v>
      </c>
      <c r="AW709" s="3">
        <v>-0.45</v>
      </c>
      <c r="AX709" s="3">
        <f t="shared" si="529"/>
        <v>0.13300000000000001</v>
      </c>
      <c r="AY709" s="3">
        <v>-2.4E-2</v>
      </c>
      <c r="AZ709" s="3">
        <v>0.13500000000000001</v>
      </c>
      <c r="BA709" s="3">
        <f t="shared" si="530"/>
        <v>-0.159</v>
      </c>
      <c r="BB709" s="3">
        <f t="shared" si="558"/>
        <v>0.17050000000000001</v>
      </c>
      <c r="BC709" s="3">
        <f t="shared" si="558"/>
        <v>0.1575</v>
      </c>
      <c r="BD709" s="3">
        <f t="shared" si="531"/>
        <v>1.3000000000000012E-2</v>
      </c>
      <c r="BE709" s="3">
        <f t="shared" si="559"/>
        <v>0.29299999999999998</v>
      </c>
      <c r="BF709" s="3">
        <f t="shared" si="559"/>
        <v>0.58499999999999996</v>
      </c>
      <c r="BG709" s="3">
        <f t="shared" si="532"/>
        <v>-0.29199999999999998</v>
      </c>
      <c r="BH709" s="3">
        <f t="shared" si="560"/>
        <v>-0.17050000000000001</v>
      </c>
      <c r="BI709" s="3">
        <f t="shared" si="560"/>
        <v>-0.1575</v>
      </c>
      <c r="BJ709" s="3">
        <f t="shared" si="567"/>
        <v>-1.3000000000000012E-2</v>
      </c>
      <c r="BK709" s="3">
        <f t="shared" si="564"/>
        <v>4.9607935153583631E-2</v>
      </c>
      <c r="BL709" s="3">
        <f t="shared" si="565"/>
        <v>2.120192307692308E-2</v>
      </c>
      <c r="BM709" s="3">
        <f t="shared" si="533"/>
        <v>2.8406012076660551E-2</v>
      </c>
      <c r="BN709" s="3">
        <v>2.2370000000000001</v>
      </c>
      <c r="BO709" s="3">
        <v>2.431</v>
      </c>
      <c r="BP709" s="3">
        <f t="shared" si="534"/>
        <v>-0.19399999999999995</v>
      </c>
      <c r="BQ709" s="3">
        <v>-602243.07700000005</v>
      </c>
      <c r="BR709" s="3">
        <v>-601163.24300000002</v>
      </c>
      <c r="BS709" s="3">
        <f t="shared" si="535"/>
        <v>-1079.8340000000317</v>
      </c>
      <c r="BT709" s="3">
        <v>-602262.36399999994</v>
      </c>
      <c r="BU709" s="3">
        <v>-601182.38500000001</v>
      </c>
      <c r="BV709" s="3">
        <f t="shared" si="536"/>
        <v>-1079.9789999999339</v>
      </c>
    </row>
    <row r="710" spans="1:74" x14ac:dyDescent="0.25">
      <c r="A710" t="s">
        <v>162</v>
      </c>
      <c r="B710" t="s">
        <v>728</v>
      </c>
      <c r="C710" t="s">
        <v>103</v>
      </c>
      <c r="D710" s="3">
        <v>2.2000000000000002</v>
      </c>
      <c r="E710" s="3">
        <v>0.75</v>
      </c>
      <c r="F710" s="3">
        <v>-485.33300000000003</v>
      </c>
      <c r="G710" s="3">
        <v>-487.35700000000003</v>
      </c>
      <c r="H710" s="3">
        <f t="shared" si="553"/>
        <v>-2.0240000000000009</v>
      </c>
      <c r="I710" s="3">
        <v>-0.39600000000000002</v>
      </c>
      <c r="J710" s="6">
        <v>-0.27900000000000003</v>
      </c>
      <c r="K710" s="3">
        <f t="shared" si="540"/>
        <v>0.11699999999999999</v>
      </c>
      <c r="L710" s="3">
        <v>0.14899999999999999</v>
      </c>
      <c r="M710" s="6">
        <v>3.7999999999999999E-2</v>
      </c>
      <c r="N710" s="3">
        <f t="shared" si="541"/>
        <v>-0.11099999999999999</v>
      </c>
      <c r="O710" s="3">
        <f t="shared" si="528"/>
        <v>0.12350000000000001</v>
      </c>
      <c r="P710" s="3">
        <f t="shared" si="528"/>
        <v>0.12050000000000001</v>
      </c>
      <c r="Q710" s="3">
        <f t="shared" si="542"/>
        <v>-3.0000000000000027E-3</v>
      </c>
      <c r="R710" s="3">
        <f t="shared" si="543"/>
        <v>0.54500000000000004</v>
      </c>
      <c r="S710" s="3">
        <f t="shared" si="544"/>
        <v>0.317</v>
      </c>
      <c r="T710" s="3">
        <f t="shared" si="545"/>
        <v>-0.22800000000000004</v>
      </c>
      <c r="U710" s="3">
        <f t="shared" si="546"/>
        <v>-0.12350000000000001</v>
      </c>
      <c r="V710" s="3">
        <f t="shared" si="547"/>
        <v>-0.12050000000000001</v>
      </c>
      <c r="W710" s="3">
        <f t="shared" si="566"/>
        <v>3.0000000000000027E-3</v>
      </c>
      <c r="X710" s="3">
        <f t="shared" si="562"/>
        <v>1.3992889908256883E-2</v>
      </c>
      <c r="Y710" s="3">
        <f t="shared" si="563"/>
        <v>2.2902602523659308E-2</v>
      </c>
      <c r="Z710" s="3">
        <f t="shared" si="548"/>
        <v>8.9097126154024254E-3</v>
      </c>
      <c r="AA710" s="3">
        <v>0.58699999999999997</v>
      </c>
      <c r="AB710" s="3">
        <v>0.66800000000000004</v>
      </c>
      <c r="AC710" s="3">
        <f t="shared" si="549"/>
        <v>8.1000000000000072E-2</v>
      </c>
      <c r="AD710" s="3">
        <f>-485.158667*627.50956</f>
        <v>-304441.70165935648</v>
      </c>
      <c r="AE710" s="3">
        <f>-487.191702*627.50956</f>
        <v>-305717.45055767114</v>
      </c>
      <c r="AF710" s="3">
        <f t="shared" si="550"/>
        <v>-1275.7488983146613</v>
      </c>
      <c r="AG710" s="3">
        <f>-485.198135*627.50956</f>
        <v>-304466.46820667054</v>
      </c>
      <c r="AH710" s="3">
        <f>-487.231805*627.50956</f>
        <v>-305742.61557355581</v>
      </c>
      <c r="AI710" s="3">
        <f t="shared" si="551"/>
        <v>-1276.1473668852705</v>
      </c>
      <c r="AJ710" s="3">
        <v>-0.248</v>
      </c>
      <c r="AK710" s="3">
        <v>-0.19800000000000001</v>
      </c>
      <c r="AL710" s="3">
        <f t="shared" si="552"/>
        <v>4.9999999999999989E-2</v>
      </c>
      <c r="AM710" s="3">
        <v>100.23399999999999</v>
      </c>
      <c r="AN710" s="3">
        <v>178.84350000000001</v>
      </c>
      <c r="AO710" s="3">
        <v>195.10599999999999</v>
      </c>
      <c r="AP710" s="3">
        <f t="shared" si="561"/>
        <v>1.0995509566192185</v>
      </c>
      <c r="AQ710" s="3">
        <v>8.3209999999999997</v>
      </c>
      <c r="AR710" s="3">
        <v>1.7689999999999999</v>
      </c>
      <c r="AS710" s="3">
        <v>-959.76900000000001</v>
      </c>
      <c r="AT710" s="3">
        <v>-958.05</v>
      </c>
      <c r="AU710" s="3">
        <f t="shared" si="554"/>
        <v>-1.7190000000000509</v>
      </c>
      <c r="AV710" s="3">
        <v>-0.317</v>
      </c>
      <c r="AW710" s="3">
        <v>-0.45</v>
      </c>
      <c r="AX710" s="3">
        <f t="shared" si="529"/>
        <v>0.13300000000000001</v>
      </c>
      <c r="AY710" s="3">
        <v>-2.4E-2</v>
      </c>
      <c r="AZ710" s="3">
        <v>0.13500000000000001</v>
      </c>
      <c r="BA710" s="3">
        <f t="shared" si="530"/>
        <v>-0.159</v>
      </c>
      <c r="BB710" s="3">
        <f t="shared" si="558"/>
        <v>0.17050000000000001</v>
      </c>
      <c r="BC710" s="3">
        <f t="shared" si="558"/>
        <v>0.1575</v>
      </c>
      <c r="BD710" s="3">
        <f t="shared" si="531"/>
        <v>1.3000000000000012E-2</v>
      </c>
      <c r="BE710" s="3">
        <f t="shared" si="559"/>
        <v>0.29299999999999998</v>
      </c>
      <c r="BF710" s="3">
        <f t="shared" si="559"/>
        <v>0.58499999999999996</v>
      </c>
      <c r="BG710" s="3">
        <f t="shared" si="532"/>
        <v>-0.29199999999999998</v>
      </c>
      <c r="BH710" s="3">
        <f t="shared" si="560"/>
        <v>-0.17050000000000001</v>
      </c>
      <c r="BI710" s="3">
        <f t="shared" si="560"/>
        <v>-0.1575</v>
      </c>
      <c r="BJ710" s="3">
        <f t="shared" si="567"/>
        <v>-1.3000000000000012E-2</v>
      </c>
      <c r="BK710" s="3">
        <f t="shared" si="564"/>
        <v>4.9607935153583631E-2</v>
      </c>
      <c r="BL710" s="3">
        <f t="shared" si="565"/>
        <v>2.120192307692308E-2</v>
      </c>
      <c r="BM710" s="3">
        <f t="shared" si="533"/>
        <v>2.8406012076660551E-2</v>
      </c>
      <c r="BN710" s="3">
        <v>2.2370000000000001</v>
      </c>
      <c r="BO710" s="3">
        <v>2.431</v>
      </c>
      <c r="BP710" s="3">
        <f t="shared" si="534"/>
        <v>-0.19399999999999995</v>
      </c>
      <c r="BQ710" s="3">
        <v>-602243.07700000005</v>
      </c>
      <c r="BR710" s="3">
        <v>-601163.24300000002</v>
      </c>
      <c r="BS710" s="3">
        <f t="shared" si="535"/>
        <v>-1079.8340000000317</v>
      </c>
      <c r="BT710" s="3">
        <v>-602262.36399999994</v>
      </c>
      <c r="BU710" s="3">
        <v>-601182.38500000001</v>
      </c>
      <c r="BV710" s="3">
        <f t="shared" si="536"/>
        <v>-1079.9789999999339</v>
      </c>
    </row>
    <row r="711" spans="1:74" x14ac:dyDescent="0.25">
      <c r="A711" t="s">
        <v>163</v>
      </c>
      <c r="B711" t="s">
        <v>728</v>
      </c>
      <c r="C711" t="s">
        <v>103</v>
      </c>
      <c r="D711" s="3">
        <v>2.27</v>
      </c>
      <c r="E711" s="3">
        <v>0.73</v>
      </c>
      <c r="F711" s="3">
        <v>-759.8</v>
      </c>
      <c r="G711" s="3">
        <v>-763.82899999999995</v>
      </c>
      <c r="H711" s="3">
        <f t="shared" si="553"/>
        <v>-4.0289999999999964</v>
      </c>
      <c r="I711" s="3">
        <v>-0.39300000000000002</v>
      </c>
      <c r="J711" s="6">
        <v>-0.27700000000000002</v>
      </c>
      <c r="K711" s="3">
        <f t="shared" si="540"/>
        <v>0.11599999999999999</v>
      </c>
      <c r="L711" s="3">
        <v>0.14799999999999999</v>
      </c>
      <c r="M711" s="6">
        <v>3.5999999999999997E-2</v>
      </c>
      <c r="N711" s="3">
        <f t="shared" si="541"/>
        <v>-0.11199999999999999</v>
      </c>
      <c r="O711" s="3">
        <f t="shared" si="528"/>
        <v>0.12250000000000001</v>
      </c>
      <c r="P711" s="3">
        <f t="shared" si="528"/>
        <v>0.12050000000000001</v>
      </c>
      <c r="Q711" s="3">
        <f t="shared" si="542"/>
        <v>-2.0000000000000018E-3</v>
      </c>
      <c r="R711" s="3">
        <f t="shared" si="543"/>
        <v>0.54100000000000004</v>
      </c>
      <c r="S711" s="3">
        <f t="shared" si="544"/>
        <v>0.313</v>
      </c>
      <c r="T711" s="3">
        <f t="shared" si="545"/>
        <v>-0.22800000000000004</v>
      </c>
      <c r="U711" s="3">
        <f t="shared" si="546"/>
        <v>-0.12250000000000001</v>
      </c>
      <c r="V711" s="3">
        <f t="shared" si="547"/>
        <v>-0.12050000000000001</v>
      </c>
      <c r="W711" s="3">
        <f t="shared" si="566"/>
        <v>2.0000000000000018E-3</v>
      </c>
      <c r="X711" s="3">
        <f t="shared" si="562"/>
        <v>1.386899260628466E-2</v>
      </c>
      <c r="Y711" s="3">
        <f t="shared" si="563"/>
        <v>2.3195287539936105E-2</v>
      </c>
      <c r="Z711" s="3">
        <f t="shared" si="548"/>
        <v>9.3262949336514449E-3</v>
      </c>
      <c r="AA711" s="3">
        <v>1.069</v>
      </c>
      <c r="AB711" s="3">
        <v>1.1319999999999999</v>
      </c>
      <c r="AC711" s="3">
        <f t="shared" si="549"/>
        <v>6.2999999999999945E-2</v>
      </c>
      <c r="AD711" s="3">
        <f>-759.384985*627.50956</f>
        <v>-476521.33780795662</v>
      </c>
      <c r="AE711" s="3">
        <f>-763.434969*627.50956</f>
        <v>-479062.74148580362</v>
      </c>
      <c r="AF711" s="3">
        <f t="shared" si="550"/>
        <v>-2541.4036778470036</v>
      </c>
      <c r="AG711" s="3">
        <f>-759.453702*627.50956</f>
        <v>-476564.45838239108</v>
      </c>
      <c r="AH711" s="3">
        <f>-763.504965*627.50956</f>
        <v>-479106.66464496538</v>
      </c>
      <c r="AI711" s="3">
        <f t="shared" si="551"/>
        <v>-2542.2062625742983</v>
      </c>
      <c r="AJ711" s="3">
        <v>-0.245</v>
      </c>
      <c r="AK711" s="3">
        <v>-0.192</v>
      </c>
      <c r="AL711" s="3">
        <f t="shared" si="552"/>
        <v>5.2999999999999992E-2</v>
      </c>
      <c r="AM711" s="3">
        <v>200.43600000000001</v>
      </c>
      <c r="AN711" s="3">
        <v>358.83350000000002</v>
      </c>
      <c r="AO711" s="3">
        <v>413.0915</v>
      </c>
      <c r="AP711" s="3">
        <f t="shared" si="561"/>
        <v>1.3379855577951849</v>
      </c>
      <c r="AQ711" s="3">
        <v>20.16</v>
      </c>
      <c r="AR711" s="3">
        <v>4.9600999999999997</v>
      </c>
      <c r="AS711" s="3">
        <v>-959.76900000000001</v>
      </c>
      <c r="AT711" s="3">
        <v>-958.05</v>
      </c>
      <c r="AU711" s="3">
        <f t="shared" si="554"/>
        <v>-1.7190000000000509</v>
      </c>
      <c r="AV711" s="3">
        <v>-0.317</v>
      </c>
      <c r="AW711" s="3">
        <v>-0.45</v>
      </c>
      <c r="AX711" s="3">
        <f t="shared" si="529"/>
        <v>0.13300000000000001</v>
      </c>
      <c r="AY711" s="3">
        <v>-2.4E-2</v>
      </c>
      <c r="AZ711" s="3">
        <v>0.13500000000000001</v>
      </c>
      <c r="BA711" s="3">
        <f t="shared" si="530"/>
        <v>-0.159</v>
      </c>
      <c r="BB711" s="3">
        <f t="shared" si="558"/>
        <v>0.17050000000000001</v>
      </c>
      <c r="BC711" s="3">
        <f t="shared" si="558"/>
        <v>0.1575</v>
      </c>
      <c r="BD711" s="3">
        <f t="shared" si="531"/>
        <v>1.3000000000000012E-2</v>
      </c>
      <c r="BE711" s="3">
        <f t="shared" si="559"/>
        <v>0.29299999999999998</v>
      </c>
      <c r="BF711" s="3">
        <f t="shared" si="559"/>
        <v>0.58499999999999996</v>
      </c>
      <c r="BG711" s="3">
        <f t="shared" si="532"/>
        <v>-0.29199999999999998</v>
      </c>
      <c r="BH711" s="3">
        <f t="shared" si="560"/>
        <v>-0.17050000000000001</v>
      </c>
      <c r="BI711" s="3">
        <f t="shared" si="560"/>
        <v>-0.1575</v>
      </c>
      <c r="BJ711" s="3">
        <f t="shared" si="567"/>
        <v>-1.3000000000000012E-2</v>
      </c>
      <c r="BK711" s="3">
        <f t="shared" si="564"/>
        <v>4.9607935153583631E-2</v>
      </c>
      <c r="BL711" s="3">
        <f t="shared" si="565"/>
        <v>2.120192307692308E-2</v>
      </c>
      <c r="BM711" s="3">
        <f t="shared" si="533"/>
        <v>2.8406012076660551E-2</v>
      </c>
      <c r="BN711" s="3">
        <v>2.2370000000000001</v>
      </c>
      <c r="BO711" s="3">
        <v>2.431</v>
      </c>
      <c r="BP711" s="3">
        <f t="shared" si="534"/>
        <v>-0.19399999999999995</v>
      </c>
      <c r="BQ711" s="3">
        <v>-602243.07700000005</v>
      </c>
      <c r="BR711" s="3">
        <v>-601163.24300000002</v>
      </c>
      <c r="BS711" s="3">
        <f t="shared" si="535"/>
        <v>-1079.8340000000317</v>
      </c>
      <c r="BT711" s="3">
        <v>-602262.36399999994</v>
      </c>
      <c r="BU711" s="3">
        <v>-601182.38500000001</v>
      </c>
      <c r="BV711" s="3">
        <f t="shared" si="536"/>
        <v>-1079.9789999999339</v>
      </c>
    </row>
    <row r="712" spans="1:74" x14ac:dyDescent="0.25">
      <c r="A712" t="s">
        <v>164</v>
      </c>
      <c r="B712" t="s">
        <v>728</v>
      </c>
      <c r="C712" t="s">
        <v>103</v>
      </c>
      <c r="D712" s="3">
        <v>2.2999999999999998</v>
      </c>
      <c r="E712" s="3">
        <v>0.75</v>
      </c>
      <c r="F712" s="3">
        <v>-446.26100000000002</v>
      </c>
      <c r="G712" s="3">
        <v>-448.00700000000001</v>
      </c>
      <c r="H712" s="3">
        <f t="shared" si="553"/>
        <v>-1.7459999999999809</v>
      </c>
      <c r="I712" s="3">
        <v>-0.38600000000000001</v>
      </c>
      <c r="J712" s="6">
        <v>-0.27</v>
      </c>
      <c r="K712" s="3">
        <f t="shared" si="540"/>
        <v>0.11599999999999999</v>
      </c>
      <c r="L712" s="3">
        <v>0.151</v>
      </c>
      <c r="M712" s="6">
        <v>3.5000000000000003E-2</v>
      </c>
      <c r="N712" s="3">
        <f t="shared" si="541"/>
        <v>-0.11599999999999999</v>
      </c>
      <c r="O712" s="3">
        <f t="shared" si="528"/>
        <v>0.11750000000000001</v>
      </c>
      <c r="P712" s="3">
        <f t="shared" si="528"/>
        <v>0.11750000000000001</v>
      </c>
      <c r="Q712" s="3">
        <f t="shared" si="542"/>
        <v>0</v>
      </c>
      <c r="R712" s="3">
        <f t="shared" si="543"/>
        <v>0.53700000000000003</v>
      </c>
      <c r="S712" s="3">
        <f t="shared" si="544"/>
        <v>0.30500000000000005</v>
      </c>
      <c r="T712" s="3">
        <f t="shared" si="545"/>
        <v>-0.23199999999999998</v>
      </c>
      <c r="U712" s="3">
        <f t="shared" si="546"/>
        <v>-0.11750000000000001</v>
      </c>
      <c r="V712" s="3">
        <f t="shared" si="547"/>
        <v>-0.11750000000000001</v>
      </c>
      <c r="W712" s="3">
        <f t="shared" si="566"/>
        <v>0</v>
      </c>
      <c r="X712" s="3">
        <f t="shared" si="562"/>
        <v>1.2854981378026072E-2</v>
      </c>
      <c r="Y712" s="3">
        <f t="shared" si="563"/>
        <v>2.2633196721311477E-2</v>
      </c>
      <c r="Z712" s="3">
        <f t="shared" si="548"/>
        <v>9.7782153432854051E-3</v>
      </c>
      <c r="AA712" s="3">
        <v>0.77700000000000002</v>
      </c>
      <c r="AB712" s="3">
        <v>0.79900000000000004</v>
      </c>
      <c r="AC712" s="3">
        <f t="shared" si="549"/>
        <v>2.200000000000002E-2</v>
      </c>
      <c r="AD712" s="3">
        <f>-446.119326*627.50956</f>
        <v>-279944.14196575654</v>
      </c>
      <c r="AE712" s="3">
        <f>-447.871982*627.50956</f>
        <v>-281043.95036114793</v>
      </c>
      <c r="AF712" s="3">
        <f t="shared" si="550"/>
        <v>-1099.8083953913883</v>
      </c>
      <c r="AG712" s="3">
        <f>-446.156594*627.50956</f>
        <v>-279967.52799203864</v>
      </c>
      <c r="AH712" s="3">
        <f>-447.909874*627.50956</f>
        <v>-281067.7279533954</v>
      </c>
      <c r="AI712" s="3">
        <f t="shared" si="551"/>
        <v>-1100.1999613567605</v>
      </c>
      <c r="AJ712" s="3">
        <v>-0.247</v>
      </c>
      <c r="AK712" s="3">
        <v>-0.19800000000000001</v>
      </c>
      <c r="AL712" s="3">
        <f t="shared" si="552"/>
        <v>4.8999999999999988E-2</v>
      </c>
      <c r="AM712" s="3">
        <v>86.207700000000003</v>
      </c>
      <c r="AN712" s="3">
        <v>163.44380000000001</v>
      </c>
      <c r="AO712" s="3">
        <v>170.381</v>
      </c>
      <c r="AP712" s="3">
        <f t="shared" si="561"/>
        <v>1.0998757479502432</v>
      </c>
      <c r="AQ712" s="3">
        <v>7.9249999999999998</v>
      </c>
      <c r="AR712" s="3">
        <v>1.6282000000000001</v>
      </c>
      <c r="AS712" s="3">
        <v>-959.76900000000001</v>
      </c>
      <c r="AT712" s="3">
        <v>-958.05</v>
      </c>
      <c r="AU712" s="3">
        <f t="shared" si="554"/>
        <v>-1.7190000000000509</v>
      </c>
      <c r="AV712" s="3">
        <v>-0.317</v>
      </c>
      <c r="AW712" s="3">
        <v>-0.45</v>
      </c>
      <c r="AX712" s="3">
        <f t="shared" si="529"/>
        <v>0.13300000000000001</v>
      </c>
      <c r="AY712" s="3">
        <v>-2.4E-2</v>
      </c>
      <c r="AZ712" s="3">
        <v>0.13500000000000001</v>
      </c>
      <c r="BA712" s="3">
        <f t="shared" si="530"/>
        <v>-0.159</v>
      </c>
      <c r="BB712" s="3">
        <f t="shared" ref="BB712:BC725" si="568">-(AV712+AY712)/2</f>
        <v>0.17050000000000001</v>
      </c>
      <c r="BC712" s="3">
        <f t="shared" si="568"/>
        <v>0.1575</v>
      </c>
      <c r="BD712" s="3">
        <f t="shared" si="531"/>
        <v>1.3000000000000012E-2</v>
      </c>
      <c r="BE712" s="3">
        <f t="shared" ref="BE712:BF725" si="569">AY712-AV712</f>
        <v>0.29299999999999998</v>
      </c>
      <c r="BF712" s="3">
        <f t="shared" si="569"/>
        <v>0.58499999999999996</v>
      </c>
      <c r="BG712" s="3">
        <f t="shared" si="532"/>
        <v>-0.29199999999999998</v>
      </c>
      <c r="BH712" s="3">
        <f t="shared" ref="BH712:BI725" si="570">(AV712+AY712)/2</f>
        <v>-0.17050000000000001</v>
      </c>
      <c r="BI712" s="3">
        <f t="shared" si="570"/>
        <v>-0.1575</v>
      </c>
      <c r="BJ712" s="3">
        <f t="shared" si="567"/>
        <v>-1.3000000000000012E-2</v>
      </c>
      <c r="BK712" s="3">
        <f t="shared" si="564"/>
        <v>4.9607935153583631E-2</v>
      </c>
      <c r="BL712" s="3">
        <f t="shared" si="565"/>
        <v>2.120192307692308E-2</v>
      </c>
      <c r="BM712" s="3">
        <f t="shared" si="533"/>
        <v>2.8406012076660551E-2</v>
      </c>
      <c r="BN712" s="3">
        <v>2.2370000000000001</v>
      </c>
      <c r="BO712" s="3">
        <v>2.431</v>
      </c>
      <c r="BP712" s="3">
        <f t="shared" si="534"/>
        <v>-0.19399999999999995</v>
      </c>
      <c r="BQ712" s="3">
        <v>-602243.07700000005</v>
      </c>
      <c r="BR712" s="3">
        <v>-601163.24300000002</v>
      </c>
      <c r="BS712" s="3">
        <f t="shared" si="535"/>
        <v>-1079.8340000000317</v>
      </c>
      <c r="BT712" s="3">
        <v>-602262.36399999994</v>
      </c>
      <c r="BU712" s="3">
        <v>-601182.38500000001</v>
      </c>
      <c r="BV712" s="3">
        <f t="shared" si="536"/>
        <v>-1079.9789999999339</v>
      </c>
    </row>
    <row r="713" spans="1:74" x14ac:dyDescent="0.25">
      <c r="A713" t="s">
        <v>165</v>
      </c>
      <c r="B713" t="s">
        <v>728</v>
      </c>
      <c r="C713" t="s">
        <v>103</v>
      </c>
      <c r="D713" s="3">
        <v>2.4</v>
      </c>
      <c r="E713" s="3">
        <v>0.75</v>
      </c>
      <c r="F713" s="3">
        <v>-561.42899999999997</v>
      </c>
      <c r="G713" s="3">
        <v>-563.85299999999995</v>
      </c>
      <c r="H713" s="3">
        <f t="shared" si="553"/>
        <v>-2.4239999999999782</v>
      </c>
      <c r="I713" s="3">
        <v>-0.41599999999999998</v>
      </c>
      <c r="J713" s="6">
        <v>-0.27500000000000002</v>
      </c>
      <c r="K713" s="3">
        <f t="shared" si="540"/>
        <v>0.14099999999999996</v>
      </c>
      <c r="L713" s="3">
        <v>0.153</v>
      </c>
      <c r="M713" s="6">
        <v>4.1000000000000002E-2</v>
      </c>
      <c r="N713" s="3">
        <f t="shared" si="541"/>
        <v>-0.11199999999999999</v>
      </c>
      <c r="O713" s="3">
        <f t="shared" si="528"/>
        <v>0.13150000000000001</v>
      </c>
      <c r="P713" s="3">
        <f t="shared" si="528"/>
        <v>0.11700000000000001</v>
      </c>
      <c r="Q713" s="3">
        <f t="shared" si="542"/>
        <v>-1.4499999999999999E-2</v>
      </c>
      <c r="R713" s="3">
        <f t="shared" si="543"/>
        <v>0.56899999999999995</v>
      </c>
      <c r="S713" s="3">
        <f t="shared" si="544"/>
        <v>0.316</v>
      </c>
      <c r="T713" s="3">
        <f t="shared" si="545"/>
        <v>-0.25299999999999995</v>
      </c>
      <c r="U713" s="3">
        <f t="shared" si="546"/>
        <v>-0.13150000000000001</v>
      </c>
      <c r="V713" s="3">
        <f t="shared" si="547"/>
        <v>-0.11700000000000001</v>
      </c>
      <c r="W713" s="3">
        <f t="shared" si="566"/>
        <v>1.4499999999999999E-2</v>
      </c>
      <c r="X713" s="3">
        <f t="shared" si="562"/>
        <v>1.5195298769771532E-2</v>
      </c>
      <c r="Y713" s="3">
        <f t="shared" si="563"/>
        <v>2.1659810126582281E-2</v>
      </c>
      <c r="Z713" s="3">
        <f t="shared" si="548"/>
        <v>6.4645113568107485E-3</v>
      </c>
      <c r="AA713" s="3">
        <v>1.1459999999999999</v>
      </c>
      <c r="AB713" s="3">
        <v>1.135</v>
      </c>
      <c r="AC713" s="3">
        <f t="shared" si="549"/>
        <v>-1.0999999999999899E-2</v>
      </c>
      <c r="AD713" s="3">
        <f>-561.226091*627.50956</f>
        <v>-352174.73742392991</v>
      </c>
      <c r="AE713" s="3">
        <f>-563.660242*627.50956</f>
        <v>-353702.19044691353</v>
      </c>
      <c r="AF713" s="3">
        <f t="shared" si="550"/>
        <v>-1527.4530229836237</v>
      </c>
      <c r="AG713" s="3">
        <f>-561.274701*627.50956</f>
        <v>-352205.2406636416</v>
      </c>
      <c r="AH713" s="3">
        <f>-563.709506*627.50956</f>
        <v>-353733.10407787736</v>
      </c>
      <c r="AI713" s="3">
        <f t="shared" si="551"/>
        <v>-1527.8634142357623</v>
      </c>
      <c r="AJ713" s="3">
        <v>-0.28899999999999998</v>
      </c>
      <c r="AK713" s="3">
        <v>-0.23899999999999999</v>
      </c>
      <c r="AL713" s="3">
        <f t="shared" si="552"/>
        <v>4.9999999999999989E-2</v>
      </c>
      <c r="AM713" s="3">
        <v>118.2495</v>
      </c>
      <c r="AN713" s="3">
        <v>215.12</v>
      </c>
      <c r="AO713" s="3">
        <v>228.89279999999999</v>
      </c>
      <c r="AP713" s="3">
        <f t="shared" si="561"/>
        <v>1.1890003571041154</v>
      </c>
      <c r="AQ713" s="3">
        <v>10.728999999999999</v>
      </c>
      <c r="AR713" s="3">
        <v>2.3895</v>
      </c>
      <c r="AS713" s="3">
        <v>-959.76900000000001</v>
      </c>
      <c r="AT713" s="3">
        <v>-958.05</v>
      </c>
      <c r="AU713" s="3">
        <f t="shared" si="554"/>
        <v>-1.7190000000000509</v>
      </c>
      <c r="AV713" s="3">
        <v>-0.317</v>
      </c>
      <c r="AW713" s="3">
        <v>-0.45</v>
      </c>
      <c r="AX713" s="3">
        <f t="shared" si="529"/>
        <v>0.13300000000000001</v>
      </c>
      <c r="AY713" s="3">
        <v>-2.4E-2</v>
      </c>
      <c r="AZ713" s="3">
        <v>0.13500000000000001</v>
      </c>
      <c r="BA713" s="3">
        <f t="shared" si="530"/>
        <v>-0.159</v>
      </c>
      <c r="BB713" s="3">
        <f t="shared" si="568"/>
        <v>0.17050000000000001</v>
      </c>
      <c r="BC713" s="3">
        <f t="shared" si="568"/>
        <v>0.1575</v>
      </c>
      <c r="BD713" s="3">
        <f t="shared" si="531"/>
        <v>1.3000000000000012E-2</v>
      </c>
      <c r="BE713" s="3">
        <f t="shared" si="569"/>
        <v>0.29299999999999998</v>
      </c>
      <c r="BF713" s="3">
        <f t="shared" si="569"/>
        <v>0.58499999999999996</v>
      </c>
      <c r="BG713" s="3">
        <f t="shared" si="532"/>
        <v>-0.29199999999999998</v>
      </c>
      <c r="BH713" s="3">
        <f t="shared" si="570"/>
        <v>-0.17050000000000001</v>
      </c>
      <c r="BI713" s="3">
        <f t="shared" si="570"/>
        <v>-0.1575</v>
      </c>
      <c r="BJ713" s="3">
        <f t="shared" si="567"/>
        <v>-1.3000000000000012E-2</v>
      </c>
      <c r="BK713" s="3">
        <f t="shared" si="564"/>
        <v>4.9607935153583631E-2</v>
      </c>
      <c r="BL713" s="3">
        <f t="shared" si="565"/>
        <v>2.120192307692308E-2</v>
      </c>
      <c r="BM713" s="3">
        <f t="shared" si="533"/>
        <v>2.8406012076660551E-2</v>
      </c>
      <c r="BN713" s="3">
        <v>2.2370000000000001</v>
      </c>
      <c r="BO713" s="3">
        <v>2.431</v>
      </c>
      <c r="BP713" s="3">
        <f t="shared" si="534"/>
        <v>-0.19399999999999995</v>
      </c>
      <c r="BQ713" s="3">
        <v>-602243.07700000005</v>
      </c>
      <c r="BR713" s="3">
        <v>-601163.24300000002</v>
      </c>
      <c r="BS713" s="3">
        <f t="shared" si="535"/>
        <v>-1079.8340000000317</v>
      </c>
      <c r="BT713" s="3">
        <v>-602262.36399999994</v>
      </c>
      <c r="BU713" s="3">
        <v>-601182.38500000001</v>
      </c>
      <c r="BV713" s="3">
        <f t="shared" si="536"/>
        <v>-1079.9789999999339</v>
      </c>
    </row>
    <row r="714" spans="1:74" x14ac:dyDescent="0.25">
      <c r="A714" t="s">
        <v>166</v>
      </c>
      <c r="B714" t="s">
        <v>728</v>
      </c>
      <c r="C714" t="s">
        <v>103</v>
      </c>
      <c r="D714" s="3">
        <v>2.72</v>
      </c>
      <c r="E714" s="3">
        <v>0.73</v>
      </c>
      <c r="F714" s="3">
        <v>-789.51900000000001</v>
      </c>
      <c r="G714" s="3">
        <v>-793.48500000000001</v>
      </c>
      <c r="H714" s="3">
        <f t="shared" si="553"/>
        <v>-3.9660000000000082</v>
      </c>
      <c r="I714" s="3">
        <v>-0.33200000000000002</v>
      </c>
      <c r="J714" s="6">
        <v>-0.254</v>
      </c>
      <c r="K714" s="3">
        <f t="shared" si="540"/>
        <v>7.8000000000000014E-2</v>
      </c>
      <c r="L714" s="3">
        <v>0.112</v>
      </c>
      <c r="M714" s="6">
        <v>-0.03</v>
      </c>
      <c r="N714" s="3">
        <f t="shared" si="541"/>
        <v>-0.14200000000000002</v>
      </c>
      <c r="O714" s="3">
        <f t="shared" si="528"/>
        <v>0.11000000000000001</v>
      </c>
      <c r="P714" s="3">
        <f t="shared" si="528"/>
        <v>0.14200000000000002</v>
      </c>
      <c r="Q714" s="3">
        <f t="shared" si="542"/>
        <v>3.2000000000000001E-2</v>
      </c>
      <c r="R714" s="3">
        <f t="shared" si="543"/>
        <v>0.44400000000000001</v>
      </c>
      <c r="S714" s="3">
        <f t="shared" si="544"/>
        <v>0.224</v>
      </c>
      <c r="T714" s="3">
        <f t="shared" si="545"/>
        <v>-0.22</v>
      </c>
      <c r="U714" s="3">
        <f t="shared" si="546"/>
        <v>-0.11000000000000001</v>
      </c>
      <c r="V714" s="3">
        <f t="shared" si="547"/>
        <v>-0.14200000000000002</v>
      </c>
      <c r="W714" s="3">
        <f t="shared" si="566"/>
        <v>-3.2000000000000001E-2</v>
      </c>
      <c r="X714" s="3">
        <f t="shared" si="562"/>
        <v>1.3626126126126129E-2</v>
      </c>
      <c r="Y714" s="3">
        <f t="shared" si="563"/>
        <v>4.5008928571428582E-2</v>
      </c>
      <c r="Z714" s="3">
        <f t="shared" si="548"/>
        <v>3.1382802445302449E-2</v>
      </c>
      <c r="AA714" s="3">
        <v>0.77100000000000002</v>
      </c>
      <c r="AB714" s="3">
        <v>0.77300000000000002</v>
      </c>
      <c r="AC714" s="3">
        <f t="shared" si="549"/>
        <v>2.0000000000000018E-3</v>
      </c>
      <c r="AD714" s="3">
        <f>-789.264157*627.50956</f>
        <v>-495270.80388284085</v>
      </c>
      <c r="AE714" s="3">
        <f>-793.244329*627.50956</f>
        <v>-497768.39986328519</v>
      </c>
      <c r="AF714" s="3">
        <f t="shared" si="550"/>
        <v>-2497.595980444341</v>
      </c>
      <c r="AG714" s="3">
        <f>-789.319424*627.50956</f>
        <v>-495305.48445369344</v>
      </c>
      <c r="AH714" s="3">
        <f>-793.301481*627.50956</f>
        <v>-497804.26328965829</v>
      </c>
      <c r="AI714" s="3">
        <f t="shared" si="551"/>
        <v>-2498.7788359648548</v>
      </c>
      <c r="AJ714" s="3">
        <v>-0.23699999999999999</v>
      </c>
      <c r="AK714" s="3">
        <v>-0.185</v>
      </c>
      <c r="AL714" s="3">
        <f t="shared" si="552"/>
        <v>5.1999999999999991E-2</v>
      </c>
      <c r="AM714" s="3">
        <v>198.3357</v>
      </c>
      <c r="AN714" s="3">
        <v>281.72699999999998</v>
      </c>
      <c r="AO714" s="3">
        <v>325.24400000000003</v>
      </c>
      <c r="AP714" s="3">
        <f t="shared" si="561"/>
        <v>1.2320024136321694</v>
      </c>
      <c r="AQ714" s="3">
        <v>12.237</v>
      </c>
      <c r="AR714" s="3">
        <v>2.9767999999999999</v>
      </c>
      <c r="AS714" s="3">
        <v>-959.76900000000001</v>
      </c>
      <c r="AT714" s="3">
        <v>-958.05</v>
      </c>
      <c r="AU714" s="3">
        <f t="shared" si="554"/>
        <v>-1.7190000000000509</v>
      </c>
      <c r="AV714" s="3">
        <v>-0.317</v>
      </c>
      <c r="AW714" s="3">
        <v>-0.45</v>
      </c>
      <c r="AX714" s="3">
        <f t="shared" si="529"/>
        <v>0.13300000000000001</v>
      </c>
      <c r="AY714" s="3">
        <v>-2.4E-2</v>
      </c>
      <c r="AZ714" s="3">
        <v>0.13500000000000001</v>
      </c>
      <c r="BA714" s="3">
        <f t="shared" si="530"/>
        <v>-0.159</v>
      </c>
      <c r="BB714" s="3">
        <f t="shared" si="568"/>
        <v>0.17050000000000001</v>
      </c>
      <c r="BC714" s="3">
        <f t="shared" si="568"/>
        <v>0.1575</v>
      </c>
      <c r="BD714" s="3">
        <f t="shared" si="531"/>
        <v>1.3000000000000012E-2</v>
      </c>
      <c r="BE714" s="3">
        <f t="shared" si="569"/>
        <v>0.29299999999999998</v>
      </c>
      <c r="BF714" s="3">
        <f t="shared" si="569"/>
        <v>0.58499999999999996</v>
      </c>
      <c r="BG714" s="3">
        <f t="shared" si="532"/>
        <v>-0.29199999999999998</v>
      </c>
      <c r="BH714" s="3">
        <f t="shared" si="570"/>
        <v>-0.17050000000000001</v>
      </c>
      <c r="BI714" s="3">
        <f t="shared" si="570"/>
        <v>-0.1575</v>
      </c>
      <c r="BJ714" s="3">
        <f t="shared" si="567"/>
        <v>-1.3000000000000012E-2</v>
      </c>
      <c r="BK714" s="3">
        <f t="shared" si="564"/>
        <v>4.9607935153583631E-2</v>
      </c>
      <c r="BL714" s="3">
        <f t="shared" si="565"/>
        <v>2.120192307692308E-2</v>
      </c>
      <c r="BM714" s="3">
        <f t="shared" si="533"/>
        <v>2.8406012076660551E-2</v>
      </c>
      <c r="BN714" s="3">
        <v>2.2370000000000001</v>
      </c>
      <c r="BO714" s="3">
        <v>2.431</v>
      </c>
      <c r="BP714" s="3">
        <f t="shared" si="534"/>
        <v>-0.19399999999999995</v>
      </c>
      <c r="BQ714" s="3">
        <v>-602243.07700000005</v>
      </c>
      <c r="BR714" s="3">
        <v>-601163.24300000002</v>
      </c>
      <c r="BS714" s="3">
        <f t="shared" si="535"/>
        <v>-1079.8340000000317</v>
      </c>
      <c r="BT714" s="3">
        <v>-602262.36399999994</v>
      </c>
      <c r="BU714" s="3">
        <v>-601182.38500000001</v>
      </c>
      <c r="BV714" s="3">
        <f t="shared" si="536"/>
        <v>-1079.9789999999339</v>
      </c>
    </row>
    <row r="715" spans="1:74" x14ac:dyDescent="0.25">
      <c r="A715" t="s">
        <v>167</v>
      </c>
      <c r="B715" t="s">
        <v>728</v>
      </c>
      <c r="C715" t="s">
        <v>103</v>
      </c>
      <c r="D715" s="3">
        <v>2.78</v>
      </c>
      <c r="E715" s="3">
        <v>0.73</v>
      </c>
      <c r="F715" s="3">
        <v>-638.01900000000001</v>
      </c>
      <c r="G715" s="3">
        <v>-641.03700000000003</v>
      </c>
      <c r="H715" s="3">
        <f t="shared" si="553"/>
        <v>-3.0180000000000291</v>
      </c>
      <c r="I715" s="3">
        <v>-0.318</v>
      </c>
      <c r="J715" s="6">
        <v>-0.23799999999999999</v>
      </c>
      <c r="K715" s="3">
        <f t="shared" si="540"/>
        <v>8.0000000000000016E-2</v>
      </c>
      <c r="L715" s="3">
        <v>0.128</v>
      </c>
      <c r="M715" s="6">
        <v>-1.2E-2</v>
      </c>
      <c r="N715" s="3">
        <f t="shared" si="541"/>
        <v>-0.14000000000000001</v>
      </c>
      <c r="O715" s="3">
        <f t="shared" si="528"/>
        <v>9.5000000000000001E-2</v>
      </c>
      <c r="P715" s="3">
        <f t="shared" si="528"/>
        <v>0.125</v>
      </c>
      <c r="Q715" s="3">
        <f t="shared" si="542"/>
        <v>0.03</v>
      </c>
      <c r="R715" s="3">
        <f t="shared" si="543"/>
        <v>0.44600000000000001</v>
      </c>
      <c r="S715" s="3">
        <f t="shared" si="544"/>
        <v>0.22599999999999998</v>
      </c>
      <c r="T715" s="3">
        <f t="shared" si="545"/>
        <v>-0.22000000000000003</v>
      </c>
      <c r="U715" s="3">
        <f t="shared" si="546"/>
        <v>-9.5000000000000001E-2</v>
      </c>
      <c r="V715" s="3">
        <f t="shared" si="547"/>
        <v>-0.125</v>
      </c>
      <c r="W715" s="3">
        <f t="shared" si="566"/>
        <v>-0.03</v>
      </c>
      <c r="X715" s="3">
        <f t="shared" si="562"/>
        <v>1.0117713004484304E-2</v>
      </c>
      <c r="Y715" s="3">
        <f t="shared" si="563"/>
        <v>3.4568584070796465E-2</v>
      </c>
      <c r="Z715" s="3">
        <f t="shared" si="548"/>
        <v>2.4450871066312163E-2</v>
      </c>
      <c r="AA715" s="3">
        <v>1.032</v>
      </c>
      <c r="AB715" s="3">
        <v>1.1879999999999999</v>
      </c>
      <c r="AC715" s="3">
        <f t="shared" si="549"/>
        <v>0.15599999999999992</v>
      </c>
      <c r="AD715" s="3">
        <f>-637.794583*627.50956</f>
        <v>-400222.19814871345</v>
      </c>
      <c r="AE715" s="3">
        <f>-640.824581*627.50956</f>
        <v>-402123.55086049432</v>
      </c>
      <c r="AF715" s="3">
        <f t="shared" si="550"/>
        <v>-1901.3527117808699</v>
      </c>
      <c r="AG715" s="3">
        <f>-637.844452*627.50956</f>
        <v>-400253.49142296112</v>
      </c>
      <c r="AH715" s="3">
        <f>-640.875507*627.50956</f>
        <v>-402155.50741234689</v>
      </c>
      <c r="AI715" s="3">
        <f t="shared" si="551"/>
        <v>-1902.0159893857781</v>
      </c>
      <c r="AJ715" s="3">
        <v>-0.252</v>
      </c>
      <c r="AK715" s="3">
        <v>-0.20200000000000001</v>
      </c>
      <c r="AL715" s="3">
        <f t="shared" si="552"/>
        <v>4.9999999999999989E-2</v>
      </c>
      <c r="AM715" s="3">
        <v>150.2929</v>
      </c>
      <c r="AN715" s="3">
        <v>239.0556</v>
      </c>
      <c r="AO715" s="3">
        <v>270.71390000000002</v>
      </c>
      <c r="AP715" s="3">
        <f t="shared" si="561"/>
        <v>1.1814477016467753</v>
      </c>
      <c r="AQ715" s="3">
        <v>11.313000000000001</v>
      </c>
      <c r="AR715" s="3">
        <v>2.5870000000000002</v>
      </c>
      <c r="AS715" s="3">
        <v>-959.76900000000001</v>
      </c>
      <c r="AT715" s="3">
        <v>-958.05</v>
      </c>
      <c r="AU715" s="3">
        <f t="shared" si="554"/>
        <v>-1.7190000000000509</v>
      </c>
      <c r="AV715" s="3">
        <v>-0.317</v>
      </c>
      <c r="AW715" s="3">
        <v>-0.45</v>
      </c>
      <c r="AX715" s="3">
        <f t="shared" si="529"/>
        <v>0.13300000000000001</v>
      </c>
      <c r="AY715" s="3">
        <v>-2.4E-2</v>
      </c>
      <c r="AZ715" s="3">
        <v>0.13500000000000001</v>
      </c>
      <c r="BA715" s="3">
        <f t="shared" si="530"/>
        <v>-0.159</v>
      </c>
      <c r="BB715" s="3">
        <f t="shared" si="568"/>
        <v>0.17050000000000001</v>
      </c>
      <c r="BC715" s="3">
        <f t="shared" si="568"/>
        <v>0.1575</v>
      </c>
      <c r="BD715" s="3">
        <f t="shared" si="531"/>
        <v>1.3000000000000012E-2</v>
      </c>
      <c r="BE715" s="3">
        <f t="shared" si="569"/>
        <v>0.29299999999999998</v>
      </c>
      <c r="BF715" s="3">
        <f t="shared" si="569"/>
        <v>0.58499999999999996</v>
      </c>
      <c r="BG715" s="3">
        <f t="shared" si="532"/>
        <v>-0.29199999999999998</v>
      </c>
      <c r="BH715" s="3">
        <f t="shared" si="570"/>
        <v>-0.17050000000000001</v>
      </c>
      <c r="BI715" s="3">
        <f t="shared" si="570"/>
        <v>-0.1575</v>
      </c>
      <c r="BJ715" s="3">
        <f t="shared" si="567"/>
        <v>-1.3000000000000012E-2</v>
      </c>
      <c r="BK715" s="3">
        <f t="shared" si="564"/>
        <v>4.9607935153583631E-2</v>
      </c>
      <c r="BL715" s="3">
        <f t="shared" si="565"/>
        <v>2.120192307692308E-2</v>
      </c>
      <c r="BM715" s="3">
        <f t="shared" si="533"/>
        <v>2.8406012076660551E-2</v>
      </c>
      <c r="BN715" s="3">
        <v>2.2370000000000001</v>
      </c>
      <c r="BO715" s="3">
        <v>2.431</v>
      </c>
      <c r="BP715" s="3">
        <f t="shared" si="534"/>
        <v>-0.19399999999999995</v>
      </c>
      <c r="BQ715" s="3">
        <v>-602243.07700000005</v>
      </c>
      <c r="BR715" s="3">
        <v>-601163.24300000002</v>
      </c>
      <c r="BS715" s="3">
        <f t="shared" si="535"/>
        <v>-1079.8340000000317</v>
      </c>
      <c r="BT715" s="3">
        <v>-602262.36399999994</v>
      </c>
      <c r="BU715" s="3">
        <v>-601182.38500000001</v>
      </c>
      <c r="BV715" s="3">
        <f t="shared" si="536"/>
        <v>-1079.9789999999339</v>
      </c>
    </row>
    <row r="716" spans="1:74" x14ac:dyDescent="0.25">
      <c r="A716" t="s">
        <v>168</v>
      </c>
      <c r="B716" t="s">
        <v>728</v>
      </c>
      <c r="C716" t="s">
        <v>103</v>
      </c>
      <c r="D716" s="3">
        <v>3.05</v>
      </c>
      <c r="E716" s="3">
        <v>0.73</v>
      </c>
      <c r="F716" s="3">
        <v>-1057.895</v>
      </c>
      <c r="G716" s="3">
        <v>-1061.3309999999999</v>
      </c>
      <c r="H716" s="3">
        <f t="shared" si="553"/>
        <v>-3.4359999999999218</v>
      </c>
      <c r="I716" s="3">
        <v>-0.33800000000000002</v>
      </c>
      <c r="J716" s="6">
        <v>-0.255</v>
      </c>
      <c r="K716" s="3">
        <f t="shared" si="540"/>
        <v>8.3000000000000018E-2</v>
      </c>
      <c r="L716" s="3">
        <v>0.105</v>
      </c>
      <c r="M716" s="6">
        <v>-3.3000000000000002E-2</v>
      </c>
      <c r="N716" s="3">
        <f t="shared" si="541"/>
        <v>-0.13800000000000001</v>
      </c>
      <c r="O716" s="3">
        <f t="shared" si="528"/>
        <v>0.11650000000000002</v>
      </c>
      <c r="P716" s="3">
        <f t="shared" si="528"/>
        <v>0.14400000000000002</v>
      </c>
      <c r="Q716" s="3">
        <f t="shared" si="542"/>
        <v>2.7499999999999997E-2</v>
      </c>
      <c r="R716" s="3">
        <f t="shared" si="543"/>
        <v>0.443</v>
      </c>
      <c r="S716" s="3">
        <f t="shared" si="544"/>
        <v>0.222</v>
      </c>
      <c r="T716" s="3">
        <f t="shared" si="545"/>
        <v>-0.221</v>
      </c>
      <c r="U716" s="3">
        <f t="shared" si="546"/>
        <v>-0.11650000000000002</v>
      </c>
      <c r="V716" s="3">
        <f t="shared" si="547"/>
        <v>-0.14400000000000002</v>
      </c>
      <c r="W716" s="3">
        <f t="shared" si="566"/>
        <v>-2.7499999999999997E-2</v>
      </c>
      <c r="X716" s="3">
        <f t="shared" si="562"/>
        <v>1.5318566591422127E-2</v>
      </c>
      <c r="Y716" s="3">
        <f t="shared" si="563"/>
        <v>4.6702702702702714E-2</v>
      </c>
      <c r="Z716" s="3">
        <f t="shared" si="548"/>
        <v>3.1384136111280589E-2</v>
      </c>
      <c r="AA716" s="3">
        <v>2.6930000000000001</v>
      </c>
      <c r="AB716" s="3">
        <v>2.5920000000000001</v>
      </c>
      <c r="AC716" s="3">
        <f t="shared" si="549"/>
        <v>-0.10099999999999998</v>
      </c>
      <c r="AD716" s="3">
        <f>-1057.71073*627.50956</f>
        <v>-663723.59478957881</v>
      </c>
      <c r="AE716" s="3">
        <f>-1061.156875*627.50956</f>
        <v>-665886.08372222492</v>
      </c>
      <c r="AF716" s="3">
        <f t="shared" si="550"/>
        <v>-2162.4889326461125</v>
      </c>
      <c r="AG716" s="3">
        <f>-1057.757603*627.50956</f>
        <v>-663753.00804518466</v>
      </c>
      <c r="AH716" s="3">
        <f>-1061.204866*627.50956</f>
        <v>-665916.19853351894</v>
      </c>
      <c r="AI716" s="3">
        <f t="shared" si="551"/>
        <v>-2163.1904883342795</v>
      </c>
      <c r="AJ716" s="3">
        <v>-0.24399999999999999</v>
      </c>
      <c r="AK716" s="3">
        <v>-0.193</v>
      </c>
      <c r="AL716" s="3">
        <f t="shared" si="552"/>
        <v>5.099999999999999E-2</v>
      </c>
      <c r="AM716" s="3">
        <v>170.71100000000001</v>
      </c>
      <c r="AN716" s="3">
        <v>233.0829</v>
      </c>
      <c r="AO716" s="3">
        <v>260.44200000000001</v>
      </c>
      <c r="AP716" s="3">
        <f t="shared" si="561"/>
        <v>1.1820223329986161</v>
      </c>
      <c r="AQ716" s="3">
        <v>11.363</v>
      </c>
      <c r="AR716" s="3">
        <v>2.8283999999999998</v>
      </c>
      <c r="AS716" s="3">
        <v>-959.76900000000001</v>
      </c>
      <c r="AT716" s="3">
        <v>-958.05</v>
      </c>
      <c r="AU716" s="3">
        <f t="shared" si="554"/>
        <v>-1.7190000000000509</v>
      </c>
      <c r="AV716" s="3">
        <v>-0.317</v>
      </c>
      <c r="AW716" s="3">
        <v>-0.45</v>
      </c>
      <c r="AX716" s="3">
        <f t="shared" si="529"/>
        <v>0.13300000000000001</v>
      </c>
      <c r="AY716" s="3">
        <v>-2.4E-2</v>
      </c>
      <c r="AZ716" s="3">
        <v>0.13500000000000001</v>
      </c>
      <c r="BA716" s="3">
        <f t="shared" si="530"/>
        <v>-0.159</v>
      </c>
      <c r="BB716" s="3">
        <f t="shared" si="568"/>
        <v>0.17050000000000001</v>
      </c>
      <c r="BC716" s="3">
        <f t="shared" si="568"/>
        <v>0.1575</v>
      </c>
      <c r="BD716" s="3">
        <f t="shared" si="531"/>
        <v>1.3000000000000012E-2</v>
      </c>
      <c r="BE716" s="3">
        <f t="shared" si="569"/>
        <v>0.29299999999999998</v>
      </c>
      <c r="BF716" s="3">
        <f t="shared" si="569"/>
        <v>0.58499999999999996</v>
      </c>
      <c r="BG716" s="3">
        <f t="shared" si="532"/>
        <v>-0.29199999999999998</v>
      </c>
      <c r="BH716" s="3">
        <f t="shared" si="570"/>
        <v>-0.17050000000000001</v>
      </c>
      <c r="BI716" s="3">
        <f t="shared" si="570"/>
        <v>-0.1575</v>
      </c>
      <c r="BJ716" s="3">
        <f t="shared" si="567"/>
        <v>-1.3000000000000012E-2</v>
      </c>
      <c r="BK716" s="3">
        <f t="shared" si="564"/>
        <v>4.9607935153583631E-2</v>
      </c>
      <c r="BL716" s="3">
        <f t="shared" si="565"/>
        <v>2.120192307692308E-2</v>
      </c>
      <c r="BM716" s="3">
        <f t="shared" si="533"/>
        <v>2.8406012076660551E-2</v>
      </c>
      <c r="BN716" s="3">
        <v>2.2370000000000001</v>
      </c>
      <c r="BO716" s="3">
        <v>2.431</v>
      </c>
      <c r="BP716" s="3">
        <f t="shared" si="534"/>
        <v>-0.19399999999999995</v>
      </c>
      <c r="BQ716" s="3">
        <v>-602243.07700000005</v>
      </c>
      <c r="BR716" s="3">
        <v>-601163.24300000002</v>
      </c>
      <c r="BS716" s="3">
        <f t="shared" si="535"/>
        <v>-1079.8340000000317</v>
      </c>
      <c r="BT716" s="3">
        <v>-602262.36399999994</v>
      </c>
      <c r="BU716" s="3">
        <v>-601182.38500000001</v>
      </c>
      <c r="BV716" s="3">
        <f t="shared" si="536"/>
        <v>-1079.9789999999339</v>
      </c>
    </row>
    <row r="717" spans="1:74" x14ac:dyDescent="0.25">
      <c r="A717" t="s">
        <v>169</v>
      </c>
      <c r="B717" t="s">
        <v>728</v>
      </c>
      <c r="C717" t="s">
        <v>103</v>
      </c>
      <c r="D717" s="3">
        <v>3.12</v>
      </c>
      <c r="E717" s="3">
        <v>0.73</v>
      </c>
      <c r="F717" s="3">
        <v>-851.63400000000001</v>
      </c>
      <c r="G717" s="3">
        <v>-854.67600000000004</v>
      </c>
      <c r="H717" s="3">
        <f t="shared" si="553"/>
        <v>-3.04200000000003</v>
      </c>
      <c r="I717" s="3">
        <v>-0.40600000000000003</v>
      </c>
      <c r="J717" s="6">
        <v>-0.27700000000000002</v>
      </c>
      <c r="K717" s="3">
        <f t="shared" si="540"/>
        <v>0.129</v>
      </c>
      <c r="L717" s="3">
        <v>0.13400000000000001</v>
      </c>
      <c r="M717" s="6">
        <v>2.5999999999999999E-2</v>
      </c>
      <c r="N717" s="3">
        <f t="shared" si="541"/>
        <v>-0.10800000000000001</v>
      </c>
      <c r="O717" s="3">
        <f t="shared" ref="O717:P753" si="571">-(I717+L717)/2</f>
        <v>0.13600000000000001</v>
      </c>
      <c r="P717" s="3">
        <f t="shared" si="571"/>
        <v>0.1255</v>
      </c>
      <c r="Q717" s="3">
        <f t="shared" si="542"/>
        <v>-1.0500000000000009E-2</v>
      </c>
      <c r="R717" s="3">
        <f t="shared" si="543"/>
        <v>0.54</v>
      </c>
      <c r="S717" s="3">
        <f t="shared" si="544"/>
        <v>0.30300000000000005</v>
      </c>
      <c r="T717" s="3">
        <f t="shared" si="545"/>
        <v>-0.23699999999999999</v>
      </c>
      <c r="U717" s="3">
        <f t="shared" si="546"/>
        <v>-0.13600000000000001</v>
      </c>
      <c r="V717" s="3">
        <f t="shared" si="547"/>
        <v>-0.1255</v>
      </c>
      <c r="W717" s="3">
        <f t="shared" si="566"/>
        <v>1.0500000000000009E-2</v>
      </c>
      <c r="X717" s="3">
        <f t="shared" si="562"/>
        <v>1.7125925925925926E-2</v>
      </c>
      <c r="Y717" s="3">
        <f t="shared" si="563"/>
        <v>2.5990511551155112E-2</v>
      </c>
      <c r="Z717" s="3">
        <f t="shared" si="548"/>
        <v>8.8645856252291856E-3</v>
      </c>
      <c r="AA717" s="3">
        <v>0.32500000000000001</v>
      </c>
      <c r="AB717" s="3">
        <v>0.153</v>
      </c>
      <c r="AC717" s="3">
        <f t="shared" si="549"/>
        <v>-0.17200000000000001</v>
      </c>
      <c r="AD717" s="3">
        <f>-851.41112*627.50956</f>
        <v>-534268.61729030719</v>
      </c>
      <c r="AE717" s="3">
        <f>-854.463466*627.50956</f>
        <v>-536183.99358573498</v>
      </c>
      <c r="AF717" s="3">
        <f t="shared" si="550"/>
        <v>-1915.3762954277918</v>
      </c>
      <c r="AG717" s="3">
        <f>-851.470681*627.50956</f>
        <v>-534305.99238721037</v>
      </c>
      <c r="AH717" s="3">
        <f>-854.52239*627.50956</f>
        <v>-536220.96895904839</v>
      </c>
      <c r="AI717" s="3">
        <f t="shared" si="551"/>
        <v>-1914.9765718380222</v>
      </c>
      <c r="AJ717" s="3">
        <v>-0.29199999999999998</v>
      </c>
      <c r="AK717" s="3">
        <v>-0.24199999999999999</v>
      </c>
      <c r="AL717" s="3">
        <f t="shared" si="552"/>
        <v>4.9999999999999989E-2</v>
      </c>
      <c r="AM717" s="3">
        <v>148.3509</v>
      </c>
      <c r="AN717" s="3">
        <v>250.9503</v>
      </c>
      <c r="AO717" s="3">
        <v>278.54700000000003</v>
      </c>
      <c r="AP717" s="3">
        <f t="shared" si="561"/>
        <v>1.2168713867644008</v>
      </c>
      <c r="AQ717" s="3">
        <v>9.9600000000000009</v>
      </c>
      <c r="AR717" s="3">
        <v>2.351</v>
      </c>
      <c r="AS717" s="3">
        <v>-959.76900000000001</v>
      </c>
      <c r="AT717" s="3">
        <v>-958.05</v>
      </c>
      <c r="AU717" s="3">
        <f t="shared" si="554"/>
        <v>-1.7190000000000509</v>
      </c>
      <c r="AV717" s="3">
        <v>-0.317</v>
      </c>
      <c r="AW717" s="3">
        <v>-0.45</v>
      </c>
      <c r="AX717" s="3">
        <f t="shared" si="529"/>
        <v>0.13300000000000001</v>
      </c>
      <c r="AY717" s="3">
        <v>-2.4E-2</v>
      </c>
      <c r="AZ717" s="3">
        <v>0.13500000000000001</v>
      </c>
      <c r="BA717" s="3">
        <f t="shared" si="530"/>
        <v>-0.159</v>
      </c>
      <c r="BB717" s="3">
        <f t="shared" si="568"/>
        <v>0.17050000000000001</v>
      </c>
      <c r="BC717" s="3">
        <f t="shared" si="568"/>
        <v>0.1575</v>
      </c>
      <c r="BD717" s="3">
        <f t="shared" si="531"/>
        <v>1.3000000000000012E-2</v>
      </c>
      <c r="BE717" s="3">
        <f t="shared" si="569"/>
        <v>0.29299999999999998</v>
      </c>
      <c r="BF717" s="3">
        <f t="shared" si="569"/>
        <v>0.58499999999999996</v>
      </c>
      <c r="BG717" s="3">
        <f t="shared" si="532"/>
        <v>-0.29199999999999998</v>
      </c>
      <c r="BH717" s="3">
        <f t="shared" si="570"/>
        <v>-0.17050000000000001</v>
      </c>
      <c r="BI717" s="3">
        <f t="shared" si="570"/>
        <v>-0.1575</v>
      </c>
      <c r="BJ717" s="3">
        <f t="shared" si="567"/>
        <v>-1.3000000000000012E-2</v>
      </c>
      <c r="BK717" s="3">
        <f t="shared" si="564"/>
        <v>4.9607935153583631E-2</v>
      </c>
      <c r="BL717" s="3">
        <f t="shared" si="565"/>
        <v>2.120192307692308E-2</v>
      </c>
      <c r="BM717" s="3">
        <f t="shared" si="533"/>
        <v>2.8406012076660551E-2</v>
      </c>
      <c r="BN717" s="3">
        <v>2.2370000000000001</v>
      </c>
      <c r="BO717" s="3">
        <v>2.431</v>
      </c>
      <c r="BP717" s="3">
        <f t="shared" si="534"/>
        <v>-0.19399999999999995</v>
      </c>
      <c r="BQ717" s="3">
        <v>-602243.07700000005</v>
      </c>
      <c r="BR717" s="3">
        <v>-601163.24300000002</v>
      </c>
      <c r="BS717" s="3">
        <f t="shared" si="535"/>
        <v>-1079.8340000000317</v>
      </c>
      <c r="BT717" s="3">
        <v>-602262.36399999994</v>
      </c>
      <c r="BU717" s="3">
        <v>-601182.38500000001</v>
      </c>
      <c r="BV717" s="3">
        <f t="shared" si="536"/>
        <v>-1079.9789999999339</v>
      </c>
    </row>
    <row r="718" spans="1:74" x14ac:dyDescent="0.25">
      <c r="A718" t="s">
        <v>170</v>
      </c>
      <c r="B718" t="s">
        <v>728</v>
      </c>
      <c r="C718" t="s">
        <v>103</v>
      </c>
      <c r="D718" s="3">
        <v>3.15</v>
      </c>
      <c r="E718" s="3">
        <v>0.73</v>
      </c>
      <c r="F718" s="3">
        <v>-408.42599999999999</v>
      </c>
      <c r="G718" s="3">
        <v>-409.93299999999999</v>
      </c>
      <c r="H718" s="3">
        <f t="shared" si="553"/>
        <v>-1.507000000000005</v>
      </c>
      <c r="I718" s="3">
        <v>-0.42899999999999999</v>
      </c>
      <c r="J718" s="6">
        <v>-0.30399999999999999</v>
      </c>
      <c r="K718" s="3">
        <f t="shared" si="540"/>
        <v>0.125</v>
      </c>
      <c r="L718" s="3">
        <v>0.14599999999999999</v>
      </c>
      <c r="M718" s="6">
        <v>3.7999999999999999E-2</v>
      </c>
      <c r="N718" s="3">
        <f t="shared" si="541"/>
        <v>-0.10799999999999998</v>
      </c>
      <c r="O718" s="3">
        <f t="shared" si="571"/>
        <v>0.14150000000000001</v>
      </c>
      <c r="P718" s="3">
        <f t="shared" si="571"/>
        <v>0.13300000000000001</v>
      </c>
      <c r="Q718" s="3">
        <f t="shared" si="542"/>
        <v>-8.5000000000000075E-3</v>
      </c>
      <c r="R718" s="3">
        <f t="shared" si="543"/>
        <v>0.57499999999999996</v>
      </c>
      <c r="S718" s="3">
        <f t="shared" si="544"/>
        <v>0.34199999999999997</v>
      </c>
      <c r="T718" s="3">
        <f t="shared" si="545"/>
        <v>-0.23299999999999998</v>
      </c>
      <c r="U718" s="3">
        <f t="shared" si="546"/>
        <v>-0.14150000000000001</v>
      </c>
      <c r="V718" s="3">
        <f t="shared" si="547"/>
        <v>-0.13300000000000001</v>
      </c>
      <c r="W718" s="3">
        <f t="shared" si="566"/>
        <v>8.5000000000000075E-3</v>
      </c>
      <c r="X718" s="3">
        <f t="shared" si="562"/>
        <v>1.7410652173913049E-2</v>
      </c>
      <c r="Y718" s="3">
        <f t="shared" si="563"/>
        <v>2.5861111111111119E-2</v>
      </c>
      <c r="Z718" s="3">
        <f t="shared" si="548"/>
        <v>8.4504589371980701E-3</v>
      </c>
      <c r="AA718" s="3">
        <v>0.65800000000000003</v>
      </c>
      <c r="AB718" s="3">
        <v>0.72499999999999998</v>
      </c>
      <c r="AC718" s="3">
        <f t="shared" si="549"/>
        <v>6.6999999999999948E-2</v>
      </c>
      <c r="AD718" s="3">
        <f>-408.293213*627.50956</f>
        <v>-256207.89444061625</v>
      </c>
      <c r="AE718" s="3">
        <f>-409.806165*627.50956</f>
        <v>-257157.2862844374</v>
      </c>
      <c r="AF718" s="3">
        <f t="shared" si="550"/>
        <v>-949.39184382115491</v>
      </c>
      <c r="AG718" s="3">
        <f>-408.330428*627.50956</f>
        <v>-256231.24720889167</v>
      </c>
      <c r="AH718" s="3">
        <f>-409.843782*627.50956</f>
        <v>-257180.8913115559</v>
      </c>
      <c r="AI718" s="3">
        <f t="shared" si="551"/>
        <v>-949.64410266422783</v>
      </c>
      <c r="AJ718" s="3">
        <v>-0.25900000000000001</v>
      </c>
      <c r="AK718" s="3">
        <v>-0.20899999999999999</v>
      </c>
      <c r="AL718" s="3">
        <f t="shared" si="552"/>
        <v>5.0000000000000017E-2</v>
      </c>
      <c r="AM718" s="3">
        <v>74.197000000000003</v>
      </c>
      <c r="AN718" s="3">
        <v>157.51929999999999</v>
      </c>
      <c r="AO718" s="3">
        <v>160.8579</v>
      </c>
      <c r="AP718" s="3">
        <f t="shared" si="561"/>
        <v>1.1014415625855825</v>
      </c>
      <c r="AQ718" s="3">
        <v>7.3140000000000001</v>
      </c>
      <c r="AR718" s="3">
        <v>1.5484</v>
      </c>
      <c r="AS718" s="3">
        <v>-959.76900000000001</v>
      </c>
      <c r="AT718" s="3">
        <v>-958.05</v>
      </c>
      <c r="AU718" s="3">
        <f t="shared" si="554"/>
        <v>-1.7190000000000509</v>
      </c>
      <c r="AV718" s="3">
        <v>-0.317</v>
      </c>
      <c r="AW718" s="3">
        <v>-0.45</v>
      </c>
      <c r="AX718" s="3">
        <f t="shared" si="529"/>
        <v>0.13300000000000001</v>
      </c>
      <c r="AY718" s="3">
        <v>-2.4E-2</v>
      </c>
      <c r="AZ718" s="3">
        <v>0.13500000000000001</v>
      </c>
      <c r="BA718" s="3">
        <f t="shared" si="530"/>
        <v>-0.159</v>
      </c>
      <c r="BB718" s="3">
        <f t="shared" si="568"/>
        <v>0.17050000000000001</v>
      </c>
      <c r="BC718" s="3">
        <f t="shared" si="568"/>
        <v>0.1575</v>
      </c>
      <c r="BD718" s="3">
        <f t="shared" si="531"/>
        <v>1.3000000000000012E-2</v>
      </c>
      <c r="BE718" s="3">
        <f t="shared" si="569"/>
        <v>0.29299999999999998</v>
      </c>
      <c r="BF718" s="3">
        <f t="shared" si="569"/>
        <v>0.58499999999999996</v>
      </c>
      <c r="BG718" s="3">
        <f t="shared" si="532"/>
        <v>-0.29199999999999998</v>
      </c>
      <c r="BH718" s="3">
        <f t="shared" si="570"/>
        <v>-0.17050000000000001</v>
      </c>
      <c r="BI718" s="3">
        <f t="shared" si="570"/>
        <v>-0.1575</v>
      </c>
      <c r="BJ718" s="3">
        <f t="shared" si="567"/>
        <v>-1.3000000000000012E-2</v>
      </c>
      <c r="BK718" s="3">
        <f t="shared" si="564"/>
        <v>4.9607935153583631E-2</v>
      </c>
      <c r="BL718" s="3">
        <f t="shared" si="565"/>
        <v>2.120192307692308E-2</v>
      </c>
      <c r="BM718" s="3">
        <f t="shared" si="533"/>
        <v>2.8406012076660551E-2</v>
      </c>
      <c r="BN718" s="3">
        <v>2.2370000000000001</v>
      </c>
      <c r="BO718" s="3">
        <v>2.431</v>
      </c>
      <c r="BP718" s="3">
        <f t="shared" si="534"/>
        <v>-0.19399999999999995</v>
      </c>
      <c r="BQ718" s="3">
        <v>-602243.07700000005</v>
      </c>
      <c r="BR718" s="3">
        <v>-601163.24300000002</v>
      </c>
      <c r="BS718" s="3">
        <f t="shared" si="535"/>
        <v>-1079.8340000000317</v>
      </c>
      <c r="BT718" s="3">
        <v>-602262.36399999994</v>
      </c>
      <c r="BU718" s="3">
        <v>-601182.38500000001</v>
      </c>
      <c r="BV718" s="3">
        <f t="shared" si="536"/>
        <v>-1079.9789999999339</v>
      </c>
    </row>
    <row r="719" spans="1:74" x14ac:dyDescent="0.25">
      <c r="A719" t="s">
        <v>171</v>
      </c>
      <c r="B719" t="s">
        <v>728</v>
      </c>
      <c r="C719" t="s">
        <v>103</v>
      </c>
      <c r="D719" s="3">
        <v>3.3</v>
      </c>
      <c r="E719" s="3">
        <v>0.73</v>
      </c>
      <c r="F719" s="3">
        <v>-447.46499999999997</v>
      </c>
      <c r="G719" s="3">
        <v>-449.25200000000001</v>
      </c>
      <c r="H719" s="3">
        <f t="shared" si="553"/>
        <v>-1.7870000000000346</v>
      </c>
      <c r="I719" s="3">
        <v>-0.40799999999999997</v>
      </c>
      <c r="J719" s="6">
        <v>-0.28599999999999998</v>
      </c>
      <c r="K719" s="3">
        <f t="shared" si="540"/>
        <v>0.122</v>
      </c>
      <c r="L719" s="3">
        <v>0.14799999999999999</v>
      </c>
      <c r="M719" s="6">
        <v>3.7999999999999999E-2</v>
      </c>
      <c r="N719" s="3">
        <f t="shared" si="541"/>
        <v>-0.10999999999999999</v>
      </c>
      <c r="O719" s="3">
        <f t="shared" si="571"/>
        <v>0.13</v>
      </c>
      <c r="P719" s="3">
        <f t="shared" si="571"/>
        <v>0.12399999999999999</v>
      </c>
      <c r="Q719" s="3">
        <f t="shared" si="542"/>
        <v>-6.0000000000000192E-3</v>
      </c>
      <c r="R719" s="3">
        <f t="shared" si="543"/>
        <v>0.55599999999999994</v>
      </c>
      <c r="S719" s="3">
        <f t="shared" si="544"/>
        <v>0.32399999999999995</v>
      </c>
      <c r="T719" s="3">
        <f t="shared" si="545"/>
        <v>-0.23199999999999998</v>
      </c>
      <c r="U719" s="3">
        <f t="shared" si="546"/>
        <v>-0.13</v>
      </c>
      <c r="V719" s="3">
        <f t="shared" si="547"/>
        <v>-0.12399999999999999</v>
      </c>
      <c r="W719" s="3">
        <f t="shared" si="566"/>
        <v>6.0000000000000192E-3</v>
      </c>
      <c r="X719" s="3">
        <f t="shared" si="562"/>
        <v>1.5197841726618708E-2</v>
      </c>
      <c r="Y719" s="3">
        <f t="shared" si="563"/>
        <v>2.3728395061728393E-2</v>
      </c>
      <c r="Z719" s="3">
        <f t="shared" si="548"/>
        <v>8.5305533351096845E-3</v>
      </c>
      <c r="AA719" s="3">
        <v>0.71399999999999997</v>
      </c>
      <c r="AB719" s="3">
        <v>0.77700000000000002</v>
      </c>
      <c r="AC719" s="3">
        <f t="shared" si="549"/>
        <v>6.3000000000000056E-2</v>
      </c>
      <c r="AD719" s="3">
        <f>-447.300495*627.50956</f>
        <v>-280685.33680523222</v>
      </c>
      <c r="AE719" s="3">
        <f>-449.095783*627.50956</f>
        <v>-281811.89718818548</v>
      </c>
      <c r="AF719" s="3">
        <f t="shared" si="550"/>
        <v>-1126.5603829532629</v>
      </c>
      <c r="AG719" s="3">
        <f>-447.342141*627.50956</f>
        <v>-280711.47006836795</v>
      </c>
      <c r="AH719" s="3">
        <f>-449.138189*627.50956</f>
        <v>-281838.50735858682</v>
      </c>
      <c r="AI719" s="3">
        <f t="shared" si="551"/>
        <v>-1127.0372902188683</v>
      </c>
      <c r="AJ719" s="3">
        <v>-0.25900000000000001</v>
      </c>
      <c r="AK719" s="3">
        <v>-0.20899999999999999</v>
      </c>
      <c r="AL719" s="3">
        <f t="shared" si="552"/>
        <v>5.0000000000000017E-2</v>
      </c>
      <c r="AM719" s="3">
        <v>88.223500000000001</v>
      </c>
      <c r="AN719" s="3">
        <v>177.13399999999999</v>
      </c>
      <c r="AO719" s="3">
        <v>188.3527</v>
      </c>
      <c r="AP719" s="3">
        <f t="shared" si="561"/>
        <v>1.1149189921231248</v>
      </c>
      <c r="AQ719" s="3">
        <v>8.6219999999999999</v>
      </c>
      <c r="AR719" s="3">
        <v>1.8098000000000001</v>
      </c>
      <c r="AS719" s="3">
        <v>-959.76900000000001</v>
      </c>
      <c r="AT719" s="3">
        <v>-958.05</v>
      </c>
      <c r="AU719" s="3">
        <f t="shared" si="554"/>
        <v>-1.7190000000000509</v>
      </c>
      <c r="AV719" s="3">
        <v>-0.317</v>
      </c>
      <c r="AW719" s="3">
        <v>-0.45</v>
      </c>
      <c r="AX719" s="3">
        <f t="shared" si="529"/>
        <v>0.13300000000000001</v>
      </c>
      <c r="AY719" s="3">
        <v>-2.4E-2</v>
      </c>
      <c r="AZ719" s="3">
        <v>0.13500000000000001</v>
      </c>
      <c r="BA719" s="3">
        <f t="shared" si="530"/>
        <v>-0.159</v>
      </c>
      <c r="BB719" s="3">
        <f t="shared" si="568"/>
        <v>0.17050000000000001</v>
      </c>
      <c r="BC719" s="3">
        <f t="shared" si="568"/>
        <v>0.1575</v>
      </c>
      <c r="BD719" s="3">
        <f t="shared" si="531"/>
        <v>1.3000000000000012E-2</v>
      </c>
      <c r="BE719" s="3">
        <f t="shared" si="569"/>
        <v>0.29299999999999998</v>
      </c>
      <c r="BF719" s="3">
        <f t="shared" si="569"/>
        <v>0.58499999999999996</v>
      </c>
      <c r="BG719" s="3">
        <f t="shared" si="532"/>
        <v>-0.29199999999999998</v>
      </c>
      <c r="BH719" s="3">
        <f t="shared" si="570"/>
        <v>-0.17050000000000001</v>
      </c>
      <c r="BI719" s="3">
        <f t="shared" si="570"/>
        <v>-0.1575</v>
      </c>
      <c r="BJ719" s="3">
        <f t="shared" si="567"/>
        <v>-1.3000000000000012E-2</v>
      </c>
      <c r="BK719" s="3">
        <f t="shared" si="564"/>
        <v>4.9607935153583631E-2</v>
      </c>
      <c r="BL719" s="3">
        <f t="shared" si="565"/>
        <v>2.120192307692308E-2</v>
      </c>
      <c r="BM719" s="3">
        <f t="shared" si="533"/>
        <v>2.8406012076660551E-2</v>
      </c>
      <c r="BN719" s="3">
        <v>2.2370000000000001</v>
      </c>
      <c r="BO719" s="3">
        <v>2.431</v>
      </c>
      <c r="BP719" s="3">
        <f t="shared" si="534"/>
        <v>-0.19399999999999995</v>
      </c>
      <c r="BQ719" s="3">
        <v>-602243.07700000005</v>
      </c>
      <c r="BR719" s="3">
        <v>-601163.24300000002</v>
      </c>
      <c r="BS719" s="3">
        <f t="shared" si="535"/>
        <v>-1079.8340000000317</v>
      </c>
      <c r="BT719" s="3">
        <v>-602262.36399999994</v>
      </c>
      <c r="BU719" s="3">
        <v>-601182.38500000001</v>
      </c>
      <c r="BV719" s="3">
        <f t="shared" si="536"/>
        <v>-1079.9789999999339</v>
      </c>
    </row>
    <row r="720" spans="1:74" x14ac:dyDescent="0.25">
      <c r="A720" t="s">
        <v>173</v>
      </c>
      <c r="B720" t="s">
        <v>728</v>
      </c>
      <c r="C720" t="s">
        <v>103</v>
      </c>
      <c r="D720" s="3">
        <v>3.4</v>
      </c>
      <c r="E720" s="3">
        <v>0.66</v>
      </c>
      <c r="F720" s="3">
        <v>-2201.884</v>
      </c>
      <c r="G720" s="3">
        <v>-2211.4740000000002</v>
      </c>
      <c r="H720" s="3">
        <f t="shared" si="553"/>
        <v>-9.5900000000001455</v>
      </c>
      <c r="I720" s="3">
        <v>-0.33100000000000002</v>
      </c>
      <c r="J720" s="6">
        <v>-0.249</v>
      </c>
      <c r="K720" s="3">
        <f t="shared" si="540"/>
        <v>8.2000000000000017E-2</v>
      </c>
      <c r="L720" s="3">
        <v>0.11799999999999999</v>
      </c>
      <c r="M720" s="6">
        <v>-2.1999999999999999E-2</v>
      </c>
      <c r="N720" s="3">
        <f t="shared" si="541"/>
        <v>-0.13999999999999999</v>
      </c>
      <c r="O720" s="3">
        <f t="shared" si="571"/>
        <v>0.10650000000000001</v>
      </c>
      <c r="P720" s="3">
        <f t="shared" si="571"/>
        <v>0.13550000000000001</v>
      </c>
      <c r="Q720" s="3">
        <f t="shared" si="542"/>
        <v>2.8999999999999998E-2</v>
      </c>
      <c r="R720" s="3">
        <f t="shared" si="543"/>
        <v>0.44900000000000001</v>
      </c>
      <c r="S720" s="3">
        <f t="shared" si="544"/>
        <v>0.22700000000000001</v>
      </c>
      <c r="T720" s="3">
        <f t="shared" si="545"/>
        <v>-0.222</v>
      </c>
      <c r="U720" s="3">
        <f t="shared" si="546"/>
        <v>-0.10650000000000001</v>
      </c>
      <c r="V720" s="3">
        <f t="shared" si="547"/>
        <v>-0.13550000000000001</v>
      </c>
      <c r="W720" s="3">
        <f t="shared" si="566"/>
        <v>-2.8999999999999998E-2</v>
      </c>
      <c r="X720" s="3">
        <f t="shared" si="562"/>
        <v>1.2630567928730513E-2</v>
      </c>
      <c r="Y720" s="3">
        <f t="shared" si="563"/>
        <v>4.0441079295154191E-2</v>
      </c>
      <c r="Z720" s="3">
        <f t="shared" si="548"/>
        <v>2.7810511366423679E-2</v>
      </c>
      <c r="AA720" s="3">
        <v>0.65400000000000003</v>
      </c>
      <c r="AB720" s="3">
        <v>0.626</v>
      </c>
      <c r="AC720" s="3">
        <f t="shared" si="549"/>
        <v>-2.8000000000000025E-2</v>
      </c>
      <c r="AD720" s="3">
        <f>-2201.224993*627.50956</f>
        <v>-1381289.7268184328</v>
      </c>
      <c r="AE720" s="3">
        <f>-2210.848351*627.50956</f>
        <v>-1387328.4759627355</v>
      </c>
      <c r="AF720" s="3">
        <f t="shared" si="550"/>
        <v>-6038.7491443026811</v>
      </c>
      <c r="AG720" s="3">
        <f>-2201.337766*627.50956</f>
        <v>-1381360.492954043</v>
      </c>
      <c r="AH720" s="3">
        <f>-2210.966391*627.50956</f>
        <v>-1387402.5471911978</v>
      </c>
      <c r="AI720" s="3">
        <f t="shared" si="551"/>
        <v>-6042.0542371547781</v>
      </c>
      <c r="AJ720" s="3">
        <v>-0.26</v>
      </c>
      <c r="AK720" s="3">
        <v>-0.20799999999999999</v>
      </c>
      <c r="AL720" s="3">
        <f t="shared" si="552"/>
        <v>5.2000000000000018E-2</v>
      </c>
      <c r="AM720" s="3">
        <v>476.94850000000002</v>
      </c>
      <c r="AN720" s="3">
        <v>583.32600000000002</v>
      </c>
      <c r="AO720" s="3">
        <v>789.31790000000001</v>
      </c>
      <c r="AP720" s="3">
        <f t="shared" si="561"/>
        <v>1.4125353224404185</v>
      </c>
      <c r="AQ720" s="3">
        <v>17.46</v>
      </c>
      <c r="AR720" s="3">
        <v>4.9039999999999999</v>
      </c>
      <c r="AS720" s="3">
        <v>-959.76900000000001</v>
      </c>
      <c r="AT720" s="3">
        <v>-958.05</v>
      </c>
      <c r="AU720" s="3">
        <f t="shared" si="554"/>
        <v>-1.7190000000000509</v>
      </c>
      <c r="AV720" s="3">
        <v>-0.317</v>
      </c>
      <c r="AW720" s="3">
        <v>-0.45</v>
      </c>
      <c r="AX720" s="3">
        <f t="shared" si="529"/>
        <v>0.13300000000000001</v>
      </c>
      <c r="AY720" s="3">
        <v>-2.4E-2</v>
      </c>
      <c r="AZ720" s="3">
        <v>0.13500000000000001</v>
      </c>
      <c r="BA720" s="3">
        <f t="shared" si="530"/>
        <v>-0.159</v>
      </c>
      <c r="BB720" s="3">
        <f t="shared" si="568"/>
        <v>0.17050000000000001</v>
      </c>
      <c r="BC720" s="3">
        <f t="shared" si="568"/>
        <v>0.1575</v>
      </c>
      <c r="BD720" s="3">
        <f t="shared" si="531"/>
        <v>1.3000000000000012E-2</v>
      </c>
      <c r="BE720" s="3">
        <f t="shared" si="569"/>
        <v>0.29299999999999998</v>
      </c>
      <c r="BF720" s="3">
        <f t="shared" si="569"/>
        <v>0.58499999999999996</v>
      </c>
      <c r="BG720" s="3">
        <f t="shared" si="532"/>
        <v>-0.29199999999999998</v>
      </c>
      <c r="BH720" s="3">
        <f t="shared" si="570"/>
        <v>-0.17050000000000001</v>
      </c>
      <c r="BI720" s="3">
        <f t="shared" si="570"/>
        <v>-0.1575</v>
      </c>
      <c r="BJ720" s="3">
        <f t="shared" si="567"/>
        <v>-1.3000000000000012E-2</v>
      </c>
      <c r="BK720" s="3">
        <f t="shared" si="564"/>
        <v>4.9607935153583631E-2</v>
      </c>
      <c r="BL720" s="3">
        <f t="shared" si="565"/>
        <v>2.120192307692308E-2</v>
      </c>
      <c r="BM720" s="3">
        <f t="shared" si="533"/>
        <v>2.8406012076660551E-2</v>
      </c>
      <c r="BN720" s="3">
        <v>2.2370000000000001</v>
      </c>
      <c r="BO720" s="3">
        <v>2.431</v>
      </c>
      <c r="BP720" s="3">
        <f t="shared" si="534"/>
        <v>-0.19399999999999995</v>
      </c>
      <c r="BQ720" s="3">
        <v>-602243.07700000005</v>
      </c>
      <c r="BR720" s="3">
        <v>-601163.24300000002</v>
      </c>
      <c r="BS720" s="3">
        <f t="shared" si="535"/>
        <v>-1079.8340000000317</v>
      </c>
      <c r="BT720" s="3">
        <v>-602262.36399999994</v>
      </c>
      <c r="BU720" s="3">
        <v>-601182.38500000001</v>
      </c>
      <c r="BV720" s="3">
        <f t="shared" si="536"/>
        <v>-1079.9789999999339</v>
      </c>
    </row>
    <row r="721" spans="1:74" x14ac:dyDescent="0.25">
      <c r="A721" t="s">
        <v>172</v>
      </c>
      <c r="B721" t="s">
        <v>728</v>
      </c>
      <c r="C721" t="s">
        <v>103</v>
      </c>
      <c r="D721" s="3">
        <v>3.4</v>
      </c>
      <c r="E721" s="3">
        <v>0.73</v>
      </c>
      <c r="F721" s="3">
        <v>-486.50400000000002</v>
      </c>
      <c r="G721" s="3">
        <v>-488.572</v>
      </c>
      <c r="H721" s="3">
        <f t="shared" si="553"/>
        <v>-2.0679999999999836</v>
      </c>
      <c r="I721" s="3">
        <v>-0.40100000000000002</v>
      </c>
      <c r="J721" s="6">
        <v>-0.28100000000000003</v>
      </c>
      <c r="K721" s="3">
        <f t="shared" si="540"/>
        <v>0.12</v>
      </c>
      <c r="L721" s="3">
        <v>0.14799999999999999</v>
      </c>
      <c r="M721" s="6">
        <v>3.5999999999999997E-2</v>
      </c>
      <c r="N721" s="3">
        <f t="shared" si="541"/>
        <v>-0.11199999999999999</v>
      </c>
      <c r="O721" s="3">
        <f t="shared" si="571"/>
        <v>0.1265</v>
      </c>
      <c r="P721" s="3">
        <f t="shared" si="571"/>
        <v>0.12250000000000001</v>
      </c>
      <c r="Q721" s="3">
        <f t="shared" si="542"/>
        <v>-3.9999999999999897E-3</v>
      </c>
      <c r="R721" s="3">
        <f t="shared" si="543"/>
        <v>0.54900000000000004</v>
      </c>
      <c r="S721" s="3">
        <f t="shared" si="544"/>
        <v>0.317</v>
      </c>
      <c r="T721" s="3">
        <f t="shared" si="545"/>
        <v>-0.23200000000000004</v>
      </c>
      <c r="U721" s="3">
        <f t="shared" si="546"/>
        <v>-0.1265</v>
      </c>
      <c r="V721" s="3">
        <f t="shared" si="547"/>
        <v>-0.12250000000000001</v>
      </c>
      <c r="W721" s="3">
        <f t="shared" si="566"/>
        <v>3.9999999999999897E-3</v>
      </c>
      <c r="X721" s="3">
        <f t="shared" si="562"/>
        <v>1.4573998178506374E-2</v>
      </c>
      <c r="Y721" s="3">
        <f t="shared" si="563"/>
        <v>2.3669164037854892E-2</v>
      </c>
      <c r="Z721" s="3">
        <f t="shared" si="548"/>
        <v>9.0951658593485182E-3</v>
      </c>
      <c r="AA721" s="3">
        <v>0.77600000000000002</v>
      </c>
      <c r="AB721" s="3">
        <v>0.83299999999999996</v>
      </c>
      <c r="AC721" s="3">
        <f t="shared" si="549"/>
        <v>5.699999999999994E-2</v>
      </c>
      <c r="AD721" s="3">
        <f>-486.307687*627.50956</f>
        <v>-305162.72269398771</v>
      </c>
      <c r="AE721" s="3">
        <f>-488.385342*627.50956</f>
        <v>-306466.47106886946</v>
      </c>
      <c r="AF721" s="3">
        <f t="shared" si="550"/>
        <v>-1303.7483748817467</v>
      </c>
      <c r="AG721" s="3">
        <f>-486.353098*627.50956</f>
        <v>-305191.21853061684</v>
      </c>
      <c r="AH721" s="3">
        <f>-488.431637*627.50956</f>
        <v>-306495.52162394969</v>
      </c>
      <c r="AI721" s="3">
        <f t="shared" si="551"/>
        <v>-1304.3030933328555</v>
      </c>
      <c r="AJ721" s="3">
        <v>-0.25900000000000001</v>
      </c>
      <c r="AK721" s="3">
        <v>-0.21</v>
      </c>
      <c r="AL721" s="3">
        <f t="shared" si="552"/>
        <v>4.9000000000000016E-2</v>
      </c>
      <c r="AM721" s="3">
        <v>102.2501</v>
      </c>
      <c r="AN721" s="3">
        <v>196.71899999999999</v>
      </c>
      <c r="AO721" s="3">
        <v>215.8844</v>
      </c>
      <c r="AP721" s="3">
        <f t="shared" si="561"/>
        <v>1.1305456009662338</v>
      </c>
      <c r="AQ721" s="3">
        <v>9.8819999999999997</v>
      </c>
      <c r="AR721" s="3">
        <v>2.0724</v>
      </c>
      <c r="AS721" s="3">
        <v>-959.76900000000001</v>
      </c>
      <c r="AT721" s="3">
        <v>-958.05</v>
      </c>
      <c r="AU721" s="3">
        <f t="shared" si="554"/>
        <v>-1.7190000000000509</v>
      </c>
      <c r="AV721" s="3">
        <v>-0.317</v>
      </c>
      <c r="AW721" s="3">
        <v>-0.45</v>
      </c>
      <c r="AX721" s="3">
        <f t="shared" ref="AX721:AX753" si="572">AV721-AW721</f>
        <v>0.13300000000000001</v>
      </c>
      <c r="AY721" s="3">
        <v>-2.4E-2</v>
      </c>
      <c r="AZ721" s="3">
        <v>0.13500000000000001</v>
      </c>
      <c r="BA721" s="3">
        <f t="shared" ref="BA721:BA753" si="573">AY721-AZ721</f>
        <v>-0.159</v>
      </c>
      <c r="BB721" s="3">
        <f t="shared" si="568"/>
        <v>0.17050000000000001</v>
      </c>
      <c r="BC721" s="3">
        <f t="shared" si="568"/>
        <v>0.1575</v>
      </c>
      <c r="BD721" s="3">
        <f t="shared" ref="BD721:BD753" si="574">BB721-BC721</f>
        <v>1.3000000000000012E-2</v>
      </c>
      <c r="BE721" s="3">
        <f t="shared" si="569"/>
        <v>0.29299999999999998</v>
      </c>
      <c r="BF721" s="3">
        <f t="shared" si="569"/>
        <v>0.58499999999999996</v>
      </c>
      <c r="BG721" s="3">
        <f t="shared" ref="BG721:BG753" si="575">BE721-BF721</f>
        <v>-0.29199999999999998</v>
      </c>
      <c r="BH721" s="3">
        <f t="shared" si="570"/>
        <v>-0.17050000000000001</v>
      </c>
      <c r="BI721" s="3">
        <f t="shared" si="570"/>
        <v>-0.1575</v>
      </c>
      <c r="BJ721" s="3">
        <f t="shared" si="567"/>
        <v>-1.3000000000000012E-2</v>
      </c>
      <c r="BK721" s="3">
        <f t="shared" si="564"/>
        <v>4.9607935153583631E-2</v>
      </c>
      <c r="BL721" s="3">
        <f t="shared" si="565"/>
        <v>2.120192307692308E-2</v>
      </c>
      <c r="BM721" s="3">
        <f t="shared" ref="BM721:BM753" si="576">BK721-BL721</f>
        <v>2.8406012076660551E-2</v>
      </c>
      <c r="BN721" s="3">
        <v>2.2370000000000001</v>
      </c>
      <c r="BO721" s="3">
        <v>2.431</v>
      </c>
      <c r="BP721" s="3">
        <f t="shared" ref="BP721:BP753" si="577">BN721-BO721</f>
        <v>-0.19399999999999995</v>
      </c>
      <c r="BQ721" s="3">
        <v>-602243.07700000005</v>
      </c>
      <c r="BR721" s="3">
        <v>-601163.24300000002</v>
      </c>
      <c r="BS721" s="3">
        <f t="shared" ref="BS721:BS753" si="578">BQ721-BR721</f>
        <v>-1079.8340000000317</v>
      </c>
      <c r="BT721" s="3">
        <v>-602262.36399999994</v>
      </c>
      <c r="BU721" s="3">
        <v>-601182.38500000001</v>
      </c>
      <c r="BV721" s="3">
        <f t="shared" ref="BV721:BV753" si="579">BT721-BU721</f>
        <v>-1079.9789999999339</v>
      </c>
    </row>
    <row r="722" spans="1:74" x14ac:dyDescent="0.25">
      <c r="A722" t="s">
        <v>174</v>
      </c>
      <c r="B722" t="s">
        <v>728</v>
      </c>
      <c r="C722" t="s">
        <v>103</v>
      </c>
      <c r="D722" s="3">
        <v>3.55</v>
      </c>
      <c r="E722" s="3">
        <v>0.73</v>
      </c>
      <c r="F722" s="3">
        <v>-564.59299999999996</v>
      </c>
      <c r="G722" s="3">
        <v>-567.22299999999996</v>
      </c>
      <c r="H722" s="3">
        <f t="shared" si="553"/>
        <v>-2.6299999999999955</v>
      </c>
      <c r="I722" s="3">
        <v>-0.40200000000000002</v>
      </c>
      <c r="J722" s="6">
        <v>-0.28299999999999997</v>
      </c>
      <c r="K722" s="3">
        <f t="shared" si="540"/>
        <v>0.11900000000000005</v>
      </c>
      <c r="L722" s="3">
        <v>0.14599999999999999</v>
      </c>
      <c r="M722" s="6">
        <v>3.4000000000000002E-2</v>
      </c>
      <c r="N722" s="3">
        <f t="shared" si="541"/>
        <v>-0.11199999999999999</v>
      </c>
      <c r="O722" s="3">
        <f t="shared" si="571"/>
        <v>0.128</v>
      </c>
      <c r="P722" s="3">
        <f t="shared" si="571"/>
        <v>0.12449999999999999</v>
      </c>
      <c r="Q722" s="3">
        <f t="shared" si="542"/>
        <v>-3.500000000000017E-3</v>
      </c>
      <c r="R722" s="3">
        <f t="shared" si="543"/>
        <v>0.54800000000000004</v>
      </c>
      <c r="S722" s="3">
        <f t="shared" si="544"/>
        <v>0.31699999999999995</v>
      </c>
      <c r="T722" s="3">
        <f t="shared" si="545"/>
        <v>-0.23100000000000009</v>
      </c>
      <c r="U722" s="3">
        <f t="shared" si="546"/>
        <v>-0.128</v>
      </c>
      <c r="V722" s="3">
        <f t="shared" si="547"/>
        <v>-0.12449999999999999</v>
      </c>
      <c r="W722" s="3">
        <f t="shared" si="566"/>
        <v>3.500000000000017E-3</v>
      </c>
      <c r="X722" s="3">
        <f t="shared" si="562"/>
        <v>1.494890510948905E-2</v>
      </c>
      <c r="Y722" s="3">
        <f t="shared" si="563"/>
        <v>2.4448343848580439E-2</v>
      </c>
      <c r="Z722" s="3">
        <f t="shared" si="548"/>
        <v>9.4994387390913895E-3</v>
      </c>
      <c r="AA722" s="3">
        <v>0.66400000000000003</v>
      </c>
      <c r="AB722" s="3">
        <v>0.72699999999999998</v>
      </c>
      <c r="AC722" s="3">
        <f t="shared" si="549"/>
        <v>6.2999999999999945E-2</v>
      </c>
      <c r="AD722" s="3">
        <f>-564.335567*627.50956</f>
        <v>-354125.96334052051</v>
      </c>
      <c r="AE722" s="3">
        <f>-566.978274*627.50956</f>
        <v>-355784.28724729945</v>
      </c>
      <c r="AF722" s="3">
        <f t="shared" si="550"/>
        <v>-1658.32390677894</v>
      </c>
      <c r="AG722" s="3">
        <f>-564.385447*627.50956</f>
        <v>-354157.2635173733</v>
      </c>
      <c r="AH722" s="3">
        <f>-567.029501*627.50956</f>
        <v>-355816.43267952953</v>
      </c>
      <c r="AI722" s="3">
        <f t="shared" si="551"/>
        <v>-1659.169162156235</v>
      </c>
      <c r="AJ722" s="3">
        <v>-0.255</v>
      </c>
      <c r="AK722" s="3">
        <v>-0.28299999999999997</v>
      </c>
      <c r="AL722" s="3">
        <f t="shared" si="552"/>
        <v>-2.7999999999999969E-2</v>
      </c>
      <c r="AM722" s="3">
        <v>130.303</v>
      </c>
      <c r="AN722" s="3">
        <v>226.04570000000001</v>
      </c>
      <c r="AO722" s="3">
        <v>265.68990000000002</v>
      </c>
      <c r="AP722" s="3">
        <f t="shared" si="561"/>
        <v>1.1311898600847659</v>
      </c>
      <c r="AQ722" s="3">
        <v>9.8810000000000002</v>
      </c>
      <c r="AR722" s="3">
        <v>2.2910599999999999</v>
      </c>
      <c r="AS722" s="3">
        <v>-959.76900000000001</v>
      </c>
      <c r="AT722" s="3">
        <v>-958.05</v>
      </c>
      <c r="AU722" s="3">
        <f t="shared" si="554"/>
        <v>-1.7190000000000509</v>
      </c>
      <c r="AV722" s="3">
        <v>-0.317</v>
      </c>
      <c r="AW722" s="3">
        <v>-0.45</v>
      </c>
      <c r="AX722" s="3">
        <f t="shared" si="572"/>
        <v>0.13300000000000001</v>
      </c>
      <c r="AY722" s="3">
        <v>-2.4E-2</v>
      </c>
      <c r="AZ722" s="3">
        <v>0.13500000000000001</v>
      </c>
      <c r="BA722" s="3">
        <f t="shared" si="573"/>
        <v>-0.159</v>
      </c>
      <c r="BB722" s="3">
        <f t="shared" si="568"/>
        <v>0.17050000000000001</v>
      </c>
      <c r="BC722" s="3">
        <f t="shared" si="568"/>
        <v>0.1575</v>
      </c>
      <c r="BD722" s="3">
        <f t="shared" si="574"/>
        <v>1.3000000000000012E-2</v>
      </c>
      <c r="BE722" s="3">
        <f t="shared" si="569"/>
        <v>0.29299999999999998</v>
      </c>
      <c r="BF722" s="3">
        <f t="shared" si="569"/>
        <v>0.58499999999999996</v>
      </c>
      <c r="BG722" s="3">
        <f t="shared" si="575"/>
        <v>-0.29199999999999998</v>
      </c>
      <c r="BH722" s="3">
        <f t="shared" si="570"/>
        <v>-0.17050000000000001</v>
      </c>
      <c r="BI722" s="3">
        <f t="shared" si="570"/>
        <v>-0.1575</v>
      </c>
      <c r="BJ722" s="3">
        <f t="shared" si="567"/>
        <v>-1.3000000000000012E-2</v>
      </c>
      <c r="BK722" s="3">
        <f t="shared" si="564"/>
        <v>4.9607935153583631E-2</v>
      </c>
      <c r="BL722" s="3">
        <f t="shared" si="565"/>
        <v>2.120192307692308E-2</v>
      </c>
      <c r="BM722" s="3">
        <f t="shared" si="576"/>
        <v>2.8406012076660551E-2</v>
      </c>
      <c r="BN722" s="3">
        <v>2.2370000000000001</v>
      </c>
      <c r="BO722" s="3">
        <v>2.431</v>
      </c>
      <c r="BP722" s="3">
        <f t="shared" si="577"/>
        <v>-0.19399999999999995</v>
      </c>
      <c r="BQ722" s="3">
        <v>-602243.07700000005</v>
      </c>
      <c r="BR722" s="3">
        <v>-601163.24300000002</v>
      </c>
      <c r="BS722" s="3">
        <f t="shared" si="578"/>
        <v>-1079.8340000000317</v>
      </c>
      <c r="BT722" s="3">
        <v>-602262.36399999994</v>
      </c>
      <c r="BU722" s="3">
        <v>-601182.38500000001</v>
      </c>
      <c r="BV722" s="3">
        <f t="shared" si="579"/>
        <v>-1079.9789999999339</v>
      </c>
    </row>
    <row r="723" spans="1:74" x14ac:dyDescent="0.25">
      <c r="A723" t="s">
        <v>37</v>
      </c>
      <c r="B723" t="s">
        <v>728</v>
      </c>
      <c r="C723" t="s">
        <v>103</v>
      </c>
      <c r="D723" s="3">
        <v>3.55</v>
      </c>
      <c r="E723" s="3">
        <v>0.75</v>
      </c>
      <c r="F723" s="3">
        <v>-598.97299999999996</v>
      </c>
      <c r="G723" s="3">
        <v>-601.70899999999995</v>
      </c>
      <c r="H723" s="3">
        <f t="shared" si="553"/>
        <v>-2.73599999999999</v>
      </c>
      <c r="I723" s="3">
        <v>-0.33600000000000002</v>
      </c>
      <c r="J723" s="6">
        <v>-0.25700000000000001</v>
      </c>
      <c r="K723" s="3">
        <f t="shared" si="540"/>
        <v>7.9000000000000015E-2</v>
      </c>
      <c r="L723" s="3">
        <v>0.115</v>
      </c>
      <c r="M723" s="6">
        <v>-2.4E-2</v>
      </c>
      <c r="N723" s="3">
        <f t="shared" si="541"/>
        <v>-0.13900000000000001</v>
      </c>
      <c r="O723" s="3">
        <f t="shared" si="571"/>
        <v>0.11050000000000001</v>
      </c>
      <c r="P723" s="3">
        <f t="shared" si="571"/>
        <v>0.14050000000000001</v>
      </c>
      <c r="Q723" s="3">
        <f t="shared" si="542"/>
        <v>0.03</v>
      </c>
      <c r="R723" s="3">
        <f t="shared" si="543"/>
        <v>0.45100000000000001</v>
      </c>
      <c r="S723" s="3">
        <f t="shared" si="544"/>
        <v>0.23300000000000001</v>
      </c>
      <c r="T723" s="3">
        <f t="shared" si="545"/>
        <v>-0.218</v>
      </c>
      <c r="U723" s="3">
        <f t="shared" si="546"/>
        <v>-0.11050000000000001</v>
      </c>
      <c r="V723" s="3">
        <f t="shared" si="547"/>
        <v>-0.14050000000000001</v>
      </c>
      <c r="W723" s="3">
        <f t="shared" si="566"/>
        <v>-0.03</v>
      </c>
      <c r="X723" s="3">
        <f t="shared" si="562"/>
        <v>1.353686252771619E-2</v>
      </c>
      <c r="Y723" s="3">
        <f t="shared" si="563"/>
        <v>4.2361051502145933E-2</v>
      </c>
      <c r="Z723" s="3">
        <f t="shared" si="548"/>
        <v>2.8824188974429742E-2</v>
      </c>
      <c r="AA723" s="3">
        <v>0.66100000000000003</v>
      </c>
      <c r="AB723" s="3">
        <v>0.72699999999999998</v>
      </c>
      <c r="AC723" s="3">
        <f t="shared" si="549"/>
        <v>6.5999999999999948E-2</v>
      </c>
      <c r="AD723" s="3">
        <f>-598.778909*627.50956</f>
        <v>-375739.48972387001</v>
      </c>
      <c r="AE723" s="3">
        <f>-601.525429*627.50956</f>
        <v>-377462.95728060126</v>
      </c>
      <c r="AF723" s="3">
        <f t="shared" si="550"/>
        <v>-1723.4675567312515</v>
      </c>
      <c r="AG723" s="3">
        <f>-598.825474*627.50956</f>
        <v>-375768.70970653143</v>
      </c>
      <c r="AH723" s="3">
        <f>-601.572978*627.50956</f>
        <v>-377492.79473266966</v>
      </c>
      <c r="AI723" s="3">
        <f t="shared" si="551"/>
        <v>-1724.0850261382293</v>
      </c>
      <c r="AJ723" s="3">
        <v>-0.246</v>
      </c>
      <c r="AK723" s="3">
        <v>-0.19700000000000001</v>
      </c>
      <c r="AL723" s="3">
        <f t="shared" si="552"/>
        <v>4.8999999999999988E-2</v>
      </c>
      <c r="AM723" s="3">
        <v>136.26599999999999</v>
      </c>
      <c r="AN723" s="3">
        <v>220.173</v>
      </c>
      <c r="AO723" s="3">
        <v>243.24180000000001</v>
      </c>
      <c r="AP723" s="3">
        <f t="shared" si="561"/>
        <v>1.1685874144262178</v>
      </c>
      <c r="AQ723" s="3">
        <v>10.164999999999999</v>
      </c>
      <c r="AR723" s="3">
        <v>2.3378000000000001</v>
      </c>
      <c r="AS723" s="3">
        <v>-959.76900000000001</v>
      </c>
      <c r="AT723" s="3">
        <v>-958.05</v>
      </c>
      <c r="AU723" s="3">
        <f t="shared" si="554"/>
        <v>-1.7190000000000509</v>
      </c>
      <c r="AV723" s="3">
        <v>-0.317</v>
      </c>
      <c r="AW723" s="3">
        <v>-0.45</v>
      </c>
      <c r="AX723" s="3">
        <f t="shared" si="572"/>
        <v>0.13300000000000001</v>
      </c>
      <c r="AY723" s="3">
        <v>-2.4E-2</v>
      </c>
      <c r="AZ723" s="3">
        <v>0.13500000000000001</v>
      </c>
      <c r="BA723" s="3">
        <f t="shared" si="573"/>
        <v>-0.159</v>
      </c>
      <c r="BB723" s="3">
        <f t="shared" si="568"/>
        <v>0.17050000000000001</v>
      </c>
      <c r="BC723" s="3">
        <f t="shared" si="568"/>
        <v>0.1575</v>
      </c>
      <c r="BD723" s="3">
        <f t="shared" si="574"/>
        <v>1.3000000000000012E-2</v>
      </c>
      <c r="BE723" s="3">
        <f t="shared" si="569"/>
        <v>0.29299999999999998</v>
      </c>
      <c r="BF723" s="3">
        <f t="shared" si="569"/>
        <v>0.58499999999999996</v>
      </c>
      <c r="BG723" s="3">
        <f t="shared" si="575"/>
        <v>-0.29199999999999998</v>
      </c>
      <c r="BH723" s="3">
        <f t="shared" si="570"/>
        <v>-0.17050000000000001</v>
      </c>
      <c r="BI723" s="3">
        <f t="shared" si="570"/>
        <v>-0.1575</v>
      </c>
      <c r="BJ723" s="3">
        <f t="shared" si="567"/>
        <v>-1.3000000000000012E-2</v>
      </c>
      <c r="BK723" s="3">
        <f t="shared" si="564"/>
        <v>4.9607935153583631E-2</v>
      </c>
      <c r="BL723" s="3">
        <f t="shared" si="565"/>
        <v>2.120192307692308E-2</v>
      </c>
      <c r="BM723" s="3">
        <f t="shared" si="576"/>
        <v>2.8406012076660551E-2</v>
      </c>
      <c r="BN723" s="3">
        <v>2.2370000000000001</v>
      </c>
      <c r="BO723" s="3">
        <v>2.431</v>
      </c>
      <c r="BP723" s="3">
        <f t="shared" si="577"/>
        <v>-0.19399999999999995</v>
      </c>
      <c r="BQ723" s="3">
        <v>-602243.07700000005</v>
      </c>
      <c r="BR723" s="3">
        <v>-601163.24300000002</v>
      </c>
      <c r="BS723" s="3">
        <f t="shared" si="578"/>
        <v>-1079.8340000000317</v>
      </c>
      <c r="BT723" s="3">
        <v>-602262.36399999994</v>
      </c>
      <c r="BU723" s="3">
        <v>-601182.38500000001</v>
      </c>
      <c r="BV723" s="3">
        <f t="shared" si="579"/>
        <v>-1079.9789999999339</v>
      </c>
    </row>
    <row r="724" spans="1:74" x14ac:dyDescent="0.25">
      <c r="A724" s="2" t="s">
        <v>38</v>
      </c>
      <c r="B724" t="s">
        <v>728</v>
      </c>
      <c r="C724" t="s">
        <v>103</v>
      </c>
      <c r="D724" s="3">
        <v>3.58</v>
      </c>
      <c r="E724" s="3">
        <v>0.7</v>
      </c>
      <c r="F724" s="3">
        <v>-525.54100000000005</v>
      </c>
      <c r="G724" s="3">
        <v>-527.89</v>
      </c>
      <c r="H724" s="3">
        <f t="shared" si="553"/>
        <v>-2.3489999999999327</v>
      </c>
      <c r="I724" s="3">
        <v>-0.4</v>
      </c>
      <c r="J724" s="6">
        <v>-0.27900000000000003</v>
      </c>
      <c r="K724" s="3">
        <f t="shared" si="540"/>
        <v>0.121</v>
      </c>
      <c r="L724" s="3">
        <v>0.15</v>
      </c>
      <c r="M724" s="6">
        <v>3.5999999999999997E-2</v>
      </c>
      <c r="N724" s="3">
        <f t="shared" si="541"/>
        <v>-0.11399999999999999</v>
      </c>
      <c r="O724" s="3">
        <f t="shared" si="571"/>
        <v>0.125</v>
      </c>
      <c r="P724" s="3">
        <f t="shared" si="571"/>
        <v>0.12150000000000001</v>
      </c>
      <c r="Q724" s="3">
        <f t="shared" si="542"/>
        <v>-3.4999999999999892E-3</v>
      </c>
      <c r="R724" s="3">
        <f t="shared" si="543"/>
        <v>0.55000000000000004</v>
      </c>
      <c r="S724" s="3">
        <f t="shared" si="544"/>
        <v>0.315</v>
      </c>
      <c r="T724" s="3">
        <f t="shared" si="545"/>
        <v>-0.23500000000000004</v>
      </c>
      <c r="U724" s="3">
        <f t="shared" si="546"/>
        <v>-0.125</v>
      </c>
      <c r="V724" s="3">
        <f t="shared" si="547"/>
        <v>-0.12150000000000001</v>
      </c>
      <c r="W724" s="3">
        <f t="shared" si="566"/>
        <v>3.4999999999999892E-3</v>
      </c>
      <c r="X724" s="3">
        <f t="shared" si="562"/>
        <v>1.4204545454545454E-2</v>
      </c>
      <c r="Y724" s="3">
        <f t="shared" si="563"/>
        <v>2.343214285714286E-2</v>
      </c>
      <c r="Z724" s="3">
        <f t="shared" si="548"/>
        <v>9.2275974025974056E-3</v>
      </c>
      <c r="AA724" s="3">
        <v>0.83499999999999996</v>
      </c>
      <c r="AB724" s="3">
        <v>0.88900000000000001</v>
      </c>
      <c r="AC724" s="3">
        <f t="shared" si="549"/>
        <v>5.4000000000000048E-2</v>
      </c>
      <c r="AD724" s="3">
        <f>-525.313178*627.50956</f>
        <v>-329639.04118898168</v>
      </c>
      <c r="AE724" s="3">
        <f>-527.673504*627.50956</f>
        <v>-331120.16831869818</v>
      </c>
      <c r="AF724" s="3">
        <f t="shared" si="550"/>
        <v>-1481.1271297165076</v>
      </c>
      <c r="AG724" s="3">
        <f>-525.362083*627.50956</f>
        <v>-329669.72954401345</v>
      </c>
      <c r="AH724" s="3">
        <f>-527.723904*627.50956</f>
        <v>-331151.79480052221</v>
      </c>
      <c r="AI724" s="3">
        <f t="shared" si="551"/>
        <v>-1482.0652565087657</v>
      </c>
      <c r="AJ724" s="3">
        <v>-0.25900000000000001</v>
      </c>
      <c r="AK724" s="3">
        <v>-0.21</v>
      </c>
      <c r="AL724" s="3">
        <f t="shared" si="552"/>
        <v>4.9000000000000016E-2</v>
      </c>
      <c r="AM724" s="3">
        <v>116.27670000000001</v>
      </c>
      <c r="AN724" s="3">
        <v>214.80080000000001</v>
      </c>
      <c r="AO724" s="3">
        <v>242.74199999999999</v>
      </c>
      <c r="AP724" s="3">
        <f t="shared" si="561"/>
        <v>1.1416383809801978</v>
      </c>
      <c r="AQ724" s="3">
        <v>9.8510000000000009</v>
      </c>
      <c r="AR724" s="3">
        <v>2.2128999999999999</v>
      </c>
      <c r="AS724" s="3">
        <v>-959.76900000000001</v>
      </c>
      <c r="AT724" s="3">
        <v>-958.05</v>
      </c>
      <c r="AU724" s="3">
        <f t="shared" si="554"/>
        <v>-1.7190000000000509</v>
      </c>
      <c r="AV724" s="3">
        <v>-0.317</v>
      </c>
      <c r="AW724" s="3">
        <v>-0.45</v>
      </c>
      <c r="AX724" s="3">
        <f t="shared" si="572"/>
        <v>0.13300000000000001</v>
      </c>
      <c r="AY724" s="3">
        <v>-2.4E-2</v>
      </c>
      <c r="AZ724" s="3">
        <v>0.13500000000000001</v>
      </c>
      <c r="BA724" s="3">
        <f t="shared" si="573"/>
        <v>-0.159</v>
      </c>
      <c r="BB724" s="3">
        <f t="shared" si="568"/>
        <v>0.17050000000000001</v>
      </c>
      <c r="BC724" s="3">
        <f t="shared" si="568"/>
        <v>0.1575</v>
      </c>
      <c r="BD724" s="3">
        <f t="shared" si="574"/>
        <v>1.3000000000000012E-2</v>
      </c>
      <c r="BE724" s="3">
        <f t="shared" si="569"/>
        <v>0.29299999999999998</v>
      </c>
      <c r="BF724" s="3">
        <f t="shared" si="569"/>
        <v>0.58499999999999996</v>
      </c>
      <c r="BG724" s="3">
        <f t="shared" si="575"/>
        <v>-0.29199999999999998</v>
      </c>
      <c r="BH724" s="3">
        <f t="shared" si="570"/>
        <v>-0.17050000000000001</v>
      </c>
      <c r="BI724" s="3">
        <f t="shared" si="570"/>
        <v>-0.1575</v>
      </c>
      <c r="BJ724" s="3">
        <f t="shared" si="567"/>
        <v>-1.3000000000000012E-2</v>
      </c>
      <c r="BK724" s="3">
        <f t="shared" si="564"/>
        <v>4.9607935153583631E-2</v>
      </c>
      <c r="BL724" s="3">
        <f t="shared" si="565"/>
        <v>2.120192307692308E-2</v>
      </c>
      <c r="BM724" s="3">
        <f t="shared" si="576"/>
        <v>2.8406012076660551E-2</v>
      </c>
      <c r="BN724" s="3">
        <v>2.2370000000000001</v>
      </c>
      <c r="BO724" s="3">
        <v>2.431</v>
      </c>
      <c r="BP724" s="3">
        <f t="shared" si="577"/>
        <v>-0.19399999999999995</v>
      </c>
      <c r="BQ724" s="3">
        <v>-602243.07700000005</v>
      </c>
      <c r="BR724" s="3">
        <v>-601163.24300000002</v>
      </c>
      <c r="BS724" s="3">
        <f t="shared" si="578"/>
        <v>-1079.8340000000317</v>
      </c>
      <c r="BT724" s="3">
        <v>-602262.36399999994</v>
      </c>
      <c r="BU724" s="3">
        <v>-601182.38500000001</v>
      </c>
      <c r="BV724" s="3">
        <f t="shared" si="579"/>
        <v>-1079.9789999999339</v>
      </c>
    </row>
    <row r="725" spans="1:74" x14ac:dyDescent="0.25">
      <c r="A725" t="s">
        <v>175</v>
      </c>
      <c r="B725" t="s">
        <v>728</v>
      </c>
      <c r="C725" t="s">
        <v>103</v>
      </c>
      <c r="D725" s="3">
        <v>3.59</v>
      </c>
      <c r="E725" s="3">
        <v>0.67</v>
      </c>
      <c r="F725" s="3">
        <v>-1630.2449999999999</v>
      </c>
      <c r="G725" s="3">
        <v>-1636.1449</v>
      </c>
      <c r="H725" s="3">
        <f t="shared" si="553"/>
        <v>-5.8999000000001161</v>
      </c>
      <c r="I725" s="3">
        <v>-0.38200000000000001</v>
      </c>
      <c r="J725" s="6">
        <v>-0.26700000000000002</v>
      </c>
      <c r="K725" s="3">
        <f t="shared" si="540"/>
        <v>0.11499999999999999</v>
      </c>
      <c r="L725" s="3">
        <v>0.127</v>
      </c>
      <c r="M725" s="6">
        <v>1.7999999999999999E-2</v>
      </c>
      <c r="N725" s="3">
        <f t="shared" si="541"/>
        <v>-0.109</v>
      </c>
      <c r="O725" s="3">
        <f t="shared" si="571"/>
        <v>0.1275</v>
      </c>
      <c r="P725" s="3">
        <f t="shared" si="571"/>
        <v>0.12450000000000001</v>
      </c>
      <c r="Q725" s="3">
        <f t="shared" si="542"/>
        <v>-2.9999999999999888E-3</v>
      </c>
      <c r="R725" s="3">
        <f t="shared" si="543"/>
        <v>0.50900000000000001</v>
      </c>
      <c r="S725" s="3">
        <f t="shared" si="544"/>
        <v>0.28500000000000003</v>
      </c>
      <c r="T725" s="3">
        <f t="shared" si="545"/>
        <v>-0.22399999999999998</v>
      </c>
      <c r="U725" s="3">
        <f t="shared" si="546"/>
        <v>-0.1275</v>
      </c>
      <c r="V725" s="3">
        <f t="shared" si="547"/>
        <v>-0.12450000000000001</v>
      </c>
      <c r="W725" s="3">
        <f t="shared" si="566"/>
        <v>2.9999999999999888E-3</v>
      </c>
      <c r="X725" s="3">
        <f t="shared" si="562"/>
        <v>1.5968811394891945E-2</v>
      </c>
      <c r="Y725" s="3">
        <f t="shared" si="563"/>
        <v>2.7193421052631582E-2</v>
      </c>
      <c r="Z725" s="3">
        <f t="shared" si="548"/>
        <v>1.1224609657739637E-2</v>
      </c>
      <c r="AA725" s="3">
        <v>0.84699999999999998</v>
      </c>
      <c r="AB725" s="3">
        <v>0.86499999999999999</v>
      </c>
      <c r="AC725" s="3">
        <f t="shared" si="549"/>
        <v>1.8000000000000016E-2</v>
      </c>
      <c r="AD725" s="3">
        <f>-1629.770703*627.50956</f>
        <v>-1022696.6967404205</v>
      </c>
      <c r="AE725" s="3">
        <f>-1635.691462*627.50956</f>
        <v>-1026412.0296153766</v>
      </c>
      <c r="AF725" s="3">
        <f t="shared" si="550"/>
        <v>-3715.3328749560751</v>
      </c>
      <c r="AG725" s="3">
        <f>-1629.856913*627.50956</f>
        <v>-1022750.7943395883</v>
      </c>
      <c r="AH725" s="3">
        <f>-1635.782874*627.50956</f>
        <v>-1026469.3915192754</v>
      </c>
      <c r="AI725" s="3">
        <f t="shared" si="551"/>
        <v>-3718.5971796871163</v>
      </c>
      <c r="AJ725" s="3">
        <v>-0.26300000000000001</v>
      </c>
      <c r="AK725" s="3">
        <v>-0.21199999999999999</v>
      </c>
      <c r="AL725" s="3">
        <f t="shared" si="552"/>
        <v>5.1000000000000018E-2</v>
      </c>
      <c r="AM725" s="3">
        <v>290.74</v>
      </c>
      <c r="AN725" s="3">
        <v>409.53800000000001</v>
      </c>
      <c r="AO725" s="3">
        <v>547.29300000000001</v>
      </c>
      <c r="AP725" s="3">
        <f t="shared" si="561"/>
        <v>1.2659121256365549</v>
      </c>
      <c r="AQ725" s="3">
        <v>13.422000000000001</v>
      </c>
      <c r="AR725" s="3">
        <v>3.5133999999999999</v>
      </c>
      <c r="AS725" s="3">
        <v>-959.76900000000001</v>
      </c>
      <c r="AT725" s="3">
        <v>-958.05</v>
      </c>
      <c r="AU725" s="3">
        <f t="shared" si="554"/>
        <v>-1.7190000000000509</v>
      </c>
      <c r="AV725" s="3">
        <v>-0.317</v>
      </c>
      <c r="AW725" s="3">
        <v>-0.45</v>
      </c>
      <c r="AX725" s="3">
        <f t="shared" si="572"/>
        <v>0.13300000000000001</v>
      </c>
      <c r="AY725" s="3">
        <v>-2.4E-2</v>
      </c>
      <c r="AZ725" s="3">
        <v>0.13500000000000001</v>
      </c>
      <c r="BA725" s="3">
        <f t="shared" si="573"/>
        <v>-0.159</v>
      </c>
      <c r="BB725" s="3">
        <f t="shared" si="568"/>
        <v>0.17050000000000001</v>
      </c>
      <c r="BC725" s="3">
        <f t="shared" si="568"/>
        <v>0.1575</v>
      </c>
      <c r="BD725" s="3">
        <f t="shared" si="574"/>
        <v>1.3000000000000012E-2</v>
      </c>
      <c r="BE725" s="3">
        <f t="shared" si="569"/>
        <v>0.29299999999999998</v>
      </c>
      <c r="BF725" s="3">
        <f t="shared" si="569"/>
        <v>0.58499999999999996</v>
      </c>
      <c r="BG725" s="3">
        <f t="shared" si="575"/>
        <v>-0.29199999999999998</v>
      </c>
      <c r="BH725" s="3">
        <f t="shared" si="570"/>
        <v>-0.17050000000000001</v>
      </c>
      <c r="BI725" s="3">
        <f t="shared" si="570"/>
        <v>-0.1575</v>
      </c>
      <c r="BJ725" s="3">
        <f t="shared" si="567"/>
        <v>-1.3000000000000012E-2</v>
      </c>
      <c r="BK725" s="3">
        <f t="shared" si="564"/>
        <v>4.9607935153583631E-2</v>
      </c>
      <c r="BL725" s="3">
        <f t="shared" si="565"/>
        <v>2.120192307692308E-2</v>
      </c>
      <c r="BM725" s="3">
        <f t="shared" si="576"/>
        <v>2.8406012076660551E-2</v>
      </c>
      <c r="BN725" s="3">
        <v>2.2370000000000001</v>
      </c>
      <c r="BO725" s="3">
        <v>2.431</v>
      </c>
      <c r="BP725" s="3">
        <f t="shared" si="577"/>
        <v>-0.19399999999999995</v>
      </c>
      <c r="BQ725" s="3">
        <v>-602243.07700000005</v>
      </c>
      <c r="BR725" s="3">
        <v>-601163.24300000002</v>
      </c>
      <c r="BS725" s="3">
        <f t="shared" si="578"/>
        <v>-1079.8340000000317</v>
      </c>
      <c r="BT725" s="3">
        <v>-602262.36399999994</v>
      </c>
      <c r="BU725" s="3">
        <v>-601182.38500000001</v>
      </c>
      <c r="BV725" s="3">
        <f t="shared" si="579"/>
        <v>-1079.9789999999339</v>
      </c>
    </row>
    <row r="726" spans="1:74" x14ac:dyDescent="0.25">
      <c r="A726" t="s">
        <v>176</v>
      </c>
      <c r="B726" t="s">
        <v>728</v>
      </c>
      <c r="C726" t="s">
        <v>103</v>
      </c>
      <c r="D726" s="3">
        <v>3.67</v>
      </c>
      <c r="E726" s="3">
        <v>0.73</v>
      </c>
      <c r="F726" s="3">
        <v>-642.67499999999995</v>
      </c>
      <c r="G726" s="3">
        <v>-645.86400000000003</v>
      </c>
      <c r="H726" s="3">
        <f t="shared" si="553"/>
        <v>-3.1890000000000782</v>
      </c>
      <c r="I726" s="3">
        <v>-0.39500000000000002</v>
      </c>
      <c r="J726" s="6">
        <v>-0.27800000000000002</v>
      </c>
      <c r="K726" s="3">
        <f t="shared" si="540"/>
        <v>0.11699999999999999</v>
      </c>
      <c r="L726" s="3">
        <v>0.152</v>
      </c>
      <c r="M726" s="6">
        <v>3.9E-2</v>
      </c>
      <c r="N726" s="3">
        <f t="shared" si="541"/>
        <v>-0.11299999999999999</v>
      </c>
      <c r="O726" s="3">
        <f t="shared" si="571"/>
        <v>0.12150000000000001</v>
      </c>
      <c r="P726" s="3">
        <f t="shared" si="571"/>
        <v>0.11950000000000001</v>
      </c>
      <c r="Q726" s="3">
        <f t="shared" si="542"/>
        <v>-2.0000000000000018E-3</v>
      </c>
      <c r="R726" s="3">
        <f t="shared" si="543"/>
        <v>0.54700000000000004</v>
      </c>
      <c r="S726" s="3">
        <f t="shared" si="544"/>
        <v>0.317</v>
      </c>
      <c r="T726" s="3">
        <f t="shared" si="545"/>
        <v>-0.23000000000000004</v>
      </c>
      <c r="U726" s="3">
        <f t="shared" si="546"/>
        <v>-0.12150000000000001</v>
      </c>
      <c r="V726" s="3">
        <f t="shared" si="547"/>
        <v>-0.11950000000000001</v>
      </c>
      <c r="W726" s="3">
        <f t="shared" si="566"/>
        <v>2.0000000000000018E-3</v>
      </c>
      <c r="X726" s="3">
        <f t="shared" si="562"/>
        <v>1.3493829981718466E-2</v>
      </c>
      <c r="Y726" s="3">
        <f t="shared" si="563"/>
        <v>2.2524053627760256E-2</v>
      </c>
      <c r="Z726" s="3">
        <f t="shared" si="548"/>
        <v>9.0302236460417899E-3</v>
      </c>
      <c r="AA726" s="3">
        <v>0.67500000000000004</v>
      </c>
      <c r="AB726" s="3">
        <v>0.72099999999999997</v>
      </c>
      <c r="AC726" s="3">
        <f t="shared" si="549"/>
        <v>4.599999999999993E-2</v>
      </c>
      <c r="AD726" s="3">
        <f>-642.352187*627.50956</f>
        <v>-403082.13822940766</v>
      </c>
      <c r="AE726" s="3">
        <f>-645.558602*627.50956</f>
        <v>-405094.19429523509</v>
      </c>
      <c r="AF726" s="3">
        <f t="shared" si="550"/>
        <v>-2012.0560658274335</v>
      </c>
      <c r="AG726" s="3">
        <f>-642.411177*627.50956</f>
        <v>-403119.15501835209</v>
      </c>
      <c r="AH726" s="3">
        <f>-645.619144*627.50956</f>
        <v>-405132.1849790166</v>
      </c>
      <c r="AI726" s="3">
        <f t="shared" si="551"/>
        <v>-2013.0299606645131</v>
      </c>
      <c r="AJ726" s="3">
        <v>-0.25900000000000001</v>
      </c>
      <c r="AK726" s="3">
        <v>-0.20899999999999999</v>
      </c>
      <c r="AL726" s="3">
        <f t="shared" si="552"/>
        <v>5.0000000000000017E-2</v>
      </c>
      <c r="AM726" s="3">
        <v>158.35599999999999</v>
      </c>
      <c r="AN726" s="3">
        <v>281.49599999999998</v>
      </c>
      <c r="AO726" s="3">
        <v>326.4538</v>
      </c>
      <c r="AP726" s="3">
        <f t="shared" si="561"/>
        <v>1.2279490841778598</v>
      </c>
      <c r="AQ726" s="3">
        <v>12.419</v>
      </c>
      <c r="AR726" s="3">
        <v>2.9569000000000001</v>
      </c>
      <c r="AS726" s="3">
        <v>-959.76900000000001</v>
      </c>
      <c r="AT726" s="3">
        <v>-958.05</v>
      </c>
      <c r="AU726" s="3">
        <f t="shared" si="554"/>
        <v>-1.7190000000000509</v>
      </c>
      <c r="AV726" s="3">
        <v>-0.317</v>
      </c>
      <c r="AW726" s="3">
        <v>-0.45</v>
      </c>
      <c r="AX726" s="3">
        <f t="shared" si="572"/>
        <v>0.13300000000000001</v>
      </c>
      <c r="AY726" s="3">
        <v>-2.4E-2</v>
      </c>
      <c r="AZ726" s="3">
        <v>0.13500000000000001</v>
      </c>
      <c r="BA726" s="3">
        <f t="shared" si="573"/>
        <v>-0.159</v>
      </c>
      <c r="BB726" s="3">
        <f t="shared" ref="BB726:BC734" si="580">-(AV726+AY726)/2</f>
        <v>0.17050000000000001</v>
      </c>
      <c r="BC726" s="3">
        <f t="shared" si="580"/>
        <v>0.1575</v>
      </c>
      <c r="BD726" s="3">
        <f t="shared" si="574"/>
        <v>1.3000000000000012E-2</v>
      </c>
      <c r="BE726" s="3">
        <f t="shared" ref="BE726:BF734" si="581">AY726-AV726</f>
        <v>0.29299999999999998</v>
      </c>
      <c r="BF726" s="3">
        <f t="shared" si="581"/>
        <v>0.58499999999999996</v>
      </c>
      <c r="BG726" s="3">
        <f t="shared" si="575"/>
        <v>-0.29199999999999998</v>
      </c>
      <c r="BH726" s="3">
        <f t="shared" ref="BH726:BI734" si="582">(AV726+AY726)/2</f>
        <v>-0.17050000000000001</v>
      </c>
      <c r="BI726" s="3">
        <f t="shared" si="582"/>
        <v>-0.1575</v>
      </c>
      <c r="BJ726" s="3">
        <f t="shared" si="567"/>
        <v>-1.3000000000000012E-2</v>
      </c>
      <c r="BK726" s="3">
        <f t="shared" ref="BK726:BL734" si="583">(BH726*BH726)/(2*BE726)</f>
        <v>4.9607935153583631E-2</v>
      </c>
      <c r="BL726" s="3">
        <f t="shared" si="583"/>
        <v>2.120192307692308E-2</v>
      </c>
      <c r="BM726" s="3">
        <f t="shared" si="576"/>
        <v>2.8406012076660551E-2</v>
      </c>
      <c r="BN726" s="3">
        <v>2.2370000000000001</v>
      </c>
      <c r="BO726" s="3">
        <v>2.431</v>
      </c>
      <c r="BP726" s="3">
        <f t="shared" si="577"/>
        <v>-0.19399999999999995</v>
      </c>
      <c r="BQ726" s="3">
        <v>-602243.07700000005</v>
      </c>
      <c r="BR726" s="3">
        <v>-601163.24300000002</v>
      </c>
      <c r="BS726" s="3">
        <f t="shared" si="578"/>
        <v>-1079.8340000000317</v>
      </c>
      <c r="BT726" s="3">
        <v>-602262.36399999994</v>
      </c>
      <c r="BU726" s="3">
        <v>-601182.38500000001</v>
      </c>
      <c r="BV726" s="3">
        <f t="shared" si="579"/>
        <v>-1079.9789999999339</v>
      </c>
    </row>
    <row r="727" spans="1:74" x14ac:dyDescent="0.25">
      <c r="A727" t="s">
        <v>177</v>
      </c>
      <c r="B727" t="s">
        <v>728</v>
      </c>
      <c r="C727" t="s">
        <v>103</v>
      </c>
      <c r="D727" s="3">
        <v>3.73</v>
      </c>
      <c r="E727" s="3">
        <v>0.68</v>
      </c>
      <c r="F727" s="3">
        <v>-1981.626</v>
      </c>
      <c r="G727" s="3">
        <v>-1990.049</v>
      </c>
      <c r="H727" s="3">
        <f t="shared" si="553"/>
        <v>-8.4230000000000018</v>
      </c>
      <c r="I727" s="3">
        <v>-0.372</v>
      </c>
      <c r="J727" s="6">
        <v>-0.25900000000000001</v>
      </c>
      <c r="K727" s="3">
        <f t="shared" si="540"/>
        <v>0.11299999999999999</v>
      </c>
      <c r="L727" s="3">
        <v>0.13</v>
      </c>
      <c r="M727" s="6">
        <v>0.02</v>
      </c>
      <c r="N727" s="3">
        <f t="shared" si="541"/>
        <v>-0.11</v>
      </c>
      <c r="O727" s="3">
        <f t="shared" si="571"/>
        <v>0.121</v>
      </c>
      <c r="P727" s="3">
        <f t="shared" si="571"/>
        <v>0.11950000000000001</v>
      </c>
      <c r="Q727" s="3">
        <f t="shared" si="542"/>
        <v>-1.4999999999999875E-3</v>
      </c>
      <c r="R727" s="3">
        <f t="shared" si="543"/>
        <v>0.502</v>
      </c>
      <c r="S727" s="3">
        <f t="shared" si="544"/>
        <v>0.27900000000000003</v>
      </c>
      <c r="T727" s="3">
        <f t="shared" si="545"/>
        <v>-0.22299999999999998</v>
      </c>
      <c r="U727" s="3">
        <f t="shared" si="546"/>
        <v>-0.121</v>
      </c>
      <c r="V727" s="3">
        <f t="shared" si="547"/>
        <v>-0.11950000000000001</v>
      </c>
      <c r="W727" s="3">
        <f t="shared" si="566"/>
        <v>1.4999999999999875E-3</v>
      </c>
      <c r="X727" s="3">
        <f t="shared" si="562"/>
        <v>1.4582669322709163E-2</v>
      </c>
      <c r="Y727" s="3">
        <f t="shared" si="563"/>
        <v>2.5591845878136205E-2</v>
      </c>
      <c r="Z727" s="3">
        <f t="shared" si="548"/>
        <v>1.1009176555427042E-2</v>
      </c>
      <c r="AA727" s="3">
        <v>1.0640000000000001</v>
      </c>
      <c r="AB727" s="3">
        <v>1.0469999999999999</v>
      </c>
      <c r="AC727" s="3">
        <f t="shared" si="549"/>
        <v>-1.7000000000000126E-2</v>
      </c>
      <c r="AD727" s="3">
        <f>-1980.866646*627.50956</f>
        <v>-1243012.7574501357</v>
      </c>
      <c r="AE727" s="3">
        <f>-1989.327686*627.50956</f>
        <v>-1248322.1409376781</v>
      </c>
      <c r="AF727" s="3">
        <f t="shared" si="550"/>
        <v>-5309.3834875423927</v>
      </c>
      <c r="AG727" s="3">
        <f>-1980.986807*627.50956</f>
        <v>-1243088.159626375</v>
      </c>
      <c r="AH727" s="3">
        <f>-1989.451684*627.50956</f>
        <v>-1248399.950868099</v>
      </c>
      <c r="AI727" s="3">
        <f t="shared" si="551"/>
        <v>-5311.7912417240441</v>
      </c>
      <c r="AJ727" s="3">
        <v>-0.26400000000000001</v>
      </c>
      <c r="AK727" s="3">
        <v>-0.21299999999999999</v>
      </c>
      <c r="AL727" s="3">
        <f t="shared" si="552"/>
        <v>5.1000000000000018E-2</v>
      </c>
      <c r="AM727" s="3">
        <v>416.97949999999997</v>
      </c>
      <c r="AN727" s="3">
        <v>597.49649999999997</v>
      </c>
      <c r="AO727" s="3">
        <v>796.22299999999996</v>
      </c>
      <c r="AP727" s="3">
        <f t="shared" si="561"/>
        <v>1.4384723009962177</v>
      </c>
      <c r="AQ727" s="3">
        <v>20.544</v>
      </c>
      <c r="AR727" s="3">
        <v>4.9020000000000001</v>
      </c>
      <c r="AS727" s="3">
        <v>-959.76900000000001</v>
      </c>
      <c r="AT727" s="3">
        <v>-958.05</v>
      </c>
      <c r="AU727" s="3">
        <f t="shared" si="554"/>
        <v>-1.7190000000000509</v>
      </c>
      <c r="AV727" s="3">
        <v>-0.317</v>
      </c>
      <c r="AW727" s="3">
        <v>-0.45</v>
      </c>
      <c r="AX727" s="3">
        <f t="shared" si="572"/>
        <v>0.13300000000000001</v>
      </c>
      <c r="AY727" s="3">
        <v>-2.4E-2</v>
      </c>
      <c r="AZ727" s="3">
        <v>0.13500000000000001</v>
      </c>
      <c r="BA727" s="3">
        <f t="shared" si="573"/>
        <v>-0.159</v>
      </c>
      <c r="BB727" s="3">
        <f t="shared" si="580"/>
        <v>0.17050000000000001</v>
      </c>
      <c r="BC727" s="3">
        <f t="shared" si="580"/>
        <v>0.1575</v>
      </c>
      <c r="BD727" s="3">
        <f t="shared" si="574"/>
        <v>1.3000000000000012E-2</v>
      </c>
      <c r="BE727" s="3">
        <f t="shared" si="581"/>
        <v>0.29299999999999998</v>
      </c>
      <c r="BF727" s="3">
        <f t="shared" si="581"/>
        <v>0.58499999999999996</v>
      </c>
      <c r="BG727" s="3">
        <f t="shared" si="575"/>
        <v>-0.29199999999999998</v>
      </c>
      <c r="BH727" s="3">
        <f t="shared" si="582"/>
        <v>-0.17050000000000001</v>
      </c>
      <c r="BI727" s="3">
        <f t="shared" si="582"/>
        <v>-0.1575</v>
      </c>
      <c r="BJ727" s="3">
        <f t="shared" si="567"/>
        <v>-1.3000000000000012E-2</v>
      </c>
      <c r="BK727" s="3">
        <f t="shared" si="583"/>
        <v>4.9607935153583631E-2</v>
      </c>
      <c r="BL727" s="3">
        <f t="shared" si="583"/>
        <v>2.120192307692308E-2</v>
      </c>
      <c r="BM727" s="3">
        <f t="shared" si="576"/>
        <v>2.8406012076660551E-2</v>
      </c>
      <c r="BN727" s="3">
        <v>2.2370000000000001</v>
      </c>
      <c r="BO727" s="3">
        <v>2.431</v>
      </c>
      <c r="BP727" s="3">
        <f t="shared" si="577"/>
        <v>-0.19399999999999995</v>
      </c>
      <c r="BQ727" s="3">
        <v>-602243.07700000005</v>
      </c>
      <c r="BR727" s="3">
        <v>-601163.24300000002</v>
      </c>
      <c r="BS727" s="3">
        <f t="shared" si="578"/>
        <v>-1079.8340000000317</v>
      </c>
      <c r="BT727" s="3">
        <v>-602262.36399999994</v>
      </c>
      <c r="BU727" s="3">
        <v>-601182.38500000001</v>
      </c>
      <c r="BV727" s="3">
        <f t="shared" si="579"/>
        <v>-1079.9789999999339</v>
      </c>
    </row>
    <row r="728" spans="1:74" x14ac:dyDescent="0.25">
      <c r="A728" t="s">
        <v>178</v>
      </c>
      <c r="B728" t="s">
        <v>728</v>
      </c>
      <c r="C728" t="s">
        <v>103</v>
      </c>
      <c r="D728" s="3">
        <v>3.89</v>
      </c>
      <c r="E728" s="3">
        <v>0.73</v>
      </c>
      <c r="F728" s="3">
        <v>-994.06899999999996</v>
      </c>
      <c r="G728" s="3">
        <v>-999.78099999999995</v>
      </c>
      <c r="H728" s="3">
        <f t="shared" si="553"/>
        <v>-5.7119999999999891</v>
      </c>
      <c r="I728" s="3">
        <v>-0.38800000000000001</v>
      </c>
      <c r="J728" s="6">
        <v>-0.27200000000000002</v>
      </c>
      <c r="K728" s="3">
        <f t="shared" si="540"/>
        <v>0.11599999999999999</v>
      </c>
      <c r="L728" s="3">
        <v>0.152</v>
      </c>
      <c r="M728" s="6">
        <v>3.6999999999999998E-2</v>
      </c>
      <c r="N728" s="3">
        <f t="shared" si="541"/>
        <v>-0.11499999999999999</v>
      </c>
      <c r="O728" s="3">
        <f t="shared" si="571"/>
        <v>0.11800000000000001</v>
      </c>
      <c r="P728" s="3">
        <f t="shared" si="571"/>
        <v>0.11750000000000001</v>
      </c>
      <c r="Q728" s="3">
        <f t="shared" si="542"/>
        <v>-5.0000000000000044E-4</v>
      </c>
      <c r="R728" s="3">
        <f t="shared" si="543"/>
        <v>0.54</v>
      </c>
      <c r="S728" s="3">
        <f t="shared" si="544"/>
        <v>0.309</v>
      </c>
      <c r="T728" s="3">
        <f t="shared" si="545"/>
        <v>-0.23100000000000004</v>
      </c>
      <c r="U728" s="3">
        <f t="shared" si="546"/>
        <v>-0.11800000000000001</v>
      </c>
      <c r="V728" s="3">
        <f t="shared" si="547"/>
        <v>-0.11750000000000001</v>
      </c>
      <c r="W728" s="3">
        <f t="shared" si="566"/>
        <v>5.0000000000000044E-4</v>
      </c>
      <c r="X728" s="3">
        <f t="shared" si="562"/>
        <v>1.2892592592592594E-2</v>
      </c>
      <c r="Y728" s="3">
        <f t="shared" si="563"/>
        <v>2.2340210355987059E-2</v>
      </c>
      <c r="Z728" s="3">
        <f t="shared" si="548"/>
        <v>9.4476177633944641E-3</v>
      </c>
      <c r="AA728" s="3">
        <v>0.81499999999999995</v>
      </c>
      <c r="AB728" s="3">
        <v>0.86399999999999999</v>
      </c>
      <c r="AC728" s="3">
        <f t="shared" si="549"/>
        <v>4.9000000000000044E-2</v>
      </c>
      <c r="AD728" s="3">
        <f>-993.46417*627.50956</f>
        <v>-623408.26419246511</v>
      </c>
      <c r="AE728" s="3">
        <f>-999.208789*627.50956</f>
        <v>-627013.06753352284</v>
      </c>
      <c r="AF728" s="3">
        <f t="shared" si="550"/>
        <v>-3604.8033410577336</v>
      </c>
      <c r="AG728" s="3">
        <f>-993.554416*627.50956</f>
        <v>-623464.89442021691</v>
      </c>
      <c r="AH728" s="3">
        <f>-999.301206*627.50956</f>
        <v>-627071.06008452934</v>
      </c>
      <c r="AI728" s="3">
        <f t="shared" si="551"/>
        <v>-3606.1656643124297</v>
      </c>
      <c r="AJ728" s="3">
        <v>-0.26</v>
      </c>
      <c r="AK728" s="3">
        <v>-0.20899999999999999</v>
      </c>
      <c r="AL728" s="3">
        <f t="shared" si="552"/>
        <v>5.1000000000000018E-2</v>
      </c>
      <c r="AM728" s="3">
        <v>284.59570000000002</v>
      </c>
      <c r="AN728" s="3">
        <v>479.88479999999998</v>
      </c>
      <c r="AO728" s="3">
        <v>577.28800000000001</v>
      </c>
      <c r="AP728" s="3">
        <f t="shared" si="561"/>
        <v>1.4315216632371235</v>
      </c>
      <c r="AQ728" s="3">
        <v>19.367999999999999</v>
      </c>
      <c r="AR728" s="3">
        <v>4.9561999999999999</v>
      </c>
      <c r="AS728" s="3">
        <v>-959.76900000000001</v>
      </c>
      <c r="AT728" s="3">
        <v>-958.05</v>
      </c>
      <c r="AU728" s="3">
        <f t="shared" si="554"/>
        <v>-1.7190000000000509</v>
      </c>
      <c r="AV728" s="3">
        <v>-0.317</v>
      </c>
      <c r="AW728" s="3">
        <v>-0.45</v>
      </c>
      <c r="AX728" s="3">
        <f t="shared" si="572"/>
        <v>0.13300000000000001</v>
      </c>
      <c r="AY728" s="3">
        <v>-2.4E-2</v>
      </c>
      <c r="AZ728" s="3">
        <v>0.13500000000000001</v>
      </c>
      <c r="BA728" s="3">
        <f t="shared" si="573"/>
        <v>-0.159</v>
      </c>
      <c r="BB728" s="3">
        <f t="shared" si="580"/>
        <v>0.17050000000000001</v>
      </c>
      <c r="BC728" s="3">
        <f t="shared" si="580"/>
        <v>0.1575</v>
      </c>
      <c r="BD728" s="3">
        <f t="shared" si="574"/>
        <v>1.3000000000000012E-2</v>
      </c>
      <c r="BE728" s="3">
        <f t="shared" si="581"/>
        <v>0.29299999999999998</v>
      </c>
      <c r="BF728" s="3">
        <f t="shared" si="581"/>
        <v>0.58499999999999996</v>
      </c>
      <c r="BG728" s="3">
        <f t="shared" si="575"/>
        <v>-0.29199999999999998</v>
      </c>
      <c r="BH728" s="3">
        <f t="shared" si="582"/>
        <v>-0.17050000000000001</v>
      </c>
      <c r="BI728" s="3">
        <f t="shared" si="582"/>
        <v>-0.1575</v>
      </c>
      <c r="BJ728" s="3">
        <f t="shared" si="567"/>
        <v>-1.3000000000000012E-2</v>
      </c>
      <c r="BK728" s="3">
        <f t="shared" si="583"/>
        <v>4.9607935153583631E-2</v>
      </c>
      <c r="BL728" s="3">
        <f t="shared" si="583"/>
        <v>2.120192307692308E-2</v>
      </c>
      <c r="BM728" s="3">
        <f t="shared" si="576"/>
        <v>2.8406012076660551E-2</v>
      </c>
      <c r="BN728" s="3">
        <v>2.2370000000000001</v>
      </c>
      <c r="BO728" s="3">
        <v>2.431</v>
      </c>
      <c r="BP728" s="3">
        <f t="shared" si="577"/>
        <v>-0.19399999999999995</v>
      </c>
      <c r="BQ728" s="3">
        <v>-602243.07700000005</v>
      </c>
      <c r="BR728" s="3">
        <v>-601163.24300000002</v>
      </c>
      <c r="BS728" s="3">
        <f t="shared" si="578"/>
        <v>-1079.8340000000317</v>
      </c>
      <c r="BT728" s="3">
        <v>-602262.36399999994</v>
      </c>
      <c r="BU728" s="3">
        <v>-601182.38500000001</v>
      </c>
      <c r="BV728" s="3">
        <f t="shared" si="579"/>
        <v>-1079.9789999999339</v>
      </c>
    </row>
    <row r="729" spans="1:74" x14ac:dyDescent="0.25">
      <c r="A729" t="s">
        <v>39</v>
      </c>
      <c r="B729" t="s">
        <v>728</v>
      </c>
      <c r="C729" t="s">
        <v>103</v>
      </c>
      <c r="D729" s="3">
        <v>3.99</v>
      </c>
      <c r="E729" s="3">
        <v>0.73</v>
      </c>
      <c r="F729" s="3">
        <v>-759.80700000000002</v>
      </c>
      <c r="G729" s="3">
        <v>-763.83699999999999</v>
      </c>
      <c r="H729" s="3">
        <f t="shared" si="553"/>
        <v>-4.0299999999999727</v>
      </c>
      <c r="I729" s="3">
        <v>-0.39100000000000001</v>
      </c>
      <c r="J729" s="6">
        <v>-0.27400000000000002</v>
      </c>
      <c r="K729" s="3">
        <f t="shared" si="540"/>
        <v>0.11699999999999999</v>
      </c>
      <c r="L729" s="3">
        <v>0.153</v>
      </c>
      <c r="M729" s="6">
        <v>3.9E-2</v>
      </c>
      <c r="N729" s="3">
        <f t="shared" si="541"/>
        <v>-0.11399999999999999</v>
      </c>
      <c r="O729" s="3">
        <f t="shared" si="571"/>
        <v>0.11900000000000001</v>
      </c>
      <c r="P729" s="3">
        <f t="shared" si="571"/>
        <v>0.11750000000000001</v>
      </c>
      <c r="Q729" s="3">
        <f t="shared" si="542"/>
        <v>-1.5000000000000013E-3</v>
      </c>
      <c r="R729" s="3">
        <f t="shared" si="543"/>
        <v>0.54400000000000004</v>
      </c>
      <c r="S729" s="3">
        <f t="shared" si="544"/>
        <v>0.313</v>
      </c>
      <c r="T729" s="3">
        <f t="shared" si="545"/>
        <v>-0.23100000000000004</v>
      </c>
      <c r="U729" s="3">
        <f t="shared" si="546"/>
        <v>-0.11900000000000001</v>
      </c>
      <c r="V729" s="3">
        <f t="shared" si="547"/>
        <v>-0.11750000000000001</v>
      </c>
      <c r="W729" s="3">
        <f t="shared" si="566"/>
        <v>1.5000000000000013E-3</v>
      </c>
      <c r="X729" s="3">
        <f t="shared" si="562"/>
        <v>1.3015625000000001E-2</v>
      </c>
      <c r="Y729" s="3">
        <f t="shared" si="563"/>
        <v>2.2054712460063901E-2</v>
      </c>
      <c r="Z729" s="3">
        <f t="shared" si="548"/>
        <v>9.0390874600638996E-3</v>
      </c>
      <c r="AA729" s="3">
        <v>0.83099999999999996</v>
      </c>
      <c r="AB729" s="3">
        <v>0.875</v>
      </c>
      <c r="AC729" s="3">
        <f t="shared" si="549"/>
        <v>4.4000000000000039E-2</v>
      </c>
      <c r="AD729" s="3">
        <f>-759.390398*627.50956</f>
        <v>-476524.73451720487</v>
      </c>
      <c r="AE729" s="3">
        <f>-763.442848*627.50956</f>
        <v>-479067.68563362688</v>
      </c>
      <c r="AF729" s="3">
        <f t="shared" si="550"/>
        <v>-2542.9511164220166</v>
      </c>
      <c r="AG729" s="3">
        <f>-759.459804*627.50956</f>
        <v>-476568.28744572616</v>
      </c>
      <c r="AH729" s="3">
        <f>-763.514432*627.50956</f>
        <v>-479112.60527796991</v>
      </c>
      <c r="AI729" s="3">
        <f t="shared" si="551"/>
        <v>-2544.3178322437452</v>
      </c>
      <c r="AJ729" s="3">
        <v>-0.25900000000000001</v>
      </c>
      <c r="AK729" s="3">
        <v>-0.20899999999999999</v>
      </c>
      <c r="AL729" s="3">
        <f t="shared" si="552"/>
        <v>5.0000000000000017E-2</v>
      </c>
      <c r="AM729" s="3">
        <v>200.43600000000001</v>
      </c>
      <c r="AN729" s="3">
        <v>348.3827</v>
      </c>
      <c r="AO729" s="3">
        <v>410.3098</v>
      </c>
      <c r="AP729" s="3">
        <f t="shared" si="561"/>
        <v>1.3048820923045725</v>
      </c>
      <c r="AQ729" s="3">
        <v>14.872999999999999</v>
      </c>
      <c r="AR729" s="3">
        <v>3.6520000000000001</v>
      </c>
      <c r="AS729" s="3">
        <v>-959.76900000000001</v>
      </c>
      <c r="AT729" s="3">
        <v>-958.05</v>
      </c>
      <c r="AU729" s="3">
        <f t="shared" si="554"/>
        <v>-1.7190000000000509</v>
      </c>
      <c r="AV729" s="3">
        <v>-0.317</v>
      </c>
      <c r="AW729" s="3">
        <v>-0.45</v>
      </c>
      <c r="AX729" s="3">
        <f t="shared" si="572"/>
        <v>0.13300000000000001</v>
      </c>
      <c r="AY729" s="3">
        <v>-2.4E-2</v>
      </c>
      <c r="AZ729" s="3">
        <v>0.13500000000000001</v>
      </c>
      <c r="BA729" s="3">
        <f t="shared" si="573"/>
        <v>-0.159</v>
      </c>
      <c r="BB729" s="3">
        <f t="shared" si="580"/>
        <v>0.17050000000000001</v>
      </c>
      <c r="BC729" s="3">
        <f t="shared" si="580"/>
        <v>0.1575</v>
      </c>
      <c r="BD729" s="3">
        <f t="shared" si="574"/>
        <v>1.3000000000000012E-2</v>
      </c>
      <c r="BE729" s="3">
        <f t="shared" si="581"/>
        <v>0.29299999999999998</v>
      </c>
      <c r="BF729" s="3">
        <f t="shared" si="581"/>
        <v>0.58499999999999996</v>
      </c>
      <c r="BG729" s="3">
        <f t="shared" si="575"/>
        <v>-0.29199999999999998</v>
      </c>
      <c r="BH729" s="3">
        <f t="shared" si="582"/>
        <v>-0.17050000000000001</v>
      </c>
      <c r="BI729" s="3">
        <f t="shared" si="582"/>
        <v>-0.1575</v>
      </c>
      <c r="BJ729" s="3">
        <f t="shared" si="567"/>
        <v>-1.3000000000000012E-2</v>
      </c>
      <c r="BK729" s="3">
        <f t="shared" si="583"/>
        <v>4.9607935153583631E-2</v>
      </c>
      <c r="BL729" s="3">
        <f t="shared" si="583"/>
        <v>2.120192307692308E-2</v>
      </c>
      <c r="BM729" s="3">
        <f t="shared" si="576"/>
        <v>2.8406012076660551E-2</v>
      </c>
      <c r="BN729" s="3">
        <v>2.2370000000000001</v>
      </c>
      <c r="BO729" s="3">
        <v>2.431</v>
      </c>
      <c r="BP729" s="3">
        <f t="shared" si="577"/>
        <v>-0.19399999999999995</v>
      </c>
      <c r="BQ729" s="3">
        <v>-602243.07700000005</v>
      </c>
      <c r="BR729" s="3">
        <v>-601163.24300000002</v>
      </c>
      <c r="BS729" s="3">
        <f t="shared" si="578"/>
        <v>-1079.8340000000317</v>
      </c>
      <c r="BT729" s="3">
        <v>-602262.36399999994</v>
      </c>
      <c r="BU729" s="3">
        <v>-601182.38500000001</v>
      </c>
      <c r="BV729" s="3">
        <f t="shared" si="579"/>
        <v>-1079.9789999999339</v>
      </c>
    </row>
    <row r="730" spans="1:74" x14ac:dyDescent="0.25">
      <c r="A730" t="s">
        <v>179</v>
      </c>
      <c r="B730" t="s">
        <v>728</v>
      </c>
      <c r="C730" t="s">
        <v>99</v>
      </c>
      <c r="D730" s="3">
        <v>4</v>
      </c>
      <c r="E730" s="3">
        <v>0.7</v>
      </c>
      <c r="F730" s="3">
        <v>-592.31399999999996</v>
      </c>
      <c r="G730" s="3">
        <v>-596.22900000000004</v>
      </c>
      <c r="H730" s="3">
        <f t="shared" si="553"/>
        <v>-3.9150000000000773</v>
      </c>
      <c r="I730" s="3">
        <v>-0.28000000000000003</v>
      </c>
      <c r="J730" s="6">
        <v>-0.19800000000000001</v>
      </c>
      <c r="K730" s="3">
        <f t="shared" si="540"/>
        <v>8.2000000000000017E-2</v>
      </c>
      <c r="L730" s="3">
        <v>0.11899999999999999</v>
      </c>
      <c r="M730" s="6">
        <v>-1.9E-2</v>
      </c>
      <c r="N730" s="3">
        <f t="shared" si="541"/>
        <v>-0.13799999999999998</v>
      </c>
      <c r="O730" s="3">
        <f t="shared" si="571"/>
        <v>8.0500000000000016E-2</v>
      </c>
      <c r="P730" s="3">
        <f t="shared" si="571"/>
        <v>0.1085</v>
      </c>
      <c r="Q730" s="3">
        <f t="shared" si="542"/>
        <v>2.7999999999999983E-2</v>
      </c>
      <c r="R730" s="3">
        <f t="shared" si="543"/>
        <v>0.39900000000000002</v>
      </c>
      <c r="S730" s="3">
        <f t="shared" si="544"/>
        <v>0.17900000000000002</v>
      </c>
      <c r="T730" s="3">
        <f t="shared" si="545"/>
        <v>-0.22</v>
      </c>
      <c r="U730" s="3">
        <f t="shared" si="546"/>
        <v>-8.0500000000000016E-2</v>
      </c>
      <c r="V730" s="3">
        <f t="shared" si="547"/>
        <v>-0.1085</v>
      </c>
      <c r="W730" s="3">
        <f t="shared" si="566"/>
        <v>-2.7999999999999983E-2</v>
      </c>
      <c r="X730" s="3">
        <f t="shared" si="562"/>
        <v>8.1206140350877226E-3</v>
      </c>
      <c r="Y730" s="3">
        <f t="shared" si="563"/>
        <v>3.2883379888268151E-2</v>
      </c>
      <c r="Z730" s="3">
        <f t="shared" si="548"/>
        <v>2.4762765853180428E-2</v>
      </c>
      <c r="AA730" s="3">
        <v>0.99</v>
      </c>
      <c r="AB730" s="3">
        <v>1.3440000000000001</v>
      </c>
      <c r="AC730" s="3">
        <f t="shared" si="549"/>
        <v>0.35400000000000009</v>
      </c>
      <c r="AD730" s="3">
        <f>-592.053589*627.50956</f>
        <v>-371519.28712981084</v>
      </c>
      <c r="AE730" s="3">
        <f>-595.984227*627.50956</f>
        <v>-373985.8000517101</v>
      </c>
      <c r="AF730" s="3">
        <f t="shared" si="550"/>
        <v>-2466.5129218992661</v>
      </c>
      <c r="AG730" s="3">
        <f>-592.101191*627.50956</f>
        <v>-371549.15783988591</v>
      </c>
      <c r="AH730" s="3">
        <f>-596.033333*627.50956</f>
        <v>-374016.61453616346</v>
      </c>
      <c r="AI730" s="3">
        <f t="shared" si="551"/>
        <v>-2467.4566962775425</v>
      </c>
      <c r="AJ730" s="3">
        <v>0.192</v>
      </c>
      <c r="AK730" s="3">
        <v>0.218</v>
      </c>
      <c r="AL730" s="3">
        <f t="shared" si="552"/>
        <v>2.5999999999999995E-2</v>
      </c>
      <c r="AM730" s="3">
        <v>195.25970000000001</v>
      </c>
      <c r="AN730" s="3">
        <v>256.29360000000003</v>
      </c>
      <c r="AO730" s="3">
        <v>298.30799999999999</v>
      </c>
      <c r="AP730" s="3">
        <f t="shared" si="561"/>
        <v>1.1872725989825343</v>
      </c>
      <c r="AQ730" s="3">
        <v>11.647</v>
      </c>
      <c r="AR730" s="3">
        <v>2.7166999999999999</v>
      </c>
      <c r="AS730" s="3">
        <v>-132.80099999999999</v>
      </c>
      <c r="AT730" s="3">
        <v>-131.97</v>
      </c>
      <c r="AU730" s="3">
        <f t="shared" si="554"/>
        <v>-0.83099999999998886</v>
      </c>
      <c r="AV730" s="3">
        <v>-0.34100000000000003</v>
      </c>
      <c r="AW730" s="3">
        <v>-0.47499999999999998</v>
      </c>
      <c r="AX730" s="3">
        <f t="shared" si="572"/>
        <v>0.13399999999999995</v>
      </c>
      <c r="AY730" s="3">
        <v>2.9000000000000001E-2</v>
      </c>
      <c r="AZ730" s="3">
        <v>0.156</v>
      </c>
      <c r="BA730" s="3">
        <f t="shared" si="573"/>
        <v>-0.127</v>
      </c>
      <c r="BB730" s="3">
        <f t="shared" si="580"/>
        <v>0.156</v>
      </c>
      <c r="BC730" s="3">
        <f t="shared" si="580"/>
        <v>0.15949999999999998</v>
      </c>
      <c r="BD730" s="3">
        <f t="shared" si="574"/>
        <v>-3.4999999999999754E-3</v>
      </c>
      <c r="BE730" s="3">
        <f t="shared" si="581"/>
        <v>0.37000000000000005</v>
      </c>
      <c r="BF730" s="3">
        <f t="shared" si="581"/>
        <v>0.63100000000000001</v>
      </c>
      <c r="BG730" s="3">
        <f t="shared" si="575"/>
        <v>-0.26099999999999995</v>
      </c>
      <c r="BH730" s="3">
        <f t="shared" si="582"/>
        <v>-0.156</v>
      </c>
      <c r="BI730" s="3">
        <f t="shared" si="582"/>
        <v>-0.15949999999999998</v>
      </c>
      <c r="BJ730" s="3">
        <f t="shared" si="567"/>
        <v>3.4999999999999754E-3</v>
      </c>
      <c r="BK730" s="3">
        <f t="shared" si="583"/>
        <v>3.2886486486486483E-2</v>
      </c>
      <c r="BL730" s="3">
        <f t="shared" si="583"/>
        <v>2.0158676703645E-2</v>
      </c>
      <c r="BM730" s="3">
        <f t="shared" si="576"/>
        <v>1.2727809782841482E-2</v>
      </c>
      <c r="BN730" s="3">
        <v>4.7279999999999998</v>
      </c>
      <c r="BO730" s="3">
        <v>4.9340000000000002</v>
      </c>
      <c r="BP730" s="3">
        <f t="shared" si="577"/>
        <v>-0.20600000000000041</v>
      </c>
      <c r="BQ730" s="3">
        <v>-83302.89</v>
      </c>
      <c r="BR730" s="3">
        <v>-82779.224000000002</v>
      </c>
      <c r="BS730" s="3">
        <f t="shared" si="578"/>
        <v>-523.66599999999744</v>
      </c>
      <c r="BT730" s="3">
        <v>-83320.774999999994</v>
      </c>
      <c r="BU730" s="3">
        <v>-82796.997000000003</v>
      </c>
      <c r="BV730" s="3">
        <f t="shared" si="579"/>
        <v>-523.77799999999115</v>
      </c>
    </row>
    <row r="731" spans="1:74" x14ac:dyDescent="0.25">
      <c r="A731" t="s">
        <v>180</v>
      </c>
      <c r="B731" t="s">
        <v>728</v>
      </c>
      <c r="C731" t="s">
        <v>103</v>
      </c>
      <c r="D731" s="3">
        <v>4.2699999999999996</v>
      </c>
      <c r="E731" s="3">
        <v>0.86</v>
      </c>
      <c r="F731" s="3">
        <v>-388.07100000000003</v>
      </c>
      <c r="G731" s="3">
        <v>-390.79199999999997</v>
      </c>
      <c r="H731" s="3">
        <f t="shared" si="553"/>
        <v>-2.7209999999999468</v>
      </c>
      <c r="I731" s="3">
        <v>-0.31900000000000001</v>
      </c>
      <c r="J731" s="6">
        <v>-0.221</v>
      </c>
      <c r="K731" s="3">
        <f t="shared" si="540"/>
        <v>9.8000000000000004E-2</v>
      </c>
      <c r="L731" s="3">
        <v>0.152</v>
      </c>
      <c r="M731" s="6">
        <v>2.5000000000000001E-2</v>
      </c>
      <c r="N731" s="3">
        <f t="shared" si="541"/>
        <v>-0.127</v>
      </c>
      <c r="O731" s="3">
        <f t="shared" si="571"/>
        <v>8.3500000000000005E-2</v>
      </c>
      <c r="P731" s="3">
        <f t="shared" si="571"/>
        <v>9.8000000000000004E-2</v>
      </c>
      <c r="Q731" s="3">
        <f t="shared" si="542"/>
        <v>1.4499999999999999E-2</v>
      </c>
      <c r="R731" s="3">
        <f t="shared" si="543"/>
        <v>0.47099999999999997</v>
      </c>
      <c r="S731" s="3">
        <f t="shared" si="544"/>
        <v>0.246</v>
      </c>
      <c r="T731" s="3">
        <f t="shared" si="545"/>
        <v>-0.22499999999999998</v>
      </c>
      <c r="U731" s="3">
        <f t="shared" si="546"/>
        <v>-8.3500000000000005E-2</v>
      </c>
      <c r="V731" s="3">
        <f t="shared" si="547"/>
        <v>-9.8000000000000004E-2</v>
      </c>
      <c r="W731" s="3">
        <f t="shared" si="566"/>
        <v>-1.4499999999999999E-2</v>
      </c>
      <c r="X731" s="3">
        <f t="shared" si="562"/>
        <v>7.4015392781316362E-3</v>
      </c>
      <c r="Y731" s="3">
        <f t="shared" si="563"/>
        <v>1.9520325203252035E-2</v>
      </c>
      <c r="Z731" s="3">
        <f t="shared" si="548"/>
        <v>1.2118785925120399E-2</v>
      </c>
      <c r="AA731" s="3">
        <v>0</v>
      </c>
      <c r="AB731" s="3">
        <v>0</v>
      </c>
      <c r="AC731" s="3">
        <f t="shared" si="549"/>
        <v>0</v>
      </c>
      <c r="AD731" s="3">
        <f>-387.812012*627.50956</f>
        <v>-243355.7450128347</v>
      </c>
      <c r="AE731" s="3">
        <f>-390.547499*627.50956</f>
        <v>-245072.28925659045</v>
      </c>
      <c r="AF731" s="3">
        <f t="shared" si="550"/>
        <v>-1716.5442437557504</v>
      </c>
      <c r="AG731" s="3">
        <f>-387.861546*627.50956</f>
        <v>-243386.82807137974</v>
      </c>
      <c r="AH731" s="3">
        <f>-390.597617*627.50956</f>
        <v>-245103.7387807185</v>
      </c>
      <c r="AI731" s="3">
        <f t="shared" si="551"/>
        <v>-1716.9107093387574</v>
      </c>
      <c r="AJ731" s="3">
        <v>0.17399999999999999</v>
      </c>
      <c r="AK731" s="3">
        <v>0.20200000000000001</v>
      </c>
      <c r="AL731" s="3">
        <f t="shared" si="552"/>
        <v>2.8000000000000025E-2</v>
      </c>
      <c r="AM731" s="3">
        <v>136.23400000000001</v>
      </c>
      <c r="AN731" s="3">
        <v>226.9117</v>
      </c>
      <c r="AO731" s="3">
        <v>257.79500000000002</v>
      </c>
      <c r="AP731" s="3">
        <f t="shared" si="561"/>
        <v>1.1585901893160024</v>
      </c>
      <c r="AQ731" s="3">
        <v>9.5860000000000003</v>
      </c>
      <c r="AR731" s="3">
        <v>2.3330000000000002</v>
      </c>
      <c r="AS731" s="3">
        <v>-959.76900000000001</v>
      </c>
      <c r="AT731" s="3">
        <v>-958.05</v>
      </c>
      <c r="AU731" s="3">
        <f t="shared" si="554"/>
        <v>-1.7190000000000509</v>
      </c>
      <c r="AV731" s="3">
        <v>-0.317</v>
      </c>
      <c r="AW731" s="3">
        <v>-0.45</v>
      </c>
      <c r="AX731" s="3">
        <f t="shared" si="572"/>
        <v>0.13300000000000001</v>
      </c>
      <c r="AY731" s="3">
        <v>-2.4E-2</v>
      </c>
      <c r="AZ731" s="3">
        <v>0.13500000000000001</v>
      </c>
      <c r="BA731" s="3">
        <f t="shared" si="573"/>
        <v>-0.159</v>
      </c>
      <c r="BB731" s="3">
        <f t="shared" si="580"/>
        <v>0.17050000000000001</v>
      </c>
      <c r="BC731" s="3">
        <f t="shared" si="580"/>
        <v>0.1575</v>
      </c>
      <c r="BD731" s="3">
        <f t="shared" si="574"/>
        <v>1.3000000000000012E-2</v>
      </c>
      <c r="BE731" s="3">
        <f t="shared" si="581"/>
        <v>0.29299999999999998</v>
      </c>
      <c r="BF731" s="3">
        <f t="shared" si="581"/>
        <v>0.58499999999999996</v>
      </c>
      <c r="BG731" s="3">
        <f t="shared" si="575"/>
        <v>-0.29199999999999998</v>
      </c>
      <c r="BH731" s="3">
        <f t="shared" si="582"/>
        <v>-0.17050000000000001</v>
      </c>
      <c r="BI731" s="3">
        <f t="shared" si="582"/>
        <v>-0.1575</v>
      </c>
      <c r="BJ731" s="3">
        <f t="shared" si="567"/>
        <v>-1.3000000000000012E-2</v>
      </c>
      <c r="BK731" s="3">
        <f t="shared" si="583"/>
        <v>4.9607935153583631E-2</v>
      </c>
      <c r="BL731" s="3">
        <f t="shared" si="583"/>
        <v>2.120192307692308E-2</v>
      </c>
      <c r="BM731" s="3">
        <f t="shared" si="576"/>
        <v>2.8406012076660551E-2</v>
      </c>
      <c r="BN731" s="3">
        <v>2.2370000000000001</v>
      </c>
      <c r="BO731" s="3">
        <v>2.431</v>
      </c>
      <c r="BP731" s="3">
        <f t="shared" si="577"/>
        <v>-0.19399999999999995</v>
      </c>
      <c r="BQ731" s="3">
        <v>-602243.07700000005</v>
      </c>
      <c r="BR731" s="3">
        <v>-601163.24300000002</v>
      </c>
      <c r="BS731" s="3">
        <f t="shared" si="578"/>
        <v>-1079.8340000000317</v>
      </c>
      <c r="BT731" s="3">
        <v>-602262.36399999994</v>
      </c>
      <c r="BU731" s="3">
        <v>-601182.38500000001</v>
      </c>
      <c r="BV731" s="3">
        <f t="shared" si="579"/>
        <v>-1079.9789999999339</v>
      </c>
    </row>
    <row r="732" spans="1:74" x14ac:dyDescent="0.25">
      <c r="A732" t="s">
        <v>181</v>
      </c>
      <c r="B732" t="s">
        <v>728</v>
      </c>
      <c r="C732" t="s">
        <v>103</v>
      </c>
      <c r="D732" s="3">
        <v>4.8600000000000003</v>
      </c>
      <c r="E732" s="3">
        <v>0.64</v>
      </c>
      <c r="F732" s="3">
        <v>-815.7</v>
      </c>
      <c r="G732" s="3">
        <v>-818.67100000000005</v>
      </c>
      <c r="H732" s="3">
        <f t="shared" si="553"/>
        <v>-2.9710000000000036</v>
      </c>
      <c r="I732" s="3">
        <v>-0.39700000000000002</v>
      </c>
      <c r="J732" s="6">
        <v>-0.27900000000000003</v>
      </c>
      <c r="K732" s="3">
        <f t="shared" si="540"/>
        <v>0.11799999999999999</v>
      </c>
      <c r="L732" s="3">
        <v>0.13700000000000001</v>
      </c>
      <c r="M732" s="6">
        <v>2.9000000000000001E-2</v>
      </c>
      <c r="N732" s="3">
        <f t="shared" si="541"/>
        <v>-0.10800000000000001</v>
      </c>
      <c r="O732" s="3">
        <f t="shared" si="571"/>
        <v>0.13</v>
      </c>
      <c r="P732" s="3">
        <f t="shared" si="571"/>
        <v>0.125</v>
      </c>
      <c r="Q732" s="3">
        <f t="shared" si="542"/>
        <v>-5.0000000000000044E-3</v>
      </c>
      <c r="R732" s="3">
        <f t="shared" si="543"/>
        <v>0.53400000000000003</v>
      </c>
      <c r="S732" s="3">
        <f t="shared" si="544"/>
        <v>0.30800000000000005</v>
      </c>
      <c r="T732" s="3">
        <f t="shared" si="545"/>
        <v>-0.22599999999999998</v>
      </c>
      <c r="U732" s="3">
        <f t="shared" si="546"/>
        <v>-0.13</v>
      </c>
      <c r="V732" s="3">
        <f t="shared" si="547"/>
        <v>-0.125</v>
      </c>
      <c r="W732" s="3">
        <f t="shared" si="566"/>
        <v>5.0000000000000044E-3</v>
      </c>
      <c r="X732" s="3">
        <f t="shared" si="562"/>
        <v>1.5823970037453183E-2</v>
      </c>
      <c r="Y732" s="3">
        <f t="shared" si="563"/>
        <v>2.5365259740259737E-2</v>
      </c>
      <c r="Z732" s="3">
        <f t="shared" si="548"/>
        <v>9.5412897028065539E-3</v>
      </c>
      <c r="AA732" s="3">
        <v>0.78500000000000003</v>
      </c>
      <c r="AB732" s="3">
        <v>0.82499999999999996</v>
      </c>
      <c r="AC732" s="3">
        <f t="shared" si="549"/>
        <v>3.9999999999999925E-2</v>
      </c>
      <c r="AD732" s="3">
        <f>-815.453133*627.50956</f>
        <v>-511704.63668945146</v>
      </c>
      <c r="AE732" s="3">
        <f>-818.435392*627.50956</f>
        <v>-513576.03272234747</v>
      </c>
      <c r="AF732" s="3">
        <f t="shared" si="550"/>
        <v>-1871.3960328960093</v>
      </c>
      <c r="AG732" s="3">
        <f>-815.508823*627.50956</f>
        <v>-511739.58269684785</v>
      </c>
      <c r="AH732" s="3">
        <f>-818.492332*627.50956</f>
        <v>-513611.76311669394</v>
      </c>
      <c r="AI732" s="3">
        <f t="shared" si="551"/>
        <v>-1872.1804198460886</v>
      </c>
      <c r="AJ732" s="3">
        <v>-0.25900000000000001</v>
      </c>
      <c r="AK732" s="3">
        <v>-0.21</v>
      </c>
      <c r="AL732" s="3">
        <f t="shared" si="552"/>
        <v>4.9000000000000016E-2</v>
      </c>
      <c r="AM732" s="3">
        <v>146.37799999999999</v>
      </c>
      <c r="AN732" s="3">
        <v>247.04499999999999</v>
      </c>
      <c r="AO732" s="3">
        <v>290.67700000000002</v>
      </c>
      <c r="AP732" s="3">
        <f t="shared" si="561"/>
        <v>1.164371515874586</v>
      </c>
      <c r="AQ732" s="3">
        <v>10.461</v>
      </c>
      <c r="AR732" s="3">
        <v>2.427</v>
      </c>
      <c r="AS732" s="3">
        <v>-959.76900000000001</v>
      </c>
      <c r="AT732" s="3">
        <v>-958.05</v>
      </c>
      <c r="AU732" s="3">
        <f t="shared" si="554"/>
        <v>-1.7190000000000509</v>
      </c>
      <c r="AV732" s="3">
        <v>-0.317</v>
      </c>
      <c r="AW732" s="3">
        <v>-0.45</v>
      </c>
      <c r="AX732" s="3">
        <f t="shared" si="572"/>
        <v>0.13300000000000001</v>
      </c>
      <c r="AY732" s="3">
        <v>-2.4E-2</v>
      </c>
      <c r="AZ732" s="3">
        <v>0.13500000000000001</v>
      </c>
      <c r="BA732" s="3">
        <f t="shared" si="573"/>
        <v>-0.159</v>
      </c>
      <c r="BB732" s="3">
        <f t="shared" si="580"/>
        <v>0.17050000000000001</v>
      </c>
      <c r="BC732" s="3">
        <f t="shared" si="580"/>
        <v>0.1575</v>
      </c>
      <c r="BD732" s="3">
        <f t="shared" si="574"/>
        <v>1.3000000000000012E-2</v>
      </c>
      <c r="BE732" s="3">
        <f t="shared" si="581"/>
        <v>0.29299999999999998</v>
      </c>
      <c r="BF732" s="3">
        <f t="shared" si="581"/>
        <v>0.58499999999999996</v>
      </c>
      <c r="BG732" s="3">
        <f t="shared" si="575"/>
        <v>-0.29199999999999998</v>
      </c>
      <c r="BH732" s="3">
        <f t="shared" si="582"/>
        <v>-0.17050000000000001</v>
      </c>
      <c r="BI732" s="3">
        <f t="shared" si="582"/>
        <v>-0.1575</v>
      </c>
      <c r="BJ732" s="3">
        <f t="shared" si="567"/>
        <v>-1.3000000000000012E-2</v>
      </c>
      <c r="BK732" s="3">
        <f t="shared" si="583"/>
        <v>4.9607935153583631E-2</v>
      </c>
      <c r="BL732" s="3">
        <f t="shared" si="583"/>
        <v>2.120192307692308E-2</v>
      </c>
      <c r="BM732" s="3">
        <f t="shared" si="576"/>
        <v>2.8406012076660551E-2</v>
      </c>
      <c r="BN732" s="3">
        <v>2.2370000000000001</v>
      </c>
      <c r="BO732" s="3">
        <v>2.431</v>
      </c>
      <c r="BP732" s="3">
        <f t="shared" si="577"/>
        <v>-0.19399999999999995</v>
      </c>
      <c r="BQ732" s="3">
        <v>-602243.07700000005</v>
      </c>
      <c r="BR732" s="3">
        <v>-601163.24300000002</v>
      </c>
      <c r="BS732" s="3">
        <f t="shared" si="578"/>
        <v>-1079.8340000000317</v>
      </c>
      <c r="BT732" s="3">
        <v>-602262.36399999994</v>
      </c>
      <c r="BU732" s="3">
        <v>-601182.38500000001</v>
      </c>
      <c r="BV732" s="3">
        <f t="shared" si="579"/>
        <v>-1079.9789999999339</v>
      </c>
    </row>
    <row r="733" spans="1:74" x14ac:dyDescent="0.25">
      <c r="A733" t="s">
        <v>182</v>
      </c>
      <c r="B733" t="s">
        <v>728</v>
      </c>
      <c r="C733" t="s">
        <v>103</v>
      </c>
      <c r="D733" s="3">
        <v>4.95</v>
      </c>
      <c r="E733" s="3">
        <v>0.79</v>
      </c>
      <c r="F733" s="3">
        <v>-349.03</v>
      </c>
      <c r="G733" s="3">
        <v>-351.46699999999998</v>
      </c>
      <c r="H733" s="3">
        <f t="shared" si="553"/>
        <v>-2.4370000000000118</v>
      </c>
      <c r="I733" s="3">
        <v>-0.32900000000000001</v>
      </c>
      <c r="J733" s="6">
        <v>-0.23</v>
      </c>
      <c r="K733" s="3">
        <f t="shared" si="540"/>
        <v>9.9000000000000005E-2</v>
      </c>
      <c r="L733" s="3">
        <v>0.14799999999999999</v>
      </c>
      <c r="M733" s="6">
        <v>1.7000000000000001E-2</v>
      </c>
      <c r="N733" s="3">
        <f t="shared" si="541"/>
        <v>-0.13100000000000001</v>
      </c>
      <c r="O733" s="3">
        <f t="shared" si="571"/>
        <v>9.0500000000000011E-2</v>
      </c>
      <c r="P733" s="3">
        <f t="shared" si="571"/>
        <v>0.10650000000000001</v>
      </c>
      <c r="Q733" s="3">
        <f t="shared" si="542"/>
        <v>1.6E-2</v>
      </c>
      <c r="R733" s="3">
        <f t="shared" si="543"/>
        <v>0.47699999999999998</v>
      </c>
      <c r="S733" s="3">
        <f t="shared" si="544"/>
        <v>0.247</v>
      </c>
      <c r="T733" s="3">
        <f t="shared" si="545"/>
        <v>-0.22999999999999998</v>
      </c>
      <c r="U733" s="3">
        <f t="shared" si="546"/>
        <v>-9.0500000000000011E-2</v>
      </c>
      <c r="V733" s="3">
        <f t="shared" si="547"/>
        <v>-0.10650000000000001</v>
      </c>
      <c r="W733" s="3">
        <f t="shared" si="566"/>
        <v>-1.6E-2</v>
      </c>
      <c r="X733" s="3">
        <f t="shared" si="562"/>
        <v>8.5851677148846978E-3</v>
      </c>
      <c r="Y733" s="3">
        <f t="shared" si="563"/>
        <v>2.2960020242914984E-2</v>
      </c>
      <c r="Z733" s="3">
        <f t="shared" si="548"/>
        <v>1.4374852528030287E-2</v>
      </c>
      <c r="AA733" s="3">
        <v>0.57799999999999996</v>
      </c>
      <c r="AB733" s="3">
        <v>0.58199999999999996</v>
      </c>
      <c r="AC733" s="3">
        <f t="shared" si="549"/>
        <v>4.0000000000000036E-3</v>
      </c>
      <c r="AD733" s="3">
        <f>-348.802149*627.50956</f>
        <v>-218876.68304604443</v>
      </c>
      <c r="AE733" s="3">
        <f>-351.251525*627.50956</f>
        <v>-220413.689902079</v>
      </c>
      <c r="AF733" s="3">
        <f t="shared" si="550"/>
        <v>-1537.006856034568</v>
      </c>
      <c r="AG733" s="3">
        <f>-348.846246*627.50956</f>
        <v>-218904.35433511174</v>
      </c>
      <c r="AH733" s="5">
        <f>-351.29678*627.50956</f>
        <v>-220442.08784721678</v>
      </c>
      <c r="AI733" s="3">
        <f t="shared" si="551"/>
        <v>-1537.7335121050419</v>
      </c>
      <c r="AJ733" s="3">
        <v>0.17399999999999999</v>
      </c>
      <c r="AK733" s="3">
        <v>0.20499999999999999</v>
      </c>
      <c r="AL733" s="3">
        <f t="shared" si="552"/>
        <v>3.1E-2</v>
      </c>
      <c r="AM733" s="3">
        <v>122.20699999999999</v>
      </c>
      <c r="AN733" s="3">
        <v>211.92500000000001</v>
      </c>
      <c r="AO733" s="3">
        <v>233.43379999999999</v>
      </c>
      <c r="AP733" s="3">
        <f t="shared" si="561"/>
        <v>1.1561006596479355</v>
      </c>
      <c r="AQ733" s="3">
        <v>9.26</v>
      </c>
      <c r="AR733" s="3">
        <v>2.1840000000000002</v>
      </c>
      <c r="AS733" s="3">
        <v>-959.76900000000001</v>
      </c>
      <c r="AT733" s="3">
        <v>-958.05</v>
      </c>
      <c r="AU733" s="3">
        <f t="shared" si="554"/>
        <v>-1.7190000000000509</v>
      </c>
      <c r="AV733" s="3">
        <v>-0.317</v>
      </c>
      <c r="AW733" s="3">
        <v>-0.45</v>
      </c>
      <c r="AX733" s="3">
        <f t="shared" si="572"/>
        <v>0.13300000000000001</v>
      </c>
      <c r="AY733" s="3">
        <v>-2.4E-2</v>
      </c>
      <c r="AZ733" s="3">
        <v>0.13500000000000001</v>
      </c>
      <c r="BA733" s="3">
        <f t="shared" si="573"/>
        <v>-0.159</v>
      </c>
      <c r="BB733" s="3">
        <f t="shared" si="580"/>
        <v>0.17050000000000001</v>
      </c>
      <c r="BC733" s="3">
        <f t="shared" si="580"/>
        <v>0.1575</v>
      </c>
      <c r="BD733" s="3">
        <f t="shared" si="574"/>
        <v>1.3000000000000012E-2</v>
      </c>
      <c r="BE733" s="3">
        <f t="shared" si="581"/>
        <v>0.29299999999999998</v>
      </c>
      <c r="BF733" s="3">
        <f t="shared" si="581"/>
        <v>0.58499999999999996</v>
      </c>
      <c r="BG733" s="3">
        <f t="shared" si="575"/>
        <v>-0.29199999999999998</v>
      </c>
      <c r="BH733" s="3">
        <f t="shared" si="582"/>
        <v>-0.17050000000000001</v>
      </c>
      <c r="BI733" s="3">
        <f t="shared" si="582"/>
        <v>-0.1575</v>
      </c>
      <c r="BJ733" s="3">
        <f t="shared" si="567"/>
        <v>-1.3000000000000012E-2</v>
      </c>
      <c r="BK733" s="3">
        <f t="shared" si="583"/>
        <v>4.9607935153583631E-2</v>
      </c>
      <c r="BL733" s="3">
        <f t="shared" si="583"/>
        <v>2.120192307692308E-2</v>
      </c>
      <c r="BM733" s="3">
        <f t="shared" si="576"/>
        <v>2.8406012076660551E-2</v>
      </c>
      <c r="BN733" s="3">
        <v>2.2370000000000001</v>
      </c>
      <c r="BO733" s="3">
        <v>2.431</v>
      </c>
      <c r="BP733" s="3">
        <f t="shared" si="577"/>
        <v>-0.19399999999999995</v>
      </c>
      <c r="BQ733" s="3">
        <v>-602243.07700000005</v>
      </c>
      <c r="BR733" s="3">
        <v>-601163.24300000002</v>
      </c>
      <c r="BS733" s="3">
        <f t="shared" si="578"/>
        <v>-1079.8340000000317</v>
      </c>
      <c r="BT733" s="3">
        <v>-602262.36399999994</v>
      </c>
      <c r="BU733" s="3">
        <v>-601182.38500000001</v>
      </c>
      <c r="BV733" s="3">
        <f t="shared" si="579"/>
        <v>-1079.9789999999339</v>
      </c>
    </row>
    <row r="734" spans="1:74" x14ac:dyDescent="0.25">
      <c r="A734" t="s">
        <v>183</v>
      </c>
      <c r="B734" t="s">
        <v>728</v>
      </c>
      <c r="C734" t="s">
        <v>99</v>
      </c>
      <c r="D734" s="3">
        <v>6.21</v>
      </c>
      <c r="E734" s="3">
        <v>0.68</v>
      </c>
      <c r="F734" s="3">
        <v>-913.56600000000003</v>
      </c>
      <c r="G734" s="3">
        <v>-919.04700000000003</v>
      </c>
      <c r="H734" s="3">
        <f t="shared" si="553"/>
        <v>-5.4809999999999945</v>
      </c>
      <c r="I734" s="3">
        <v>-0.27800000000000002</v>
      </c>
      <c r="J734" s="6">
        <v>-0.182</v>
      </c>
      <c r="K734" s="3">
        <f t="shared" ref="K734:K753" si="584">J734-I734</f>
        <v>9.600000000000003E-2</v>
      </c>
      <c r="L734" s="3">
        <v>0.13300000000000001</v>
      </c>
      <c r="M734" s="6">
        <v>-8.0000000000000002E-3</v>
      </c>
      <c r="N734" s="3">
        <f t="shared" ref="N734:N753" si="585">M734-L734</f>
        <v>-0.14100000000000001</v>
      </c>
      <c r="O734" s="3">
        <f t="shared" si="571"/>
        <v>7.2500000000000009E-2</v>
      </c>
      <c r="P734" s="3">
        <f t="shared" si="571"/>
        <v>9.5000000000000001E-2</v>
      </c>
      <c r="Q734" s="3">
        <f t="shared" ref="Q734:Q753" si="586">P734-O734</f>
        <v>2.2499999999999992E-2</v>
      </c>
      <c r="R734" s="3">
        <f t="shared" ref="R734:R753" si="587">L734-I734</f>
        <v>0.41100000000000003</v>
      </c>
      <c r="S734" s="3">
        <f t="shared" ref="S734:S753" si="588">M734-J734</f>
        <v>0.17399999999999999</v>
      </c>
      <c r="T734" s="3">
        <f t="shared" ref="T734:T753" si="589">S734-R734</f>
        <v>-0.23700000000000004</v>
      </c>
      <c r="U734" s="3">
        <f t="shared" ref="U734:U753" si="590">(I734+L734)/2</f>
        <v>-7.2500000000000009E-2</v>
      </c>
      <c r="V734" s="3">
        <f t="shared" ref="V734:V753" si="591">(J734+M734)/2</f>
        <v>-9.5000000000000001E-2</v>
      </c>
      <c r="W734" s="3">
        <f t="shared" si="566"/>
        <v>-2.2499999999999992E-2</v>
      </c>
      <c r="X734" s="3">
        <f t="shared" si="562"/>
        <v>6.3944647201946486E-3</v>
      </c>
      <c r="Y734" s="3">
        <f t="shared" si="563"/>
        <v>2.5933908045977012E-2</v>
      </c>
      <c r="Z734" s="3">
        <f t="shared" ref="Z734:Z753" si="592">Y734-X734</f>
        <v>1.9539443325782363E-2</v>
      </c>
      <c r="AA734" s="3">
        <v>9.1259999999999994</v>
      </c>
      <c r="AB734" s="3">
        <v>9.641</v>
      </c>
      <c r="AC734" s="3">
        <f t="shared" ref="AC734:AC753" si="593">AB734-AA734</f>
        <v>0.51500000000000057</v>
      </c>
      <c r="AD734" s="3">
        <f>-913.261991*627.50956</f>
        <v>-573080.63013713388</v>
      </c>
      <c r="AE734" s="3">
        <f>-918.761258*627.50956</f>
        <v>-576531.4727526264</v>
      </c>
      <c r="AF734" s="3">
        <f t="shared" ref="AF734:AF753" si="594">AE734-AD734</f>
        <v>-3450.8426154925255</v>
      </c>
      <c r="AG734" s="3">
        <f>-913.325163*627.50956</f>
        <v>-573120.27117105818</v>
      </c>
      <c r="AH734" s="3">
        <f>-918.826315*627.50956</f>
        <v>-576572.29664207133</v>
      </c>
      <c r="AI734" s="3">
        <f t="shared" ref="AI734:AI753" si="595">AH734-AG734</f>
        <v>-3452.0254710131558</v>
      </c>
      <c r="AJ734" s="3">
        <v>0.182</v>
      </c>
      <c r="AK734" s="3">
        <v>0.20499999999999999</v>
      </c>
      <c r="AL734" s="3">
        <f t="shared" ref="AL734:AL753" si="596">AK734-AJ734</f>
        <v>2.2999999999999993E-2</v>
      </c>
      <c r="AM734" s="3">
        <v>263.26589999999999</v>
      </c>
      <c r="AN734" s="3">
        <v>314.06189999999998</v>
      </c>
      <c r="AO734" s="3">
        <v>363.94900000000001</v>
      </c>
      <c r="AP734" s="3">
        <f t="shared" si="561"/>
        <v>1.2742193146297103</v>
      </c>
      <c r="AQ734" s="3">
        <v>14.385</v>
      </c>
      <c r="AR734" s="3">
        <v>3.4298999999999999</v>
      </c>
      <c r="AS734" s="3">
        <v>-132.80099999999999</v>
      </c>
      <c r="AT734" s="3">
        <v>-131.97</v>
      </c>
      <c r="AU734" s="3">
        <f t="shared" ref="AU734:AU753" si="597">AS734-AT734</f>
        <v>-0.83099999999998886</v>
      </c>
      <c r="AV734" s="3">
        <v>-0.34100000000000003</v>
      </c>
      <c r="AW734" s="3">
        <v>-0.47499999999999998</v>
      </c>
      <c r="AX734" s="3">
        <f t="shared" si="572"/>
        <v>0.13399999999999995</v>
      </c>
      <c r="AY734" s="3">
        <v>2.9000000000000001E-2</v>
      </c>
      <c r="AZ734" s="3">
        <v>0.156</v>
      </c>
      <c r="BA734" s="3">
        <f t="shared" si="573"/>
        <v>-0.127</v>
      </c>
      <c r="BB734" s="3">
        <f t="shared" si="580"/>
        <v>0.156</v>
      </c>
      <c r="BC734" s="3">
        <f t="shared" si="580"/>
        <v>0.15949999999999998</v>
      </c>
      <c r="BD734" s="3">
        <f t="shared" si="574"/>
        <v>-3.4999999999999754E-3</v>
      </c>
      <c r="BE734" s="3">
        <f t="shared" si="581"/>
        <v>0.37000000000000005</v>
      </c>
      <c r="BF734" s="3">
        <f t="shared" si="581"/>
        <v>0.63100000000000001</v>
      </c>
      <c r="BG734" s="3">
        <f t="shared" si="575"/>
        <v>-0.26099999999999995</v>
      </c>
      <c r="BH734" s="3">
        <f t="shared" si="582"/>
        <v>-0.156</v>
      </c>
      <c r="BI734" s="3">
        <f t="shared" si="582"/>
        <v>-0.15949999999999998</v>
      </c>
      <c r="BJ734" s="3">
        <f t="shared" si="567"/>
        <v>3.4999999999999754E-3</v>
      </c>
      <c r="BK734" s="3">
        <f t="shared" si="583"/>
        <v>3.2886486486486483E-2</v>
      </c>
      <c r="BL734" s="3">
        <f t="shared" si="583"/>
        <v>2.0158676703645E-2</v>
      </c>
      <c r="BM734" s="3">
        <f t="shared" si="576"/>
        <v>1.2727809782841482E-2</v>
      </c>
      <c r="BN734" s="3">
        <v>4.7279999999999998</v>
      </c>
      <c r="BO734" s="3">
        <v>4.9340000000000002</v>
      </c>
      <c r="BP734" s="3">
        <f t="shared" si="577"/>
        <v>-0.20600000000000041</v>
      </c>
      <c r="BQ734" s="3">
        <v>-83302.89</v>
      </c>
      <c r="BR734" s="3">
        <v>-82779.224000000002</v>
      </c>
      <c r="BS734" s="3">
        <f t="shared" si="578"/>
        <v>-523.66599999999744</v>
      </c>
      <c r="BT734" s="3">
        <v>-83320.774999999994</v>
      </c>
      <c r="BU734" s="3">
        <v>-82796.997000000003</v>
      </c>
      <c r="BV734" s="3">
        <f t="shared" si="579"/>
        <v>-523.77799999999115</v>
      </c>
    </row>
    <row r="735" spans="1:74" x14ac:dyDescent="0.25">
      <c r="A735" t="s">
        <v>184</v>
      </c>
      <c r="B735" t="s">
        <v>728</v>
      </c>
      <c r="C735" t="s">
        <v>99</v>
      </c>
      <c r="D735" s="3">
        <v>7.15</v>
      </c>
      <c r="E735" s="3">
        <v>0.81</v>
      </c>
      <c r="F735" s="3">
        <v>-932.76499999999999</v>
      </c>
      <c r="G735" s="3">
        <v>-938.49300000000005</v>
      </c>
      <c r="H735" s="3">
        <f t="shared" ref="H735:H753" si="598">G735-F735</f>
        <v>-5.7280000000000655</v>
      </c>
      <c r="I735" s="3">
        <v>-0.27</v>
      </c>
      <c r="J735" s="6">
        <v>-0.17899999999999999</v>
      </c>
      <c r="K735" s="3">
        <f t="shared" si="584"/>
        <v>9.1000000000000025E-2</v>
      </c>
      <c r="L735" s="3">
        <v>0.13800000000000001</v>
      </c>
      <c r="M735" s="6">
        <v>-1E-3</v>
      </c>
      <c r="N735" s="3">
        <f t="shared" si="585"/>
        <v>-0.13900000000000001</v>
      </c>
      <c r="O735" s="3">
        <f t="shared" si="571"/>
        <v>6.6000000000000003E-2</v>
      </c>
      <c r="P735" s="3">
        <f t="shared" si="571"/>
        <v>0.09</v>
      </c>
      <c r="Q735" s="3">
        <f t="shared" si="586"/>
        <v>2.3999999999999994E-2</v>
      </c>
      <c r="R735" s="3">
        <f t="shared" si="587"/>
        <v>0.40800000000000003</v>
      </c>
      <c r="S735" s="3">
        <f t="shared" si="588"/>
        <v>0.17799999999999999</v>
      </c>
      <c r="T735" s="3">
        <f t="shared" si="589"/>
        <v>-0.23000000000000004</v>
      </c>
      <c r="U735" s="3">
        <f t="shared" si="590"/>
        <v>-6.6000000000000003E-2</v>
      </c>
      <c r="V735" s="3">
        <f t="shared" si="591"/>
        <v>-0.09</v>
      </c>
      <c r="W735" s="3">
        <f t="shared" si="566"/>
        <v>-2.3999999999999994E-2</v>
      </c>
      <c r="X735" s="3">
        <f t="shared" si="562"/>
        <v>5.3382352941176471E-3</v>
      </c>
      <c r="Y735" s="3">
        <f t="shared" si="563"/>
        <v>2.2752808988764046E-2</v>
      </c>
      <c r="Z735" s="3">
        <f t="shared" si="592"/>
        <v>1.7414573694646399E-2</v>
      </c>
      <c r="AA735" s="3">
        <v>7.23</v>
      </c>
      <c r="AB735" s="3">
        <v>8.2989999999999995</v>
      </c>
      <c r="AC735" s="3">
        <f t="shared" si="593"/>
        <v>1.0689999999999991</v>
      </c>
      <c r="AD735" s="3">
        <f>-932.416788*627.50956</f>
        <v>-585100.44837449328</v>
      </c>
      <c r="AE735" s="3">
        <f>-938.165921*627.50956</f>
        <v>-588708.08429370471</v>
      </c>
      <c r="AF735" s="3">
        <f t="shared" si="594"/>
        <v>-3607.6359192114323</v>
      </c>
      <c r="AG735" s="3">
        <f>-932.483733*627.50956</f>
        <v>-585142.4570019875</v>
      </c>
      <c r="AH735" s="3">
        <f>-938.23479*627.50956</f>
        <v>-588751.3002495924</v>
      </c>
      <c r="AI735" s="3">
        <f t="shared" si="595"/>
        <v>-3608.8432476049056</v>
      </c>
      <c r="AJ735" s="3">
        <v>0.17899999999999999</v>
      </c>
      <c r="AK735" s="3">
        <v>0.20399999999999999</v>
      </c>
      <c r="AL735" s="3">
        <f t="shared" si="596"/>
        <v>2.4999999999999994E-2</v>
      </c>
      <c r="AM735" s="3">
        <v>276.30770000000001</v>
      </c>
      <c r="AN735" s="3">
        <v>337.1687</v>
      </c>
      <c r="AO735" s="3">
        <v>396.65179999999998</v>
      </c>
      <c r="AP735" s="3">
        <f t="shared" si="561"/>
        <v>1.2917057184014451</v>
      </c>
      <c r="AQ735" s="3">
        <v>14.885999999999999</v>
      </c>
      <c r="AR735" s="3">
        <v>3.7071000000000001</v>
      </c>
      <c r="AS735" s="3">
        <v>-132.80099999999999</v>
      </c>
      <c r="AT735" s="3">
        <v>-131.97</v>
      </c>
      <c r="AU735" s="3">
        <f t="shared" si="597"/>
        <v>-0.83099999999998886</v>
      </c>
      <c r="AV735" s="3">
        <v>-0.34100000000000003</v>
      </c>
      <c r="AW735" s="3">
        <v>-0.47499999999999998</v>
      </c>
      <c r="AX735" s="3">
        <f t="shared" si="572"/>
        <v>0.13399999999999995</v>
      </c>
      <c r="AY735" s="3">
        <v>2.9000000000000001E-2</v>
      </c>
      <c r="AZ735" s="3">
        <v>0.156</v>
      </c>
      <c r="BA735" s="3">
        <f t="shared" si="573"/>
        <v>-0.127</v>
      </c>
      <c r="BB735" s="3">
        <f t="shared" ref="BB735:BC748" si="599">-(AV735+AY735)/2</f>
        <v>0.156</v>
      </c>
      <c r="BC735" s="3">
        <f t="shared" si="599"/>
        <v>0.15949999999999998</v>
      </c>
      <c r="BD735" s="3">
        <f t="shared" si="574"/>
        <v>-3.4999999999999754E-3</v>
      </c>
      <c r="BE735" s="3">
        <f t="shared" ref="BE735:BF748" si="600">AY735-AV735</f>
        <v>0.37000000000000005</v>
      </c>
      <c r="BF735" s="3">
        <f t="shared" si="600"/>
        <v>0.63100000000000001</v>
      </c>
      <c r="BG735" s="3">
        <f t="shared" si="575"/>
        <v>-0.26099999999999995</v>
      </c>
      <c r="BH735" s="3">
        <f t="shared" ref="BH735:BI748" si="601">(AV735+AY735)/2</f>
        <v>-0.156</v>
      </c>
      <c r="BI735" s="3">
        <f t="shared" si="601"/>
        <v>-0.15949999999999998</v>
      </c>
      <c r="BJ735" s="3">
        <f t="shared" si="567"/>
        <v>3.4999999999999754E-3</v>
      </c>
      <c r="BK735" s="3">
        <f t="shared" ref="BK735:BL748" si="602">(BH735*BH735)/(2*BE735)</f>
        <v>3.2886486486486483E-2</v>
      </c>
      <c r="BL735" s="3">
        <f t="shared" si="602"/>
        <v>2.0158676703645E-2</v>
      </c>
      <c r="BM735" s="3">
        <f t="shared" si="576"/>
        <v>1.2727809782841482E-2</v>
      </c>
      <c r="BN735" s="3">
        <v>4.7279999999999998</v>
      </c>
      <c r="BO735" s="3">
        <v>4.9340000000000002</v>
      </c>
      <c r="BP735" s="3">
        <f t="shared" si="577"/>
        <v>-0.20600000000000041</v>
      </c>
      <c r="BQ735" s="3">
        <v>-83302.89</v>
      </c>
      <c r="BR735" s="3">
        <v>-82779.224000000002</v>
      </c>
      <c r="BS735" s="3">
        <f t="shared" si="578"/>
        <v>-523.66599999999744</v>
      </c>
      <c r="BT735" s="3">
        <v>-83320.774999999994</v>
      </c>
      <c r="BU735" s="3">
        <v>-82796.997000000003</v>
      </c>
      <c r="BV735" s="3">
        <f t="shared" si="579"/>
        <v>-523.77799999999115</v>
      </c>
    </row>
    <row r="736" spans="1:74" x14ac:dyDescent="0.25">
      <c r="A736" t="s">
        <v>185</v>
      </c>
      <c r="B736" t="s">
        <v>728</v>
      </c>
      <c r="C736" t="s">
        <v>103</v>
      </c>
      <c r="D736" s="3">
        <v>7.49</v>
      </c>
      <c r="E736" s="3">
        <v>0.75</v>
      </c>
      <c r="F736" s="3">
        <v>-2888.7220000000002</v>
      </c>
      <c r="G736" s="3">
        <v>-2892.7640000000001</v>
      </c>
      <c r="H736" s="3">
        <f t="shared" si="598"/>
        <v>-4.0419999999999163</v>
      </c>
      <c r="I736" s="3">
        <v>-0.36599999999999999</v>
      </c>
      <c r="J736" s="6">
        <v>-0.25</v>
      </c>
      <c r="K736" s="3">
        <f t="shared" si="584"/>
        <v>0.11599999999999999</v>
      </c>
      <c r="L736" s="3">
        <v>0.14899999999999999</v>
      </c>
      <c r="M736" s="6">
        <v>3.2000000000000001E-2</v>
      </c>
      <c r="N736" s="3">
        <f t="shared" si="585"/>
        <v>-0.11699999999999999</v>
      </c>
      <c r="O736" s="3">
        <f t="shared" si="571"/>
        <v>0.1085</v>
      </c>
      <c r="P736" s="3">
        <f t="shared" si="571"/>
        <v>0.109</v>
      </c>
      <c r="Q736" s="3">
        <f t="shared" si="586"/>
        <v>5.0000000000000044E-4</v>
      </c>
      <c r="R736" s="3">
        <f t="shared" si="587"/>
        <v>0.51500000000000001</v>
      </c>
      <c r="S736" s="3">
        <f t="shared" si="588"/>
        <v>0.28200000000000003</v>
      </c>
      <c r="T736" s="3">
        <f t="shared" si="589"/>
        <v>-0.23299999999999998</v>
      </c>
      <c r="U736" s="3">
        <f t="shared" si="590"/>
        <v>-0.1085</v>
      </c>
      <c r="V736" s="3">
        <f t="shared" si="591"/>
        <v>-0.109</v>
      </c>
      <c r="W736" s="3">
        <f t="shared" si="566"/>
        <v>-5.0000000000000044E-4</v>
      </c>
      <c r="X736" s="3">
        <f t="shared" si="562"/>
        <v>1.1429368932038834E-2</v>
      </c>
      <c r="Y736" s="3">
        <f t="shared" si="563"/>
        <v>2.106560283687943E-2</v>
      </c>
      <c r="Z736" s="3">
        <f t="shared" si="592"/>
        <v>9.6362339048405958E-3</v>
      </c>
      <c r="AA736" s="3">
        <v>9.6389999999999993</v>
      </c>
      <c r="AB736" s="3">
        <v>8.8279999999999994</v>
      </c>
      <c r="AC736" s="3">
        <f t="shared" si="593"/>
        <v>-0.81099999999999994</v>
      </c>
      <c r="AD736" s="3">
        <f>-2888.461255*627.50956</f>
        <v>-1812537.0512020979</v>
      </c>
      <c r="AE736" s="3">
        <f>-2892.517803*627.50956</f>
        <v>-1815082.5738526967</v>
      </c>
      <c r="AF736" s="3">
        <f t="shared" si="594"/>
        <v>-2545.5226505987812</v>
      </c>
      <c r="AG736" s="3">
        <f>-2888.511184*627.50956</f>
        <v>-1812568.382126919</v>
      </c>
      <c r="AH736" s="3">
        <f>-2892.568715*627.50956</f>
        <v>-1815114.5216194151</v>
      </c>
      <c r="AI736" s="3">
        <f t="shared" si="595"/>
        <v>-2546.1394924961496</v>
      </c>
      <c r="AJ736" s="3">
        <v>-0.11600000000000001</v>
      </c>
      <c r="AK736" s="3">
        <v>-7.0999999999999994E-2</v>
      </c>
      <c r="AL736" s="3">
        <f t="shared" si="596"/>
        <v>4.5000000000000012E-2</v>
      </c>
      <c r="AM736" s="3">
        <v>193.92080000000001</v>
      </c>
      <c r="AN736" s="3">
        <v>219.74590000000001</v>
      </c>
      <c r="AO736" s="3">
        <v>265.82679999999999</v>
      </c>
      <c r="AP736" s="3">
        <f t="shared" si="561"/>
        <v>1.0992864858459939</v>
      </c>
      <c r="AQ736" s="3">
        <v>8.9770000000000003</v>
      </c>
      <c r="AR736" s="3">
        <v>2.2452999999999999</v>
      </c>
      <c r="AS736" s="3">
        <v>-959.76900000000001</v>
      </c>
      <c r="AT736" s="3">
        <v>-958.05</v>
      </c>
      <c r="AU736" s="3">
        <f t="shared" si="597"/>
        <v>-1.7190000000000509</v>
      </c>
      <c r="AV736" s="3">
        <v>-0.317</v>
      </c>
      <c r="AW736" s="3">
        <v>-0.45</v>
      </c>
      <c r="AX736" s="3">
        <f t="shared" si="572"/>
        <v>0.13300000000000001</v>
      </c>
      <c r="AY736" s="3">
        <v>-2.4E-2</v>
      </c>
      <c r="AZ736" s="3">
        <v>0.13500000000000001</v>
      </c>
      <c r="BA736" s="3">
        <f t="shared" si="573"/>
        <v>-0.159</v>
      </c>
      <c r="BB736" s="3">
        <f t="shared" si="599"/>
        <v>0.17050000000000001</v>
      </c>
      <c r="BC736" s="3">
        <f t="shared" si="599"/>
        <v>0.1575</v>
      </c>
      <c r="BD736" s="3">
        <f t="shared" si="574"/>
        <v>1.3000000000000012E-2</v>
      </c>
      <c r="BE736" s="3">
        <f t="shared" si="600"/>
        <v>0.29299999999999998</v>
      </c>
      <c r="BF736" s="3">
        <f t="shared" si="600"/>
        <v>0.58499999999999996</v>
      </c>
      <c r="BG736" s="3">
        <f t="shared" si="575"/>
        <v>-0.29199999999999998</v>
      </c>
      <c r="BH736" s="3">
        <f t="shared" si="601"/>
        <v>-0.17050000000000001</v>
      </c>
      <c r="BI736" s="3">
        <f t="shared" si="601"/>
        <v>-0.1575</v>
      </c>
      <c r="BJ736" s="3">
        <f t="shared" si="567"/>
        <v>-1.3000000000000012E-2</v>
      </c>
      <c r="BK736" s="3">
        <f t="shared" si="602"/>
        <v>4.9607935153583631E-2</v>
      </c>
      <c r="BL736" s="3">
        <f t="shared" si="602"/>
        <v>2.120192307692308E-2</v>
      </c>
      <c r="BM736" s="3">
        <f t="shared" si="576"/>
        <v>2.8406012076660551E-2</v>
      </c>
      <c r="BN736" s="3">
        <v>2.2370000000000001</v>
      </c>
      <c r="BO736" s="3">
        <v>2.431</v>
      </c>
      <c r="BP736" s="3">
        <f t="shared" si="577"/>
        <v>-0.19399999999999995</v>
      </c>
      <c r="BQ736" s="3">
        <v>-602243.07700000005</v>
      </c>
      <c r="BR736" s="3">
        <v>-601163.24300000002</v>
      </c>
      <c r="BS736" s="3">
        <f t="shared" si="578"/>
        <v>-1079.8340000000317</v>
      </c>
      <c r="BT736" s="3">
        <v>-602262.36399999994</v>
      </c>
      <c r="BU736" s="3">
        <v>-601182.38500000001</v>
      </c>
      <c r="BV736" s="3">
        <f t="shared" si="579"/>
        <v>-1079.9789999999339</v>
      </c>
    </row>
    <row r="737" spans="1:74" x14ac:dyDescent="0.25">
      <c r="A737" t="s">
        <v>186</v>
      </c>
      <c r="B737" t="s">
        <v>728</v>
      </c>
      <c r="C737" t="s">
        <v>103</v>
      </c>
      <c r="D737" s="3">
        <v>7.53</v>
      </c>
      <c r="E737" s="3">
        <v>0.87</v>
      </c>
      <c r="F737" s="3">
        <v>-645.31899999999996</v>
      </c>
      <c r="G737" s="3">
        <v>-649.39700000000005</v>
      </c>
      <c r="H737" s="3">
        <f t="shared" si="598"/>
        <v>-4.0780000000000882</v>
      </c>
      <c r="I737" s="3">
        <v>-0.28100000000000003</v>
      </c>
      <c r="J737" s="6">
        <v>-0.19600000000000001</v>
      </c>
      <c r="K737" s="3">
        <f t="shared" si="584"/>
        <v>8.500000000000002E-2</v>
      </c>
      <c r="L737" s="3">
        <v>0.112</v>
      </c>
      <c r="M737" s="6">
        <v>-4.2000000000000003E-2</v>
      </c>
      <c r="N737" s="3">
        <f t="shared" si="585"/>
        <v>-0.154</v>
      </c>
      <c r="O737" s="3">
        <f t="shared" si="571"/>
        <v>8.450000000000002E-2</v>
      </c>
      <c r="P737" s="3">
        <f t="shared" si="571"/>
        <v>0.11900000000000001</v>
      </c>
      <c r="Q737" s="3">
        <f t="shared" si="586"/>
        <v>3.4499999999999989E-2</v>
      </c>
      <c r="R737" s="3">
        <f t="shared" si="587"/>
        <v>0.39300000000000002</v>
      </c>
      <c r="S737" s="3">
        <f t="shared" si="588"/>
        <v>0.154</v>
      </c>
      <c r="T737" s="3">
        <f t="shared" si="589"/>
        <v>-0.23900000000000002</v>
      </c>
      <c r="U737" s="3">
        <f t="shared" si="590"/>
        <v>-8.450000000000002E-2</v>
      </c>
      <c r="V737" s="3">
        <f t="shared" si="591"/>
        <v>-0.11900000000000001</v>
      </c>
      <c r="W737" s="3">
        <f t="shared" si="566"/>
        <v>-3.4499999999999989E-2</v>
      </c>
      <c r="X737" s="3">
        <f t="shared" si="562"/>
        <v>9.0842875318066195E-3</v>
      </c>
      <c r="Y737" s="3">
        <f t="shared" si="563"/>
        <v>4.5977272727272735E-2</v>
      </c>
      <c r="Z737" s="3">
        <f t="shared" si="592"/>
        <v>3.6892985195466119E-2</v>
      </c>
      <c r="AA737" s="3">
        <v>6.4359999999999999</v>
      </c>
      <c r="AB737" s="3">
        <v>5.7789999999999999</v>
      </c>
      <c r="AC737" s="3">
        <f t="shared" si="593"/>
        <v>-0.65700000000000003</v>
      </c>
      <c r="AD737" s="3">
        <f>-645.072806*627.50956</f>
        <v>-404789.35266102536</v>
      </c>
      <c r="AE737" s="3">
        <f>-649.16523*627.50956</f>
        <v>-407357.38784459874</v>
      </c>
      <c r="AF737" s="3">
        <f t="shared" si="594"/>
        <v>-2568.0351835733745</v>
      </c>
      <c r="AG737" s="3">
        <f>-645.125913*627.50956</f>
        <v>-404822.67781122826</v>
      </c>
      <c r="AH737" s="3">
        <f>-649.219551*627.50956</f>
        <v>-407391.47479140753</v>
      </c>
      <c r="AI737" s="3">
        <f t="shared" si="595"/>
        <v>-2568.7969801792642</v>
      </c>
      <c r="AJ737" s="3">
        <v>0.18099999999999999</v>
      </c>
      <c r="AK737" s="3">
        <v>0.20799999999999999</v>
      </c>
      <c r="AL737" s="3">
        <f t="shared" si="596"/>
        <v>2.6999999999999996E-2</v>
      </c>
      <c r="AM737" s="3">
        <v>200.23599999999999</v>
      </c>
      <c r="AN737" s="3">
        <v>261.3399</v>
      </c>
      <c r="AO737" s="3">
        <v>294.09500000000003</v>
      </c>
      <c r="AP737" s="3">
        <f t="shared" si="561"/>
        <v>1.2221839522729991</v>
      </c>
      <c r="AQ737" s="3">
        <v>12.348000000000001</v>
      </c>
      <c r="AR737" s="3">
        <v>3.0634000000000001</v>
      </c>
      <c r="AS737" s="3">
        <v>-959.76900000000001</v>
      </c>
      <c r="AT737" s="3">
        <v>-958.05</v>
      </c>
      <c r="AU737" s="3">
        <f t="shared" si="597"/>
        <v>-1.7190000000000509</v>
      </c>
      <c r="AV737" s="3">
        <v>-0.317</v>
      </c>
      <c r="AW737" s="3">
        <v>-0.45</v>
      </c>
      <c r="AX737" s="3">
        <f t="shared" si="572"/>
        <v>0.13300000000000001</v>
      </c>
      <c r="AY737" s="3">
        <v>-2.4E-2</v>
      </c>
      <c r="AZ737" s="3">
        <v>0.13500000000000001</v>
      </c>
      <c r="BA737" s="3">
        <f t="shared" si="573"/>
        <v>-0.159</v>
      </c>
      <c r="BB737" s="3">
        <f t="shared" si="599"/>
        <v>0.17050000000000001</v>
      </c>
      <c r="BC737" s="3">
        <f t="shared" si="599"/>
        <v>0.1575</v>
      </c>
      <c r="BD737" s="3">
        <f t="shared" si="574"/>
        <v>1.3000000000000012E-2</v>
      </c>
      <c r="BE737" s="3">
        <f t="shared" si="600"/>
        <v>0.29299999999999998</v>
      </c>
      <c r="BF737" s="3">
        <f t="shared" si="600"/>
        <v>0.58499999999999996</v>
      </c>
      <c r="BG737" s="3">
        <f t="shared" si="575"/>
        <v>-0.29199999999999998</v>
      </c>
      <c r="BH737" s="3">
        <f t="shared" si="601"/>
        <v>-0.17050000000000001</v>
      </c>
      <c r="BI737" s="3">
        <f t="shared" si="601"/>
        <v>-0.1575</v>
      </c>
      <c r="BJ737" s="3">
        <f t="shared" si="567"/>
        <v>-1.3000000000000012E-2</v>
      </c>
      <c r="BK737" s="3">
        <f t="shared" si="602"/>
        <v>4.9607935153583631E-2</v>
      </c>
      <c r="BL737" s="3">
        <f t="shared" si="602"/>
        <v>2.120192307692308E-2</v>
      </c>
      <c r="BM737" s="3">
        <f t="shared" si="576"/>
        <v>2.8406012076660551E-2</v>
      </c>
      <c r="BN737" s="3">
        <v>2.2370000000000001</v>
      </c>
      <c r="BO737" s="3">
        <v>2.431</v>
      </c>
      <c r="BP737" s="3">
        <f t="shared" si="577"/>
        <v>-0.19399999999999995</v>
      </c>
      <c r="BQ737" s="3">
        <v>-602243.07700000005</v>
      </c>
      <c r="BR737" s="3">
        <v>-601163.24300000002</v>
      </c>
      <c r="BS737" s="3">
        <f t="shared" si="578"/>
        <v>-1079.8340000000317</v>
      </c>
      <c r="BT737" s="3">
        <v>-602262.36399999994</v>
      </c>
      <c r="BU737" s="3">
        <v>-601182.38500000001</v>
      </c>
      <c r="BV737" s="3">
        <f t="shared" si="579"/>
        <v>-1079.9789999999339</v>
      </c>
    </row>
    <row r="738" spans="1:74" x14ac:dyDescent="0.25">
      <c r="A738" t="s">
        <v>187</v>
      </c>
      <c r="B738" t="s">
        <v>728</v>
      </c>
      <c r="C738" t="s">
        <v>103</v>
      </c>
      <c r="D738" s="3">
        <v>7.68</v>
      </c>
      <c r="E738" s="3">
        <v>0.95</v>
      </c>
      <c r="F738" s="3">
        <v>-684.36500000000001</v>
      </c>
      <c r="G738" s="3">
        <v>-688.72500000000002</v>
      </c>
      <c r="H738" s="3">
        <f t="shared" si="598"/>
        <v>-4.3600000000000136</v>
      </c>
      <c r="I738" s="3">
        <v>-0.27900000000000003</v>
      </c>
      <c r="J738" s="6">
        <v>-0.19400000000000001</v>
      </c>
      <c r="K738" s="3">
        <f t="shared" si="584"/>
        <v>8.500000000000002E-2</v>
      </c>
      <c r="L738" s="3">
        <v>0.113</v>
      </c>
      <c r="M738" s="6">
        <v>-4.1000000000000002E-2</v>
      </c>
      <c r="N738" s="3">
        <f t="shared" si="585"/>
        <v>-0.154</v>
      </c>
      <c r="O738" s="3">
        <f t="shared" si="571"/>
        <v>8.3000000000000018E-2</v>
      </c>
      <c r="P738" s="3">
        <f t="shared" si="571"/>
        <v>0.11750000000000001</v>
      </c>
      <c r="Q738" s="3">
        <f t="shared" si="586"/>
        <v>3.4499999999999989E-2</v>
      </c>
      <c r="R738" s="3">
        <f t="shared" si="587"/>
        <v>0.39200000000000002</v>
      </c>
      <c r="S738" s="3">
        <f t="shared" si="588"/>
        <v>0.153</v>
      </c>
      <c r="T738" s="3">
        <f t="shared" si="589"/>
        <v>-0.23900000000000002</v>
      </c>
      <c r="U738" s="3">
        <f t="shared" si="590"/>
        <v>-8.3000000000000018E-2</v>
      </c>
      <c r="V738" s="3">
        <f t="shared" si="591"/>
        <v>-0.11750000000000001</v>
      </c>
      <c r="W738" s="3">
        <f t="shared" si="566"/>
        <v>-3.4499999999999989E-2</v>
      </c>
      <c r="X738" s="3">
        <f t="shared" si="562"/>
        <v>8.7869897959183697E-3</v>
      </c>
      <c r="Y738" s="3">
        <f t="shared" si="563"/>
        <v>4.5118464052287588E-2</v>
      </c>
      <c r="Z738" s="3">
        <f t="shared" si="592"/>
        <v>3.633147425636922E-2</v>
      </c>
      <c r="AA738" s="3">
        <v>7.0869999999999997</v>
      </c>
      <c r="AB738" s="3">
        <v>6.4980000000000002</v>
      </c>
      <c r="AC738" s="3">
        <f t="shared" si="593"/>
        <v>-0.58899999999999952</v>
      </c>
      <c r="AD738" s="3">
        <f>-684.087978*627.50956</f>
        <v>-429271.74607606966</v>
      </c>
      <c r="AE738" s="3">
        <f>-688.463579*627.50956</f>
        <v>-432017.4775343152</v>
      </c>
      <c r="AF738" s="3">
        <f t="shared" si="594"/>
        <v>-2745.7314582455438</v>
      </c>
      <c r="AG738" s="3">
        <f>-684.147196*627.50956</f>
        <v>-429308.90593719372</v>
      </c>
      <c r="AH738" s="3">
        <f>-688.52278*627.50956</f>
        <v>-432054.62672777678</v>
      </c>
      <c r="AI738" s="3">
        <f t="shared" si="595"/>
        <v>-2745.7207905830583</v>
      </c>
      <c r="AJ738" s="3">
        <v>0.18</v>
      </c>
      <c r="AK738" s="3">
        <v>0.20699999999999999</v>
      </c>
      <c r="AL738" s="3">
        <f t="shared" si="596"/>
        <v>2.6999999999999996E-2</v>
      </c>
      <c r="AM738" s="3">
        <v>214.26300000000001</v>
      </c>
      <c r="AN738" s="3">
        <v>283.93150000000003</v>
      </c>
      <c r="AO738" s="3">
        <v>322.26569999999998</v>
      </c>
      <c r="AP738" s="3">
        <f t="shared" si="561"/>
        <v>1.2492810077744021</v>
      </c>
      <c r="AQ738" s="3">
        <v>13.385999999999999</v>
      </c>
      <c r="AR738" s="3">
        <v>3.3193000000000001</v>
      </c>
      <c r="AS738" s="3">
        <v>-959.76900000000001</v>
      </c>
      <c r="AT738" s="3">
        <v>-958.05</v>
      </c>
      <c r="AU738" s="3">
        <f t="shared" si="597"/>
        <v>-1.7190000000000509</v>
      </c>
      <c r="AV738" s="3">
        <v>-0.317</v>
      </c>
      <c r="AW738" s="3">
        <v>-0.45</v>
      </c>
      <c r="AX738" s="3">
        <f t="shared" si="572"/>
        <v>0.13300000000000001</v>
      </c>
      <c r="AY738" s="3">
        <v>-2.4E-2</v>
      </c>
      <c r="AZ738" s="3">
        <v>0.13500000000000001</v>
      </c>
      <c r="BA738" s="3">
        <f t="shared" si="573"/>
        <v>-0.159</v>
      </c>
      <c r="BB738" s="3">
        <f t="shared" si="599"/>
        <v>0.17050000000000001</v>
      </c>
      <c r="BC738" s="3">
        <f t="shared" si="599"/>
        <v>0.1575</v>
      </c>
      <c r="BD738" s="3">
        <f t="shared" si="574"/>
        <v>1.3000000000000012E-2</v>
      </c>
      <c r="BE738" s="3">
        <f t="shared" si="600"/>
        <v>0.29299999999999998</v>
      </c>
      <c r="BF738" s="3">
        <f t="shared" si="600"/>
        <v>0.58499999999999996</v>
      </c>
      <c r="BG738" s="3">
        <f t="shared" si="575"/>
        <v>-0.29199999999999998</v>
      </c>
      <c r="BH738" s="3">
        <f t="shared" si="601"/>
        <v>-0.17050000000000001</v>
      </c>
      <c r="BI738" s="3">
        <f t="shared" si="601"/>
        <v>-0.1575</v>
      </c>
      <c r="BJ738" s="3">
        <f t="shared" si="567"/>
        <v>-1.3000000000000012E-2</v>
      </c>
      <c r="BK738" s="3">
        <f t="shared" si="602"/>
        <v>4.9607935153583631E-2</v>
      </c>
      <c r="BL738" s="3">
        <f t="shared" si="602"/>
        <v>2.120192307692308E-2</v>
      </c>
      <c r="BM738" s="3">
        <f t="shared" si="576"/>
        <v>2.8406012076660551E-2</v>
      </c>
      <c r="BN738" s="3">
        <v>2.2370000000000001</v>
      </c>
      <c r="BO738" s="3">
        <v>2.431</v>
      </c>
      <c r="BP738" s="3">
        <f t="shared" si="577"/>
        <v>-0.19399999999999995</v>
      </c>
      <c r="BQ738" s="3">
        <v>-602243.07700000005</v>
      </c>
      <c r="BR738" s="3">
        <v>-601163.24300000002</v>
      </c>
      <c r="BS738" s="3">
        <f t="shared" si="578"/>
        <v>-1079.8340000000317</v>
      </c>
      <c r="BT738" s="3">
        <v>-602262.36399999994</v>
      </c>
      <c r="BU738" s="3">
        <v>-601182.38500000001</v>
      </c>
      <c r="BV738" s="3">
        <f t="shared" si="579"/>
        <v>-1079.9789999999339</v>
      </c>
    </row>
    <row r="739" spans="1:74" x14ac:dyDescent="0.25">
      <c r="A739" t="s">
        <v>188</v>
      </c>
      <c r="B739" t="s">
        <v>728</v>
      </c>
      <c r="C739" t="s">
        <v>103</v>
      </c>
      <c r="D739" s="3">
        <v>7.97</v>
      </c>
      <c r="E739" s="3">
        <v>0.75</v>
      </c>
      <c r="F739" s="3">
        <v>-199.76300000000001</v>
      </c>
      <c r="G739" s="3">
        <v>-201.21</v>
      </c>
      <c r="H739" s="3">
        <f t="shared" si="598"/>
        <v>-1.4470000000000027</v>
      </c>
      <c r="I739" s="3">
        <v>-0.42199999999999999</v>
      </c>
      <c r="J739" s="6">
        <v>-0.28999999999999998</v>
      </c>
      <c r="K739" s="3">
        <f t="shared" si="584"/>
        <v>0.13200000000000001</v>
      </c>
      <c r="L739" s="3">
        <v>0.14699999999999999</v>
      </c>
      <c r="M739" s="6">
        <v>3.1E-2</v>
      </c>
      <c r="N739" s="3">
        <f t="shared" si="585"/>
        <v>-0.11599999999999999</v>
      </c>
      <c r="O739" s="3">
        <f t="shared" si="571"/>
        <v>0.13750000000000001</v>
      </c>
      <c r="P739" s="3">
        <f t="shared" si="571"/>
        <v>0.1295</v>
      </c>
      <c r="Q739" s="3">
        <f t="shared" si="586"/>
        <v>-8.0000000000000071E-3</v>
      </c>
      <c r="R739" s="3">
        <f t="shared" si="587"/>
        <v>0.56899999999999995</v>
      </c>
      <c r="S739" s="3">
        <f t="shared" si="588"/>
        <v>0.32099999999999995</v>
      </c>
      <c r="T739" s="3">
        <f t="shared" si="589"/>
        <v>-0.248</v>
      </c>
      <c r="U739" s="3">
        <f t="shared" si="590"/>
        <v>-0.13750000000000001</v>
      </c>
      <c r="V739" s="3">
        <f t="shared" si="591"/>
        <v>-0.1295</v>
      </c>
      <c r="W739" s="3">
        <f t="shared" si="566"/>
        <v>8.0000000000000071E-3</v>
      </c>
      <c r="X739" s="3">
        <f t="shared" si="562"/>
        <v>1.661357644991213E-2</v>
      </c>
      <c r="Y739" s="3">
        <f t="shared" si="563"/>
        <v>2.6121884735202498E-2</v>
      </c>
      <c r="Z739" s="3">
        <f t="shared" si="592"/>
        <v>9.5083082852903678E-3</v>
      </c>
      <c r="AA739" s="3">
        <v>6.4290000000000003</v>
      </c>
      <c r="AB739" s="3">
        <v>6.327</v>
      </c>
      <c r="AC739" s="3">
        <f t="shared" si="593"/>
        <v>-0.10200000000000031</v>
      </c>
      <c r="AD739" s="3">
        <f>-199.591944*627.50956</f>
        <v>-125245.85295898464</v>
      </c>
      <c r="AE739" s="3">
        <f>-201.047823*627.50956</f>
        <v>-126159.43094968787</v>
      </c>
      <c r="AF739" s="3">
        <f t="shared" si="594"/>
        <v>-913.57799070322653</v>
      </c>
      <c r="AG739" s="3">
        <f>-199.627386*627.50956</f>
        <v>-125268.09315281015</v>
      </c>
      <c r="AH739" s="3">
        <f>-201.083903*627.50956</f>
        <v>-126182.07149461267</v>
      </c>
      <c r="AI739" s="3">
        <f t="shared" si="595"/>
        <v>-913.97834180251812</v>
      </c>
      <c r="AJ739" s="3">
        <v>-0.114</v>
      </c>
      <c r="AK739" s="3">
        <v>-7.0999999999999994E-2</v>
      </c>
      <c r="AL739" s="3">
        <f t="shared" si="596"/>
        <v>4.300000000000001E-2</v>
      </c>
      <c r="AM739" s="3">
        <v>72.944999999999993</v>
      </c>
      <c r="AN739" s="3">
        <v>154.3047</v>
      </c>
      <c r="AO739" s="3">
        <v>165.523</v>
      </c>
      <c r="AP739" s="3">
        <f t="shared" si="561"/>
        <v>1.0585942699901203</v>
      </c>
      <c r="AQ739" s="3">
        <v>6.8109999999999999</v>
      </c>
      <c r="AR739" s="3">
        <v>1.508</v>
      </c>
      <c r="AS739" s="3">
        <v>-959.76900000000001</v>
      </c>
      <c r="AT739" s="3">
        <v>-958.05</v>
      </c>
      <c r="AU739" s="3">
        <f t="shared" si="597"/>
        <v>-1.7190000000000509</v>
      </c>
      <c r="AV739" s="3">
        <v>-0.317</v>
      </c>
      <c r="AW739" s="3">
        <v>-0.45</v>
      </c>
      <c r="AX739" s="3">
        <f t="shared" si="572"/>
        <v>0.13300000000000001</v>
      </c>
      <c r="AY739" s="3">
        <v>-2.4E-2</v>
      </c>
      <c r="AZ739" s="3">
        <v>0.13500000000000001</v>
      </c>
      <c r="BA739" s="3">
        <f t="shared" si="573"/>
        <v>-0.159</v>
      </c>
      <c r="BB739" s="3">
        <f t="shared" si="599"/>
        <v>0.17050000000000001</v>
      </c>
      <c r="BC739" s="3">
        <f t="shared" si="599"/>
        <v>0.1575</v>
      </c>
      <c r="BD739" s="3">
        <f t="shared" si="574"/>
        <v>1.3000000000000012E-2</v>
      </c>
      <c r="BE739" s="3">
        <f t="shared" si="600"/>
        <v>0.29299999999999998</v>
      </c>
      <c r="BF739" s="3">
        <f t="shared" si="600"/>
        <v>0.58499999999999996</v>
      </c>
      <c r="BG739" s="3">
        <f t="shared" si="575"/>
        <v>-0.29199999999999998</v>
      </c>
      <c r="BH739" s="3">
        <f t="shared" si="601"/>
        <v>-0.17050000000000001</v>
      </c>
      <c r="BI739" s="3">
        <f t="shared" si="601"/>
        <v>-0.1575</v>
      </c>
      <c r="BJ739" s="3">
        <f t="shared" si="567"/>
        <v>-1.3000000000000012E-2</v>
      </c>
      <c r="BK739" s="3">
        <f t="shared" si="602"/>
        <v>4.9607935153583631E-2</v>
      </c>
      <c r="BL739" s="3">
        <f t="shared" si="602"/>
        <v>2.120192307692308E-2</v>
      </c>
      <c r="BM739" s="3">
        <f t="shared" si="576"/>
        <v>2.8406012076660551E-2</v>
      </c>
      <c r="BN739" s="3">
        <v>2.2370000000000001</v>
      </c>
      <c r="BO739" s="3">
        <v>2.431</v>
      </c>
      <c r="BP739" s="3">
        <f t="shared" si="577"/>
        <v>-0.19399999999999995</v>
      </c>
      <c r="BQ739" s="3">
        <v>-602243.07700000005</v>
      </c>
      <c r="BR739" s="3">
        <v>-601163.24300000002</v>
      </c>
      <c r="BS739" s="3">
        <f t="shared" si="578"/>
        <v>-1079.8340000000317</v>
      </c>
      <c r="BT739" s="3">
        <v>-602262.36399999994</v>
      </c>
      <c r="BU739" s="3">
        <v>-601182.38500000001</v>
      </c>
      <c r="BV739" s="3">
        <f t="shared" si="579"/>
        <v>-1079.9789999999339</v>
      </c>
    </row>
    <row r="740" spans="1:74" x14ac:dyDescent="0.25">
      <c r="A740" t="s">
        <v>189</v>
      </c>
      <c r="B740" t="s">
        <v>728</v>
      </c>
      <c r="C740" t="s">
        <v>99</v>
      </c>
      <c r="D740" s="3">
        <v>8.36</v>
      </c>
      <c r="E740" s="3">
        <v>0.71</v>
      </c>
      <c r="F740" s="3">
        <v>-889.91099999999994</v>
      </c>
      <c r="G740" s="3">
        <v>-895.46100000000001</v>
      </c>
      <c r="H740" s="3">
        <f t="shared" si="598"/>
        <v>-5.5500000000000682</v>
      </c>
      <c r="I740" s="3">
        <v>-0.27800000000000002</v>
      </c>
      <c r="J740" s="6">
        <v>-0.189</v>
      </c>
      <c r="K740" s="3">
        <f t="shared" si="584"/>
        <v>8.9000000000000024E-2</v>
      </c>
      <c r="L740" s="3">
        <v>0.05</v>
      </c>
      <c r="M740" s="6">
        <v>-0.104</v>
      </c>
      <c r="N740" s="3">
        <f t="shared" si="585"/>
        <v>-0.154</v>
      </c>
      <c r="O740" s="3">
        <f t="shared" si="571"/>
        <v>0.11400000000000002</v>
      </c>
      <c r="P740" s="3">
        <f t="shared" si="571"/>
        <v>0.14649999999999999</v>
      </c>
      <c r="Q740" s="3">
        <f t="shared" si="586"/>
        <v>3.2499999999999973E-2</v>
      </c>
      <c r="R740" s="3">
        <f t="shared" si="587"/>
        <v>0.32800000000000001</v>
      </c>
      <c r="S740" s="3">
        <f t="shared" si="588"/>
        <v>8.5000000000000006E-2</v>
      </c>
      <c r="T740" s="3">
        <f t="shared" si="589"/>
        <v>-0.24299999999999999</v>
      </c>
      <c r="U740" s="3">
        <f t="shared" si="590"/>
        <v>-0.11400000000000002</v>
      </c>
      <c r="V740" s="3">
        <f t="shared" si="591"/>
        <v>-0.14649999999999999</v>
      </c>
      <c r="W740" s="3">
        <f t="shared" si="566"/>
        <v>-3.2499999999999973E-2</v>
      </c>
      <c r="X740" s="3">
        <f t="shared" si="562"/>
        <v>1.9810975609756101E-2</v>
      </c>
      <c r="Y740" s="3">
        <f t="shared" si="563"/>
        <v>0.12624852941176468</v>
      </c>
      <c r="Z740" s="3">
        <f t="shared" si="592"/>
        <v>0.10643755380200857</v>
      </c>
      <c r="AA740" s="3">
        <v>6.09</v>
      </c>
      <c r="AB740" s="3">
        <v>4.9930000000000003</v>
      </c>
      <c r="AC740" s="3">
        <f t="shared" si="593"/>
        <v>-1.0969999999999995</v>
      </c>
      <c r="AD740" s="3">
        <f>-889.59565*627.50956</f>
        <v>-558229.774909414</v>
      </c>
      <c r="AE740" s="3">
        <f>-895.164582*627.50956</f>
        <v>-561724.33297840389</v>
      </c>
      <c r="AF740" s="3">
        <f t="shared" si="594"/>
        <v>-3494.5580689898925</v>
      </c>
      <c r="AG740" s="3">
        <f>-889.657953*627.50956</f>
        <v>-558268.87063753069</v>
      </c>
      <c r="AH740" s="3">
        <f>-895.229709*627.50956</f>
        <v>-561765.20079351799</v>
      </c>
      <c r="AI740" s="3">
        <f t="shared" si="595"/>
        <v>-3496.3301559872925</v>
      </c>
      <c r="AJ740" s="3">
        <v>0.13800000000000001</v>
      </c>
      <c r="AK740" s="3">
        <v>0.16400000000000001</v>
      </c>
      <c r="AL740" s="3">
        <f t="shared" si="596"/>
        <v>2.5999999999999995E-2</v>
      </c>
      <c r="AM740" s="3">
        <v>269.29849999999999</v>
      </c>
      <c r="AN740" s="3">
        <v>318.2167</v>
      </c>
      <c r="AO740" s="3">
        <v>376.17700000000002</v>
      </c>
      <c r="AP740" s="3">
        <f t="shared" si="561"/>
        <v>1.2629439950364831</v>
      </c>
      <c r="AQ740" s="3">
        <v>14.500999999999999</v>
      </c>
      <c r="AR740" s="3">
        <v>3.6446999999999998</v>
      </c>
      <c r="AS740" s="3">
        <v>-132.80099999999999</v>
      </c>
      <c r="AT740" s="3">
        <v>-131.97</v>
      </c>
      <c r="AU740" s="3">
        <f t="shared" si="597"/>
        <v>-0.83099999999998886</v>
      </c>
      <c r="AV740" s="3">
        <v>-0.34100000000000003</v>
      </c>
      <c r="AW740" s="3">
        <v>-0.47499999999999998</v>
      </c>
      <c r="AX740" s="3">
        <f t="shared" si="572"/>
        <v>0.13399999999999995</v>
      </c>
      <c r="AY740" s="3">
        <v>2.9000000000000001E-2</v>
      </c>
      <c r="AZ740" s="3">
        <v>0.156</v>
      </c>
      <c r="BA740" s="3">
        <f t="shared" si="573"/>
        <v>-0.127</v>
      </c>
      <c r="BB740" s="3">
        <f t="shared" si="599"/>
        <v>0.156</v>
      </c>
      <c r="BC740" s="3">
        <f t="shared" si="599"/>
        <v>0.15949999999999998</v>
      </c>
      <c r="BD740" s="3">
        <f t="shared" si="574"/>
        <v>-3.4999999999999754E-3</v>
      </c>
      <c r="BE740" s="3">
        <f t="shared" si="600"/>
        <v>0.37000000000000005</v>
      </c>
      <c r="BF740" s="3">
        <f t="shared" si="600"/>
        <v>0.63100000000000001</v>
      </c>
      <c r="BG740" s="3">
        <f t="shared" si="575"/>
        <v>-0.26099999999999995</v>
      </c>
      <c r="BH740" s="3">
        <f t="shared" si="601"/>
        <v>-0.156</v>
      </c>
      <c r="BI740" s="3">
        <f t="shared" si="601"/>
        <v>-0.15949999999999998</v>
      </c>
      <c r="BJ740" s="3">
        <f t="shared" si="567"/>
        <v>3.4999999999999754E-3</v>
      </c>
      <c r="BK740" s="3">
        <f t="shared" si="602"/>
        <v>3.2886486486486483E-2</v>
      </c>
      <c r="BL740" s="3">
        <f t="shared" si="602"/>
        <v>2.0158676703645E-2</v>
      </c>
      <c r="BM740" s="3">
        <f t="shared" si="576"/>
        <v>1.2727809782841482E-2</v>
      </c>
      <c r="BN740" s="3">
        <v>4.7279999999999998</v>
      </c>
      <c r="BO740" s="3">
        <v>4.9340000000000002</v>
      </c>
      <c r="BP740" s="3">
        <f t="shared" si="577"/>
        <v>-0.20600000000000041</v>
      </c>
      <c r="BQ740" s="3">
        <v>-83302.89</v>
      </c>
      <c r="BR740" s="3">
        <v>-82779.224000000002</v>
      </c>
      <c r="BS740" s="3">
        <f t="shared" si="578"/>
        <v>-523.66599999999744</v>
      </c>
      <c r="BT740" s="3">
        <v>-83320.774999999994</v>
      </c>
      <c r="BU740" s="3">
        <v>-82796.997000000003</v>
      </c>
      <c r="BV740" s="3">
        <f t="shared" si="579"/>
        <v>-523.77799999999115</v>
      </c>
    </row>
    <row r="741" spans="1:74" x14ac:dyDescent="0.25">
      <c r="A741" t="s">
        <v>190</v>
      </c>
      <c r="B741" t="s">
        <v>728</v>
      </c>
      <c r="C741" t="s">
        <v>103</v>
      </c>
      <c r="D741" s="3">
        <v>8.5299999999999994</v>
      </c>
      <c r="E741" s="3">
        <v>0.75</v>
      </c>
      <c r="F741" s="3">
        <v>-468.37900000000002</v>
      </c>
      <c r="G741" s="3">
        <v>-471.625</v>
      </c>
      <c r="H741" s="3">
        <f t="shared" si="598"/>
        <v>-3.2459999999999809</v>
      </c>
      <c r="I741" s="3">
        <v>-0.34699999999999998</v>
      </c>
      <c r="J741" s="6">
        <v>-0.26700000000000002</v>
      </c>
      <c r="K741" s="3">
        <f t="shared" si="584"/>
        <v>7.999999999999996E-2</v>
      </c>
      <c r="L741" s="3">
        <v>0.11700000000000001</v>
      </c>
      <c r="M741" s="6">
        <v>-2.7E-2</v>
      </c>
      <c r="N741" s="3">
        <f t="shared" si="585"/>
        <v>-0.14400000000000002</v>
      </c>
      <c r="O741" s="3">
        <f t="shared" si="571"/>
        <v>0.11499999999999999</v>
      </c>
      <c r="P741" s="3">
        <f t="shared" si="571"/>
        <v>0.14700000000000002</v>
      </c>
      <c r="Q741" s="3">
        <f t="shared" si="586"/>
        <v>3.2000000000000028E-2</v>
      </c>
      <c r="R741" s="3">
        <f t="shared" si="587"/>
        <v>0.46399999999999997</v>
      </c>
      <c r="S741" s="3">
        <f t="shared" si="588"/>
        <v>0.24000000000000002</v>
      </c>
      <c r="T741" s="3">
        <f t="shared" si="589"/>
        <v>-0.22399999999999995</v>
      </c>
      <c r="U741" s="3">
        <f t="shared" si="590"/>
        <v>-0.11499999999999999</v>
      </c>
      <c r="V741" s="3">
        <f t="shared" si="591"/>
        <v>-0.14700000000000002</v>
      </c>
      <c r="W741" s="3">
        <f t="shared" si="566"/>
        <v>-3.2000000000000028E-2</v>
      </c>
      <c r="X741" s="3">
        <f t="shared" si="562"/>
        <v>1.4251077586206895E-2</v>
      </c>
      <c r="Y741" s="3">
        <f t="shared" si="563"/>
        <v>4.501875000000001E-2</v>
      </c>
      <c r="Z741" s="3">
        <f t="shared" si="592"/>
        <v>3.0767672413793114E-2</v>
      </c>
      <c r="AA741" s="3">
        <v>6.2039999999999997</v>
      </c>
      <c r="AB741" s="3">
        <v>6.1849999999999996</v>
      </c>
      <c r="AC741" s="3">
        <f t="shared" si="593"/>
        <v>-1.9000000000000128E-2</v>
      </c>
      <c r="AD741" s="3">
        <f>-468.086309*627.50956</f>
        <v>-293728.63380261406</v>
      </c>
      <c r="AE741" s="3">
        <f>-471.347633*627.50956</f>
        <v>-295775.14579087147</v>
      </c>
      <c r="AF741" s="3">
        <f t="shared" si="594"/>
        <v>-2046.5119882574072</v>
      </c>
      <c r="AG741" s="3">
        <f>-468.13732*627.50956</f>
        <v>-293760.64369277918</v>
      </c>
      <c r="AH741" s="3">
        <f>-471.399598*627.50956</f>
        <v>-295807.75432515686</v>
      </c>
      <c r="AI741" s="3">
        <f t="shared" si="595"/>
        <v>-2047.1106323776767</v>
      </c>
      <c r="AJ741" s="3">
        <v>-0.111</v>
      </c>
      <c r="AK741" s="3">
        <v>-6.5000000000000002E-2</v>
      </c>
      <c r="AL741" s="3">
        <f t="shared" si="596"/>
        <v>4.5999999999999999E-2</v>
      </c>
      <c r="AM741" s="3">
        <v>163.0676</v>
      </c>
      <c r="AN741" s="3">
        <v>245.18899999999999</v>
      </c>
      <c r="AO741" s="3">
        <v>296.505</v>
      </c>
      <c r="AP741" s="3">
        <f t="shared" si="561"/>
        <v>1.1404307490975953</v>
      </c>
      <c r="AQ741" s="3">
        <v>9.7850000000000001</v>
      </c>
      <c r="AR741" s="3">
        <v>2.3801999999999999</v>
      </c>
      <c r="AS741" s="3">
        <v>-959.76900000000001</v>
      </c>
      <c r="AT741" s="3">
        <v>-958.05</v>
      </c>
      <c r="AU741" s="3">
        <f t="shared" si="597"/>
        <v>-1.7190000000000509</v>
      </c>
      <c r="AV741" s="3">
        <v>-0.317</v>
      </c>
      <c r="AW741" s="3">
        <v>-0.45</v>
      </c>
      <c r="AX741" s="3">
        <f t="shared" si="572"/>
        <v>0.13300000000000001</v>
      </c>
      <c r="AY741" s="3">
        <v>-2.4E-2</v>
      </c>
      <c r="AZ741" s="3">
        <v>0.13500000000000001</v>
      </c>
      <c r="BA741" s="3">
        <f t="shared" si="573"/>
        <v>-0.159</v>
      </c>
      <c r="BB741" s="3">
        <f t="shared" si="599"/>
        <v>0.17050000000000001</v>
      </c>
      <c r="BC741" s="3">
        <f t="shared" si="599"/>
        <v>0.1575</v>
      </c>
      <c r="BD741" s="3">
        <f t="shared" si="574"/>
        <v>1.3000000000000012E-2</v>
      </c>
      <c r="BE741" s="3">
        <f t="shared" si="600"/>
        <v>0.29299999999999998</v>
      </c>
      <c r="BF741" s="3">
        <f t="shared" si="600"/>
        <v>0.58499999999999996</v>
      </c>
      <c r="BG741" s="3">
        <f t="shared" si="575"/>
        <v>-0.29199999999999998</v>
      </c>
      <c r="BH741" s="3">
        <f t="shared" si="601"/>
        <v>-0.17050000000000001</v>
      </c>
      <c r="BI741" s="3">
        <f t="shared" si="601"/>
        <v>-0.1575</v>
      </c>
      <c r="BJ741" s="3">
        <f t="shared" si="567"/>
        <v>-1.3000000000000012E-2</v>
      </c>
      <c r="BK741" s="3">
        <f t="shared" si="602"/>
        <v>4.9607935153583631E-2</v>
      </c>
      <c r="BL741" s="3">
        <f t="shared" si="602"/>
        <v>2.120192307692308E-2</v>
      </c>
      <c r="BM741" s="3">
        <f t="shared" si="576"/>
        <v>2.8406012076660551E-2</v>
      </c>
      <c r="BN741" s="3">
        <v>2.2370000000000001</v>
      </c>
      <c r="BO741" s="3">
        <v>2.431</v>
      </c>
      <c r="BP741" s="3">
        <f t="shared" si="577"/>
        <v>-0.19399999999999995</v>
      </c>
      <c r="BQ741" s="3">
        <v>-602243.07700000005</v>
      </c>
      <c r="BR741" s="3">
        <v>-601163.24300000002</v>
      </c>
      <c r="BS741" s="3">
        <f t="shared" si="578"/>
        <v>-1079.8340000000317</v>
      </c>
      <c r="BT741" s="3">
        <v>-602262.36399999994</v>
      </c>
      <c r="BU741" s="3">
        <v>-601182.38500000001</v>
      </c>
      <c r="BV741" s="3">
        <f t="shared" si="579"/>
        <v>-1079.9789999999339</v>
      </c>
    </row>
    <row r="742" spans="1:74" x14ac:dyDescent="0.25">
      <c r="A742" t="s">
        <v>191</v>
      </c>
      <c r="B742" t="s">
        <v>728</v>
      </c>
      <c r="C742" t="s">
        <v>103</v>
      </c>
      <c r="D742" s="3">
        <v>8.67</v>
      </c>
      <c r="E742" s="3">
        <v>0.82</v>
      </c>
      <c r="F742" s="3">
        <v>-684.36300000000006</v>
      </c>
      <c r="G742" s="3">
        <v>-688.71799999999996</v>
      </c>
      <c r="H742" s="3">
        <f t="shared" si="598"/>
        <v>-4.3549999999999045</v>
      </c>
      <c r="I742" s="3">
        <v>-0.28499999999999998</v>
      </c>
      <c r="J742" s="6">
        <v>-0.19400000000000001</v>
      </c>
      <c r="K742" s="3">
        <f t="shared" si="584"/>
        <v>9.099999999999997E-2</v>
      </c>
      <c r="L742" s="3">
        <v>0.114</v>
      </c>
      <c r="M742" s="6">
        <v>-3.9E-2</v>
      </c>
      <c r="N742" s="3">
        <f t="shared" si="585"/>
        <v>-0.153</v>
      </c>
      <c r="O742" s="3">
        <f t="shared" si="571"/>
        <v>8.5499999999999993E-2</v>
      </c>
      <c r="P742" s="3">
        <f t="shared" si="571"/>
        <v>0.11650000000000001</v>
      </c>
      <c r="Q742" s="3">
        <f t="shared" si="586"/>
        <v>3.1000000000000014E-2</v>
      </c>
      <c r="R742" s="3">
        <f t="shared" si="587"/>
        <v>0.39899999999999997</v>
      </c>
      <c r="S742" s="3">
        <f t="shared" si="588"/>
        <v>0.155</v>
      </c>
      <c r="T742" s="3">
        <f t="shared" si="589"/>
        <v>-0.24399999999999997</v>
      </c>
      <c r="U742" s="3">
        <f t="shared" si="590"/>
        <v>-8.5499999999999993E-2</v>
      </c>
      <c r="V742" s="3">
        <f t="shared" si="591"/>
        <v>-0.11650000000000001</v>
      </c>
      <c r="W742" s="3">
        <f t="shared" si="566"/>
        <v>-3.1000000000000014E-2</v>
      </c>
      <c r="X742" s="3">
        <f t="shared" si="562"/>
        <v>9.1607142857142859E-3</v>
      </c>
      <c r="Y742" s="3">
        <f t="shared" si="563"/>
        <v>4.3781451612903227E-2</v>
      </c>
      <c r="Z742" s="3">
        <f t="shared" si="592"/>
        <v>3.4620737327188941E-2</v>
      </c>
      <c r="AA742" s="3">
        <v>7.0170000000000003</v>
      </c>
      <c r="AB742" s="3">
        <v>6.798</v>
      </c>
      <c r="AC742" s="3">
        <f t="shared" si="593"/>
        <v>-0.21900000000000031</v>
      </c>
      <c r="AD742" s="3">
        <f>-684.084445*627.50956</f>
        <v>-429269.52908479417</v>
      </c>
      <c r="AE742" s="3">
        <f>-688.456571*627.50956</f>
        <v>-432013.07994731877</v>
      </c>
      <c r="AF742" s="3">
        <f t="shared" si="594"/>
        <v>-2743.5508625246002</v>
      </c>
      <c r="AG742" s="3">
        <f>-684.142133*627.50956</f>
        <v>-429305.72885629145</v>
      </c>
      <c r="AH742" s="3">
        <f>-688.515673*627.50956</f>
        <v>-432050.16701733385</v>
      </c>
      <c r="AI742" s="3">
        <f t="shared" si="595"/>
        <v>-2744.4381610424025</v>
      </c>
      <c r="AJ742" s="3">
        <v>0.17599999999999999</v>
      </c>
      <c r="AK742" s="3">
        <v>0.2</v>
      </c>
      <c r="AL742" s="3">
        <f t="shared" si="596"/>
        <v>2.4000000000000021E-2</v>
      </c>
      <c r="AM742" s="3">
        <v>214.26300000000001</v>
      </c>
      <c r="AN742" s="3">
        <v>283.173</v>
      </c>
      <c r="AO742" s="3">
        <v>322.88299999999998</v>
      </c>
      <c r="AP742" s="3">
        <f t="shared" si="561"/>
        <v>1.2443551200195657</v>
      </c>
      <c r="AQ742" s="3">
        <v>11.789</v>
      </c>
      <c r="AR742" s="3">
        <v>3.17</v>
      </c>
      <c r="AS742" s="3">
        <v>-959.76900000000001</v>
      </c>
      <c r="AT742" s="3">
        <v>-958.05</v>
      </c>
      <c r="AU742" s="3">
        <f t="shared" si="597"/>
        <v>-1.7190000000000509</v>
      </c>
      <c r="AV742" s="3">
        <v>-0.317</v>
      </c>
      <c r="AW742" s="3">
        <v>-0.45</v>
      </c>
      <c r="AX742" s="3">
        <f t="shared" si="572"/>
        <v>0.13300000000000001</v>
      </c>
      <c r="AY742" s="3">
        <v>-2.4E-2</v>
      </c>
      <c r="AZ742" s="3">
        <v>0.13500000000000001</v>
      </c>
      <c r="BA742" s="3">
        <f t="shared" si="573"/>
        <v>-0.159</v>
      </c>
      <c r="BB742" s="3">
        <f t="shared" si="599"/>
        <v>0.17050000000000001</v>
      </c>
      <c r="BC742" s="3">
        <f t="shared" si="599"/>
        <v>0.1575</v>
      </c>
      <c r="BD742" s="3">
        <f t="shared" si="574"/>
        <v>1.3000000000000012E-2</v>
      </c>
      <c r="BE742" s="3">
        <f t="shared" si="600"/>
        <v>0.29299999999999998</v>
      </c>
      <c r="BF742" s="3">
        <f t="shared" si="600"/>
        <v>0.58499999999999996</v>
      </c>
      <c r="BG742" s="3">
        <f t="shared" si="575"/>
        <v>-0.29199999999999998</v>
      </c>
      <c r="BH742" s="3">
        <f t="shared" si="601"/>
        <v>-0.17050000000000001</v>
      </c>
      <c r="BI742" s="3">
        <f t="shared" si="601"/>
        <v>-0.1575</v>
      </c>
      <c r="BJ742" s="3">
        <f t="shared" si="567"/>
        <v>-1.3000000000000012E-2</v>
      </c>
      <c r="BK742" s="3">
        <f t="shared" si="602"/>
        <v>4.9607935153583631E-2</v>
      </c>
      <c r="BL742" s="3">
        <f t="shared" si="602"/>
        <v>2.120192307692308E-2</v>
      </c>
      <c r="BM742" s="3">
        <f t="shared" si="576"/>
        <v>2.8406012076660551E-2</v>
      </c>
      <c r="BN742" s="3">
        <v>2.2370000000000001</v>
      </c>
      <c r="BO742" s="3">
        <v>2.431</v>
      </c>
      <c r="BP742" s="3">
        <f t="shared" si="577"/>
        <v>-0.19399999999999995</v>
      </c>
      <c r="BQ742" s="3">
        <v>-602243.07700000005</v>
      </c>
      <c r="BR742" s="3">
        <v>-601163.24300000002</v>
      </c>
      <c r="BS742" s="3">
        <f t="shared" si="578"/>
        <v>-1079.8340000000317</v>
      </c>
      <c r="BT742" s="3">
        <v>-602262.36399999994</v>
      </c>
      <c r="BU742" s="3">
        <v>-601182.38500000001</v>
      </c>
      <c r="BV742" s="3">
        <f t="shared" si="579"/>
        <v>-1079.9789999999339</v>
      </c>
    </row>
    <row r="743" spans="1:74" x14ac:dyDescent="0.25">
      <c r="A743" t="s">
        <v>192</v>
      </c>
      <c r="B743" t="s">
        <v>728</v>
      </c>
      <c r="C743" t="s">
        <v>99</v>
      </c>
      <c r="D743" s="3">
        <v>8.74</v>
      </c>
      <c r="E743" s="3">
        <v>0.71</v>
      </c>
      <c r="F743" s="3">
        <v>-1022.095</v>
      </c>
      <c r="G743" s="3">
        <v>-1028.0409999999999</v>
      </c>
      <c r="H743" s="3">
        <f t="shared" si="598"/>
        <v>-5.9459999999999127</v>
      </c>
      <c r="I743" s="3">
        <v>-0.27600000000000002</v>
      </c>
      <c r="J743" s="6">
        <v>-0.187</v>
      </c>
      <c r="K743" s="3">
        <f t="shared" si="584"/>
        <v>8.9000000000000024E-2</v>
      </c>
      <c r="L743" s="3">
        <v>0.10199999999999999</v>
      </c>
      <c r="M743" s="6">
        <v>-4.5999999999999999E-2</v>
      </c>
      <c r="N743" s="3">
        <f t="shared" si="585"/>
        <v>-0.14799999999999999</v>
      </c>
      <c r="O743" s="3">
        <f t="shared" si="571"/>
        <v>8.7000000000000022E-2</v>
      </c>
      <c r="P743" s="3">
        <f t="shared" si="571"/>
        <v>0.11649999999999999</v>
      </c>
      <c r="Q743" s="3">
        <f t="shared" si="586"/>
        <v>2.9499999999999971E-2</v>
      </c>
      <c r="R743" s="3">
        <f t="shared" si="587"/>
        <v>0.378</v>
      </c>
      <c r="S743" s="3">
        <f t="shared" si="588"/>
        <v>0.14100000000000001</v>
      </c>
      <c r="T743" s="3">
        <f t="shared" si="589"/>
        <v>-0.23699999999999999</v>
      </c>
      <c r="U743" s="3">
        <f t="shared" si="590"/>
        <v>-8.7000000000000022E-2</v>
      </c>
      <c r="V743" s="3">
        <f t="shared" si="591"/>
        <v>-0.11649999999999999</v>
      </c>
      <c r="W743" s="3">
        <f t="shared" si="566"/>
        <v>-2.9499999999999971E-2</v>
      </c>
      <c r="X743" s="3">
        <f t="shared" si="562"/>
        <v>1.0011904761904767E-2</v>
      </c>
      <c r="Y743" s="3">
        <f t="shared" si="563"/>
        <v>4.8128546099290764E-2</v>
      </c>
      <c r="Z743" s="3">
        <f t="shared" si="592"/>
        <v>3.8116641337386001E-2</v>
      </c>
      <c r="AA743" s="3">
        <v>3.819</v>
      </c>
      <c r="AB743" s="3">
        <v>3.1070000000000002</v>
      </c>
      <c r="AC743" s="3">
        <f t="shared" si="593"/>
        <v>-0.71199999999999974</v>
      </c>
      <c r="AD743" s="3">
        <f>-1021.776353*627.50956</f>
        <v>-641174.42968943459</v>
      </c>
      <c r="AE743" s="3">
        <f>-1027.74157*627.50956</f>
        <v>-644917.66038440913</v>
      </c>
      <c r="AF743" s="3">
        <f t="shared" si="594"/>
        <v>-3743.2306949745398</v>
      </c>
      <c r="AG743" s="3">
        <f>-1021.841754*627.50956</f>
        <v>-641215.46944216825</v>
      </c>
      <c r="AH743" s="3">
        <f>-1027.809665*627.50956</f>
        <v>-644960.39064789738</v>
      </c>
      <c r="AI743" s="3">
        <f t="shared" si="595"/>
        <v>-3744.9212057291297</v>
      </c>
      <c r="AJ743" s="3">
        <v>0.13600000000000001</v>
      </c>
      <c r="AK743" s="3">
        <v>0.16200000000000001</v>
      </c>
      <c r="AL743" s="3">
        <f t="shared" si="596"/>
        <v>2.5999999999999995E-2</v>
      </c>
      <c r="AM743" s="3">
        <v>292.2989</v>
      </c>
      <c r="AN743" s="3">
        <v>325.82960000000003</v>
      </c>
      <c r="AO743" s="3">
        <v>385.18049999999999</v>
      </c>
      <c r="AP743" s="3">
        <f t="shared" si="561"/>
        <v>1.2729273679571316</v>
      </c>
      <c r="AQ743" s="3">
        <v>14.55</v>
      </c>
      <c r="AR743" s="3">
        <v>3.8210000000000002</v>
      </c>
      <c r="AS743" s="3">
        <v>-132.80099999999999</v>
      </c>
      <c r="AT743" s="3">
        <v>-131.97</v>
      </c>
      <c r="AU743" s="3">
        <f t="shared" si="597"/>
        <v>-0.83099999999998886</v>
      </c>
      <c r="AV743" s="3">
        <v>-0.34100000000000003</v>
      </c>
      <c r="AW743" s="3">
        <v>-0.47499999999999998</v>
      </c>
      <c r="AX743" s="3">
        <f t="shared" si="572"/>
        <v>0.13399999999999995</v>
      </c>
      <c r="AY743" s="3">
        <v>2.9000000000000001E-2</v>
      </c>
      <c r="AZ743" s="3">
        <v>0.156</v>
      </c>
      <c r="BA743" s="3">
        <f t="shared" si="573"/>
        <v>-0.127</v>
      </c>
      <c r="BB743" s="3">
        <f t="shared" si="599"/>
        <v>0.156</v>
      </c>
      <c r="BC743" s="3">
        <f t="shared" si="599"/>
        <v>0.15949999999999998</v>
      </c>
      <c r="BD743" s="3">
        <f t="shared" si="574"/>
        <v>-3.4999999999999754E-3</v>
      </c>
      <c r="BE743" s="3">
        <f t="shared" si="600"/>
        <v>0.37000000000000005</v>
      </c>
      <c r="BF743" s="3">
        <f t="shared" si="600"/>
        <v>0.63100000000000001</v>
      </c>
      <c r="BG743" s="3">
        <f t="shared" si="575"/>
        <v>-0.26099999999999995</v>
      </c>
      <c r="BH743" s="3">
        <f t="shared" si="601"/>
        <v>-0.156</v>
      </c>
      <c r="BI743" s="3">
        <f t="shared" si="601"/>
        <v>-0.15949999999999998</v>
      </c>
      <c r="BJ743" s="3">
        <f t="shared" si="567"/>
        <v>3.4999999999999754E-3</v>
      </c>
      <c r="BK743" s="3">
        <f t="shared" si="602"/>
        <v>3.2886486486486483E-2</v>
      </c>
      <c r="BL743" s="3">
        <f t="shared" si="602"/>
        <v>2.0158676703645E-2</v>
      </c>
      <c r="BM743" s="3">
        <f t="shared" si="576"/>
        <v>1.2727809782841482E-2</v>
      </c>
      <c r="BN743" s="3">
        <v>4.7279999999999998</v>
      </c>
      <c r="BO743" s="3">
        <v>4.9340000000000002</v>
      </c>
      <c r="BP743" s="3">
        <f t="shared" si="577"/>
        <v>-0.20600000000000041</v>
      </c>
      <c r="BQ743" s="3">
        <v>-83302.89</v>
      </c>
      <c r="BR743" s="3">
        <v>-82779.224000000002</v>
      </c>
      <c r="BS743" s="3">
        <f t="shared" si="578"/>
        <v>-523.66599999999744</v>
      </c>
      <c r="BT743" s="3">
        <v>-83320.774999999994</v>
      </c>
      <c r="BU743" s="3">
        <v>-82796.997000000003</v>
      </c>
      <c r="BV743" s="3">
        <f t="shared" si="579"/>
        <v>-523.77799999999115</v>
      </c>
    </row>
    <row r="744" spans="1:74" x14ac:dyDescent="0.25">
      <c r="A744" t="s">
        <v>193</v>
      </c>
      <c r="B744" t="s">
        <v>728</v>
      </c>
      <c r="C744" t="s">
        <v>103</v>
      </c>
      <c r="D744" s="3">
        <v>8.84</v>
      </c>
      <c r="E744" s="3">
        <v>0.75</v>
      </c>
      <c r="F744" s="3">
        <v>-546.44200000000001</v>
      </c>
      <c r="G744" s="3">
        <v>-550.25400000000002</v>
      </c>
      <c r="H744" s="3">
        <f t="shared" si="598"/>
        <v>-3.8120000000000118</v>
      </c>
      <c r="I744" s="3">
        <v>-0.34300000000000003</v>
      </c>
      <c r="J744" s="6">
        <v>-0.26200000000000001</v>
      </c>
      <c r="K744" s="3">
        <f t="shared" si="584"/>
        <v>8.1000000000000016E-2</v>
      </c>
      <c r="L744" s="3">
        <v>0.11899999999999999</v>
      </c>
      <c r="M744" s="6">
        <v>-2.5999999999999999E-2</v>
      </c>
      <c r="N744" s="3">
        <f t="shared" si="585"/>
        <v>-0.14499999999999999</v>
      </c>
      <c r="O744" s="3">
        <f t="shared" si="571"/>
        <v>0.11200000000000002</v>
      </c>
      <c r="P744" s="3">
        <f t="shared" si="571"/>
        <v>0.14400000000000002</v>
      </c>
      <c r="Q744" s="3">
        <f t="shared" si="586"/>
        <v>3.2000000000000001E-2</v>
      </c>
      <c r="R744" s="3">
        <f t="shared" si="587"/>
        <v>0.46200000000000002</v>
      </c>
      <c r="S744" s="3">
        <f t="shared" si="588"/>
        <v>0.23600000000000002</v>
      </c>
      <c r="T744" s="3">
        <f t="shared" si="589"/>
        <v>-0.22600000000000001</v>
      </c>
      <c r="U744" s="3">
        <f t="shared" si="590"/>
        <v>-0.11200000000000002</v>
      </c>
      <c r="V744" s="3">
        <f t="shared" si="591"/>
        <v>-0.14400000000000002</v>
      </c>
      <c r="W744" s="3">
        <f t="shared" si="566"/>
        <v>-3.2000000000000001E-2</v>
      </c>
      <c r="X744" s="3">
        <f t="shared" si="562"/>
        <v>1.3575757575757578E-2</v>
      </c>
      <c r="Y744" s="3">
        <f t="shared" si="563"/>
        <v>4.3932203389830518E-2</v>
      </c>
      <c r="Z744" s="3">
        <f t="shared" si="592"/>
        <v>3.035644581407294E-2</v>
      </c>
      <c r="AA744" s="3">
        <v>6.194</v>
      </c>
      <c r="AB744" s="3">
        <v>6.1550000000000002</v>
      </c>
      <c r="AC744" s="3">
        <f t="shared" si="593"/>
        <v>-3.8999999999999702E-2</v>
      </c>
      <c r="AD744" s="3">
        <f>-546.086125*627.50956</f>
        <v>-342674.26402085501</v>
      </c>
      <c r="AE744" s="3">
        <f>-549.917846*627.50956</f>
        <v>-345078.70557960775</v>
      </c>
      <c r="AF744" s="3">
        <f t="shared" si="594"/>
        <v>-2404.4415587527328</v>
      </c>
      <c r="AG744" s="3">
        <f>-546.13933*627.50956</f>
        <v>-342707.65066699474</v>
      </c>
      <c r="AH744" s="3">
        <f>-549.973113*627.50956</f>
        <v>-345113.38615046028</v>
      </c>
      <c r="AI744" s="3">
        <f t="shared" si="595"/>
        <v>-2405.7354834655416</v>
      </c>
      <c r="AJ744" s="3">
        <v>-0.109</v>
      </c>
      <c r="AK744" s="3">
        <v>-6.2E-2</v>
      </c>
      <c r="AL744" s="3">
        <f t="shared" si="596"/>
        <v>4.7E-2</v>
      </c>
      <c r="AM744" s="3">
        <v>191.1207</v>
      </c>
      <c r="AN744" s="3">
        <v>268.07060000000001</v>
      </c>
      <c r="AO744" s="3">
        <v>342.10599999999999</v>
      </c>
      <c r="AP744" s="3">
        <f t="shared" si="561"/>
        <v>1.1334386277630351</v>
      </c>
      <c r="AQ744" s="3">
        <v>10.494</v>
      </c>
      <c r="AR744" s="3">
        <v>2.5680999999999998</v>
      </c>
      <c r="AS744" s="3">
        <v>-959.76900000000001</v>
      </c>
      <c r="AT744" s="3">
        <v>-958.05</v>
      </c>
      <c r="AU744" s="3">
        <f t="shared" si="597"/>
        <v>-1.7190000000000509</v>
      </c>
      <c r="AV744" s="3">
        <v>-0.317</v>
      </c>
      <c r="AW744" s="3">
        <v>-0.45</v>
      </c>
      <c r="AX744" s="3">
        <f t="shared" si="572"/>
        <v>0.13300000000000001</v>
      </c>
      <c r="AY744" s="3">
        <v>-2.4E-2</v>
      </c>
      <c r="AZ744" s="3">
        <v>0.13500000000000001</v>
      </c>
      <c r="BA744" s="3">
        <f t="shared" si="573"/>
        <v>-0.159</v>
      </c>
      <c r="BB744" s="3">
        <f t="shared" si="599"/>
        <v>0.17050000000000001</v>
      </c>
      <c r="BC744" s="3">
        <f t="shared" si="599"/>
        <v>0.1575</v>
      </c>
      <c r="BD744" s="3">
        <f t="shared" si="574"/>
        <v>1.3000000000000012E-2</v>
      </c>
      <c r="BE744" s="3">
        <f t="shared" si="600"/>
        <v>0.29299999999999998</v>
      </c>
      <c r="BF744" s="3">
        <f t="shared" si="600"/>
        <v>0.58499999999999996</v>
      </c>
      <c r="BG744" s="3">
        <f t="shared" si="575"/>
        <v>-0.29199999999999998</v>
      </c>
      <c r="BH744" s="3">
        <f t="shared" si="601"/>
        <v>-0.17050000000000001</v>
      </c>
      <c r="BI744" s="3">
        <f t="shared" si="601"/>
        <v>-0.1575</v>
      </c>
      <c r="BJ744" s="3">
        <f t="shared" si="567"/>
        <v>-1.3000000000000012E-2</v>
      </c>
      <c r="BK744" s="3">
        <f t="shared" si="602"/>
        <v>4.9607935153583631E-2</v>
      </c>
      <c r="BL744" s="3">
        <f t="shared" si="602"/>
        <v>2.120192307692308E-2</v>
      </c>
      <c r="BM744" s="3">
        <f t="shared" si="576"/>
        <v>2.8406012076660551E-2</v>
      </c>
      <c r="BN744" s="3">
        <v>2.2370000000000001</v>
      </c>
      <c r="BO744" s="3">
        <v>2.431</v>
      </c>
      <c r="BP744" s="3">
        <f t="shared" si="577"/>
        <v>-0.19399999999999995</v>
      </c>
      <c r="BQ744" s="3">
        <v>-602243.07700000005</v>
      </c>
      <c r="BR744" s="3">
        <v>-601163.24300000002</v>
      </c>
      <c r="BS744" s="3">
        <f t="shared" si="578"/>
        <v>-1079.8340000000317</v>
      </c>
      <c r="BT744" s="3">
        <v>-602262.36399999994</v>
      </c>
      <c r="BU744" s="3">
        <v>-601182.38500000001</v>
      </c>
      <c r="BV744" s="3">
        <f t="shared" si="579"/>
        <v>-1079.9789999999339</v>
      </c>
    </row>
    <row r="745" spans="1:74" x14ac:dyDescent="0.25">
      <c r="A745" t="s">
        <v>194</v>
      </c>
      <c r="B745" t="s">
        <v>728</v>
      </c>
      <c r="C745" t="s">
        <v>103</v>
      </c>
      <c r="D745" s="3">
        <v>8.9</v>
      </c>
      <c r="E745" s="3">
        <v>0.75</v>
      </c>
      <c r="F745" s="3">
        <v>-316.87799999999999</v>
      </c>
      <c r="G745" s="3">
        <v>-319.17099999999999</v>
      </c>
      <c r="H745" s="3">
        <f t="shared" si="598"/>
        <v>-2.2930000000000064</v>
      </c>
      <c r="I745" s="3">
        <v>-0.41399999999999998</v>
      </c>
      <c r="J745" s="6">
        <v>-0.28199999999999997</v>
      </c>
      <c r="K745" s="3">
        <f t="shared" si="584"/>
        <v>0.13200000000000001</v>
      </c>
      <c r="L745" s="3">
        <v>0.152</v>
      </c>
      <c r="M745" s="6">
        <v>3.5999999999999997E-2</v>
      </c>
      <c r="N745" s="3">
        <f t="shared" si="585"/>
        <v>-0.11599999999999999</v>
      </c>
      <c r="O745" s="3">
        <f t="shared" si="571"/>
        <v>0.13100000000000001</v>
      </c>
      <c r="P745" s="3">
        <f t="shared" si="571"/>
        <v>0.12299999999999998</v>
      </c>
      <c r="Q745" s="3">
        <f t="shared" si="586"/>
        <v>-8.000000000000021E-3</v>
      </c>
      <c r="R745" s="3">
        <f t="shared" si="587"/>
        <v>0.56599999999999995</v>
      </c>
      <c r="S745" s="3">
        <f t="shared" si="588"/>
        <v>0.31799999999999995</v>
      </c>
      <c r="T745" s="3">
        <f t="shared" si="589"/>
        <v>-0.248</v>
      </c>
      <c r="U745" s="3">
        <f t="shared" si="590"/>
        <v>-0.13100000000000001</v>
      </c>
      <c r="V745" s="3">
        <f t="shared" si="591"/>
        <v>-0.12299999999999998</v>
      </c>
      <c r="W745" s="3">
        <f t="shared" si="566"/>
        <v>8.000000000000021E-3</v>
      </c>
      <c r="X745" s="3">
        <f t="shared" si="562"/>
        <v>1.5159893992932865E-2</v>
      </c>
      <c r="Y745" s="3">
        <f t="shared" si="563"/>
        <v>2.3787735849056604E-2</v>
      </c>
      <c r="Z745" s="3">
        <f t="shared" si="592"/>
        <v>8.6278418561237386E-3</v>
      </c>
      <c r="AA745" s="3">
        <v>6.2880000000000003</v>
      </c>
      <c r="AB745" s="3">
        <v>6.1669999999999998</v>
      </c>
      <c r="AC745" s="3">
        <f t="shared" si="593"/>
        <v>-0.12100000000000044</v>
      </c>
      <c r="AD745" s="3">
        <f>-316.612236*627.50956</f>
        <v>-198677.20490297614</v>
      </c>
      <c r="AE745" s="3">
        <f>-318.919346*627.50956</f>
        <v>-200124.93848394777</v>
      </c>
      <c r="AF745" s="3">
        <f t="shared" si="594"/>
        <v>-1447.7335809716315</v>
      </c>
      <c r="AG745" s="3">
        <f>-316.656612*627.50956</f>
        <v>-198705.05126721071</v>
      </c>
      <c r="AH745" s="3">
        <f>-318.965109*627.50956</f>
        <v>-200153.65520394201</v>
      </c>
      <c r="AI745" s="3">
        <f t="shared" si="595"/>
        <v>-1448.6039367312915</v>
      </c>
      <c r="AJ745" s="3">
        <v>-0.115</v>
      </c>
      <c r="AK745" s="3">
        <v>-6.9000000000000006E-2</v>
      </c>
      <c r="AL745" s="3">
        <f t="shared" si="596"/>
        <v>4.5999999999999999E-2</v>
      </c>
      <c r="AM745" s="3">
        <v>115.0248</v>
      </c>
      <c r="AN745" s="3">
        <v>203.196</v>
      </c>
      <c r="AO745" s="3">
        <v>241.149</v>
      </c>
      <c r="AP745" s="3">
        <f t="shared" si="561"/>
        <v>1.0847112087784874</v>
      </c>
      <c r="AQ745" s="3">
        <v>9.0299999999999994</v>
      </c>
      <c r="AR745" s="3">
        <v>2.0419999999999998</v>
      </c>
      <c r="AS745" s="3">
        <v>-959.76900000000001</v>
      </c>
      <c r="AT745" s="3">
        <v>-958.05</v>
      </c>
      <c r="AU745" s="3">
        <f t="shared" si="597"/>
        <v>-1.7190000000000509</v>
      </c>
      <c r="AV745" s="3">
        <v>-0.317</v>
      </c>
      <c r="AW745" s="3">
        <v>-0.45</v>
      </c>
      <c r="AX745" s="3">
        <f t="shared" si="572"/>
        <v>0.13300000000000001</v>
      </c>
      <c r="AY745" s="3">
        <v>-2.4E-2</v>
      </c>
      <c r="AZ745" s="3">
        <v>0.13500000000000001</v>
      </c>
      <c r="BA745" s="3">
        <f t="shared" si="573"/>
        <v>-0.159</v>
      </c>
      <c r="BB745" s="3">
        <f t="shared" si="599"/>
        <v>0.17050000000000001</v>
      </c>
      <c r="BC745" s="3">
        <f t="shared" si="599"/>
        <v>0.1575</v>
      </c>
      <c r="BD745" s="3">
        <f t="shared" si="574"/>
        <v>1.3000000000000012E-2</v>
      </c>
      <c r="BE745" s="3">
        <f t="shared" si="600"/>
        <v>0.29299999999999998</v>
      </c>
      <c r="BF745" s="3">
        <f t="shared" si="600"/>
        <v>0.58499999999999996</v>
      </c>
      <c r="BG745" s="3">
        <f t="shared" si="575"/>
        <v>-0.29199999999999998</v>
      </c>
      <c r="BH745" s="3">
        <f t="shared" si="601"/>
        <v>-0.17050000000000001</v>
      </c>
      <c r="BI745" s="3">
        <f t="shared" si="601"/>
        <v>-0.1575</v>
      </c>
      <c r="BJ745" s="3">
        <f t="shared" si="567"/>
        <v>-1.3000000000000012E-2</v>
      </c>
      <c r="BK745" s="3">
        <f t="shared" si="602"/>
        <v>4.9607935153583631E-2</v>
      </c>
      <c r="BL745" s="3">
        <f t="shared" si="602"/>
        <v>2.120192307692308E-2</v>
      </c>
      <c r="BM745" s="3">
        <f t="shared" si="576"/>
        <v>2.8406012076660551E-2</v>
      </c>
      <c r="BN745" s="3">
        <v>2.2370000000000001</v>
      </c>
      <c r="BO745" s="3">
        <v>2.431</v>
      </c>
      <c r="BP745" s="3">
        <f t="shared" si="577"/>
        <v>-0.19399999999999995</v>
      </c>
      <c r="BQ745" s="3">
        <v>-602243.07700000005</v>
      </c>
      <c r="BR745" s="3">
        <v>-601163.24300000002</v>
      </c>
      <c r="BS745" s="3">
        <f t="shared" si="578"/>
        <v>-1079.8340000000317</v>
      </c>
      <c r="BT745" s="3">
        <v>-602262.36399999994</v>
      </c>
      <c r="BU745" s="3">
        <v>-601182.38500000001</v>
      </c>
      <c r="BV745" s="3">
        <f t="shared" si="579"/>
        <v>-1079.9789999999339</v>
      </c>
    </row>
    <row r="746" spans="1:74" x14ac:dyDescent="0.25">
      <c r="A746" t="s">
        <v>647</v>
      </c>
      <c r="B746" t="s">
        <v>728</v>
      </c>
      <c r="C746" t="s">
        <v>103</v>
      </c>
      <c r="D746" s="3">
        <v>9</v>
      </c>
      <c r="E746" s="3">
        <v>0.9</v>
      </c>
      <c r="F746" s="3">
        <v>-857.5</v>
      </c>
      <c r="G746" s="3">
        <v>-862.74199999999996</v>
      </c>
      <c r="H746" s="3">
        <f t="shared" si="598"/>
        <v>-5.2419999999999618</v>
      </c>
      <c r="I746" s="3">
        <v>-0.29499999999999998</v>
      </c>
      <c r="J746" s="6">
        <v>-0.20499999999999999</v>
      </c>
      <c r="K746" s="3">
        <f t="shared" si="584"/>
        <v>0.09</v>
      </c>
      <c r="L746" s="3">
        <v>9.8000000000000004E-2</v>
      </c>
      <c r="M746" s="6">
        <v>-5.7000000000000002E-2</v>
      </c>
      <c r="N746" s="3">
        <f t="shared" si="585"/>
        <v>-0.155</v>
      </c>
      <c r="O746" s="3">
        <f t="shared" si="571"/>
        <v>9.849999999999999E-2</v>
      </c>
      <c r="P746" s="3">
        <f t="shared" si="571"/>
        <v>0.13100000000000001</v>
      </c>
      <c r="Q746" s="3">
        <f t="shared" si="586"/>
        <v>3.2500000000000015E-2</v>
      </c>
      <c r="R746" s="3">
        <f t="shared" si="587"/>
        <v>0.39300000000000002</v>
      </c>
      <c r="S746" s="3">
        <f t="shared" si="588"/>
        <v>0.14799999999999999</v>
      </c>
      <c r="T746" s="3">
        <f t="shared" si="589"/>
        <v>-0.24500000000000002</v>
      </c>
      <c r="U746" s="3">
        <f t="shared" si="590"/>
        <v>-9.849999999999999E-2</v>
      </c>
      <c r="V746" s="3">
        <f t="shared" si="591"/>
        <v>-0.13100000000000001</v>
      </c>
      <c r="W746" s="3">
        <f t="shared" si="566"/>
        <v>-3.2500000000000015E-2</v>
      </c>
      <c r="X746" s="3">
        <f t="shared" si="562"/>
        <v>1.2343829516539437E-2</v>
      </c>
      <c r="Y746" s="3">
        <f t="shared" si="563"/>
        <v>5.797635135135136E-2</v>
      </c>
      <c r="Z746" s="3">
        <f t="shared" si="592"/>
        <v>4.5632521834811923E-2</v>
      </c>
      <c r="AA746" s="3">
        <v>9.2289999999999992</v>
      </c>
      <c r="AB746" s="3">
        <v>8.7729999999999997</v>
      </c>
      <c r="AC746" s="3">
        <f t="shared" si="593"/>
        <v>-0.45599999999999952</v>
      </c>
      <c r="AD746" s="3">
        <f>-857.150232*627.50956</f>
        <v>-537869.96493621788</v>
      </c>
      <c r="AE746" s="3">
        <f>-862.413811*627.50956</f>
        <v>-541172.91107853316</v>
      </c>
      <c r="AF746" s="3">
        <f t="shared" si="594"/>
        <v>-3302.9461423152825</v>
      </c>
      <c r="AG746" s="3">
        <f>-857.220447*627.50956</f>
        <v>-537914.02551997337</v>
      </c>
      <c r="AH746" s="3">
        <f>-862.486747*627.50956</f>
        <v>-541218.67911580135</v>
      </c>
      <c r="AI746" s="3">
        <f t="shared" si="595"/>
        <v>-3304.6535958279856</v>
      </c>
      <c r="AJ746" s="3">
        <v>0.17599999999999999</v>
      </c>
      <c r="AK746" s="3">
        <v>0.20499999999999999</v>
      </c>
      <c r="AL746" s="3">
        <f t="shared" si="596"/>
        <v>2.8999999999999998E-2</v>
      </c>
      <c r="AM746" s="3">
        <v>253.29400000000001</v>
      </c>
      <c r="AN746" s="3">
        <v>330.84870000000001</v>
      </c>
      <c r="AO746" s="3">
        <v>382.137</v>
      </c>
      <c r="AP746" s="3">
        <f t="shared" si="561"/>
        <v>1.2993894102162407</v>
      </c>
      <c r="AQ746" s="3">
        <v>16.363</v>
      </c>
      <c r="AR746" s="3">
        <v>3.6118000000000001</v>
      </c>
      <c r="AS746" s="3">
        <v>-959.76900000000001</v>
      </c>
      <c r="AT746" s="3">
        <v>-958.05</v>
      </c>
      <c r="AU746" s="3">
        <f t="shared" si="597"/>
        <v>-1.7190000000000509</v>
      </c>
      <c r="AV746" s="3">
        <v>-0.317</v>
      </c>
      <c r="AW746" s="3">
        <v>-0.45</v>
      </c>
      <c r="AX746" s="3">
        <f t="shared" si="572"/>
        <v>0.13300000000000001</v>
      </c>
      <c r="AY746" s="3">
        <v>-2.4E-2</v>
      </c>
      <c r="AZ746" s="3">
        <v>0.13500000000000001</v>
      </c>
      <c r="BA746" s="3">
        <f t="shared" si="573"/>
        <v>-0.159</v>
      </c>
      <c r="BB746" s="3">
        <f t="shared" si="599"/>
        <v>0.17050000000000001</v>
      </c>
      <c r="BC746" s="3">
        <f t="shared" si="599"/>
        <v>0.1575</v>
      </c>
      <c r="BD746" s="3">
        <f t="shared" si="574"/>
        <v>1.3000000000000012E-2</v>
      </c>
      <c r="BE746" s="3">
        <f t="shared" si="600"/>
        <v>0.29299999999999998</v>
      </c>
      <c r="BF746" s="3">
        <f t="shared" si="600"/>
        <v>0.58499999999999996</v>
      </c>
      <c r="BG746" s="3">
        <f t="shared" si="575"/>
        <v>-0.29199999999999998</v>
      </c>
      <c r="BH746" s="3">
        <f t="shared" si="601"/>
        <v>-0.17050000000000001</v>
      </c>
      <c r="BI746" s="3">
        <f t="shared" si="601"/>
        <v>-0.1575</v>
      </c>
      <c r="BJ746" s="3">
        <f t="shared" si="567"/>
        <v>-1.3000000000000012E-2</v>
      </c>
      <c r="BK746" s="3">
        <f t="shared" si="602"/>
        <v>4.9607935153583631E-2</v>
      </c>
      <c r="BL746" s="3">
        <f t="shared" si="602"/>
        <v>2.120192307692308E-2</v>
      </c>
      <c r="BM746" s="3">
        <f t="shared" si="576"/>
        <v>2.8406012076660551E-2</v>
      </c>
      <c r="BN746" s="3">
        <v>2.2370000000000001</v>
      </c>
      <c r="BO746" s="3">
        <v>2.431</v>
      </c>
      <c r="BP746" s="3">
        <f t="shared" si="577"/>
        <v>-0.19399999999999995</v>
      </c>
      <c r="BQ746" s="3">
        <v>-602243.07700000005</v>
      </c>
      <c r="BR746" s="3">
        <v>-601163.24300000002</v>
      </c>
      <c r="BS746" s="3">
        <f t="shared" si="578"/>
        <v>-1079.8340000000317</v>
      </c>
      <c r="BT746" s="3">
        <v>-602262.36399999994</v>
      </c>
      <c r="BU746" s="3">
        <v>-601182.38500000001</v>
      </c>
      <c r="BV746" s="3">
        <f t="shared" si="579"/>
        <v>-1079.9789999999339</v>
      </c>
    </row>
    <row r="747" spans="1:74" x14ac:dyDescent="0.25">
      <c r="A747" t="s">
        <v>195</v>
      </c>
      <c r="B747" t="s">
        <v>728</v>
      </c>
      <c r="C747" t="s">
        <v>103</v>
      </c>
      <c r="D747" s="3">
        <v>9.1199999999999992</v>
      </c>
      <c r="E747" s="3">
        <v>0.75</v>
      </c>
      <c r="F747" s="3">
        <v>-507.41399999999999</v>
      </c>
      <c r="G747" s="3">
        <v>-510.94299999999998</v>
      </c>
      <c r="H747" s="3">
        <f t="shared" si="598"/>
        <v>-3.5289999999999964</v>
      </c>
      <c r="I747" s="3">
        <v>-0.34499999999999997</v>
      </c>
      <c r="J747" s="6">
        <v>-0.26400000000000001</v>
      </c>
      <c r="K747" s="3">
        <f t="shared" si="584"/>
        <v>8.0999999999999961E-2</v>
      </c>
      <c r="L747" s="3">
        <v>0.11799999999999999</v>
      </c>
      <c r="M747" s="6">
        <v>-2.5999999999999999E-2</v>
      </c>
      <c r="N747" s="3">
        <f t="shared" si="585"/>
        <v>-0.14399999999999999</v>
      </c>
      <c r="O747" s="3">
        <f t="shared" si="571"/>
        <v>0.11349999999999999</v>
      </c>
      <c r="P747" s="3">
        <f t="shared" si="571"/>
        <v>0.14500000000000002</v>
      </c>
      <c r="Q747" s="3">
        <f t="shared" si="586"/>
        <v>3.1500000000000028E-2</v>
      </c>
      <c r="R747" s="3">
        <f t="shared" si="587"/>
        <v>0.46299999999999997</v>
      </c>
      <c r="S747" s="3">
        <f t="shared" si="588"/>
        <v>0.23800000000000002</v>
      </c>
      <c r="T747" s="3">
        <f t="shared" si="589"/>
        <v>-0.22499999999999995</v>
      </c>
      <c r="U747" s="3">
        <f t="shared" si="590"/>
        <v>-0.11349999999999999</v>
      </c>
      <c r="V747" s="3">
        <f t="shared" si="591"/>
        <v>-0.14500000000000002</v>
      </c>
      <c r="W747" s="3">
        <f t="shared" si="566"/>
        <v>-3.1500000000000028E-2</v>
      </c>
      <c r="X747" s="3">
        <f t="shared" si="562"/>
        <v>1.3911717062634988E-2</v>
      </c>
      <c r="Y747" s="3">
        <f t="shared" si="563"/>
        <v>4.41701680672269E-2</v>
      </c>
      <c r="Z747" s="3">
        <f t="shared" si="592"/>
        <v>3.0258451004591912E-2</v>
      </c>
      <c r="AA747" s="3">
        <v>6.1740000000000004</v>
      </c>
      <c r="AB747" s="3">
        <v>6.1520000000000001</v>
      </c>
      <c r="AC747" s="3">
        <f t="shared" si="593"/>
        <v>-2.2000000000000242E-2</v>
      </c>
      <c r="AD747" s="3">
        <f>-507.090419*627.50956</f>
        <v>-318204.08570690564</v>
      </c>
      <c r="AE747" s="3">
        <f>-510.636444*627.50956</f>
        <v>-320429.25029440463</v>
      </c>
      <c r="AF747" s="3">
        <f t="shared" si="594"/>
        <v>-2225.1645874989918</v>
      </c>
      <c r="AG747" s="3">
        <f>-507.143121*627.50956</f>
        <v>-318237.15671573672</v>
      </c>
      <c r="AH747" s="3">
        <f>-510.690991*627.50956</f>
        <v>-320463.47905837395</v>
      </c>
      <c r="AI747" s="3">
        <f t="shared" si="595"/>
        <v>-2226.3223426372278</v>
      </c>
      <c r="AJ747" s="3">
        <v>-0.109</v>
      </c>
      <c r="AK747" s="3">
        <v>-6.3E-2</v>
      </c>
      <c r="AL747" s="3">
        <f t="shared" si="596"/>
        <v>4.5999999999999999E-2</v>
      </c>
      <c r="AM747" s="3">
        <v>177.09399999999999</v>
      </c>
      <c r="AN747" s="3">
        <v>257.66899999999998</v>
      </c>
      <c r="AO747" s="3">
        <v>319.8596</v>
      </c>
      <c r="AP747" s="3">
        <f t="shared" si="561"/>
        <v>1.1394060710883367</v>
      </c>
      <c r="AQ747" s="3">
        <v>10.427</v>
      </c>
      <c r="AR747" s="3">
        <v>2.4876999999999998</v>
      </c>
      <c r="AS747" s="3">
        <v>-959.76900000000001</v>
      </c>
      <c r="AT747" s="3">
        <v>-958.05</v>
      </c>
      <c r="AU747" s="3">
        <f t="shared" si="597"/>
        <v>-1.7190000000000509</v>
      </c>
      <c r="AV747" s="3">
        <v>-0.317</v>
      </c>
      <c r="AW747" s="3">
        <v>-0.45</v>
      </c>
      <c r="AX747" s="3">
        <f t="shared" si="572"/>
        <v>0.13300000000000001</v>
      </c>
      <c r="AY747" s="3">
        <v>-2.4E-2</v>
      </c>
      <c r="AZ747" s="3">
        <v>0.13500000000000001</v>
      </c>
      <c r="BA747" s="3">
        <f t="shared" si="573"/>
        <v>-0.159</v>
      </c>
      <c r="BB747" s="3">
        <f t="shared" si="599"/>
        <v>0.17050000000000001</v>
      </c>
      <c r="BC747" s="3">
        <f t="shared" si="599"/>
        <v>0.1575</v>
      </c>
      <c r="BD747" s="3">
        <f t="shared" si="574"/>
        <v>1.3000000000000012E-2</v>
      </c>
      <c r="BE747" s="3">
        <f t="shared" si="600"/>
        <v>0.29299999999999998</v>
      </c>
      <c r="BF747" s="3">
        <f t="shared" si="600"/>
        <v>0.58499999999999996</v>
      </c>
      <c r="BG747" s="3">
        <f t="shared" si="575"/>
        <v>-0.29199999999999998</v>
      </c>
      <c r="BH747" s="3">
        <f t="shared" si="601"/>
        <v>-0.17050000000000001</v>
      </c>
      <c r="BI747" s="3">
        <f t="shared" si="601"/>
        <v>-0.1575</v>
      </c>
      <c r="BJ747" s="3">
        <f t="shared" si="567"/>
        <v>-1.3000000000000012E-2</v>
      </c>
      <c r="BK747" s="3">
        <f t="shared" si="602"/>
        <v>4.9607935153583631E-2</v>
      </c>
      <c r="BL747" s="3">
        <f t="shared" si="602"/>
        <v>2.120192307692308E-2</v>
      </c>
      <c r="BM747" s="3">
        <f t="shared" si="576"/>
        <v>2.8406012076660551E-2</v>
      </c>
      <c r="BN747" s="3">
        <v>2.2370000000000001</v>
      </c>
      <c r="BO747" s="3">
        <v>2.431</v>
      </c>
      <c r="BP747" s="3">
        <f t="shared" si="577"/>
        <v>-0.19399999999999995</v>
      </c>
      <c r="BQ747" s="3">
        <v>-602243.07700000005</v>
      </c>
      <c r="BR747" s="3">
        <v>-601163.24300000002</v>
      </c>
      <c r="BS747" s="3">
        <f t="shared" si="578"/>
        <v>-1079.8340000000317</v>
      </c>
      <c r="BT747" s="3">
        <v>-602262.36399999994</v>
      </c>
      <c r="BU747" s="3">
        <v>-601182.38500000001</v>
      </c>
      <c r="BV747" s="3">
        <f t="shared" si="579"/>
        <v>-1079.9789999999339</v>
      </c>
    </row>
    <row r="748" spans="1:74" x14ac:dyDescent="0.25">
      <c r="A748" t="s">
        <v>196</v>
      </c>
      <c r="B748" t="s">
        <v>728</v>
      </c>
      <c r="C748" t="s">
        <v>99</v>
      </c>
      <c r="D748" s="3">
        <v>9.3800000000000008</v>
      </c>
      <c r="E748" s="3">
        <v>0.71</v>
      </c>
      <c r="F748" s="3">
        <v>-1145.306</v>
      </c>
      <c r="G748" s="3">
        <v>-1150.5229999999999</v>
      </c>
      <c r="H748" s="3">
        <f t="shared" si="598"/>
        <v>-5.2169999999998709</v>
      </c>
      <c r="I748" s="3">
        <v>-0.27600000000000002</v>
      </c>
      <c r="J748" s="6">
        <v>-0.187</v>
      </c>
      <c r="K748" s="3">
        <f t="shared" si="584"/>
        <v>8.9000000000000024E-2</v>
      </c>
      <c r="L748" s="3">
        <v>0.111</v>
      </c>
      <c r="M748" s="6">
        <v>-3.5000000000000003E-2</v>
      </c>
      <c r="N748" s="3">
        <f t="shared" si="585"/>
        <v>-0.14600000000000002</v>
      </c>
      <c r="O748" s="3">
        <f t="shared" si="571"/>
        <v>8.2500000000000018E-2</v>
      </c>
      <c r="P748" s="3">
        <f t="shared" si="571"/>
        <v>0.111</v>
      </c>
      <c r="Q748" s="3">
        <f t="shared" si="586"/>
        <v>2.8499999999999984E-2</v>
      </c>
      <c r="R748" s="3">
        <f t="shared" si="587"/>
        <v>0.38700000000000001</v>
      </c>
      <c r="S748" s="3">
        <f t="shared" si="588"/>
        <v>0.152</v>
      </c>
      <c r="T748" s="3">
        <f t="shared" si="589"/>
        <v>-0.23500000000000001</v>
      </c>
      <c r="U748" s="3">
        <f t="shared" si="590"/>
        <v>-8.2500000000000018E-2</v>
      </c>
      <c r="V748" s="3">
        <f t="shared" si="591"/>
        <v>-0.111</v>
      </c>
      <c r="W748" s="3">
        <f t="shared" si="566"/>
        <v>-2.8499999999999984E-2</v>
      </c>
      <c r="X748" s="3">
        <f t="shared" si="562"/>
        <v>8.7936046511627938E-3</v>
      </c>
      <c r="Y748" s="3">
        <f t="shared" si="563"/>
        <v>4.0529605263157895E-2</v>
      </c>
      <c r="Z748" s="3">
        <f t="shared" si="592"/>
        <v>3.1736000611995101E-2</v>
      </c>
      <c r="AA748" s="3">
        <v>4.7830000000000004</v>
      </c>
      <c r="AB748" s="3">
        <v>4.6890000000000001</v>
      </c>
      <c r="AC748" s="3">
        <f t="shared" si="593"/>
        <v>-9.4000000000000306E-2</v>
      </c>
      <c r="AD748" s="3">
        <f>-1145.005426*627.50956</f>
        <v>-718501.85106687248</v>
      </c>
      <c r="AE748" s="3">
        <f>-1150.240404*627.50956</f>
        <v>-721786.84980826208</v>
      </c>
      <c r="AF748" s="3">
        <f t="shared" si="594"/>
        <v>-3284.9987413896015</v>
      </c>
      <c r="AG748" s="3">
        <f>-1145.064034*627.50956</f>
        <v>-718538.62814716494</v>
      </c>
      <c r="AH748" s="3">
        <f>-1150.301595*627.50956</f>
        <v>-721825.24774574814</v>
      </c>
      <c r="AI748" s="3">
        <f t="shared" si="595"/>
        <v>-3286.6195985832019</v>
      </c>
      <c r="AJ748" s="3">
        <v>0.13600000000000001</v>
      </c>
      <c r="AK748" s="3">
        <v>0.16200000000000001</v>
      </c>
      <c r="AL748" s="3">
        <f t="shared" si="596"/>
        <v>2.5999999999999995E-2</v>
      </c>
      <c r="AM748" s="3">
        <v>258.74599999999998</v>
      </c>
      <c r="AN748" s="3">
        <v>311.70699999999999</v>
      </c>
      <c r="AO748" s="3">
        <v>368.09300000000002</v>
      </c>
      <c r="AP748" s="3">
        <f t="shared" si="561"/>
        <v>1.2551553069250418</v>
      </c>
      <c r="AQ748" s="3">
        <v>12.986000000000001</v>
      </c>
      <c r="AR748" s="3">
        <v>3.2894999999999999</v>
      </c>
      <c r="AS748" s="3">
        <v>-132.80099999999999</v>
      </c>
      <c r="AT748" s="3">
        <v>-131.97</v>
      </c>
      <c r="AU748" s="3">
        <f t="shared" si="597"/>
        <v>-0.83099999999998886</v>
      </c>
      <c r="AV748" s="3">
        <v>-0.34100000000000003</v>
      </c>
      <c r="AW748" s="3">
        <v>-0.47499999999999998</v>
      </c>
      <c r="AX748" s="3">
        <f t="shared" si="572"/>
        <v>0.13399999999999995</v>
      </c>
      <c r="AY748" s="3">
        <v>2.9000000000000001E-2</v>
      </c>
      <c r="AZ748" s="3">
        <v>0.156</v>
      </c>
      <c r="BA748" s="3">
        <f t="shared" si="573"/>
        <v>-0.127</v>
      </c>
      <c r="BB748" s="3">
        <f t="shared" si="599"/>
        <v>0.156</v>
      </c>
      <c r="BC748" s="3">
        <f t="shared" si="599"/>
        <v>0.15949999999999998</v>
      </c>
      <c r="BD748" s="3">
        <f t="shared" si="574"/>
        <v>-3.4999999999999754E-3</v>
      </c>
      <c r="BE748" s="3">
        <f t="shared" si="600"/>
        <v>0.37000000000000005</v>
      </c>
      <c r="BF748" s="3">
        <f t="shared" si="600"/>
        <v>0.63100000000000001</v>
      </c>
      <c r="BG748" s="3">
        <f t="shared" si="575"/>
        <v>-0.26099999999999995</v>
      </c>
      <c r="BH748" s="3">
        <f t="shared" si="601"/>
        <v>-0.156</v>
      </c>
      <c r="BI748" s="3">
        <f t="shared" si="601"/>
        <v>-0.15949999999999998</v>
      </c>
      <c r="BJ748" s="3">
        <f t="shared" si="567"/>
        <v>3.4999999999999754E-3</v>
      </c>
      <c r="BK748" s="3">
        <f t="shared" si="602"/>
        <v>3.2886486486486483E-2</v>
      </c>
      <c r="BL748" s="3">
        <f t="shared" si="602"/>
        <v>2.0158676703645E-2</v>
      </c>
      <c r="BM748" s="3">
        <f t="shared" si="576"/>
        <v>1.2727809782841482E-2</v>
      </c>
      <c r="BN748" s="3">
        <v>4.7279999999999998</v>
      </c>
      <c r="BO748" s="3">
        <v>4.9340000000000002</v>
      </c>
      <c r="BP748" s="3">
        <f t="shared" si="577"/>
        <v>-0.20600000000000041</v>
      </c>
      <c r="BQ748" s="3">
        <v>-83302.89</v>
      </c>
      <c r="BR748" s="3">
        <v>-82779.224000000002</v>
      </c>
      <c r="BS748" s="3">
        <f t="shared" si="578"/>
        <v>-523.66599999999744</v>
      </c>
      <c r="BT748" s="3">
        <v>-83320.774999999994</v>
      </c>
      <c r="BU748" s="3">
        <v>-82796.997000000003</v>
      </c>
      <c r="BV748" s="3">
        <f t="shared" si="579"/>
        <v>-523.77799999999115</v>
      </c>
    </row>
    <row r="749" spans="1:74" x14ac:dyDescent="0.25">
      <c r="A749" t="s">
        <v>197</v>
      </c>
      <c r="B749" t="s">
        <v>728</v>
      </c>
      <c r="C749" t="s">
        <v>99</v>
      </c>
      <c r="D749" s="3">
        <v>9.7200000000000006</v>
      </c>
      <c r="E749" s="3">
        <v>0.72</v>
      </c>
      <c r="F749" s="3">
        <v>-686.37400000000002</v>
      </c>
      <c r="G749" s="3">
        <v>-690.89099999999996</v>
      </c>
      <c r="H749" s="3">
        <f t="shared" si="598"/>
        <v>-4.5169999999999391</v>
      </c>
      <c r="I749" s="3">
        <v>-0.28699999999999998</v>
      </c>
      <c r="J749" s="6">
        <v>-0.191</v>
      </c>
      <c r="K749" s="3">
        <f t="shared" si="584"/>
        <v>9.5999999999999974E-2</v>
      </c>
      <c r="L749" s="3">
        <v>0.126</v>
      </c>
      <c r="M749" s="6">
        <v>-1.6E-2</v>
      </c>
      <c r="N749" s="3">
        <f t="shared" si="585"/>
        <v>-0.14200000000000002</v>
      </c>
      <c r="O749" s="3">
        <f t="shared" si="571"/>
        <v>8.0499999999999988E-2</v>
      </c>
      <c r="P749" s="3">
        <f t="shared" si="571"/>
        <v>0.10350000000000001</v>
      </c>
      <c r="Q749" s="3">
        <f t="shared" si="586"/>
        <v>2.300000000000002E-2</v>
      </c>
      <c r="R749" s="3">
        <f t="shared" si="587"/>
        <v>0.41299999999999998</v>
      </c>
      <c r="S749" s="3">
        <f t="shared" si="588"/>
        <v>0.17499999999999999</v>
      </c>
      <c r="T749" s="3">
        <f t="shared" si="589"/>
        <v>-0.23799999999999999</v>
      </c>
      <c r="U749" s="3">
        <f t="shared" si="590"/>
        <v>-8.0499999999999988E-2</v>
      </c>
      <c r="V749" s="3">
        <f t="shared" si="591"/>
        <v>-0.10350000000000001</v>
      </c>
      <c r="W749" s="3">
        <f t="shared" si="566"/>
        <v>-2.300000000000002E-2</v>
      </c>
      <c r="X749" s="3">
        <f t="shared" si="562"/>
        <v>7.8453389830508459E-3</v>
      </c>
      <c r="Y749" s="3">
        <f t="shared" si="563"/>
        <v>3.0606428571428576E-2</v>
      </c>
      <c r="Z749" s="3">
        <f t="shared" si="592"/>
        <v>2.276108958837773E-2</v>
      </c>
      <c r="AA749" s="3">
        <v>2.8260000000000001</v>
      </c>
      <c r="AB749" s="3">
        <v>2.9809999999999999</v>
      </c>
      <c r="AC749" s="3">
        <f t="shared" si="593"/>
        <v>0.1549999999999998</v>
      </c>
      <c r="AD749" s="3">
        <f>-686.063955*627.50956</f>
        <v>-430511.69053390977</v>
      </c>
      <c r="AE749" s="3">
        <f>-690.600508*627.50956</f>
        <v>-433358.42091085645</v>
      </c>
      <c r="AF749" s="3">
        <f t="shared" si="594"/>
        <v>-2846.7303769466816</v>
      </c>
      <c r="AG749" s="3">
        <f>-686.120289*627.50956</f>
        <v>-430547.04065746279</v>
      </c>
      <c r="AH749" s="3">
        <f>-690.655666*627.50956</f>
        <v>-433393.03308316693</v>
      </c>
      <c r="AI749" s="3">
        <f t="shared" si="595"/>
        <v>-2845.9924257041421</v>
      </c>
      <c r="AJ749" s="3">
        <v>0.17199999999999999</v>
      </c>
      <c r="AK749" s="3">
        <v>0.19600000000000001</v>
      </c>
      <c r="AL749" s="3">
        <f t="shared" si="596"/>
        <v>2.4000000000000021E-2</v>
      </c>
      <c r="AM749" s="3">
        <v>224.30090000000001</v>
      </c>
      <c r="AN749" s="3">
        <v>293.78800000000001</v>
      </c>
      <c r="AO749" s="3">
        <v>347.80759999999998</v>
      </c>
      <c r="AP749" s="3">
        <f t="shared" si="561"/>
        <v>1.2285626028542092</v>
      </c>
      <c r="AQ749" s="3">
        <v>12.326000000000001</v>
      </c>
      <c r="AR749" s="3">
        <v>2.9723999999999999</v>
      </c>
      <c r="AS749" s="3">
        <v>-132.80099999999999</v>
      </c>
      <c r="AT749" s="3">
        <v>-131.97</v>
      </c>
      <c r="AU749" s="3">
        <f t="shared" si="597"/>
        <v>-0.83099999999998886</v>
      </c>
      <c r="AV749" s="3">
        <v>-0.34100000000000003</v>
      </c>
      <c r="AW749" s="3">
        <v>-0.47499999999999998</v>
      </c>
      <c r="AX749" s="3">
        <f t="shared" si="572"/>
        <v>0.13399999999999995</v>
      </c>
      <c r="AY749" s="3">
        <v>2.9000000000000001E-2</v>
      </c>
      <c r="AZ749" s="3">
        <v>0.156</v>
      </c>
      <c r="BA749" s="3">
        <f t="shared" si="573"/>
        <v>-0.127</v>
      </c>
      <c r="BB749" s="3">
        <f t="shared" ref="BB749:BC753" si="603">-(AV749+AY749)/2</f>
        <v>0.156</v>
      </c>
      <c r="BC749" s="3">
        <f t="shared" si="603"/>
        <v>0.15949999999999998</v>
      </c>
      <c r="BD749" s="3">
        <f t="shared" si="574"/>
        <v>-3.4999999999999754E-3</v>
      </c>
      <c r="BE749" s="3">
        <f t="shared" ref="BE749:BF753" si="604">AY749-AV749</f>
        <v>0.37000000000000005</v>
      </c>
      <c r="BF749" s="3">
        <f t="shared" si="604"/>
        <v>0.63100000000000001</v>
      </c>
      <c r="BG749" s="3">
        <f t="shared" si="575"/>
        <v>-0.26099999999999995</v>
      </c>
      <c r="BH749" s="3">
        <f t="shared" ref="BH749:BI753" si="605">(AV749+AY749)/2</f>
        <v>-0.156</v>
      </c>
      <c r="BI749" s="3">
        <f t="shared" si="605"/>
        <v>-0.15949999999999998</v>
      </c>
      <c r="BJ749" s="3">
        <f t="shared" si="567"/>
        <v>3.4999999999999754E-3</v>
      </c>
      <c r="BK749" s="3">
        <f t="shared" ref="BK749:BL753" si="606">(BH749*BH749)/(2*BE749)</f>
        <v>3.2886486486486483E-2</v>
      </c>
      <c r="BL749" s="3">
        <f t="shared" si="606"/>
        <v>2.0158676703645E-2</v>
      </c>
      <c r="BM749" s="3">
        <f t="shared" si="576"/>
        <v>1.2727809782841482E-2</v>
      </c>
      <c r="BN749" s="3">
        <v>4.7279999999999998</v>
      </c>
      <c r="BO749" s="3">
        <v>4.9340000000000002</v>
      </c>
      <c r="BP749" s="3">
        <f t="shared" si="577"/>
        <v>-0.20600000000000041</v>
      </c>
      <c r="BQ749" s="3">
        <v>-83302.89</v>
      </c>
      <c r="BR749" s="3">
        <v>-82779.224000000002</v>
      </c>
      <c r="BS749" s="3">
        <f t="shared" si="578"/>
        <v>-523.66599999999744</v>
      </c>
      <c r="BT749" s="3">
        <v>-83320.774999999994</v>
      </c>
      <c r="BU749" s="3">
        <v>-82796.997000000003</v>
      </c>
      <c r="BV749" s="3">
        <f t="shared" si="579"/>
        <v>-523.77799999999115</v>
      </c>
    </row>
    <row r="750" spans="1:74" x14ac:dyDescent="0.25">
      <c r="A750" t="s">
        <v>198</v>
      </c>
      <c r="B750" t="s">
        <v>728</v>
      </c>
      <c r="C750" t="s">
        <v>103</v>
      </c>
      <c r="D750" s="3">
        <v>10.01</v>
      </c>
      <c r="E750" s="3">
        <v>0.75</v>
      </c>
      <c r="F750" s="3">
        <v>-273.19299999999998</v>
      </c>
      <c r="G750" s="3">
        <v>-275.03100000000001</v>
      </c>
      <c r="H750" s="3">
        <f t="shared" si="598"/>
        <v>-1.8380000000000223</v>
      </c>
      <c r="I750" s="3">
        <v>-0.375</v>
      </c>
      <c r="J750" s="6">
        <v>-0.27700000000000002</v>
      </c>
      <c r="K750" s="3">
        <f t="shared" si="584"/>
        <v>9.7999999999999976E-2</v>
      </c>
      <c r="L750" s="3">
        <v>7.5999999999999998E-2</v>
      </c>
      <c r="M750" s="6">
        <v>-7.0000000000000007E-2</v>
      </c>
      <c r="N750" s="3">
        <f t="shared" si="585"/>
        <v>-0.14600000000000002</v>
      </c>
      <c r="O750" s="3">
        <f t="shared" si="571"/>
        <v>0.14949999999999999</v>
      </c>
      <c r="P750" s="3">
        <f t="shared" si="571"/>
        <v>0.17350000000000002</v>
      </c>
      <c r="Q750" s="3">
        <f t="shared" si="586"/>
        <v>2.4000000000000021E-2</v>
      </c>
      <c r="R750" s="3">
        <f t="shared" si="587"/>
        <v>0.45100000000000001</v>
      </c>
      <c r="S750" s="3">
        <f t="shared" si="588"/>
        <v>0.20700000000000002</v>
      </c>
      <c r="T750" s="3">
        <f t="shared" si="589"/>
        <v>-0.24399999999999999</v>
      </c>
      <c r="U750" s="3">
        <f t="shared" si="590"/>
        <v>-0.14949999999999999</v>
      </c>
      <c r="V750" s="3">
        <f t="shared" si="591"/>
        <v>-0.17350000000000002</v>
      </c>
      <c r="W750" s="3">
        <f t="shared" si="566"/>
        <v>-2.4000000000000021E-2</v>
      </c>
      <c r="X750" s="3">
        <f t="shared" si="562"/>
        <v>2.4778547671840352E-2</v>
      </c>
      <c r="Y750" s="3">
        <f t="shared" si="563"/>
        <v>7.2710748792270533E-2</v>
      </c>
      <c r="Z750" s="3">
        <f t="shared" si="592"/>
        <v>4.793220112043018E-2</v>
      </c>
      <c r="AA750" s="3">
        <v>8.4860000000000007</v>
      </c>
      <c r="AB750" s="3">
        <v>8.3369999999999997</v>
      </c>
      <c r="AC750" s="3">
        <f t="shared" si="593"/>
        <v>-0.14900000000000091</v>
      </c>
      <c r="AD750" s="3">
        <f>-273.057985*627.50956</f>
        <v>-171346.49602183656</v>
      </c>
      <c r="AE750" s="3">
        <f>-274.902899*627.50956</f>
        <v>-172504.19719421442</v>
      </c>
      <c r="AF750" s="3">
        <f t="shared" si="594"/>
        <v>-1157.701172377856</v>
      </c>
      <c r="AG750" s="3">
        <f>-273.096028*627.50956</f>
        <v>-171370.36836802767</v>
      </c>
      <c r="AH750" s="3">
        <f>-274.940784*627.50956</f>
        <v>-172527.97039389503</v>
      </c>
      <c r="AI750" s="3">
        <f t="shared" si="595"/>
        <v>-1157.6020258673525</v>
      </c>
      <c r="AJ750" s="3">
        <v>-0.115</v>
      </c>
      <c r="AK750" s="3">
        <v>-0.06</v>
      </c>
      <c r="AL750" s="3">
        <f t="shared" si="596"/>
        <v>5.5000000000000007E-2</v>
      </c>
      <c r="AM750" s="3">
        <v>92.934700000000007</v>
      </c>
      <c r="AN750" s="3">
        <v>164.69200000000001</v>
      </c>
      <c r="AO750" s="3">
        <v>169.21449999999999</v>
      </c>
      <c r="AP750" s="3">
        <f t="shared" si="561"/>
        <v>1.1133628791368473</v>
      </c>
      <c r="AQ750" s="3">
        <v>8.3520000000000003</v>
      </c>
      <c r="AR750" s="3">
        <v>1.7512000000000001</v>
      </c>
      <c r="AS750" s="3">
        <v>-959.76900000000001</v>
      </c>
      <c r="AT750" s="3">
        <v>-958.05</v>
      </c>
      <c r="AU750" s="3">
        <f t="shared" si="597"/>
        <v>-1.7190000000000509</v>
      </c>
      <c r="AV750" s="3">
        <v>-0.317</v>
      </c>
      <c r="AW750" s="3">
        <v>-0.45</v>
      </c>
      <c r="AX750" s="3">
        <f t="shared" si="572"/>
        <v>0.13300000000000001</v>
      </c>
      <c r="AY750" s="3">
        <v>-2.4E-2</v>
      </c>
      <c r="AZ750" s="3">
        <v>0.13500000000000001</v>
      </c>
      <c r="BA750" s="3">
        <f t="shared" si="573"/>
        <v>-0.159</v>
      </c>
      <c r="BB750" s="3">
        <f t="shared" si="603"/>
        <v>0.17050000000000001</v>
      </c>
      <c r="BC750" s="3">
        <f t="shared" si="603"/>
        <v>0.1575</v>
      </c>
      <c r="BD750" s="3">
        <f t="shared" si="574"/>
        <v>1.3000000000000012E-2</v>
      </c>
      <c r="BE750" s="3">
        <f t="shared" si="604"/>
        <v>0.29299999999999998</v>
      </c>
      <c r="BF750" s="3">
        <f t="shared" si="604"/>
        <v>0.58499999999999996</v>
      </c>
      <c r="BG750" s="3">
        <f t="shared" si="575"/>
        <v>-0.29199999999999998</v>
      </c>
      <c r="BH750" s="3">
        <f t="shared" si="605"/>
        <v>-0.17050000000000001</v>
      </c>
      <c r="BI750" s="3">
        <f t="shared" si="605"/>
        <v>-0.1575</v>
      </c>
      <c r="BJ750" s="3">
        <f t="shared" si="567"/>
        <v>-1.3000000000000012E-2</v>
      </c>
      <c r="BK750" s="3">
        <f t="shared" si="606"/>
        <v>4.9607935153583631E-2</v>
      </c>
      <c r="BL750" s="3">
        <f t="shared" si="606"/>
        <v>2.120192307692308E-2</v>
      </c>
      <c r="BM750" s="3">
        <f t="shared" si="576"/>
        <v>2.8406012076660551E-2</v>
      </c>
      <c r="BN750" s="3">
        <v>2.2370000000000001</v>
      </c>
      <c r="BO750" s="3">
        <v>2.431</v>
      </c>
      <c r="BP750" s="3">
        <f t="shared" si="577"/>
        <v>-0.19399999999999995</v>
      </c>
      <c r="BQ750" s="3">
        <v>-602243.07700000005</v>
      </c>
      <c r="BR750" s="3">
        <v>-601163.24300000002</v>
      </c>
      <c r="BS750" s="3">
        <f t="shared" si="578"/>
        <v>-1079.8340000000317</v>
      </c>
      <c r="BT750" s="3">
        <v>-602262.36399999994</v>
      </c>
      <c r="BU750" s="3">
        <v>-601182.38500000001</v>
      </c>
      <c r="BV750" s="3">
        <f t="shared" si="579"/>
        <v>-1079.9789999999339</v>
      </c>
    </row>
    <row r="751" spans="1:74" x14ac:dyDescent="0.25">
      <c r="A751" t="s">
        <v>201</v>
      </c>
      <c r="B751" t="s">
        <v>728</v>
      </c>
      <c r="C751" t="s">
        <v>103</v>
      </c>
      <c r="D751" s="3">
        <v>10.33</v>
      </c>
      <c r="E751" s="3">
        <v>0.75</v>
      </c>
      <c r="F751" s="3">
        <v>-351.28199999999998</v>
      </c>
      <c r="G751" s="3">
        <v>-353.685</v>
      </c>
      <c r="H751" s="3">
        <f t="shared" si="598"/>
        <v>-2.40300000000002</v>
      </c>
      <c r="I751" s="3">
        <v>-0.35199999999999998</v>
      </c>
      <c r="J751" s="6">
        <v>-0.27200000000000002</v>
      </c>
      <c r="K751" s="3">
        <f t="shared" si="584"/>
        <v>7.999999999999996E-2</v>
      </c>
      <c r="L751" s="3">
        <v>8.2000000000000003E-2</v>
      </c>
      <c r="M751" s="6">
        <v>-6.2E-2</v>
      </c>
      <c r="N751" s="3">
        <f t="shared" si="585"/>
        <v>-0.14400000000000002</v>
      </c>
      <c r="O751" s="3">
        <f t="shared" si="571"/>
        <v>0.13499999999999998</v>
      </c>
      <c r="P751" s="3">
        <f t="shared" si="571"/>
        <v>0.16700000000000001</v>
      </c>
      <c r="Q751" s="3">
        <f t="shared" si="586"/>
        <v>3.2000000000000028E-2</v>
      </c>
      <c r="R751" s="3">
        <f t="shared" si="587"/>
        <v>0.434</v>
      </c>
      <c r="S751" s="3">
        <f t="shared" si="588"/>
        <v>0.21000000000000002</v>
      </c>
      <c r="T751" s="3">
        <f t="shared" si="589"/>
        <v>-0.22399999999999998</v>
      </c>
      <c r="U751" s="3">
        <f t="shared" si="590"/>
        <v>-0.13499999999999998</v>
      </c>
      <c r="V751" s="3">
        <f t="shared" si="591"/>
        <v>-0.16700000000000001</v>
      </c>
      <c r="W751" s="3">
        <f t="shared" si="566"/>
        <v>-3.2000000000000028E-2</v>
      </c>
      <c r="X751" s="3">
        <f t="shared" si="562"/>
        <v>2.0996543778801838E-2</v>
      </c>
      <c r="Y751" s="3">
        <f t="shared" si="563"/>
        <v>6.6402380952380949E-2</v>
      </c>
      <c r="Z751" s="3">
        <f t="shared" si="592"/>
        <v>4.5405837173579114E-2</v>
      </c>
      <c r="AA751" s="3">
        <v>7.5</v>
      </c>
      <c r="AB751" s="3">
        <v>7.1779999999999999</v>
      </c>
      <c r="AC751" s="3">
        <f t="shared" si="593"/>
        <v>-0.32200000000000006</v>
      </c>
      <c r="AD751" s="3">
        <f>-351.084453*627.50956</f>
        <v>-220308.85062487065</v>
      </c>
      <c r="AE751" s="3">
        <f>-353.498557*627.50956</f>
        <v>-221823.72396370492</v>
      </c>
      <c r="AF751" s="3">
        <f t="shared" si="594"/>
        <v>-1514.8733388342662</v>
      </c>
      <c r="AG751" s="3">
        <f>-351.127316*627.50956</f>
        <v>-220335.74756714096</v>
      </c>
      <c r="AH751" s="3">
        <f>-353.542883*627.50956</f>
        <v>-221851.53895246147</v>
      </c>
      <c r="AI751" s="3">
        <f t="shared" si="595"/>
        <v>-1515.79138532051</v>
      </c>
      <c r="AJ751" s="3">
        <v>-0.112</v>
      </c>
      <c r="AK751" s="3">
        <v>-6.3E-2</v>
      </c>
      <c r="AL751" s="3">
        <f t="shared" si="596"/>
        <v>4.9000000000000002E-2</v>
      </c>
      <c r="AM751" s="3">
        <v>120.98779999999999</v>
      </c>
      <c r="AN751" s="3">
        <v>198.238</v>
      </c>
      <c r="AO751" s="3">
        <v>219.9906</v>
      </c>
      <c r="AP751" s="3">
        <f t="shared" si="561"/>
        <v>1.1250541908552512</v>
      </c>
      <c r="AQ751" s="3">
        <v>9.0169999999999995</v>
      </c>
      <c r="AR751" s="3">
        <v>2.0417999999999998</v>
      </c>
      <c r="AS751" s="3">
        <v>-959.76900000000001</v>
      </c>
      <c r="AT751" s="3">
        <v>-958.05</v>
      </c>
      <c r="AU751" s="3">
        <f t="shared" si="597"/>
        <v>-1.7190000000000509</v>
      </c>
      <c r="AV751" s="3">
        <v>-0.317</v>
      </c>
      <c r="AW751" s="3">
        <v>-0.45</v>
      </c>
      <c r="AX751" s="3">
        <f t="shared" si="572"/>
        <v>0.13300000000000001</v>
      </c>
      <c r="AY751" s="3">
        <v>-2.4E-2</v>
      </c>
      <c r="AZ751" s="3">
        <v>0.13500000000000001</v>
      </c>
      <c r="BA751" s="3">
        <f t="shared" si="573"/>
        <v>-0.159</v>
      </c>
      <c r="BB751" s="3">
        <f t="shared" si="603"/>
        <v>0.17050000000000001</v>
      </c>
      <c r="BC751" s="3">
        <f t="shared" si="603"/>
        <v>0.1575</v>
      </c>
      <c r="BD751" s="3">
        <f t="shared" si="574"/>
        <v>1.3000000000000012E-2</v>
      </c>
      <c r="BE751" s="3">
        <f t="shared" si="604"/>
        <v>0.29299999999999998</v>
      </c>
      <c r="BF751" s="3">
        <f t="shared" si="604"/>
        <v>0.58499999999999996</v>
      </c>
      <c r="BG751" s="3">
        <f t="shared" si="575"/>
        <v>-0.29199999999999998</v>
      </c>
      <c r="BH751" s="3">
        <f t="shared" si="605"/>
        <v>-0.17050000000000001</v>
      </c>
      <c r="BI751" s="3">
        <f t="shared" si="605"/>
        <v>-0.1575</v>
      </c>
      <c r="BJ751" s="3">
        <f t="shared" si="567"/>
        <v>-1.3000000000000012E-2</v>
      </c>
      <c r="BK751" s="3">
        <f t="shared" si="606"/>
        <v>4.9607935153583631E-2</v>
      </c>
      <c r="BL751" s="3">
        <f t="shared" si="606"/>
        <v>2.120192307692308E-2</v>
      </c>
      <c r="BM751" s="3">
        <f t="shared" si="576"/>
        <v>2.8406012076660551E-2</v>
      </c>
      <c r="BN751" s="3">
        <v>2.2370000000000001</v>
      </c>
      <c r="BO751" s="3">
        <v>2.431</v>
      </c>
      <c r="BP751" s="3">
        <f t="shared" si="577"/>
        <v>-0.19399999999999995</v>
      </c>
      <c r="BQ751" s="3">
        <v>-602243.07700000005</v>
      </c>
      <c r="BR751" s="3">
        <v>-601163.24300000002</v>
      </c>
      <c r="BS751" s="3">
        <f t="shared" si="578"/>
        <v>-1079.8340000000317</v>
      </c>
      <c r="BT751" s="3">
        <v>-602262.36399999994</v>
      </c>
      <c r="BU751" s="3">
        <v>-601182.38500000001</v>
      </c>
      <c r="BV751" s="3">
        <f t="shared" si="579"/>
        <v>-1079.9789999999339</v>
      </c>
    </row>
    <row r="752" spans="1:74" x14ac:dyDescent="0.25">
      <c r="A752" t="s">
        <v>202</v>
      </c>
      <c r="B752" t="s">
        <v>728</v>
      </c>
      <c r="C752" t="s">
        <v>103</v>
      </c>
      <c r="D752" s="3">
        <v>10.46</v>
      </c>
      <c r="E752" s="3">
        <v>0.75</v>
      </c>
      <c r="F752" s="3">
        <v>-429.36900000000003</v>
      </c>
      <c r="G752" s="3">
        <v>-432.33</v>
      </c>
      <c r="H752" s="3">
        <f t="shared" si="598"/>
        <v>-2.9609999999999559</v>
      </c>
      <c r="I752" s="3">
        <v>-0.372</v>
      </c>
      <c r="J752" s="6">
        <v>-0.27200000000000002</v>
      </c>
      <c r="K752" s="3">
        <f t="shared" si="584"/>
        <v>9.9999999999999978E-2</v>
      </c>
      <c r="L752" s="3">
        <v>8.2000000000000003E-2</v>
      </c>
      <c r="M752" s="6">
        <v>-6.5000000000000002E-2</v>
      </c>
      <c r="N752" s="3">
        <f t="shared" si="585"/>
        <v>-0.14700000000000002</v>
      </c>
      <c r="O752" s="3">
        <f t="shared" si="571"/>
        <v>0.14499999999999999</v>
      </c>
      <c r="P752" s="3">
        <f t="shared" si="571"/>
        <v>0.16850000000000001</v>
      </c>
      <c r="Q752" s="3">
        <f t="shared" si="586"/>
        <v>2.3500000000000021E-2</v>
      </c>
      <c r="R752" s="3">
        <f t="shared" si="587"/>
        <v>0.45400000000000001</v>
      </c>
      <c r="S752" s="3">
        <f t="shared" si="588"/>
        <v>0.20700000000000002</v>
      </c>
      <c r="T752" s="3">
        <f t="shared" si="589"/>
        <v>-0.247</v>
      </c>
      <c r="U752" s="3">
        <f t="shared" si="590"/>
        <v>-0.14499999999999999</v>
      </c>
      <c r="V752" s="3">
        <f t="shared" si="591"/>
        <v>-0.16850000000000001</v>
      </c>
      <c r="W752" s="3">
        <f t="shared" si="566"/>
        <v>-2.3500000000000021E-2</v>
      </c>
      <c r="X752" s="3">
        <f t="shared" si="562"/>
        <v>2.3155286343612334E-2</v>
      </c>
      <c r="Y752" s="3">
        <f t="shared" si="563"/>
        <v>6.8580314009661844E-2</v>
      </c>
      <c r="Z752" s="3">
        <f t="shared" si="592"/>
        <v>4.5425027666049514E-2</v>
      </c>
      <c r="AA752" s="3">
        <v>9.5909999999999993</v>
      </c>
      <c r="AB752" s="3">
        <v>9.5350000000000001</v>
      </c>
      <c r="AC752" s="3">
        <f t="shared" si="593"/>
        <v>-5.5999999999999162E-2</v>
      </c>
      <c r="AD752" s="3">
        <f>-429.11017*627.50956</f>
        <v>-269270.73396822519</v>
      </c>
      <c r="AE752" s="3">
        <f>-432.085438*627.50956</f>
        <v>-271137.74308178725</v>
      </c>
      <c r="AF752" s="3">
        <f t="shared" si="594"/>
        <v>-1867.0091135620605</v>
      </c>
      <c r="AG752" s="3">
        <f>-429.160022*627.50956</f>
        <v>-269302.01657481032</v>
      </c>
      <c r="AH752" s="3">
        <f>-432.133625*627.50956</f>
        <v>-271167.98088495497</v>
      </c>
      <c r="AI752" s="3">
        <f t="shared" si="595"/>
        <v>-1865.9643101446563</v>
      </c>
      <c r="AJ752" s="3">
        <v>-0.11700000000000001</v>
      </c>
      <c r="AK752" s="3">
        <v>-7.0000000000000007E-2</v>
      </c>
      <c r="AL752" s="3">
        <f t="shared" si="596"/>
        <v>4.7E-2</v>
      </c>
      <c r="AM752" s="3">
        <v>149.041</v>
      </c>
      <c r="AN752" s="3">
        <v>238.828</v>
      </c>
      <c r="AO752" s="3">
        <v>275.09679999999997</v>
      </c>
      <c r="AP752" s="3">
        <f t="shared" si="561"/>
        <v>1.1677525736046572</v>
      </c>
      <c r="AQ752" s="3">
        <v>10.784000000000001</v>
      </c>
      <c r="AR752" s="3">
        <v>2.4986000000000002</v>
      </c>
      <c r="AS752" s="3">
        <v>-959.76900000000001</v>
      </c>
      <c r="AT752" s="3">
        <v>-958.05</v>
      </c>
      <c r="AU752" s="3">
        <f t="shared" si="597"/>
        <v>-1.7190000000000509</v>
      </c>
      <c r="AV752" s="3">
        <v>-0.317</v>
      </c>
      <c r="AW752" s="3">
        <v>-0.45</v>
      </c>
      <c r="AX752" s="3">
        <f t="shared" si="572"/>
        <v>0.13300000000000001</v>
      </c>
      <c r="AY752" s="3">
        <v>-2.4E-2</v>
      </c>
      <c r="AZ752" s="3">
        <v>0.13500000000000001</v>
      </c>
      <c r="BA752" s="3">
        <f t="shared" si="573"/>
        <v>-0.159</v>
      </c>
      <c r="BB752" s="3">
        <f t="shared" si="603"/>
        <v>0.17050000000000001</v>
      </c>
      <c r="BC752" s="3">
        <f t="shared" si="603"/>
        <v>0.1575</v>
      </c>
      <c r="BD752" s="3">
        <f t="shared" si="574"/>
        <v>1.3000000000000012E-2</v>
      </c>
      <c r="BE752" s="3">
        <f t="shared" si="604"/>
        <v>0.29299999999999998</v>
      </c>
      <c r="BF752" s="3">
        <f t="shared" si="604"/>
        <v>0.58499999999999996</v>
      </c>
      <c r="BG752" s="3">
        <f t="shared" si="575"/>
        <v>-0.29199999999999998</v>
      </c>
      <c r="BH752" s="3">
        <f t="shared" si="605"/>
        <v>-0.17050000000000001</v>
      </c>
      <c r="BI752" s="3">
        <f t="shared" si="605"/>
        <v>-0.1575</v>
      </c>
      <c r="BJ752" s="3">
        <f t="shared" si="567"/>
        <v>-1.3000000000000012E-2</v>
      </c>
      <c r="BK752" s="3">
        <f t="shared" si="606"/>
        <v>4.9607935153583631E-2</v>
      </c>
      <c r="BL752" s="3">
        <f t="shared" si="606"/>
        <v>2.120192307692308E-2</v>
      </c>
      <c r="BM752" s="3">
        <f t="shared" si="576"/>
        <v>2.8406012076660551E-2</v>
      </c>
      <c r="BN752" s="3">
        <v>2.2370000000000001</v>
      </c>
      <c r="BO752" s="3">
        <v>2.431</v>
      </c>
      <c r="BP752" s="3">
        <f t="shared" si="577"/>
        <v>-0.19399999999999995</v>
      </c>
      <c r="BQ752" s="3">
        <v>-602243.07700000005</v>
      </c>
      <c r="BR752" s="3">
        <v>-601163.24300000002</v>
      </c>
      <c r="BS752" s="3">
        <f t="shared" si="578"/>
        <v>-1079.8340000000317</v>
      </c>
      <c r="BT752" s="3">
        <v>-602262.36399999994</v>
      </c>
      <c r="BU752" s="3">
        <v>-601182.38500000001</v>
      </c>
      <c r="BV752" s="3">
        <f t="shared" si="579"/>
        <v>-1079.9789999999339</v>
      </c>
    </row>
    <row r="753" spans="1:74" x14ac:dyDescent="0.25">
      <c r="A753" t="s">
        <v>203</v>
      </c>
      <c r="B753" t="s">
        <v>728</v>
      </c>
      <c r="C753" t="s">
        <v>199</v>
      </c>
      <c r="D753" s="3">
        <v>10.8</v>
      </c>
      <c r="E753" s="3">
        <v>0.6</v>
      </c>
      <c r="F753" s="3">
        <v>-27.085999999999999</v>
      </c>
      <c r="G753" s="3">
        <v>-27.375</v>
      </c>
      <c r="H753" s="3">
        <f t="shared" si="598"/>
        <v>-0.28900000000000148</v>
      </c>
      <c r="I753" s="3">
        <v>-0.39400000000000002</v>
      </c>
      <c r="J753" s="6">
        <v>-0.26500000000000001</v>
      </c>
      <c r="K753" s="3">
        <f t="shared" si="584"/>
        <v>0.129</v>
      </c>
      <c r="L753" s="3">
        <v>0.19600000000000001</v>
      </c>
      <c r="M753" s="6">
        <v>0.09</v>
      </c>
      <c r="N753" s="3">
        <f t="shared" si="585"/>
        <v>-0.10600000000000001</v>
      </c>
      <c r="O753" s="3">
        <f t="shared" si="571"/>
        <v>9.9000000000000005E-2</v>
      </c>
      <c r="P753" s="3">
        <f t="shared" si="571"/>
        <v>8.7500000000000008E-2</v>
      </c>
      <c r="Q753" s="3">
        <f t="shared" si="586"/>
        <v>-1.1499999999999996E-2</v>
      </c>
      <c r="R753" s="3">
        <f t="shared" si="587"/>
        <v>0.59000000000000008</v>
      </c>
      <c r="S753" s="3">
        <f t="shared" si="588"/>
        <v>0.35499999999999998</v>
      </c>
      <c r="T753" s="3">
        <f t="shared" si="589"/>
        <v>-0.2350000000000001</v>
      </c>
      <c r="U753" s="3">
        <f t="shared" si="590"/>
        <v>-9.9000000000000005E-2</v>
      </c>
      <c r="V753" s="3">
        <f t="shared" si="591"/>
        <v>-8.7500000000000008E-2</v>
      </c>
      <c r="W753" s="3">
        <f t="shared" si="566"/>
        <v>1.1499999999999996E-2</v>
      </c>
      <c r="X753" s="3">
        <f t="shared" si="562"/>
        <v>8.3059322033898295E-3</v>
      </c>
      <c r="Y753" s="3">
        <f t="shared" si="563"/>
        <v>1.0783450704225355E-2</v>
      </c>
      <c r="Z753" s="3">
        <f t="shared" si="592"/>
        <v>2.4775185008355256E-3</v>
      </c>
      <c r="AA753" s="3">
        <v>0</v>
      </c>
      <c r="AB753" s="3">
        <v>0</v>
      </c>
      <c r="AC753" s="3">
        <f t="shared" si="593"/>
        <v>0</v>
      </c>
      <c r="AD753" s="3">
        <f>-27.046981*627.50956</f>
        <v>-16972.23914663836</v>
      </c>
      <c r="AE753" s="3">
        <f>-27.33755*627.50956</f>
        <v>-17154.573971977999</v>
      </c>
      <c r="AF753" s="3">
        <f t="shared" si="594"/>
        <v>-182.33482533963979</v>
      </c>
      <c r="AG753" s="3">
        <f>-27.068426*627.50956</f>
        <v>-16985.69608915256</v>
      </c>
      <c r="AH753" s="3">
        <f>-27.359016*627.50956</f>
        <v>-17168.044092192958</v>
      </c>
      <c r="AI753" s="3">
        <f t="shared" si="595"/>
        <v>-182.34800304039891</v>
      </c>
      <c r="AJ753" s="3">
        <v>-0.123</v>
      </c>
      <c r="AK753" s="3">
        <v>-0.08</v>
      </c>
      <c r="AL753" s="3">
        <f t="shared" si="596"/>
        <v>4.2999999999999997E-2</v>
      </c>
      <c r="AM753" s="3">
        <v>14.842700000000001</v>
      </c>
      <c r="AN753" s="3">
        <v>77.308999999999997</v>
      </c>
      <c r="AO753" s="3">
        <v>61.516599999999997</v>
      </c>
      <c r="AP753" s="3">
        <f t="shared" si="561"/>
        <v>1.0260246387049989</v>
      </c>
      <c r="AQ753" s="3">
        <v>4.4089999999999998</v>
      </c>
      <c r="AR753" s="3">
        <v>0.6411</v>
      </c>
      <c r="AS753" s="3">
        <v>-76.454999999999998</v>
      </c>
      <c r="AT753" s="3">
        <v>-76.055000000000007</v>
      </c>
      <c r="AU753" s="3">
        <f t="shared" si="597"/>
        <v>-0.39999999999999147</v>
      </c>
      <c r="AV753" s="3">
        <v>-0.30399999999999999</v>
      </c>
      <c r="AW753" s="3">
        <v>-0.505</v>
      </c>
      <c r="AX753" s="3">
        <f t="shared" si="572"/>
        <v>0.20100000000000001</v>
      </c>
      <c r="AY753" s="3">
        <v>0.04</v>
      </c>
      <c r="AZ753" s="3">
        <v>0.16400000000000001</v>
      </c>
      <c r="BA753" s="3">
        <f t="shared" si="573"/>
        <v>-0.124</v>
      </c>
      <c r="BB753" s="3">
        <f t="shared" si="603"/>
        <v>0.13200000000000001</v>
      </c>
      <c r="BC753" s="3">
        <f t="shared" si="603"/>
        <v>0.17049999999999998</v>
      </c>
      <c r="BD753" s="3">
        <f t="shared" si="574"/>
        <v>-3.8499999999999979E-2</v>
      </c>
      <c r="BE753" s="3">
        <f t="shared" si="604"/>
        <v>0.34399999999999997</v>
      </c>
      <c r="BF753" s="3">
        <f t="shared" si="604"/>
        <v>0.66900000000000004</v>
      </c>
      <c r="BG753" s="3">
        <f t="shared" si="575"/>
        <v>-0.32500000000000007</v>
      </c>
      <c r="BH753" s="3">
        <f t="shared" si="605"/>
        <v>-0.13200000000000001</v>
      </c>
      <c r="BI753" s="3">
        <f t="shared" si="605"/>
        <v>-0.17049999999999998</v>
      </c>
      <c r="BJ753" s="3">
        <f t="shared" si="567"/>
        <v>3.8499999999999979E-2</v>
      </c>
      <c r="BK753" s="3">
        <f t="shared" si="606"/>
        <v>2.5325581395348844E-2</v>
      </c>
      <c r="BL753" s="3">
        <f t="shared" si="606"/>
        <v>2.1726644245141997E-2</v>
      </c>
      <c r="BM753" s="3">
        <f t="shared" si="576"/>
        <v>3.5989371502068469E-3</v>
      </c>
      <c r="BN753" s="3">
        <v>2.3010000000000002</v>
      </c>
      <c r="BO753" s="3">
        <v>2.3559999999999999</v>
      </c>
      <c r="BP753" s="3">
        <f t="shared" si="577"/>
        <v>-5.4999999999999716E-2</v>
      </c>
      <c r="BQ753" s="3">
        <v>-47960.305999999997</v>
      </c>
      <c r="BR753" s="3">
        <v>-47708.290999999997</v>
      </c>
      <c r="BS753" s="3">
        <f t="shared" si="578"/>
        <v>-252.01499999999942</v>
      </c>
      <c r="BT753" s="3">
        <v>-47973.754999999997</v>
      </c>
      <c r="BU753" s="3">
        <v>-47721.697</v>
      </c>
      <c r="BV753" s="3">
        <f t="shared" si="579"/>
        <v>-252.05799999999726</v>
      </c>
    </row>
  </sheetData>
  <hyperlinks>
    <hyperlink ref="A269" r:id="rId1" display="https://www.cup.lmu.de/oc/mayr/reaktionsdatenbank/fe/details/1380"/>
    <hyperlink ref="A274" r:id="rId2" display="https://www.cup.lmu.de/oc/mayr/reaktionsdatenbank/fe/details/1476"/>
    <hyperlink ref="A276" r:id="rId3" display="https://www.cup.lmu.de/oc/mayr/reaktionsdatenbank/fe/details/1428"/>
    <hyperlink ref="A278" r:id="rId4" display="https://www.cup.lmu.de/oc/mayr/reaktionsdatenbank/fe/details/789"/>
    <hyperlink ref="A279" r:id="rId5" display="https://www.cup.lmu.de/oc/mayr/reaktionsdatenbank/fe/details/1478"/>
    <hyperlink ref="A280" r:id="rId6" display="https://www.cup.lmu.de/oc/mayr/reaktionsdatenbank/fe/details/1477"/>
    <hyperlink ref="A281" r:id="rId7" display="https://www.cup.lmu.de/oc/mayr/reaktionsdatenbank/fe/details/787"/>
    <hyperlink ref="A282" r:id="rId8" display="https://www.cup.lmu.de/oc/mayr/reaktionsdatenbank/fe/details/110"/>
    <hyperlink ref="A292" r:id="rId9" display="https://www.cup.lmu.de/oc/mayr/reaktionsdatenbank/fe/details/1167"/>
    <hyperlink ref="A297" r:id="rId10" display="https://www.cup.lmu.de/oc/mayr/reaktionsdatenbank/fe/details/1388"/>
    <hyperlink ref="A300" r:id="rId11" display="https://www.cup.lmu.de/oc/mayr/reaktionsdatenbank/fe/details/1386"/>
    <hyperlink ref="A301" r:id="rId12" display="https://www.cup.lmu.de/oc/mayr/reaktionsdatenbank/fe/details/1385"/>
    <hyperlink ref="A320" r:id="rId13" display="https://www.cup.lmu.de/oc/mayr/reaktionsdatenbank/fe/details/1500"/>
    <hyperlink ref="A574" r:id="rId14" display="https://www.cup.lmu.de/oc/mayr/reaktionsdatenbank/fe/details/1391"/>
    <hyperlink ref="A600" r:id="rId15" display="https://www.cup.lmu.de/oc/mayr/reaktionsdatenbank/fe/details/1237"/>
  </hyperlinks>
  <pageMargins left="0.7" right="0.7" top="0.75" bottom="0.75" header="0.3" footer="0.3"/>
  <pageSetup orientation="portrait" horizontalDpi="300" verticalDpi="300" r:id="rId16"/>
  <ignoredErrors>
    <ignoredError sqref="AD698:AE698 AG698:AH69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Dataset3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2019-06-11T05:51:16Z</dcterms:created>
  <dcterms:modified xsi:type="dcterms:W3CDTF">2021-10-01T10:57:22Z</dcterms:modified>
</cp:coreProperties>
</file>